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C:\Users\user\Desktop\GA son dokümanlar\1. Retail,Key Acc &amp; PCD\"/>
    </mc:Choice>
  </mc:AlternateContent>
  <xr:revisionPtr revIDLastSave="0" documentId="13_ncr:1_{FA04150A-7815-4060-B316-6374A2CA1AC8}" xr6:coauthVersionLast="32" xr6:coauthVersionMax="32" xr10:uidLastSave="{00000000-0000-0000-0000-000000000000}"/>
  <workbookProtection workbookAlgorithmName="SHA-512" workbookHashValue="xvnmvdHPiWVgcXuSgYYzLW8knaLM4l1yQGtbbq0+ConPUFYK0jBfESF6dGb+XwqFmRRTRv8QIwiNLBP4ng6dfg==" workbookSaltValue="IA3qqK4quoYlHGaIjADgkA==" workbookSpinCount="100000" lockStructure="1"/>
  <bookViews>
    <workbookView xWindow="0" yWindow="0" windowWidth="19200" windowHeight="6660" tabRatio="802" activeTab="1" xr2:uid="{00000000-000D-0000-FFFF-FFFF00000000}"/>
  </bookViews>
  <sheets>
    <sheet name="price list MAN" sheetId="3" r:id="rId1"/>
    <sheet name="Deal Sheet" sheetId="36" r:id="rId2"/>
    <sheet name="Trade Ins" sheetId="73" r:id="rId3"/>
    <sheet name="Month of Invoicing" sheetId="38" r:id="rId4"/>
    <sheet name="Data Sheet" sheetId="63" r:id="rId5"/>
    <sheet name="ServiceCare Form" sheetId="76" r:id="rId6"/>
    <sheet name="Warranty Registration" sheetId="82" r:id="rId7"/>
    <sheet name="OTP" sheetId="61" r:id="rId8"/>
    <sheet name="OTP Conditions" sheetId="89" r:id="rId9"/>
    <sheet name="Quotation" sheetId="86" r:id="rId10"/>
    <sheet name="Quote Support " sheetId="87" r:id="rId11"/>
    <sheet name="Invoicing Request" sheetId="81" r:id="rId12"/>
    <sheet name="Release Request" sheetId="80" r:id="rId13"/>
    <sheet name="Delivery Note" sheetId="83" r:id="rId14"/>
    <sheet name="Collection Special" sheetId="85" r:id="rId15"/>
  </sheets>
  <externalReferences>
    <externalReference r:id="rId16"/>
    <externalReference r:id="rId17"/>
    <externalReference r:id="rId18"/>
    <externalReference r:id="rId19"/>
    <externalReference r:id="rId20"/>
    <externalReference r:id="rId21"/>
    <externalReference r:id="rId22"/>
    <externalReference r:id="rId23"/>
  </externalReferences>
  <definedNames>
    <definedName name="_xlnm._FilterDatabase" localSheetId="0" hidden="1">'price list MAN'!$A$4:$CO$2002</definedName>
    <definedName name="APP" localSheetId="14">#REF!</definedName>
    <definedName name="APP" localSheetId="8">#REF!</definedName>
    <definedName name="APP" localSheetId="9">#REF!</definedName>
    <definedName name="APP" localSheetId="10">#REF!</definedName>
    <definedName name="APP" localSheetId="5">#REF!</definedName>
    <definedName name="APP">'Deal Sheet'!$F$61</definedName>
    <definedName name="APPT" localSheetId="14">#REF!</definedName>
    <definedName name="APPT" localSheetId="13">[1]Retail_ASM_MAN!$G$59</definedName>
    <definedName name="APPT" localSheetId="11">[1]Retail_ASM_MAN!$G$59</definedName>
    <definedName name="APPT" localSheetId="7">[1]Retail_ASM_MAN!$G$59</definedName>
    <definedName name="APPT" localSheetId="8">#REF!</definedName>
    <definedName name="APPT" localSheetId="9">[1]Retail_ASM_MAN!$G$59</definedName>
    <definedName name="APPT" localSheetId="10">[2]Retail_ASM_MAN!$G$61</definedName>
    <definedName name="APPT" localSheetId="12">[1]Retail_ASM_MAN!$G$59</definedName>
    <definedName name="APPT" localSheetId="5">'[3]Deal Sheet'!$G$61</definedName>
    <definedName name="APPT" localSheetId="2">[2]Retail_ASM_MAN!$G$61</definedName>
    <definedName name="APPT" localSheetId="6">[1]Retail_ASM_MAN!$G$59</definedName>
    <definedName name="APPT">'Deal Sheet'!$G$61</definedName>
    <definedName name="AST" localSheetId="14">#REF!</definedName>
    <definedName name="AST" localSheetId="13">#REF!</definedName>
    <definedName name="AST" localSheetId="11">#REF!</definedName>
    <definedName name="AST" localSheetId="7">#REF!</definedName>
    <definedName name="AST" localSheetId="9">#REF!</definedName>
    <definedName name="AST" localSheetId="10">#REF!</definedName>
    <definedName name="AST" localSheetId="12">#REF!</definedName>
    <definedName name="AST" localSheetId="5">#REF!</definedName>
    <definedName name="AST" localSheetId="2">#REF!</definedName>
    <definedName name="AST" localSheetId="6">#REF!</definedName>
    <definedName name="AST">#REF!</definedName>
    <definedName name="BT" localSheetId="14">#REF!</definedName>
    <definedName name="BT" localSheetId="13">#REF!</definedName>
    <definedName name="BT" localSheetId="11">#REF!</definedName>
    <definedName name="BT" localSheetId="9">#REF!</definedName>
    <definedName name="BT" localSheetId="10">#REF!</definedName>
    <definedName name="BT" localSheetId="12">#REF!</definedName>
    <definedName name="BT" localSheetId="5">#REF!</definedName>
    <definedName name="BT" localSheetId="6">#REF!</definedName>
    <definedName name="BT">#REF!</definedName>
    <definedName name="Check22" localSheetId="3">'Month of Invoicing'!#REF!</definedName>
    <definedName name="Check24" localSheetId="3">'Month of Invoicing'!#REF!</definedName>
    <definedName name="Check25" localSheetId="3">'Month of Invoicing'!#REF!</definedName>
    <definedName name="Company_Logo" localSheetId="8">INDEX([4]OTP!$G$131:$G$143,MATCH([4]OTP!$I$131,[4]OTP!$F$131:$F$143,0))</definedName>
    <definedName name="Company_Logo" localSheetId="9">INDEX(Quotation!#REF!,MATCH(Quotation!#REF!,Quotation!#REF!,0))</definedName>
    <definedName name="Company_Logo">INDEX([5]OTP!$G$131:$G$143,MATCH([5]OTP!$I$131,[5]OTP!$F$131:$F$143,0))</definedName>
    <definedName name="cus" localSheetId="1">'Deal Sheet'!$BD$7:$BD$8</definedName>
    <definedName name="DLM" localSheetId="14">#REF!</definedName>
    <definedName name="DLM" localSheetId="8">#REF!</definedName>
    <definedName name="DLM" localSheetId="9">#REF!</definedName>
    <definedName name="DLM" localSheetId="10">#REF!</definedName>
    <definedName name="DLM" localSheetId="5">#REF!</definedName>
    <definedName name="DLM">'Deal Sheet'!$E$65</definedName>
    <definedName name="DLT" localSheetId="14">#REF!</definedName>
    <definedName name="DLT" localSheetId="8">#REF!</definedName>
    <definedName name="DLT" localSheetId="9">#REF!</definedName>
    <definedName name="DLT" localSheetId="10">#REF!</definedName>
    <definedName name="DLT" localSheetId="5">#REF!</definedName>
    <definedName name="DLT">'Deal Sheet'!$E$65</definedName>
    <definedName name="DTY" localSheetId="14">#REF!</definedName>
    <definedName name="DTY" localSheetId="8">#REF!</definedName>
    <definedName name="DTY" localSheetId="9">#REF!</definedName>
    <definedName name="DTY" localSheetId="10">#REF!</definedName>
    <definedName name="DTY" localSheetId="5">#REF!</definedName>
    <definedName name="DTY">'Deal Sheet'!$E$64</definedName>
    <definedName name="ES" localSheetId="14">#REF!</definedName>
    <definedName name="ES" localSheetId="8">#REF!</definedName>
    <definedName name="ES" localSheetId="9">#REF!</definedName>
    <definedName name="ES" localSheetId="10">#REF!</definedName>
    <definedName name="ES" localSheetId="5">#REF!</definedName>
    <definedName name="ES">'Deal Sheet'!$F$75</definedName>
    <definedName name="ESC" localSheetId="14">#REF!</definedName>
    <definedName name="ESC" localSheetId="8">#REF!</definedName>
    <definedName name="ESC" localSheetId="9">#REF!</definedName>
    <definedName name="ESC" localSheetId="10">#REF!</definedName>
    <definedName name="ESC" localSheetId="5">#REF!</definedName>
    <definedName name="ESC">'Deal Sheet'!$F$77</definedName>
    <definedName name="ESCUS" localSheetId="14">#REF!</definedName>
    <definedName name="ESCUS" localSheetId="8">#REF!</definedName>
    <definedName name="ESCUS" localSheetId="9">#REF!</definedName>
    <definedName name="ESCUS" localSheetId="10">#REF!</definedName>
    <definedName name="ESCUS" localSheetId="5">#REF!</definedName>
    <definedName name="ESCUS">'Deal Sheet'!$G$77</definedName>
    <definedName name="ESM" localSheetId="14">#REF!</definedName>
    <definedName name="ESM" localSheetId="8">#REF!</definedName>
    <definedName name="ESM" localSheetId="9">#REF!</definedName>
    <definedName name="ESM" localSheetId="10">#REF!</definedName>
    <definedName name="ESM" localSheetId="5">#REF!</definedName>
    <definedName name="ESM">'Deal Sheet'!$E$77</definedName>
    <definedName name="ESP" localSheetId="14">#REF!</definedName>
    <definedName name="ESP" localSheetId="8">#REF!</definedName>
    <definedName name="ESP" localSheetId="9">#REF!</definedName>
    <definedName name="ESP" localSheetId="10">#REF!</definedName>
    <definedName name="ESP" localSheetId="5">#REF!</definedName>
    <definedName name="ESP">'Deal Sheet'!$E$76</definedName>
    <definedName name="EVE" localSheetId="14">#REF!</definedName>
    <definedName name="EVE" localSheetId="8">#REF!</definedName>
    <definedName name="EVE" localSheetId="9">#REF!</definedName>
    <definedName name="EVE" localSheetId="10">#REF!</definedName>
    <definedName name="EVE" localSheetId="5">#REF!</definedName>
    <definedName name="EVE">'Deal Sheet'!$D$65</definedName>
    <definedName name="EVM" localSheetId="14">#REF!</definedName>
    <definedName name="EVM" localSheetId="8">#REF!</definedName>
    <definedName name="EVM" localSheetId="9">#REF!</definedName>
    <definedName name="EVM" localSheetId="10">#REF!</definedName>
    <definedName name="EVM" localSheetId="5">#REF!</definedName>
    <definedName name="EVM">'Deal Sheet'!$D$65</definedName>
    <definedName name="EW" localSheetId="1">#REF!</definedName>
    <definedName name="EWC" localSheetId="14">#REF!</definedName>
    <definedName name="EWC" localSheetId="13">[1]Retail_ASM_MAN!$F$64</definedName>
    <definedName name="EWC" localSheetId="11">[1]Retail_ASM_MAN!$F$64</definedName>
    <definedName name="EWC" localSheetId="7">[1]Retail_ASM_MAN!$F$64</definedName>
    <definedName name="EWC" localSheetId="8">#REF!</definedName>
    <definedName name="EWC" localSheetId="9">[1]Retail_ASM_MAN!$F$64</definedName>
    <definedName name="EWC" localSheetId="10">[2]Retail_ASM_MAN!$F$66</definedName>
    <definedName name="EWC" localSheetId="12">[1]Retail_ASM_MAN!$F$64</definedName>
    <definedName name="EWC" localSheetId="5">#REF!</definedName>
    <definedName name="EWC" localSheetId="2">[2]Retail_ASM_MAN!$F$66</definedName>
    <definedName name="EWC" localSheetId="6">[1]Retail_ASM_MAN!$F$64</definedName>
    <definedName name="EWC">'Deal Sheet'!$F$66</definedName>
    <definedName name="EWCUS" localSheetId="14">#REF!</definedName>
    <definedName name="EWCUS" localSheetId="8">#REF!</definedName>
    <definedName name="EWCUS" localSheetId="9">#REF!</definedName>
    <definedName name="EWCUS" localSheetId="10">#REF!</definedName>
    <definedName name="EWCUS" localSheetId="5">#REF!</definedName>
    <definedName name="EWCUS">'Deal Sheet'!$G$66</definedName>
    <definedName name="EXW" localSheetId="14">#REF!</definedName>
    <definedName name="EXW" localSheetId="13">[1]Retail_ASM_MAN!$F$61</definedName>
    <definedName name="EXW" localSheetId="11">[1]Retail_ASM_MAN!$F$61</definedName>
    <definedName name="EXW" localSheetId="7">[1]Retail_ASM_MAN!$F$61</definedName>
    <definedName name="EXW" localSheetId="8">#REF!</definedName>
    <definedName name="EXW" localSheetId="9">[1]Retail_ASM_MAN!$F$61</definedName>
    <definedName name="EXW" localSheetId="10">[2]Retail_ASM_MAN!$F$63</definedName>
    <definedName name="EXW" localSheetId="12">[1]Retail_ASM_MAN!$F$61</definedName>
    <definedName name="EXW" localSheetId="5">'[3]Deal Sheet'!$F$63</definedName>
    <definedName name="EXW" localSheetId="2">[2]Retail_ASM_MAN!$F$63</definedName>
    <definedName name="EXW" localSheetId="6">[1]Retail_ASM_MAN!$F$61</definedName>
    <definedName name="EXW">'Deal Sheet'!$F$63</definedName>
    <definedName name="EXWAR" localSheetId="14">#REF!</definedName>
    <definedName name="EXWAR" localSheetId="8">#REF!</definedName>
    <definedName name="EXWAR" localSheetId="9">#REF!</definedName>
    <definedName name="EXWAR" localSheetId="10">#REF!</definedName>
    <definedName name="EXWAR" localSheetId="5">#REF!</definedName>
    <definedName name="EXWAR">'Deal Sheet'!$F$63</definedName>
    <definedName name="FYI" localSheetId="14">#REF!</definedName>
    <definedName name="FYI" localSheetId="8">#REF!</definedName>
    <definedName name="FYI" localSheetId="9">#REF!</definedName>
    <definedName name="FYI" localSheetId="10">#REF!</definedName>
    <definedName name="FYI" localSheetId="5">#REF!</definedName>
    <definedName name="FYI">'Deal Sheet'!$E$64</definedName>
    <definedName name="Logo" localSheetId="8">INDEX([4]OTP!$G$131:$G$143,MATCH([4]OTP!$F$3,[4]OTP!$F$131:$F$143,0))</definedName>
    <definedName name="Logo" localSheetId="9">INDEX(Quotation!#REF!,MATCH(Quotation!$F$3,Quotation!#REF!,0))</definedName>
    <definedName name="Logo">INDEX([5]OTP!$G$131:$G$143,MATCH([5]OTP!$F$3,[5]OTP!$F$131:$F$143,0))</definedName>
    <definedName name="MODEL" localSheetId="14">#REF!</definedName>
    <definedName name="MODEL" localSheetId="13">[1]Retail_ASM_MAN!$O$41</definedName>
    <definedName name="MODEL" localSheetId="11">[1]Retail_ASM_MAN!$O$41</definedName>
    <definedName name="MODEL" localSheetId="7">[1]Retail_ASM_MAN!$O$41</definedName>
    <definedName name="MODEL" localSheetId="8">#REF!</definedName>
    <definedName name="MODEL" localSheetId="9">[1]Retail_ASM_MAN!$O$41</definedName>
    <definedName name="MODEL" localSheetId="10">[2]Retail_ASM_MAN!$O$41</definedName>
    <definedName name="MODEL" localSheetId="12">[1]Retail_ASM_MAN!$O$41</definedName>
    <definedName name="MODEL" localSheetId="5">'[3]Deal Sheet'!$O$41</definedName>
    <definedName name="MODEL" localSheetId="2">[2]Retail_ASM_MAN!$O$41</definedName>
    <definedName name="MODEL" localSheetId="6">[1]Retail_ASM_MAN!$O$41</definedName>
    <definedName name="MODEL">'Deal Sheet'!$O$41</definedName>
    <definedName name="RetailSalesmanMAN" localSheetId="1">#REF!</definedName>
    <definedName name="RM" localSheetId="14">#REF!</definedName>
    <definedName name="RM" localSheetId="1">'Deal Sheet'!$F$53</definedName>
    <definedName name="RM" localSheetId="13">#REF!</definedName>
    <definedName name="RM" localSheetId="11">#REF!</definedName>
    <definedName name="RM" localSheetId="7">#REF!</definedName>
    <definedName name="RM" localSheetId="9">#REF!</definedName>
    <definedName name="RM" localSheetId="10">#REF!</definedName>
    <definedName name="RM" localSheetId="12">#REF!</definedName>
    <definedName name="RM" localSheetId="5">#REF!</definedName>
    <definedName name="RM" localSheetId="2">#REF!</definedName>
    <definedName name="RM" localSheetId="6">#REF!</definedName>
    <definedName name="RM">#REF!</definedName>
    <definedName name="RMC" localSheetId="14">#REF!</definedName>
    <definedName name="RMC" localSheetId="13">[1]Retail_ASM_MAN!$F$55</definedName>
    <definedName name="RMC" localSheetId="11">[1]Retail_ASM_MAN!$F$55</definedName>
    <definedName name="RMC" localSheetId="7">[1]Retail_ASM_MAN!$F$55</definedName>
    <definedName name="RMC" localSheetId="8">#REF!</definedName>
    <definedName name="RMC" localSheetId="9">[1]Retail_ASM_MAN!$F$55</definedName>
    <definedName name="RMC" localSheetId="10">[2]Retail_ASM_MAN!$F$55</definedName>
    <definedName name="RMC" localSheetId="12">[1]Retail_ASM_MAN!$F$55</definedName>
    <definedName name="RMC" localSheetId="5">'[3]Deal Sheet'!$F$55</definedName>
    <definedName name="RMC" localSheetId="2">[2]Retail_ASM_MAN!$F$55</definedName>
    <definedName name="RMC" localSheetId="6">[1]Retail_ASM_MAN!$F$55</definedName>
    <definedName name="RMC">'Deal Sheet'!$F$55</definedName>
    <definedName name="RMCUS" localSheetId="14">#REF!</definedName>
    <definedName name="RMCUS" localSheetId="13">[1]Retail_ASM_MAN!$G$55</definedName>
    <definedName name="RMCUS" localSheetId="11">[1]Retail_ASM_MAN!$G$55</definedName>
    <definedName name="RMCUS" localSheetId="7">[1]Retail_ASM_MAN!$G$55</definedName>
    <definedName name="RMCUS" localSheetId="8">#REF!</definedName>
    <definedName name="RMCUS" localSheetId="9">[1]Retail_ASM_MAN!$G$55</definedName>
    <definedName name="RMCUS" localSheetId="10">[2]Retail_ASM_MAN!$G$55</definedName>
    <definedName name="RMCUS" localSheetId="12">[1]Retail_ASM_MAN!$G$55</definedName>
    <definedName name="RMCUS" localSheetId="5">#REF!</definedName>
    <definedName name="RMCUS" localSheetId="2">[2]Retail_ASM_MAN!$G$55</definedName>
    <definedName name="RMCUS" localSheetId="6">[1]Retail_ASM_MAN!$G$55</definedName>
    <definedName name="RMCUS">'Deal Sheet'!$G$55</definedName>
    <definedName name="RMM" localSheetId="14">#REF!</definedName>
    <definedName name="RMM" localSheetId="8">#REF!</definedName>
    <definedName name="RMM" localSheetId="9">#REF!</definedName>
    <definedName name="RMM" localSheetId="10">#REF!</definedName>
    <definedName name="RMM" localSheetId="5">#REF!</definedName>
    <definedName name="RMM">'Deal Sheet'!$E$55</definedName>
    <definedName name="RMP" localSheetId="14">#REF!</definedName>
    <definedName name="RMP" localSheetId="8">#REF!</definedName>
    <definedName name="RMP" localSheetId="9">#REF!</definedName>
    <definedName name="RMP" localSheetId="10">#REF!</definedName>
    <definedName name="RMP" localSheetId="5">#REF!</definedName>
    <definedName name="RMP">'Deal Sheet'!$E$54</definedName>
    <definedName name="ss" localSheetId="1">#REF!</definedName>
    <definedName name="ST" localSheetId="14">#REF!</definedName>
    <definedName name="ST" localSheetId="8">#REF!</definedName>
    <definedName name="ST" localSheetId="9">#REF!</definedName>
    <definedName name="ST" localSheetId="10">[2]Retail_ASM_MAN!$D$46</definedName>
    <definedName name="ST" localSheetId="5">'[3]Deal Sheet'!$D$46</definedName>
    <definedName name="ST" localSheetId="2">[2]Retail_ASM_MAN!$D$46</definedName>
    <definedName name="ST">'Deal Sheet'!$D$46</definedName>
    <definedName name="STC" localSheetId="14">#REF!</definedName>
    <definedName name="STC" localSheetId="13">[1]Retail_ASM_MAN!$F$48</definedName>
    <definedName name="STC" localSheetId="11">[1]Retail_ASM_MAN!$F$48</definedName>
    <definedName name="STC" localSheetId="7">[1]Retail_ASM_MAN!$F$48</definedName>
    <definedName name="STC" localSheetId="8">#REF!</definedName>
    <definedName name="STC" localSheetId="9">[1]Retail_ASM_MAN!$F$48</definedName>
    <definedName name="STC" localSheetId="10">[2]Retail_ASM_MAN!$F$48</definedName>
    <definedName name="STC" localSheetId="12">[1]Retail_ASM_MAN!$F$48</definedName>
    <definedName name="STC" localSheetId="5">'[3]Deal Sheet'!$F$48</definedName>
    <definedName name="STC" localSheetId="2">[2]Retail_ASM_MAN!$F$48</definedName>
    <definedName name="STC" localSheetId="6">[1]Retail_ASM_MAN!$F$48</definedName>
    <definedName name="STC">'Deal Sheet'!$F$48</definedName>
    <definedName name="STCOS" localSheetId="14">#REF!</definedName>
    <definedName name="STCOS" localSheetId="8">#REF!</definedName>
    <definedName name="STCOS" localSheetId="9">#REF!</definedName>
    <definedName name="STCOS" localSheetId="10">#REF!</definedName>
    <definedName name="STCOS" localSheetId="5">#REF!</definedName>
    <definedName name="STCOS">'Deal Sheet'!$F$48</definedName>
    <definedName name="STCUS" localSheetId="14">#REF!</definedName>
    <definedName name="STCUS" localSheetId="13">[1]Retail_ASM_MAN!$G$48</definedName>
    <definedName name="STCUS" localSheetId="11">[1]Retail_ASM_MAN!$G$48</definedName>
    <definedName name="STCUS" localSheetId="7">[1]Retail_ASM_MAN!$G$48</definedName>
    <definedName name="STCUS" localSheetId="8">#REF!</definedName>
    <definedName name="STCUS" localSheetId="9">[1]Retail_ASM_MAN!$G$48</definedName>
    <definedName name="STCUS" localSheetId="10">[2]Retail_ASM_MAN!$G$48</definedName>
    <definedName name="STCUS" localSheetId="12">[1]Retail_ASM_MAN!$G$48</definedName>
    <definedName name="STCUS" localSheetId="5">'[3]Deal Sheet'!$G$48</definedName>
    <definedName name="STCUS" localSheetId="2">[2]Retail_ASM_MAN!$G$48</definedName>
    <definedName name="STCUS" localSheetId="6">[1]Retail_ASM_MAN!$G$48</definedName>
    <definedName name="STCUS">'Deal Sheet'!$G$48</definedName>
    <definedName name="STM" localSheetId="14">#REF!</definedName>
    <definedName name="STM" localSheetId="8">#REF!</definedName>
    <definedName name="STM" localSheetId="9">#REF!</definedName>
    <definedName name="STM" localSheetId="10">[2]Retail_ASM_MAN!$E$48</definedName>
    <definedName name="STM" localSheetId="5">'[3]Deal Sheet'!$E$48</definedName>
    <definedName name="STM" localSheetId="2">[2]Retail_ASM_MAN!$E$48</definedName>
    <definedName name="STM">'Deal Sheet'!$E$48</definedName>
    <definedName name="STP" localSheetId="14">#REF!</definedName>
    <definedName name="STP" localSheetId="8">#REF!</definedName>
    <definedName name="STP" localSheetId="9">#REF!</definedName>
    <definedName name="STP" localSheetId="10">[2]Retail_ASM_MAN!$E$47</definedName>
    <definedName name="STP" localSheetId="5">'[3]Deal Sheet'!$E$47</definedName>
    <definedName name="STP" localSheetId="2">[2]Retail_ASM_MAN!$E$47</definedName>
    <definedName name="STP">'Deal Sheet'!$E$47</definedName>
    <definedName name="TB" localSheetId="1">#REF!</definedName>
    <definedName name="Test_1" localSheetId="8">INDEX([4]OTP!$C$131:$C$133,MATCH([4]OTP!$I$131,[4]OTP!$B$131:$B$133,0))</definedName>
    <definedName name="Test_1" localSheetId="9">INDEX(Quotation!#REF!,MATCH(Quotation!#REF!,Quotation!#REF!,0))</definedName>
    <definedName name="Test_1">INDEX([5]OTP!$C$131:$C$133,MATCH([5]OTP!$I$131,[5]OTP!$B$131:$B$133,0))</definedName>
    <definedName name="Test_2" localSheetId="8">INDEX([4]OTP!$G$131:$G$133,MATCH([4]OTP!$I$131,[4]OTP!$F$131:$F$133,0))</definedName>
    <definedName name="Test_2" localSheetId="9">INDEX(Quotation!#REF!,MATCH(Quotation!#REF!,Quotation!#REF!,0))</definedName>
    <definedName name="Test_2">INDEX([5]OTP!$G$131:$G$133,MATCH([5]OTP!$I$131,[5]OTP!$F$131:$F$133,0))</definedName>
    <definedName name="Test_3" localSheetId="8">INDEX([4]OTP!$G$131:$G$143,MATCH([4]OTP!$I$131,[4]OTP!$F$131:$F$143,0))</definedName>
    <definedName name="Test_3" localSheetId="9">INDEX(Quotation!#REF!,MATCH(Quotation!#REF!,Quotation!#REF!,0))</definedName>
    <definedName name="Test_3">INDEX([5]OTP!$G$131:$G$143,MATCH([5]OTP!$I$131,[5]OTP!$F$131:$F$143,0))</definedName>
    <definedName name="Text10" localSheetId="3">'Month of Invoicing'!#REF!</definedName>
    <definedName name="Text11" localSheetId="3">'Month of Invoicing'!#REF!</definedName>
    <definedName name="Text14" localSheetId="3">'Month of Invoicing'!#REF!</definedName>
    <definedName name="Text15" localSheetId="3">'Month of Invoicing'!#REF!</definedName>
    <definedName name="Text16" localSheetId="3">'Month of Invoicing'!#REF!</definedName>
    <definedName name="Text17" localSheetId="3">'Month of Invoicing'!#REF!</definedName>
    <definedName name="Text18" localSheetId="3">'Month of Invoicing'!#REF!</definedName>
    <definedName name="Text19" localSheetId="3">'Month of Invoicing'!#REF!</definedName>
    <definedName name="Text20" localSheetId="3">'Month of Invoicing'!#REF!</definedName>
    <definedName name="Text21" localSheetId="3">'Month of Invoicing'!#REF!</definedName>
    <definedName name="Text23" localSheetId="3">'Month of Invoicing'!#REF!</definedName>
    <definedName name="Text24" localSheetId="3">'Month of Invoicing'!#REF!</definedName>
    <definedName name="Text25" localSheetId="3">'Month of Invoicing'!#REF!</definedName>
    <definedName name="Text26" localSheetId="3">'Month of Invoicing'!#REF!</definedName>
    <definedName name="Text27" localSheetId="3">'Month of Invoicing'!#REF!</definedName>
    <definedName name="Text3" localSheetId="3">'Month of Invoicing'!#REF!</definedName>
    <definedName name="Text4" localSheetId="3">'Month of Invoicing'!#REF!</definedName>
    <definedName name="Text5" localSheetId="3">'Month of Invoicing'!#REF!</definedName>
    <definedName name="Text6" localSheetId="3">'Month of Invoicing'!#REF!</definedName>
    <definedName name="Text7" localSheetId="3">'Month of Invoicing'!#REF!</definedName>
    <definedName name="Text8" localSheetId="3">'Month of Invoicing'!#REF!</definedName>
    <definedName name="Text9" localSheetId="3">'Month of Invoicing'!#REF!</definedName>
    <definedName name="Trade_Back" localSheetId="1">#REF!</definedName>
    <definedName name="war" localSheetId="1">'Deal Sheet'!$BD$5:$BD$6</definedName>
    <definedName name="_xlnm.Print_Area" localSheetId="14">'Collection Special'!$B$2:$L$47</definedName>
    <definedName name="_xlnm.Print_Area" localSheetId="4">'Data Sheet'!$B$2:$M$56</definedName>
    <definedName name="_xlnm.Print_Area" localSheetId="1">'Deal Sheet'!$A$1:$H$73,'Deal Sheet'!$H$6:$M$78</definedName>
    <definedName name="_xlnm.Print_Area" localSheetId="13">'Delivery Note'!$B$3:$M$77</definedName>
    <definedName name="_xlnm.Print_Area" localSheetId="11">'Invoicing Request'!$B$2:$N$76</definedName>
    <definedName name="_xlnm.Print_Area" localSheetId="3">'Month of Invoicing'!$A$1:$K$47</definedName>
    <definedName name="_xlnm.Print_Area" localSheetId="7">OTP!$B$1:$M$100</definedName>
    <definedName name="_xlnm.Print_Area" localSheetId="8">'OTP Conditions'!$A$1:$V$93</definedName>
    <definedName name="_xlnm.Print_Area" localSheetId="9">Quotation!$B$2:$L$102</definedName>
    <definedName name="_xlnm.Print_Area" localSheetId="10">'Quote Support '!$B$3:$L$33,'Quote Support '!$B$36:$L$116,'Quote Support '!$A$116:$L$144</definedName>
    <definedName name="_xlnm.Print_Area" localSheetId="12">'Release Request'!$B$2:$N$76</definedName>
    <definedName name="_xlnm.Print_Area" localSheetId="5">'ServiceCare Form'!$B$2:$O$62</definedName>
    <definedName name="_xlnm.Print_Area" localSheetId="2">'Trade Ins'!$B$1:$O$37</definedName>
    <definedName name="_xlnm.Print_Area" localSheetId="6">'Warranty Registration'!$C$2:$N$82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89" l="1"/>
  <c r="I29" i="73" l="1"/>
  <c r="H29" i="73" s="1"/>
  <c r="K29" i="73"/>
  <c r="L29" i="73"/>
  <c r="M29" i="73" l="1"/>
  <c r="L38" i="76" l="1"/>
  <c r="L37" i="76"/>
  <c r="L36" i="76"/>
  <c r="L35" i="76"/>
  <c r="L34" i="76"/>
  <c r="L33" i="76"/>
  <c r="L32" i="76"/>
  <c r="L31" i="76"/>
  <c r="L30" i="76"/>
  <c r="L29" i="76"/>
  <c r="L28" i="76"/>
  <c r="L27" i="76"/>
  <c r="L26" i="76"/>
  <c r="L25" i="76"/>
  <c r="L24" i="76"/>
  <c r="L23" i="76"/>
  <c r="L22" i="76"/>
  <c r="L21" i="76"/>
  <c r="L20" i="76"/>
  <c r="L19" i="76"/>
  <c r="L18" i="76"/>
  <c r="L17" i="76"/>
  <c r="L16" i="76"/>
  <c r="L15" i="76"/>
  <c r="L14" i="76"/>
  <c r="L13" i="76"/>
  <c r="L12" i="76"/>
  <c r="Q87" i="36" l="1"/>
  <c r="P87" i="36"/>
  <c r="O63" i="36"/>
  <c r="BN89" i="36" l="1"/>
  <c r="BO90" i="36" s="1"/>
  <c r="M23" i="36" l="1"/>
  <c r="J23" i="36"/>
  <c r="K67" i="86" l="1"/>
  <c r="K65" i="61"/>
  <c r="E67" i="86"/>
  <c r="E65" i="61"/>
  <c r="H70" i="61"/>
  <c r="I23" i="36"/>
  <c r="K32" i="87" l="1"/>
  <c r="H32" i="87"/>
  <c r="G32" i="87"/>
  <c r="F32" i="87"/>
  <c r="E32" i="87"/>
  <c r="D32" i="87"/>
  <c r="K31" i="87"/>
  <c r="H31" i="87"/>
  <c r="G31" i="87"/>
  <c r="F31" i="87"/>
  <c r="E31" i="87"/>
  <c r="D31" i="87"/>
  <c r="K30" i="87"/>
  <c r="J30" i="87"/>
  <c r="I30" i="87"/>
  <c r="H30" i="87"/>
  <c r="G30" i="87"/>
  <c r="F30" i="87"/>
  <c r="E30" i="87"/>
  <c r="D30" i="87"/>
  <c r="K29" i="87"/>
  <c r="H29" i="87"/>
  <c r="G29" i="87"/>
  <c r="F29" i="87"/>
  <c r="E29" i="87"/>
  <c r="D29" i="87"/>
  <c r="K28" i="87"/>
  <c r="H28" i="87"/>
  <c r="G28" i="87"/>
  <c r="F28" i="87"/>
  <c r="E28" i="87"/>
  <c r="D28" i="87"/>
  <c r="K27" i="87"/>
  <c r="H27" i="87"/>
  <c r="G27" i="87"/>
  <c r="F27" i="87"/>
  <c r="E27" i="87"/>
  <c r="D27" i="87"/>
  <c r="K26" i="87"/>
  <c r="H26" i="87"/>
  <c r="G26" i="87"/>
  <c r="F26" i="87"/>
  <c r="E26" i="87"/>
  <c r="D26" i="87"/>
  <c r="K25" i="87"/>
  <c r="H25" i="87"/>
  <c r="G25" i="87"/>
  <c r="F25" i="87"/>
  <c r="E25" i="87"/>
  <c r="D25" i="87"/>
  <c r="K24" i="87"/>
  <c r="H24" i="87"/>
  <c r="G24" i="87"/>
  <c r="F24" i="87"/>
  <c r="E24" i="87"/>
  <c r="D24" i="87"/>
  <c r="K23" i="87"/>
  <c r="H23" i="87"/>
  <c r="G23" i="87"/>
  <c r="F23" i="87"/>
  <c r="E23" i="87"/>
  <c r="D23" i="87"/>
  <c r="K22" i="87"/>
  <c r="H22" i="87"/>
  <c r="G22" i="87"/>
  <c r="F22" i="87"/>
  <c r="E22" i="87"/>
  <c r="D22" i="87"/>
  <c r="K21" i="87"/>
  <c r="H21" i="87"/>
  <c r="G21" i="87"/>
  <c r="F21" i="87"/>
  <c r="E21" i="87"/>
  <c r="D21" i="87"/>
  <c r="K20" i="87"/>
  <c r="H20" i="87"/>
  <c r="G20" i="87"/>
  <c r="F20" i="87"/>
  <c r="E20" i="87"/>
  <c r="D20" i="87"/>
  <c r="K19" i="87"/>
  <c r="H19" i="87"/>
  <c r="G19" i="87"/>
  <c r="F19" i="87"/>
  <c r="E19" i="87"/>
  <c r="D19" i="87"/>
  <c r="K18" i="87"/>
  <c r="H18" i="87"/>
  <c r="G18" i="87"/>
  <c r="F18" i="87"/>
  <c r="E18" i="87"/>
  <c r="D18" i="87"/>
  <c r="K17" i="87"/>
  <c r="H17" i="87"/>
  <c r="G17" i="87"/>
  <c r="F17" i="87"/>
  <c r="E17" i="87"/>
  <c r="D17" i="87"/>
  <c r="K16" i="87"/>
  <c r="H16" i="87"/>
  <c r="G16" i="87"/>
  <c r="F16" i="87"/>
  <c r="E16" i="87"/>
  <c r="D16" i="87"/>
  <c r="K15" i="87"/>
  <c r="H15" i="87"/>
  <c r="G15" i="87"/>
  <c r="F15" i="87"/>
  <c r="E15" i="87"/>
  <c r="D15" i="87"/>
  <c r="K14" i="87"/>
  <c r="H14" i="87"/>
  <c r="G14" i="87"/>
  <c r="F14" i="87"/>
  <c r="E14" i="87"/>
  <c r="D14" i="87"/>
  <c r="K13" i="87"/>
  <c r="H13" i="87"/>
  <c r="G13" i="87"/>
  <c r="F13" i="87"/>
  <c r="E13" i="87"/>
  <c r="D13" i="87"/>
  <c r="K82" i="86"/>
  <c r="H82" i="86" s="1"/>
  <c r="K81" i="86"/>
  <c r="H81" i="86" s="1"/>
  <c r="K80" i="86"/>
  <c r="J82" i="86" s="1"/>
  <c r="E42" i="86"/>
  <c r="E41" i="86"/>
  <c r="E40" i="86"/>
  <c r="E39" i="86"/>
  <c r="K117" i="87"/>
  <c r="K36" i="87"/>
  <c r="K4" i="87"/>
  <c r="J81" i="86" l="1"/>
  <c r="F81" i="86"/>
  <c r="F80" i="86"/>
  <c r="F79" i="86"/>
  <c r="F75" i="86"/>
  <c r="F74" i="86"/>
  <c r="K76" i="86"/>
  <c r="K75" i="86"/>
  <c r="K74" i="86"/>
  <c r="K73" i="86"/>
  <c r="E43" i="86" l="1"/>
  <c r="G43" i="86" s="1"/>
  <c r="E44" i="86"/>
  <c r="G44" i="86" s="1"/>
  <c r="E45" i="86"/>
  <c r="G45" i="86" s="1"/>
  <c r="E46" i="86"/>
  <c r="G46" i="86" s="1"/>
  <c r="E47" i="86"/>
  <c r="G47" i="86" s="1"/>
  <c r="E48" i="86"/>
  <c r="G48" i="86" s="1"/>
  <c r="E49" i="86"/>
  <c r="G49" i="86" s="1"/>
  <c r="E50" i="86"/>
  <c r="G50" i="86" s="1"/>
  <c r="E51" i="86"/>
  <c r="G51" i="86" s="1"/>
  <c r="E52" i="86"/>
  <c r="G52" i="86" s="1"/>
  <c r="C39" i="86"/>
  <c r="F39" i="86" s="1"/>
  <c r="G39" i="86" s="1"/>
  <c r="C40" i="86"/>
  <c r="F40" i="86" s="1"/>
  <c r="G40" i="86" s="1"/>
  <c r="C41" i="86"/>
  <c r="H41" i="86" s="1"/>
  <c r="C42" i="86"/>
  <c r="F42" i="86" s="1"/>
  <c r="G42" i="86" s="1"/>
  <c r="C43" i="86"/>
  <c r="H43" i="86" s="1"/>
  <c r="C44" i="86"/>
  <c r="F44" i="86" s="1"/>
  <c r="C45" i="86"/>
  <c r="H45" i="86" s="1"/>
  <c r="C46" i="86"/>
  <c r="H46" i="86" s="1"/>
  <c r="C47" i="86"/>
  <c r="H47" i="86" s="1"/>
  <c r="C48" i="86"/>
  <c r="F48" i="86" s="1"/>
  <c r="C49" i="86"/>
  <c r="H49" i="86" s="1"/>
  <c r="C50" i="86"/>
  <c r="H50" i="86" s="1"/>
  <c r="C51" i="86"/>
  <c r="H51" i="86" s="1"/>
  <c r="C52" i="86"/>
  <c r="F52" i="86" s="1"/>
  <c r="K26" i="86"/>
  <c r="G26" i="86"/>
  <c r="D20" i="86"/>
  <c r="E118" i="87" s="1"/>
  <c r="D19" i="86"/>
  <c r="C16" i="86"/>
  <c r="C12" i="86"/>
  <c r="C7" i="86"/>
  <c r="C8" i="86"/>
  <c r="C9" i="86"/>
  <c r="C10" i="86"/>
  <c r="C5" i="86"/>
  <c r="H114" i="87"/>
  <c r="D33" i="87"/>
  <c r="J87" i="86"/>
  <c r="E87" i="86"/>
  <c r="H72" i="86"/>
  <c r="I37" i="86"/>
  <c r="I36" i="86"/>
  <c r="F34" i="86"/>
  <c r="F33" i="86"/>
  <c r="F32" i="86"/>
  <c r="F31" i="86"/>
  <c r="C11" i="86"/>
  <c r="F3" i="86"/>
  <c r="I50" i="86" l="1"/>
  <c r="F46" i="86"/>
  <c r="F50" i="86"/>
  <c r="I51" i="86"/>
  <c r="J51" i="86" s="1"/>
  <c r="I47" i="86"/>
  <c r="J47" i="86" s="1"/>
  <c r="I43" i="86"/>
  <c r="H42" i="86"/>
  <c r="I42" i="86" s="1"/>
  <c r="F47" i="86"/>
  <c r="F51" i="86"/>
  <c r="H39" i="86"/>
  <c r="I39" i="86" s="1"/>
  <c r="J39" i="86" s="1"/>
  <c r="K33" i="87"/>
  <c r="I46" i="86"/>
  <c r="J46" i="86" s="1"/>
  <c r="I49" i="86"/>
  <c r="J49" i="86" s="1"/>
  <c r="I45" i="86"/>
  <c r="F43" i="86"/>
  <c r="J50" i="86"/>
  <c r="H40" i="86"/>
  <c r="I40" i="86" s="1"/>
  <c r="H44" i="86"/>
  <c r="H48" i="86"/>
  <c r="H52" i="86"/>
  <c r="F41" i="86"/>
  <c r="G41" i="86" s="1"/>
  <c r="I41" i="86" s="1"/>
  <c r="F45" i="86"/>
  <c r="F49" i="86"/>
  <c r="M42" i="36"/>
  <c r="J43" i="86" l="1"/>
  <c r="I48" i="86"/>
  <c r="J48" i="86" s="1"/>
  <c r="I52" i="86"/>
  <c r="J52" i="86" s="1"/>
  <c r="I44" i="86"/>
  <c r="J44" i="86" s="1"/>
  <c r="J42" i="86"/>
  <c r="J45" i="86"/>
  <c r="J40" i="86"/>
  <c r="J41" i="86"/>
  <c r="K73" i="61"/>
  <c r="K72" i="61"/>
  <c r="K71" i="61"/>
  <c r="I30" i="85" l="1"/>
  <c r="I29" i="85"/>
  <c r="D19" i="76"/>
  <c r="G38" i="76"/>
  <c r="G37" i="76"/>
  <c r="G36" i="76"/>
  <c r="G35" i="76"/>
  <c r="G34" i="76"/>
  <c r="G33" i="76"/>
  <c r="G32" i="76"/>
  <c r="G31" i="76"/>
  <c r="G30" i="76"/>
  <c r="G29" i="76"/>
  <c r="G28" i="76"/>
  <c r="G27" i="76"/>
  <c r="G26" i="76"/>
  <c r="G25" i="76"/>
  <c r="G24" i="76"/>
  <c r="G23" i="76"/>
  <c r="G22" i="76"/>
  <c r="G21" i="76"/>
  <c r="G20" i="76"/>
  <c r="G19" i="76"/>
  <c r="G18" i="76"/>
  <c r="G17" i="76"/>
  <c r="C38" i="86"/>
  <c r="E38" i="86" l="1"/>
  <c r="M39" i="36"/>
  <c r="F38" i="86"/>
  <c r="H38" i="86"/>
  <c r="H55" i="81"/>
  <c r="H54" i="81"/>
  <c r="H53" i="81"/>
  <c r="H52" i="81"/>
  <c r="H51" i="81"/>
  <c r="H50" i="81"/>
  <c r="H49" i="81"/>
  <c r="H48" i="81"/>
  <c r="H47" i="81"/>
  <c r="H46" i="81"/>
  <c r="H45" i="81"/>
  <c r="H44" i="81"/>
  <c r="H43" i="81"/>
  <c r="H42" i="81"/>
  <c r="H41" i="81"/>
  <c r="H40" i="81"/>
  <c r="H39" i="81"/>
  <c r="H38" i="81"/>
  <c r="H37" i="81"/>
  <c r="H36" i="81"/>
  <c r="H35" i="81"/>
  <c r="H34" i="81"/>
  <c r="H33" i="81"/>
  <c r="H32" i="81"/>
  <c r="H31" i="81"/>
  <c r="H30" i="81"/>
  <c r="H29" i="81"/>
  <c r="H28" i="81"/>
  <c r="H27" i="81"/>
  <c r="H26" i="81"/>
  <c r="G38" i="86" l="1"/>
  <c r="I38" i="86" s="1"/>
  <c r="J38" i="86" s="1"/>
  <c r="K42" i="81"/>
  <c r="I42" i="81"/>
  <c r="M42" i="81"/>
  <c r="K50" i="81"/>
  <c r="I50" i="81"/>
  <c r="M50" i="81"/>
  <c r="M43" i="81"/>
  <c r="K43" i="81"/>
  <c r="I43" i="81"/>
  <c r="M47" i="81"/>
  <c r="I47" i="81"/>
  <c r="K47" i="81"/>
  <c r="M55" i="81"/>
  <c r="I55" i="81"/>
  <c r="K55" i="81"/>
  <c r="M40" i="81"/>
  <c r="K40" i="81"/>
  <c r="I40" i="81"/>
  <c r="K44" i="81"/>
  <c r="I44" i="81"/>
  <c r="M44" i="81"/>
  <c r="M48" i="81"/>
  <c r="K48" i="81"/>
  <c r="I48" i="81"/>
  <c r="K52" i="81"/>
  <c r="I52" i="81"/>
  <c r="M52" i="81"/>
  <c r="K38" i="81"/>
  <c r="M38" i="81"/>
  <c r="I38" i="81"/>
  <c r="K46" i="81"/>
  <c r="M46" i="81"/>
  <c r="I46" i="81"/>
  <c r="K54" i="81"/>
  <c r="M54" i="81"/>
  <c r="I54" i="81"/>
  <c r="M39" i="81"/>
  <c r="I39" i="81"/>
  <c r="K39" i="81"/>
  <c r="M51" i="81"/>
  <c r="K51" i="81"/>
  <c r="I51" i="81"/>
  <c r="I37" i="81"/>
  <c r="M37" i="81"/>
  <c r="K37" i="81"/>
  <c r="I41" i="81"/>
  <c r="M41" i="81"/>
  <c r="K41" i="81"/>
  <c r="I45" i="81"/>
  <c r="M45" i="81"/>
  <c r="K45" i="81"/>
  <c r="I49" i="81"/>
  <c r="M49" i="81"/>
  <c r="K49" i="81"/>
  <c r="I53" i="81"/>
  <c r="M53" i="81"/>
  <c r="K53" i="81"/>
  <c r="R27" i="81"/>
  <c r="R28" i="81"/>
  <c r="R29" i="81"/>
  <c r="R30" i="81"/>
  <c r="R31" i="81"/>
  <c r="R32" i="81"/>
  <c r="R33" i="81"/>
  <c r="R34" i="81"/>
  <c r="R35" i="81"/>
  <c r="R36" i="81"/>
  <c r="R37" i="81"/>
  <c r="R38" i="81"/>
  <c r="R39" i="81"/>
  <c r="R40" i="81"/>
  <c r="R41" i="81"/>
  <c r="R42" i="81"/>
  <c r="R43" i="81"/>
  <c r="R44" i="81"/>
  <c r="R45" i="81"/>
  <c r="R46" i="81"/>
  <c r="R47" i="81"/>
  <c r="R48" i="81"/>
  <c r="R49" i="81"/>
  <c r="R50" i="81"/>
  <c r="R51" i="81"/>
  <c r="R52" i="81"/>
  <c r="R53" i="81"/>
  <c r="R54" i="81"/>
  <c r="R55" i="81"/>
  <c r="R26" i="81"/>
  <c r="BZ18" i="38" l="1"/>
  <c r="BZ19" i="38"/>
  <c r="BZ20" i="38"/>
  <c r="BZ21" i="38"/>
  <c r="BZ22" i="38"/>
  <c r="BZ23" i="38"/>
  <c r="BZ24" i="38"/>
  <c r="BZ25" i="38"/>
  <c r="BZ26" i="38"/>
  <c r="BZ27" i="38"/>
  <c r="BZ28" i="38"/>
  <c r="BZ29" i="38"/>
  <c r="BZ30" i="38"/>
  <c r="BZ31" i="38"/>
  <c r="BZ32" i="38"/>
  <c r="BZ33" i="38"/>
  <c r="BZ34" i="38"/>
  <c r="BZ35" i="38"/>
  <c r="BZ36" i="38"/>
  <c r="BZ37" i="38"/>
  <c r="BZ38" i="38"/>
  <c r="BZ39" i="38"/>
  <c r="BZ40" i="38"/>
  <c r="BZ41" i="38"/>
  <c r="BZ42" i="38"/>
  <c r="BZ43" i="38"/>
  <c r="BZ44" i="38"/>
  <c r="BZ45" i="38"/>
  <c r="BZ46" i="38"/>
  <c r="BZ17" i="38"/>
  <c r="D18" i="83" l="1"/>
  <c r="J18" i="83"/>
  <c r="K25" i="83" l="1"/>
  <c r="H25" i="83"/>
  <c r="E12" i="83"/>
  <c r="B12" i="83"/>
  <c r="B11" i="83"/>
  <c r="B10" i="83"/>
  <c r="B9" i="83"/>
  <c r="B8" i="83"/>
  <c r="B7" i="83"/>
  <c r="B5" i="83"/>
  <c r="I10" i="80" l="1"/>
  <c r="I10" i="81"/>
  <c r="I9" i="81"/>
  <c r="I10" i="82"/>
  <c r="E25" i="82" l="1"/>
  <c r="E24" i="82"/>
  <c r="M20" i="82"/>
  <c r="G20" i="82"/>
  <c r="F12" i="82"/>
  <c r="C12" i="82"/>
  <c r="C11" i="82"/>
  <c r="C10" i="82"/>
  <c r="I9" i="82"/>
  <c r="C9" i="82"/>
  <c r="C8" i="82"/>
  <c r="C7" i="82"/>
  <c r="C5" i="82"/>
  <c r="D16" i="80" l="1"/>
  <c r="E45" i="81" l="1"/>
  <c r="E25" i="81"/>
  <c r="E24" i="81"/>
  <c r="E39" i="81"/>
  <c r="E38" i="81"/>
  <c r="E37" i="81"/>
  <c r="E36" i="81"/>
  <c r="E35" i="81"/>
  <c r="E44" i="81"/>
  <c r="E43" i="81"/>
  <c r="E42" i="81"/>
  <c r="E41" i="81"/>
  <c r="E33" i="81"/>
  <c r="E32" i="81"/>
  <c r="E31" i="81"/>
  <c r="E30" i="81"/>
  <c r="M20" i="81"/>
  <c r="G20" i="81"/>
  <c r="F12" i="81"/>
  <c r="C12" i="81"/>
  <c r="C11" i="81"/>
  <c r="C10" i="81"/>
  <c r="C9" i="81"/>
  <c r="C8" i="81"/>
  <c r="C7" i="81"/>
  <c r="C5" i="81"/>
  <c r="E31" i="80"/>
  <c r="E32" i="80"/>
  <c r="E33" i="80"/>
  <c r="E30" i="80"/>
  <c r="E26" i="80"/>
  <c r="E27" i="80"/>
  <c r="E28" i="80"/>
  <c r="E25" i="80"/>
  <c r="E40" i="80" l="1"/>
  <c r="F64" i="80"/>
  <c r="F63" i="80"/>
  <c r="E47" i="80"/>
  <c r="E63" i="82" s="1"/>
  <c r="F62" i="80"/>
  <c r="E46" i="80"/>
  <c r="E62" i="82" s="1"/>
  <c r="E45" i="80"/>
  <c r="E61" i="82" s="1"/>
  <c r="E56" i="80"/>
  <c r="E55" i="80"/>
  <c r="E54" i="80"/>
  <c r="E53" i="80"/>
  <c r="M20" i="80"/>
  <c r="G20" i="80"/>
  <c r="F12" i="80"/>
  <c r="C12" i="80"/>
  <c r="C11" i="80"/>
  <c r="C10" i="80"/>
  <c r="I9" i="80"/>
  <c r="C9" i="80"/>
  <c r="C8" i="80"/>
  <c r="C7" i="80"/>
  <c r="C5" i="80"/>
  <c r="D63" i="80" l="1"/>
  <c r="F71" i="82"/>
  <c r="C63" i="80"/>
  <c r="F72" i="82"/>
  <c r="C72" i="82" s="1"/>
  <c r="C64" i="80"/>
  <c r="F73" i="82"/>
  <c r="C73" i="82" s="1"/>
  <c r="D64" i="80"/>
  <c r="D73" i="82" l="1"/>
  <c r="D72" i="82"/>
  <c r="B2001" i="3"/>
  <c r="B2002" i="3"/>
  <c r="O2001" i="3" l="1"/>
  <c r="O2002" i="3"/>
  <c r="N2001" i="3"/>
  <c r="N2002" i="3"/>
  <c r="M2001" i="3"/>
  <c r="M2002" i="3"/>
  <c r="L2001" i="3"/>
  <c r="L2002" i="3"/>
  <c r="K2001" i="3"/>
  <c r="K2002" i="3"/>
  <c r="E5" i="38" l="1"/>
  <c r="C2" i="36"/>
  <c r="D23" i="76" l="1"/>
  <c r="D14" i="76"/>
  <c r="D13" i="76"/>
  <c r="D8" i="76"/>
  <c r="AU41" i="76" l="1"/>
  <c r="I39" i="76"/>
  <c r="AM34" i="76"/>
  <c r="AM33" i="76"/>
  <c r="AM32" i="76"/>
  <c r="C16" i="76"/>
  <c r="BD11" i="76"/>
  <c r="BC11" i="76"/>
  <c r="BB11" i="76"/>
  <c r="AZ11" i="76"/>
  <c r="BA11" i="76" s="1"/>
  <c r="BF11" i="76" l="1"/>
  <c r="AP14" i="76" l="1"/>
  <c r="AP15" i="76" l="1"/>
  <c r="BJ14" i="76"/>
  <c r="BI14" i="76" l="1"/>
  <c r="AP16" i="76"/>
  <c r="BJ15" i="76"/>
  <c r="AQ15" i="76"/>
  <c r="BI15" i="76" l="1"/>
  <c r="AP17" i="76"/>
  <c r="AQ16" i="76"/>
  <c r="BJ16" i="76"/>
  <c r="AS15" i="76"/>
  <c r="BI16" i="76" l="1"/>
  <c r="AS16" i="76"/>
  <c r="AP18" i="76"/>
  <c r="BJ17" i="76"/>
  <c r="AQ17" i="76"/>
  <c r="AS17" i="76" l="1"/>
  <c r="AR17" i="76"/>
  <c r="BI17" i="76"/>
  <c r="AP19" i="76"/>
  <c r="BJ18" i="76"/>
  <c r="AQ18" i="76"/>
  <c r="AU17" i="76" l="1"/>
  <c r="AS18" i="76"/>
  <c r="BI18" i="76"/>
  <c r="AQ19" i="76"/>
  <c r="BJ19" i="76"/>
  <c r="AP20" i="76"/>
  <c r="AS19" i="76" l="1"/>
  <c r="AP21" i="76"/>
  <c r="AQ20" i="76"/>
  <c r="BJ20" i="76"/>
  <c r="BI19" i="76"/>
  <c r="BI20" i="76" l="1"/>
  <c r="BJ21" i="76"/>
  <c r="AQ21" i="76"/>
  <c r="AS20" i="76"/>
  <c r="AU20" i="76" s="1"/>
  <c r="AR20" i="76"/>
  <c r="AP22" i="76"/>
  <c r="AX27" i="76"/>
  <c r="AX34" i="76"/>
  <c r="AX39" i="76"/>
  <c r="AX36" i="76"/>
  <c r="AX28" i="76"/>
  <c r="AX29" i="76"/>
  <c r="AX40" i="76"/>
  <c r="AX35" i="76"/>
  <c r="AX31" i="76"/>
  <c r="AX33" i="76"/>
  <c r="AX26" i="76"/>
  <c r="AX30" i="76"/>
  <c r="AX38" i="76"/>
  <c r="AX37" i="76"/>
  <c r="AX32" i="76"/>
  <c r="AO22" i="76" l="1"/>
  <c r="AS21" i="76"/>
  <c r="AU21" i="76" s="1"/>
  <c r="AR21" i="76"/>
  <c r="BI21" i="76"/>
  <c r="BJ22" i="76"/>
  <c r="AQ22" i="76"/>
  <c r="AP23" i="76"/>
  <c r="BJ23" i="76" l="1"/>
  <c r="AQ23" i="76"/>
  <c r="AR22" i="76"/>
  <c r="AS22" i="76"/>
  <c r="AU22" i="76" s="1"/>
  <c r="AO23" i="76"/>
  <c r="AP24" i="76"/>
  <c r="BI22" i="76"/>
  <c r="AS23" i="76" l="1"/>
  <c r="AR23" i="76"/>
  <c r="AP25" i="76"/>
  <c r="AQ24" i="76"/>
  <c r="BJ24" i="76"/>
  <c r="AO24" i="76"/>
  <c r="BI23" i="76"/>
  <c r="AU23" i="76" l="1"/>
  <c r="BI24" i="76"/>
  <c r="AO25" i="76"/>
  <c r="AP26" i="76"/>
  <c r="AR24" i="76"/>
  <c r="AS24" i="76"/>
  <c r="AU24" i="76" s="1"/>
  <c r="AQ25" i="76"/>
  <c r="BJ25" i="76"/>
  <c r="AS25" i="76" l="1"/>
  <c r="AP27" i="76"/>
  <c r="BJ26" i="76"/>
  <c r="AQ26" i="76"/>
  <c r="BI25" i="76"/>
  <c r="AO26" i="76"/>
  <c r="AP28" i="76" l="1"/>
  <c r="AS26" i="76"/>
  <c r="AQ27" i="76"/>
  <c r="BJ27" i="76"/>
  <c r="BI26" i="76"/>
  <c r="AO27" i="76"/>
  <c r="BI27" i="76" l="1"/>
  <c r="AP29" i="76"/>
  <c r="AR27" i="76"/>
  <c r="AS27" i="76"/>
  <c r="AU27" i="76" s="1"/>
  <c r="BJ28" i="76"/>
  <c r="AQ28" i="76"/>
  <c r="AO28" i="76"/>
  <c r="BI28" i="76" l="1"/>
  <c r="AP30" i="76"/>
  <c r="AO29" i="76"/>
  <c r="AQ29" i="76"/>
  <c r="BJ29" i="76"/>
  <c r="AS28" i="76"/>
  <c r="BI29" i="76" l="1"/>
  <c r="AS29" i="76"/>
  <c r="AR29" i="76"/>
  <c r="AQ30" i="76"/>
  <c r="BJ30" i="76"/>
  <c r="AP31" i="76"/>
  <c r="AO30" i="76"/>
  <c r="AU29" i="76" l="1"/>
  <c r="BI30" i="76"/>
  <c r="AP32" i="76"/>
  <c r="AR30" i="76"/>
  <c r="AS30" i="76"/>
  <c r="AU30" i="76" s="1"/>
  <c r="AO31" i="76"/>
  <c r="BJ31" i="76"/>
  <c r="AQ31" i="76"/>
  <c r="BI31" i="76" l="1"/>
  <c r="BJ32" i="76"/>
  <c r="AQ32" i="76"/>
  <c r="AO32" i="76"/>
  <c r="AS31" i="76"/>
  <c r="AP33" i="76"/>
  <c r="BI32" i="76" l="1"/>
  <c r="AS32" i="76"/>
  <c r="AU32" i="76" s="1"/>
  <c r="AR32" i="76"/>
  <c r="AO33" i="76"/>
  <c r="AP34" i="76"/>
  <c r="AQ33" i="76"/>
  <c r="BJ33" i="76"/>
  <c r="BI33" i="76" l="1"/>
  <c r="AQ34" i="76"/>
  <c r="BJ34" i="76"/>
  <c r="AR33" i="76"/>
  <c r="AS33" i="76"/>
  <c r="AU33" i="76" s="1"/>
  <c r="AP35" i="76"/>
  <c r="AO34" i="76"/>
  <c r="BI34" i="76" l="1"/>
  <c r="BJ35" i="76"/>
  <c r="AQ35" i="76"/>
  <c r="AO35" i="76"/>
  <c r="AP36" i="76"/>
  <c r="AR34" i="76"/>
  <c r="AS34" i="76"/>
  <c r="AU34" i="76" s="1"/>
  <c r="BI35" i="76" l="1"/>
  <c r="AO36" i="76"/>
  <c r="AQ36" i="76"/>
  <c r="BJ36" i="76"/>
  <c r="AP37" i="76"/>
  <c r="AS35" i="76"/>
  <c r="BI36" i="76" l="1"/>
  <c r="BJ37" i="76"/>
  <c r="AQ37" i="76"/>
  <c r="AP38" i="76"/>
  <c r="AR36" i="76"/>
  <c r="AS36" i="76"/>
  <c r="AU36" i="76" s="1"/>
  <c r="AO37" i="76"/>
  <c r="BI37" i="76" l="1"/>
  <c r="AO38" i="76"/>
  <c r="AQ38" i="76"/>
  <c r="BJ38" i="76"/>
  <c r="AP39" i="76"/>
  <c r="AS37" i="76"/>
  <c r="AU37" i="76" s="1"/>
  <c r="AR37" i="76"/>
  <c r="BI38" i="76" l="1"/>
  <c r="AQ39" i="76"/>
  <c r="BJ39" i="76"/>
  <c r="AO39" i="76"/>
  <c r="AP40" i="76"/>
  <c r="AR26" i="76" s="1"/>
  <c r="AU26" i="76" s="1"/>
  <c r="AR38" i="76"/>
  <c r="AS38" i="76"/>
  <c r="AU38" i="76" s="1"/>
  <c r="AR35" i="76" l="1"/>
  <c r="AU35" i="76" s="1"/>
  <c r="AR28" i="76"/>
  <c r="AU28" i="76" s="1"/>
  <c r="AR25" i="76"/>
  <c r="AU25" i="76" s="1"/>
  <c r="BI39" i="76"/>
  <c r="AR18" i="76"/>
  <c r="AU18" i="76" s="1"/>
  <c r="AR19" i="76"/>
  <c r="AU19" i="76" s="1"/>
  <c r="AO40" i="76"/>
  <c r="AQ40" i="76"/>
  <c r="BJ40" i="76"/>
  <c r="AR16" i="76"/>
  <c r="AU16" i="76" s="1"/>
  <c r="AR15" i="76"/>
  <c r="AU15" i="76" s="1"/>
  <c r="AR31" i="76"/>
  <c r="AU31" i="76" s="1"/>
  <c r="AS39" i="76"/>
  <c r="AU39" i="76" s="1"/>
  <c r="AR39" i="76"/>
  <c r="AS40" i="76" l="1"/>
  <c r="AU40" i="76" s="1"/>
  <c r="AR40" i="76"/>
  <c r="BI40" i="76"/>
  <c r="BB11" i="63" l="1"/>
  <c r="K29" i="36" l="1"/>
  <c r="K23" i="36"/>
  <c r="K24" i="36" l="1"/>
  <c r="D11" i="63" l="1"/>
  <c r="J20" i="86" s="1"/>
  <c r="D11" i="76" l="1"/>
  <c r="BD11" i="63"/>
  <c r="BC11" i="63"/>
  <c r="P16" i="38"/>
  <c r="Q16" i="38" s="1"/>
  <c r="Q24" i="38" l="1"/>
  <c r="S24" i="38" s="1"/>
  <c r="Q19" i="38"/>
  <c r="S19" i="38" s="1"/>
  <c r="Q32" i="38"/>
  <c r="Q27" i="38"/>
  <c r="S27" i="38" s="1"/>
  <c r="S16" i="38"/>
  <c r="Q44" i="38"/>
  <c r="Q36" i="38"/>
  <c r="Q45" i="38"/>
  <c r="Q41" i="38"/>
  <c r="Q37" i="38"/>
  <c r="Q33" i="38"/>
  <c r="Q29" i="38"/>
  <c r="Q25" i="38"/>
  <c r="Q21" i="38"/>
  <c r="Q17" i="38"/>
  <c r="Q40" i="38"/>
  <c r="Q39" i="38"/>
  <c r="Q38" i="38"/>
  <c r="Q31" i="38"/>
  <c r="Q28" i="38"/>
  <c r="Q23" i="38"/>
  <c r="Q20" i="38"/>
  <c r="Q35" i="38"/>
  <c r="Q34" i="38"/>
  <c r="Q26" i="38"/>
  <c r="Q43" i="38"/>
  <c r="Q42" i="38"/>
  <c r="Q30" i="38"/>
  <c r="Q22" i="38"/>
  <c r="Q18" i="38"/>
  <c r="S32" i="38" l="1"/>
  <c r="S18" i="38"/>
  <c r="S22" i="38"/>
  <c r="S26" i="38"/>
  <c r="S23" i="38"/>
  <c r="S39" i="38"/>
  <c r="S25" i="38"/>
  <c r="S41" i="38"/>
  <c r="S30" i="38"/>
  <c r="S34" i="38"/>
  <c r="S28" i="38"/>
  <c r="S40" i="38"/>
  <c r="S29" i="38"/>
  <c r="S45" i="38"/>
  <c r="S42" i="38"/>
  <c r="S35" i="38"/>
  <c r="S31" i="38"/>
  <c r="S17" i="38"/>
  <c r="S33" i="38"/>
  <c r="S36" i="38"/>
  <c r="S43" i="38"/>
  <c r="S20" i="38"/>
  <c r="S38" i="38"/>
  <c r="S21" i="38"/>
  <c r="S37" i="38"/>
  <c r="S44" i="38"/>
  <c r="F73" i="61" l="1"/>
  <c r="AU41" i="63"/>
  <c r="AZ11" i="63" l="1"/>
  <c r="BA11" i="63" s="1"/>
  <c r="BF11" i="63" s="1"/>
  <c r="I43" i="63" l="1"/>
  <c r="D12" i="63" l="1"/>
  <c r="J21" i="86" s="1"/>
  <c r="N55" i="36"/>
  <c r="CG4" i="36"/>
  <c r="CH4" i="36"/>
  <c r="BV5" i="36"/>
  <c r="BW5" i="36"/>
  <c r="CG5" i="36"/>
  <c r="CH5" i="36"/>
  <c r="DA5" i="36"/>
  <c r="DB5" i="36" s="1"/>
  <c r="BV6" i="36"/>
  <c r="BW6" i="36"/>
  <c r="CG6" i="36"/>
  <c r="CH6" i="36"/>
  <c r="BV7" i="36"/>
  <c r="BW7" i="36"/>
  <c r="CG7" i="36"/>
  <c r="CH7" i="36"/>
  <c r="BV8" i="36"/>
  <c r="BW8" i="36"/>
  <c r="CH8" i="36"/>
  <c r="DD8" i="36"/>
  <c r="BV9" i="36"/>
  <c r="BW9" i="36"/>
  <c r="CH9" i="36"/>
  <c r="BV10" i="36"/>
  <c r="BW10" i="36"/>
  <c r="CH10" i="36"/>
  <c r="BW11" i="36"/>
  <c r="DE11" i="36"/>
  <c r="I4" i="73"/>
  <c r="D4" i="73"/>
  <c r="N32" i="73"/>
  <c r="J32" i="73"/>
  <c r="C32" i="73"/>
  <c r="L31" i="73"/>
  <c r="K31" i="73"/>
  <c r="I31" i="73"/>
  <c r="L30" i="73"/>
  <c r="K30" i="73"/>
  <c r="I30" i="73"/>
  <c r="L28" i="73"/>
  <c r="K28" i="73"/>
  <c r="I28" i="73"/>
  <c r="L27" i="73"/>
  <c r="K27" i="73"/>
  <c r="I27" i="73"/>
  <c r="L26" i="73"/>
  <c r="K26" i="73"/>
  <c r="I26" i="73"/>
  <c r="L25" i="73"/>
  <c r="K25" i="73"/>
  <c r="I25" i="73"/>
  <c r="L24" i="73"/>
  <c r="K24" i="73"/>
  <c r="I24" i="73"/>
  <c r="L23" i="73"/>
  <c r="K23" i="73"/>
  <c r="I23" i="73"/>
  <c r="L22" i="73"/>
  <c r="K22" i="73"/>
  <c r="I22" i="73"/>
  <c r="L21" i="73"/>
  <c r="K21" i="73"/>
  <c r="I21" i="73"/>
  <c r="L20" i="73"/>
  <c r="K20" i="73"/>
  <c r="I20" i="73"/>
  <c r="L19" i="73"/>
  <c r="K19" i="73"/>
  <c r="I19" i="73"/>
  <c r="L18" i="73"/>
  <c r="K18" i="73"/>
  <c r="I18" i="73"/>
  <c r="L17" i="73"/>
  <c r="K17" i="73"/>
  <c r="I17" i="73"/>
  <c r="L16" i="73"/>
  <c r="K16" i="73"/>
  <c r="I16" i="73"/>
  <c r="L15" i="73"/>
  <c r="K15" i="73"/>
  <c r="I15" i="73"/>
  <c r="L14" i="73"/>
  <c r="K14" i="73"/>
  <c r="I14" i="73"/>
  <c r="L13" i="73"/>
  <c r="K13" i="73"/>
  <c r="I13" i="73"/>
  <c r="L12" i="73"/>
  <c r="K12" i="73"/>
  <c r="I12" i="73"/>
  <c r="H13" i="73" l="1"/>
  <c r="I14" i="87" s="1"/>
  <c r="J14" i="87"/>
  <c r="J18" i="87"/>
  <c r="H17" i="73"/>
  <c r="I18" i="87" s="1"/>
  <c r="J22" i="87"/>
  <c r="H21" i="73"/>
  <c r="I22" i="87" s="1"/>
  <c r="J26" i="87"/>
  <c r="H25" i="73"/>
  <c r="I26" i="87" s="1"/>
  <c r="J31" i="87"/>
  <c r="H30" i="73"/>
  <c r="I31" i="87" s="1"/>
  <c r="H12" i="73"/>
  <c r="I13" i="87" s="1"/>
  <c r="J13" i="87"/>
  <c r="M14" i="73"/>
  <c r="J17" i="87"/>
  <c r="H16" i="73"/>
  <c r="I17" i="87" s="1"/>
  <c r="J21" i="87"/>
  <c r="H20" i="73"/>
  <c r="I21" i="87" s="1"/>
  <c r="J25" i="87"/>
  <c r="H24" i="73"/>
  <c r="I25" i="87" s="1"/>
  <c r="J29" i="87"/>
  <c r="H28" i="73"/>
  <c r="I29" i="87" s="1"/>
  <c r="J16" i="87"/>
  <c r="H15" i="73"/>
  <c r="I16" i="87" s="1"/>
  <c r="J20" i="87"/>
  <c r="H19" i="73"/>
  <c r="I20" i="87" s="1"/>
  <c r="J24" i="87"/>
  <c r="H23" i="73"/>
  <c r="I24" i="87" s="1"/>
  <c r="J28" i="87"/>
  <c r="H27" i="73"/>
  <c r="I28" i="87" s="1"/>
  <c r="M30" i="73"/>
  <c r="J15" i="87"/>
  <c r="H14" i="73"/>
  <c r="I15" i="87" s="1"/>
  <c r="J19" i="87"/>
  <c r="H18" i="73"/>
  <c r="I19" i="87" s="1"/>
  <c r="J23" i="87"/>
  <c r="H22" i="73"/>
  <c r="I23" i="87" s="1"/>
  <c r="J27" i="87"/>
  <c r="H26" i="73"/>
  <c r="I27" i="87" s="1"/>
  <c r="J32" i="87"/>
  <c r="H31" i="73"/>
  <c r="I32" i="87" s="1"/>
  <c r="G57" i="36"/>
  <c r="F57" i="36"/>
  <c r="DD11" i="36"/>
  <c r="DE10" i="36"/>
  <c r="DD9" i="36"/>
  <c r="DE8" i="36"/>
  <c r="D12" i="76"/>
  <c r="M20" i="73"/>
  <c r="M22" i="73"/>
  <c r="M17" i="73"/>
  <c r="M28" i="73"/>
  <c r="M19" i="73"/>
  <c r="M27" i="73"/>
  <c r="I32" i="73"/>
  <c r="M18" i="73"/>
  <c r="M26" i="73"/>
  <c r="M15" i="73"/>
  <c r="M23" i="73"/>
  <c r="M31" i="73"/>
  <c r="DD10" i="36"/>
  <c r="DE9" i="36"/>
  <c r="M24" i="73"/>
  <c r="M12" i="73"/>
  <c r="M21" i="73"/>
  <c r="M25" i="73"/>
  <c r="L32" i="73"/>
  <c r="M13" i="73"/>
  <c r="M16" i="73"/>
  <c r="K32" i="73"/>
  <c r="J33" i="87" l="1"/>
  <c r="I33" i="87"/>
  <c r="H32" i="73"/>
  <c r="E48" i="80"/>
  <c r="E64" i="82" s="1"/>
  <c r="F80" i="61"/>
  <c r="M32" i="73"/>
  <c r="M61" i="36" s="1"/>
  <c r="C50" i="61" l="1"/>
  <c r="E50" i="61"/>
  <c r="G50" i="61" s="1"/>
  <c r="I50" i="61" l="1"/>
  <c r="J39" i="63" l="1"/>
  <c r="K80" i="61"/>
  <c r="H80" i="61" s="1"/>
  <c r="K79" i="61"/>
  <c r="H79" i="61" s="1"/>
  <c r="F79" i="61" l="1"/>
  <c r="F78" i="61"/>
  <c r="F77" i="61"/>
  <c r="D10" i="63"/>
  <c r="J19" i="86" s="1"/>
  <c r="D9" i="63"/>
  <c r="E85" i="61"/>
  <c r="E84" i="61"/>
  <c r="E83" i="61"/>
  <c r="D9" i="76" l="1"/>
  <c r="D10" i="76"/>
  <c r="K10" i="63"/>
  <c r="AP12" i="63" s="1"/>
  <c r="BJ12" i="63" s="1"/>
  <c r="K11" i="63"/>
  <c r="AP13" i="63" s="1"/>
  <c r="BJ13" i="63" s="1"/>
  <c r="K12" i="63"/>
  <c r="AP14" i="63" s="1"/>
  <c r="BJ14" i="63" s="1"/>
  <c r="K13" i="63"/>
  <c r="AP15" i="63" s="1"/>
  <c r="BJ15" i="63" s="1"/>
  <c r="K14" i="63"/>
  <c r="AP16" i="63" s="1"/>
  <c r="BJ16" i="63" s="1"/>
  <c r="K15" i="63"/>
  <c r="AP17" i="63" s="1"/>
  <c r="BJ17" i="63" s="1"/>
  <c r="K16" i="63"/>
  <c r="AP18" i="63" s="1"/>
  <c r="BJ18" i="63" s="1"/>
  <c r="K17" i="63"/>
  <c r="AP19" i="63" s="1"/>
  <c r="BJ19" i="63" s="1"/>
  <c r="K18" i="63"/>
  <c r="AP20" i="63" s="1"/>
  <c r="BJ20" i="63" s="1"/>
  <c r="K19" i="63"/>
  <c r="AP21" i="63" s="1"/>
  <c r="BJ21" i="63" s="1"/>
  <c r="K20" i="63"/>
  <c r="AP22" i="63" s="1"/>
  <c r="BJ22" i="63" s="1"/>
  <c r="K21" i="63"/>
  <c r="AP23" i="63" s="1"/>
  <c r="BJ23" i="63" s="1"/>
  <c r="K22" i="63"/>
  <c r="AP24" i="63" s="1"/>
  <c r="BJ24" i="63" s="1"/>
  <c r="K23" i="63"/>
  <c r="AP25" i="63" s="1"/>
  <c r="BJ25" i="63" s="1"/>
  <c r="K24" i="63"/>
  <c r="AP26" i="63" s="1"/>
  <c r="BJ26" i="63" s="1"/>
  <c r="K25" i="63"/>
  <c r="AP27" i="63" s="1"/>
  <c r="BJ27" i="63" s="1"/>
  <c r="K26" i="63"/>
  <c r="AP28" i="63" s="1"/>
  <c r="BJ28" i="63" s="1"/>
  <c r="K27" i="63"/>
  <c r="AP29" i="63" s="1"/>
  <c r="BJ29" i="63" s="1"/>
  <c r="K28" i="63"/>
  <c r="AP30" i="63" s="1"/>
  <c r="BJ30" i="63" s="1"/>
  <c r="K29" i="63"/>
  <c r="AP31" i="63" s="1"/>
  <c r="BJ31" i="63" s="1"/>
  <c r="K30" i="63"/>
  <c r="AP32" i="63" s="1"/>
  <c r="BJ32" i="63" s="1"/>
  <c r="K31" i="63"/>
  <c r="AP33" i="63" s="1"/>
  <c r="BJ33" i="63" s="1"/>
  <c r="K32" i="63"/>
  <c r="AP34" i="63" s="1"/>
  <c r="BJ34" i="63" s="1"/>
  <c r="K33" i="63"/>
  <c r="AP35" i="63" s="1"/>
  <c r="BJ35" i="63" s="1"/>
  <c r="K34" i="63"/>
  <c r="AP36" i="63" s="1"/>
  <c r="BJ36" i="63" s="1"/>
  <c r="K35" i="63"/>
  <c r="AP37" i="63" s="1"/>
  <c r="BJ37" i="63" s="1"/>
  <c r="K36" i="63"/>
  <c r="AP38" i="63" s="1"/>
  <c r="BJ38" i="63" s="1"/>
  <c r="K37" i="63"/>
  <c r="AP39" i="63" s="1"/>
  <c r="BJ39" i="63" s="1"/>
  <c r="K38" i="63"/>
  <c r="AP40" i="63" s="1"/>
  <c r="BJ40" i="63" s="1"/>
  <c r="K9" i="63"/>
  <c r="AP11" i="63" s="1"/>
  <c r="K23" i="61"/>
  <c r="F9" i="63"/>
  <c r="C11" i="61"/>
  <c r="AM34" i="63"/>
  <c r="AM33" i="63"/>
  <c r="AM32" i="63"/>
  <c r="F12" i="61"/>
  <c r="C12" i="61"/>
  <c r="C10" i="61"/>
  <c r="C9" i="61"/>
  <c r="C8" i="61"/>
  <c r="C7" i="61"/>
  <c r="C5" i="61"/>
  <c r="D19" i="63"/>
  <c r="I28" i="85" s="1"/>
  <c r="D24" i="63"/>
  <c r="C6" i="86" s="1"/>
  <c r="E121" i="87" s="1"/>
  <c r="G23" i="61"/>
  <c r="F11" i="61" l="1"/>
  <c r="C15" i="86"/>
  <c r="E11" i="83"/>
  <c r="F11" i="82"/>
  <c r="F11" i="81"/>
  <c r="F11" i="80"/>
  <c r="F9" i="61"/>
  <c r="C13" i="86"/>
  <c r="E9" i="83"/>
  <c r="F9" i="82"/>
  <c r="F9" i="81"/>
  <c r="F9" i="80"/>
  <c r="F10" i="61"/>
  <c r="C14" i="86"/>
  <c r="E10" i="83"/>
  <c r="F10" i="82"/>
  <c r="F10" i="81"/>
  <c r="F10" i="80"/>
  <c r="B6" i="83"/>
  <c r="C6" i="82"/>
  <c r="C6" i="81"/>
  <c r="C6" i="80"/>
  <c r="AQ11" i="63"/>
  <c r="AS11" i="63" s="1"/>
  <c r="BJ11" i="63"/>
  <c r="BI12" i="63" s="1"/>
  <c r="D7" i="76"/>
  <c r="C6" i="61"/>
  <c r="H9" i="61"/>
  <c r="AQ25" i="63"/>
  <c r="AS25" i="63" s="1"/>
  <c r="AQ21" i="63"/>
  <c r="AS21" i="63" s="1"/>
  <c r="AQ17" i="63"/>
  <c r="AS17" i="63" s="1"/>
  <c r="AQ13" i="63"/>
  <c r="F10" i="63"/>
  <c r="AQ30" i="63"/>
  <c r="AS30" i="63" s="1"/>
  <c r="AQ26" i="63"/>
  <c r="AS26" i="63" s="1"/>
  <c r="AQ22" i="63"/>
  <c r="AS22" i="63" s="1"/>
  <c r="AQ18" i="63"/>
  <c r="AS18" i="63" s="1"/>
  <c r="AQ14" i="63"/>
  <c r="AS14" i="63" s="1"/>
  <c r="AQ36" i="63"/>
  <c r="AS36" i="63" s="1"/>
  <c r="AQ24" i="63"/>
  <c r="AS24" i="63" s="1"/>
  <c r="AQ20" i="63"/>
  <c r="AS20" i="63" s="1"/>
  <c r="AQ16" i="63"/>
  <c r="AS16" i="63" s="1"/>
  <c r="AQ31" i="63"/>
  <c r="AS31" i="63" s="1"/>
  <c r="AQ27" i="63"/>
  <c r="AS27" i="63" s="1"/>
  <c r="AQ23" i="63"/>
  <c r="AS23" i="63" s="1"/>
  <c r="AQ19" i="63"/>
  <c r="AS19" i="63" s="1"/>
  <c r="AQ15" i="63"/>
  <c r="AS15" i="63" s="1"/>
  <c r="AQ12" i="63"/>
  <c r="AS12" i="63" s="1"/>
  <c r="AQ34" i="63"/>
  <c r="AS34" i="63" s="1"/>
  <c r="AU34" i="63" s="1"/>
  <c r="AQ35" i="63"/>
  <c r="AS35" i="63" s="1"/>
  <c r="AQ37" i="63"/>
  <c r="AS37" i="63" s="1"/>
  <c r="AQ40" i="63"/>
  <c r="AS40" i="63" s="1"/>
  <c r="AU40" i="63" s="1"/>
  <c r="AQ39" i="63"/>
  <c r="AS39" i="63" s="1"/>
  <c r="AQ32" i="63"/>
  <c r="AS32" i="63" s="1"/>
  <c r="AQ38" i="63"/>
  <c r="AS38" i="63" s="1"/>
  <c r="AQ28" i="63"/>
  <c r="AS28" i="63" s="1"/>
  <c r="AQ29" i="63"/>
  <c r="AS29" i="63" s="1"/>
  <c r="AQ33" i="63"/>
  <c r="AS33" i="63" s="1"/>
  <c r="K78" i="61"/>
  <c r="J80" i="61" s="1"/>
  <c r="C35" i="61"/>
  <c r="C36" i="61"/>
  <c r="C37" i="61"/>
  <c r="C38" i="61"/>
  <c r="C39" i="61"/>
  <c r="C40" i="61"/>
  <c r="C41" i="61"/>
  <c r="C42" i="61"/>
  <c r="C43" i="61"/>
  <c r="C44" i="61"/>
  <c r="C45" i="61"/>
  <c r="C46" i="61"/>
  <c r="C47" i="61"/>
  <c r="C48" i="61"/>
  <c r="C49" i="61"/>
  <c r="E49" i="61"/>
  <c r="G49" i="61" s="1"/>
  <c r="E48" i="61"/>
  <c r="G48" i="61" s="1"/>
  <c r="E47" i="61"/>
  <c r="G47" i="61" s="1"/>
  <c r="E46" i="61"/>
  <c r="G46" i="61" s="1"/>
  <c r="E45" i="61"/>
  <c r="G45" i="61" s="1"/>
  <c r="E44" i="61"/>
  <c r="G44" i="61" s="1"/>
  <c r="E43" i="61"/>
  <c r="G43" i="61" s="1"/>
  <c r="E42" i="61"/>
  <c r="G42" i="61" s="1"/>
  <c r="E41" i="61"/>
  <c r="E40" i="61"/>
  <c r="E39" i="61"/>
  <c r="E38" i="61"/>
  <c r="E37" i="61"/>
  <c r="E36" i="61"/>
  <c r="E35" i="61"/>
  <c r="D16" i="61"/>
  <c r="F11" i="63" l="1"/>
  <c r="AR11" i="63"/>
  <c r="AU11" i="63" s="1"/>
  <c r="BI13" i="63"/>
  <c r="BI14" i="63" s="1"/>
  <c r="BI15" i="63" s="1"/>
  <c r="BI16" i="63" s="1"/>
  <c r="BI17" i="63" s="1"/>
  <c r="BI18" i="63" s="1"/>
  <c r="BI19" i="63" s="1"/>
  <c r="BI20" i="63" s="1"/>
  <c r="BI21" i="63" s="1"/>
  <c r="BI22" i="63" s="1"/>
  <c r="BI23" i="63" s="1"/>
  <c r="BI24" i="63" s="1"/>
  <c r="BI25" i="63" s="1"/>
  <c r="BI26" i="63" s="1"/>
  <c r="BI27" i="63" s="1"/>
  <c r="BI28" i="63" s="1"/>
  <c r="BI29" i="63" s="1"/>
  <c r="BI30" i="63" s="1"/>
  <c r="BI31" i="63" s="1"/>
  <c r="BI32" i="63" s="1"/>
  <c r="BI33" i="63" s="1"/>
  <c r="BI34" i="63" s="1"/>
  <c r="BI35" i="63" s="1"/>
  <c r="BI36" i="63" s="1"/>
  <c r="BI37" i="63" s="1"/>
  <c r="BI38" i="63" s="1"/>
  <c r="BI39" i="63" s="1"/>
  <c r="BI40" i="63" s="1"/>
  <c r="BK11" i="63"/>
  <c r="AR13" i="63"/>
  <c r="AS13" i="63"/>
  <c r="AR21" i="63"/>
  <c r="AU21" i="63" s="1"/>
  <c r="AR25" i="63"/>
  <c r="AU25" i="63" s="1"/>
  <c r="AR17" i="63"/>
  <c r="AU17" i="63" s="1"/>
  <c r="AR36" i="63"/>
  <c r="AU36" i="63" s="1"/>
  <c r="AR29" i="63"/>
  <c r="AU29" i="63" s="1"/>
  <c r="AR39" i="63"/>
  <c r="AU39" i="63" s="1"/>
  <c r="AR34" i="63"/>
  <c r="AR23" i="63"/>
  <c r="AU23" i="63" s="1"/>
  <c r="AR20" i="63"/>
  <c r="AU20" i="63" s="1"/>
  <c r="AR14" i="63"/>
  <c r="AU14" i="63" s="1"/>
  <c r="AR28" i="63"/>
  <c r="AU28" i="63" s="1"/>
  <c r="AR40" i="63"/>
  <c r="AR37" i="63"/>
  <c r="AU37" i="63" s="1"/>
  <c r="AR12" i="63"/>
  <c r="AU12" i="63" s="1"/>
  <c r="AR27" i="63"/>
  <c r="AU27" i="63" s="1"/>
  <c r="AR24" i="63"/>
  <c r="AU24" i="63" s="1"/>
  <c r="AR18" i="63"/>
  <c r="AU18" i="63" s="1"/>
  <c r="AR38" i="63"/>
  <c r="AU38" i="63" s="1"/>
  <c r="AR15" i="63"/>
  <c r="AU15" i="63" s="1"/>
  <c r="AR31" i="63"/>
  <c r="AU31" i="63" s="1"/>
  <c r="AR22" i="63"/>
  <c r="AU22" i="63" s="1"/>
  <c r="AR33" i="63"/>
  <c r="AU33" i="63" s="1"/>
  <c r="AR32" i="63"/>
  <c r="AU32" i="63" s="1"/>
  <c r="AR30" i="63"/>
  <c r="AU30" i="63" s="1"/>
  <c r="AR35" i="63"/>
  <c r="AU35" i="63" s="1"/>
  <c r="AR19" i="63"/>
  <c r="AU19" i="63" s="1"/>
  <c r="AR16" i="63"/>
  <c r="AU16" i="63" s="1"/>
  <c r="AR26" i="63"/>
  <c r="AU26" i="63" s="1"/>
  <c r="J79" i="61"/>
  <c r="H49" i="61"/>
  <c r="I49" i="61" s="1"/>
  <c r="H48" i="61"/>
  <c r="I48" i="61" s="1"/>
  <c r="H47" i="61"/>
  <c r="I47" i="61" s="1"/>
  <c r="H46" i="61"/>
  <c r="I46" i="61" s="1"/>
  <c r="H45" i="61"/>
  <c r="I45" i="61" s="1"/>
  <c r="H44" i="61"/>
  <c r="I44" i="61" s="1"/>
  <c r="H43" i="61"/>
  <c r="I43" i="61" s="1"/>
  <c r="H42" i="61"/>
  <c r="I42" i="61" s="1"/>
  <c r="H41" i="61"/>
  <c r="H40" i="61"/>
  <c r="H39" i="61"/>
  <c r="H38" i="61"/>
  <c r="H37" i="61"/>
  <c r="H36" i="61"/>
  <c r="H35" i="61"/>
  <c r="G60" i="61"/>
  <c r="F12" i="63" l="1"/>
  <c r="BM11" i="63"/>
  <c r="BL11" i="63"/>
  <c r="BK12" i="63"/>
  <c r="BK13" i="63"/>
  <c r="BK15" i="63"/>
  <c r="BK14" i="63"/>
  <c r="BK25" i="63"/>
  <c r="BK33" i="63"/>
  <c r="BK31" i="63"/>
  <c r="BK24" i="63"/>
  <c r="BK29" i="63"/>
  <c r="BK37" i="63"/>
  <c r="BK40" i="63"/>
  <c r="BK19" i="63"/>
  <c r="BK34" i="63"/>
  <c r="BK26" i="63"/>
  <c r="BK28" i="63"/>
  <c r="BK30" i="63"/>
  <c r="BK20" i="63"/>
  <c r="BK21" i="63"/>
  <c r="BK39" i="63"/>
  <c r="BK17" i="63"/>
  <c r="BK23" i="63"/>
  <c r="BK27" i="63"/>
  <c r="BK36" i="63"/>
  <c r="BK35" i="63"/>
  <c r="BK16" i="63"/>
  <c r="BK32" i="63"/>
  <c r="BK18" i="63"/>
  <c r="BK22" i="63"/>
  <c r="BK38" i="63"/>
  <c r="AU13" i="63"/>
  <c r="J50" i="61"/>
  <c r="F50" i="61"/>
  <c r="J49" i="61"/>
  <c r="F49" i="61"/>
  <c r="J48" i="61"/>
  <c r="F48" i="61"/>
  <c r="J47" i="61"/>
  <c r="F47" i="61"/>
  <c r="J46" i="61"/>
  <c r="F46" i="61"/>
  <c r="J45" i="61"/>
  <c r="F45" i="61"/>
  <c r="J44" i="61"/>
  <c r="F44" i="61"/>
  <c r="J43" i="61"/>
  <c r="F43" i="61"/>
  <c r="J42" i="61"/>
  <c r="F42" i="61"/>
  <c r="I34" i="61"/>
  <c r="I33" i="61"/>
  <c r="F13" i="63" l="1"/>
  <c r="BN11" i="63"/>
  <c r="AW11" i="63" s="1"/>
  <c r="H83" i="61" s="1"/>
  <c r="BM22" i="63"/>
  <c r="BN22" i="63" s="1"/>
  <c r="AW22" i="63" s="1"/>
  <c r="J50" i="63" s="1"/>
  <c r="BL22" i="63"/>
  <c r="BM32" i="63"/>
  <c r="BN32" i="63" s="1"/>
  <c r="AW32" i="63" s="1"/>
  <c r="BL32" i="63"/>
  <c r="BM27" i="63"/>
  <c r="BN27" i="63" s="1"/>
  <c r="AW27" i="63" s="1"/>
  <c r="BL27" i="63"/>
  <c r="BM21" i="63"/>
  <c r="BN21" i="63" s="1"/>
  <c r="AW21" i="63" s="1"/>
  <c r="J49" i="63" s="1"/>
  <c r="BL21" i="63"/>
  <c r="BM26" i="63"/>
  <c r="BN26" i="63" s="1"/>
  <c r="AW26" i="63" s="1"/>
  <c r="BL26" i="63"/>
  <c r="BM37" i="63"/>
  <c r="BN37" i="63" s="1"/>
  <c r="AW37" i="63" s="1"/>
  <c r="BL37" i="63"/>
  <c r="BM33" i="63"/>
  <c r="BN33" i="63" s="1"/>
  <c r="AW33" i="63" s="1"/>
  <c r="BL33" i="63"/>
  <c r="BM13" i="63"/>
  <c r="BL13" i="63"/>
  <c r="BL38" i="63"/>
  <c r="BM38" i="63"/>
  <c r="BN38" i="63" s="1"/>
  <c r="AW38" i="63" s="1"/>
  <c r="BL16" i="63"/>
  <c r="BM16" i="63"/>
  <c r="BL23" i="63"/>
  <c r="BM23" i="63"/>
  <c r="BN23" i="63" s="1"/>
  <c r="AW23" i="63" s="1"/>
  <c r="BL20" i="63"/>
  <c r="BM20" i="63"/>
  <c r="BN20" i="63" s="1"/>
  <c r="AW20" i="63" s="1"/>
  <c r="BL34" i="63"/>
  <c r="BM34" i="63"/>
  <c r="BN34" i="63" s="1"/>
  <c r="AW34" i="63" s="1"/>
  <c r="BL29" i="63"/>
  <c r="BM29" i="63"/>
  <c r="BN29" i="63" s="1"/>
  <c r="AW29" i="63" s="1"/>
  <c r="BL25" i="63"/>
  <c r="BM25" i="63"/>
  <c r="BN25" i="63" s="1"/>
  <c r="AW25" i="63" s="1"/>
  <c r="BL12" i="63"/>
  <c r="BM12" i="63"/>
  <c r="BM35" i="63"/>
  <c r="BN35" i="63" s="1"/>
  <c r="AW35" i="63" s="1"/>
  <c r="BL35" i="63"/>
  <c r="BL17" i="63"/>
  <c r="BM17" i="63"/>
  <c r="BN17" i="63" s="1"/>
  <c r="AW17" i="63" s="1"/>
  <c r="BL30" i="63"/>
  <c r="BM30" i="63"/>
  <c r="BN30" i="63" s="1"/>
  <c r="AW30" i="63" s="1"/>
  <c r="BM19" i="63"/>
  <c r="BN19" i="63" s="1"/>
  <c r="AW19" i="63" s="1"/>
  <c r="BL19" i="63"/>
  <c r="BL24" i="63"/>
  <c r="BM24" i="63"/>
  <c r="BN24" i="63" s="1"/>
  <c r="AW24" i="63" s="1"/>
  <c r="BL14" i="63"/>
  <c r="BM14" i="63"/>
  <c r="BL18" i="63"/>
  <c r="BM18" i="63"/>
  <c r="BN18" i="63" s="1"/>
  <c r="AW18" i="63" s="1"/>
  <c r="BL36" i="63"/>
  <c r="BM36" i="63"/>
  <c r="BN36" i="63" s="1"/>
  <c r="AW36" i="63" s="1"/>
  <c r="BM39" i="63"/>
  <c r="BN39" i="63" s="1"/>
  <c r="AW39" i="63" s="1"/>
  <c r="BL39" i="63"/>
  <c r="BL28" i="63"/>
  <c r="BM28" i="63"/>
  <c r="BN28" i="63" s="1"/>
  <c r="AW28" i="63" s="1"/>
  <c r="BL40" i="63"/>
  <c r="BM40" i="63"/>
  <c r="BN40" i="63" s="1"/>
  <c r="AW40" i="63" s="1"/>
  <c r="BM31" i="63"/>
  <c r="BN31" i="63" s="1"/>
  <c r="AW31" i="63" s="1"/>
  <c r="BL31" i="63"/>
  <c r="BM15" i="63"/>
  <c r="BL15" i="63"/>
  <c r="BN16" i="63" l="1"/>
  <c r="AW16" i="63" s="1"/>
  <c r="I50" i="63" s="1"/>
  <c r="F14" i="63"/>
  <c r="BN15" i="63"/>
  <c r="AW15" i="63" s="1"/>
  <c r="H87" i="61" s="1"/>
  <c r="BN13" i="63"/>
  <c r="AW13" i="63" s="1"/>
  <c r="I47" i="63" s="1"/>
  <c r="I45" i="63"/>
  <c r="J46" i="63"/>
  <c r="J85" i="61"/>
  <c r="BN14" i="63"/>
  <c r="AW14" i="63" s="1"/>
  <c r="J84" i="61"/>
  <c r="J45" i="63"/>
  <c r="BN12" i="63"/>
  <c r="AW12" i="63" s="1"/>
  <c r="J87" i="61"/>
  <c r="J48" i="63"/>
  <c r="J86" i="61"/>
  <c r="J47" i="63"/>
  <c r="J83" i="61" l="1"/>
  <c r="F15" i="63"/>
  <c r="H85" i="61"/>
  <c r="I49" i="63"/>
  <c r="I46" i="63"/>
  <c r="H84" i="61"/>
  <c r="H86" i="61"/>
  <c r="I48" i="63"/>
  <c r="F16" i="63" l="1"/>
  <c r="F17" i="63" l="1"/>
  <c r="F18" i="63" l="1"/>
  <c r="F19" i="63" l="1"/>
  <c r="F20" i="63" l="1"/>
  <c r="F21" i="63" l="1"/>
  <c r="AX32" i="63"/>
  <c r="AX33" i="63"/>
  <c r="AX29" i="63"/>
  <c r="AX37" i="63"/>
  <c r="AX40" i="63"/>
  <c r="AX27" i="63"/>
  <c r="AX39" i="63"/>
  <c r="AX36" i="63"/>
  <c r="AX26" i="63"/>
  <c r="AX35" i="63"/>
  <c r="AX30" i="63"/>
  <c r="AX31" i="63"/>
  <c r="AX28" i="63"/>
  <c r="AX38" i="63"/>
  <c r="AX34" i="63"/>
  <c r="BW12" i="36"/>
  <c r="BW13" i="36"/>
  <c r="BW14" i="36"/>
  <c r="BW15" i="36"/>
  <c r="BW16" i="36"/>
  <c r="F22" i="63" l="1"/>
  <c r="K25" i="36"/>
  <c r="K26" i="36"/>
  <c r="K27" i="36"/>
  <c r="K28" i="36"/>
  <c r="K30" i="36"/>
  <c r="K31" i="36"/>
  <c r="K32" i="36"/>
  <c r="K33" i="36"/>
  <c r="K34" i="36"/>
  <c r="K35" i="36"/>
  <c r="K36" i="36"/>
  <c r="K37" i="36"/>
  <c r="F23" i="63" l="1"/>
  <c r="Q9" i="36"/>
  <c r="F24" i="63" l="1"/>
  <c r="O81" i="36"/>
  <c r="Q81" i="36" s="1"/>
  <c r="F25" i="63" l="1"/>
  <c r="Q10" i="36"/>
  <c r="Q11" i="36" s="1"/>
  <c r="Q12" i="36" s="1"/>
  <c r="Q13" i="36" s="1"/>
  <c r="Q14" i="36" s="1"/>
  <c r="Q15" i="36" s="1"/>
  <c r="Q16" i="36" s="1"/>
  <c r="Q17" i="36" s="1"/>
  <c r="Q18" i="36" s="1"/>
  <c r="Q19" i="36" s="1"/>
  <c r="Q20" i="36" s="1"/>
  <c r="Q21" i="36" s="1"/>
  <c r="Q22" i="36" s="1"/>
  <c r="Q23" i="36" s="1"/>
  <c r="Q24" i="36" s="1"/>
  <c r="Q25" i="36" s="1"/>
  <c r="Q26" i="36" s="1"/>
  <c r="A33" i="38" s="1"/>
  <c r="F26" i="63" l="1"/>
  <c r="BS34" i="38"/>
  <c r="B33" i="38"/>
  <c r="Q27" i="36"/>
  <c r="Q28" i="36" s="1"/>
  <c r="Q29" i="36" s="1"/>
  <c r="Q30" i="36" s="1"/>
  <c r="Q31" i="36" s="1"/>
  <c r="Q32" i="36" s="1"/>
  <c r="Q33" i="36" s="1"/>
  <c r="Q34" i="36" s="1"/>
  <c r="Q35" i="36" s="1"/>
  <c r="Q36" i="36" s="1"/>
  <c r="Q37" i="36" s="1"/>
  <c r="Q38" i="36" s="1"/>
  <c r="H43" i="82" l="1"/>
  <c r="H26" i="63"/>
  <c r="AO28" i="63" s="1"/>
  <c r="F27" i="63"/>
  <c r="M47" i="36"/>
  <c r="S43" i="82" l="1"/>
  <c r="U43" i="82"/>
  <c r="F28" i="63"/>
  <c r="O56" i="36"/>
  <c r="F29" i="63" l="1"/>
  <c r="O82" i="36"/>
  <c r="Q82" i="36" s="1"/>
  <c r="F30" i="63" l="1"/>
  <c r="O83" i="36"/>
  <c r="F31" i="63" l="1"/>
  <c r="Q76" i="36"/>
  <c r="O61" i="36"/>
  <c r="F32" i="63" l="1"/>
  <c r="E8" i="38"/>
  <c r="E7" i="38"/>
  <c r="E6" i="38"/>
  <c r="F33" i="63" l="1"/>
  <c r="M20" i="36"/>
  <c r="F34" i="63" l="1"/>
  <c r="A16" i="38"/>
  <c r="L9" i="76" s="1"/>
  <c r="AP11" i="76" s="1"/>
  <c r="A17" i="38"/>
  <c r="O71" i="36"/>
  <c r="BJ11" i="76" l="1"/>
  <c r="BK11" i="76" s="1"/>
  <c r="BM11" i="76" s="1"/>
  <c r="AQ11" i="76"/>
  <c r="AS11" i="76" s="1"/>
  <c r="F35" i="63"/>
  <c r="BS17" i="38"/>
  <c r="B16" i="38"/>
  <c r="G9" i="76" s="1"/>
  <c r="BS18" i="38"/>
  <c r="B17" i="38"/>
  <c r="A18" i="38"/>
  <c r="CM22" i="36"/>
  <c r="CM21" i="36"/>
  <c r="H26" i="82" l="1"/>
  <c r="H9" i="63"/>
  <c r="AO11" i="63" s="1"/>
  <c r="H27" i="82"/>
  <c r="H10" i="63"/>
  <c r="AO12" i="63" s="1"/>
  <c r="F36" i="63"/>
  <c r="BS19" i="38"/>
  <c r="B18" i="38"/>
  <c r="A19" i="38"/>
  <c r="U26" i="82" l="1"/>
  <c r="S26" i="82"/>
  <c r="S27" i="82"/>
  <c r="U27" i="82"/>
  <c r="H28" i="82"/>
  <c r="H11" i="63"/>
  <c r="AO13" i="63" s="1"/>
  <c r="F37" i="63"/>
  <c r="BS20" i="38"/>
  <c r="B19" i="38"/>
  <c r="DE23" i="36"/>
  <c r="DD12" i="36"/>
  <c r="A20" i="38"/>
  <c r="DE20" i="36"/>
  <c r="DE16" i="36"/>
  <c r="DE12" i="36"/>
  <c r="DE19" i="36"/>
  <c r="DE22" i="36"/>
  <c r="DE18" i="36"/>
  <c r="DE14" i="36"/>
  <c r="DE15" i="36"/>
  <c r="DE21" i="36"/>
  <c r="DE17" i="36"/>
  <c r="DE13" i="36"/>
  <c r="AO11" i="76" l="1"/>
  <c r="U28" i="82"/>
  <c r="S28" i="82"/>
  <c r="F38" i="63"/>
  <c r="H29" i="82"/>
  <c r="H12" i="63"/>
  <c r="AO14" i="63" s="1"/>
  <c r="BS21" i="38"/>
  <c r="B20" i="38"/>
  <c r="O60" i="36"/>
  <c r="CO14" i="36"/>
  <c r="CN14" i="36"/>
  <c r="CM14" i="36"/>
  <c r="O52" i="36"/>
  <c r="CQ9" i="36" l="1"/>
  <c r="CR7" i="36"/>
  <c r="CR11" i="36"/>
  <c r="CR15" i="36"/>
  <c r="CR19" i="36"/>
  <c r="CR23" i="36"/>
  <c r="CR27" i="36"/>
  <c r="CR31" i="36"/>
  <c r="CQ10" i="36"/>
  <c r="CR8" i="36"/>
  <c r="CR12" i="36"/>
  <c r="CR16" i="36"/>
  <c r="CR20" i="36"/>
  <c r="CR24" i="36"/>
  <c r="CR28" i="36"/>
  <c r="CR32" i="36"/>
  <c r="CQ7" i="36"/>
  <c r="CQ11" i="36"/>
  <c r="CR9" i="36"/>
  <c r="CR13" i="36"/>
  <c r="CR17" i="36"/>
  <c r="CR21" i="36"/>
  <c r="CR25" i="36"/>
  <c r="CR29" i="36"/>
  <c r="CR6" i="36"/>
  <c r="CQ8" i="36"/>
  <c r="CQ12" i="36"/>
  <c r="CR10" i="36"/>
  <c r="CR14" i="36"/>
  <c r="CR18" i="36"/>
  <c r="CR22" i="36"/>
  <c r="CR26" i="36"/>
  <c r="CR30" i="36"/>
  <c r="CV7" i="36"/>
  <c r="CV11" i="36"/>
  <c r="CW8" i="36"/>
  <c r="CW12" i="36"/>
  <c r="CW16" i="36"/>
  <c r="CW20" i="36"/>
  <c r="CW24" i="36"/>
  <c r="CW28" i="36"/>
  <c r="CW32" i="36"/>
  <c r="CV8" i="36"/>
  <c r="CV12" i="36"/>
  <c r="CW9" i="36"/>
  <c r="CW13" i="36"/>
  <c r="CW17" i="36"/>
  <c r="CW21" i="36"/>
  <c r="CW25" i="36"/>
  <c r="CW29" i="36"/>
  <c r="CW33" i="36"/>
  <c r="CV9" i="36"/>
  <c r="CV13" i="36"/>
  <c r="CW10" i="36"/>
  <c r="CW14" i="36"/>
  <c r="CW18" i="36"/>
  <c r="CW22" i="36"/>
  <c r="CW26" i="36"/>
  <c r="CW30" i="36"/>
  <c r="CV10" i="36"/>
  <c r="CW7" i="36"/>
  <c r="CW11" i="36"/>
  <c r="CW15" i="36"/>
  <c r="CW19" i="36"/>
  <c r="CW23" i="36"/>
  <c r="CW27" i="36"/>
  <c r="CW31" i="36"/>
  <c r="U29" i="82"/>
  <c r="S29" i="82"/>
  <c r="H30" i="82"/>
  <c r="H13" i="63"/>
  <c r="AO15" i="63" s="1"/>
  <c r="CQ6" i="36"/>
  <c r="CW6" i="36"/>
  <c r="CV6" i="36"/>
  <c r="A23" i="38"/>
  <c r="A21" i="38"/>
  <c r="A22" i="38"/>
  <c r="S30" i="82" l="1"/>
  <c r="U30" i="82"/>
  <c r="BS23" i="38"/>
  <c r="B22" i="38"/>
  <c r="BS22" i="38"/>
  <c r="B21" i="38"/>
  <c r="BS24" i="38"/>
  <c r="B23" i="38"/>
  <c r="BE10" i="36"/>
  <c r="H31" i="82" l="1"/>
  <c r="H14" i="63"/>
  <c r="AO16" i="63" s="1"/>
  <c r="H33" i="82"/>
  <c r="H16" i="63"/>
  <c r="AO18" i="63" s="1"/>
  <c r="H32" i="82"/>
  <c r="H15" i="63"/>
  <c r="AO17" i="63" s="1"/>
  <c r="A24" i="38"/>
  <c r="A25" i="38"/>
  <c r="C39" i="36"/>
  <c r="BE34" i="36"/>
  <c r="BE33" i="36"/>
  <c r="BE32" i="36"/>
  <c r="BE31" i="36"/>
  <c r="BE30" i="36"/>
  <c r="BE29" i="36"/>
  <c r="BE28" i="36"/>
  <c r="BE27" i="36"/>
  <c r="BE26" i="36"/>
  <c r="BE25" i="36"/>
  <c r="BE24" i="36"/>
  <c r="BE23" i="36"/>
  <c r="BE22" i="36"/>
  <c r="BE21" i="36"/>
  <c r="BE20" i="36"/>
  <c r="BE19" i="36"/>
  <c r="BE18" i="36"/>
  <c r="BE17" i="36"/>
  <c r="BE16" i="36"/>
  <c r="BE15" i="36"/>
  <c r="BE14" i="36"/>
  <c r="BE13" i="36"/>
  <c r="BE12" i="36"/>
  <c r="BE11" i="36"/>
  <c r="BE9" i="36"/>
  <c r="BE8" i="36"/>
  <c r="BE7" i="36"/>
  <c r="BE6" i="36"/>
  <c r="BE5" i="36"/>
  <c r="M64" i="36" l="1"/>
  <c r="I26" i="86"/>
  <c r="E120" i="87" s="1"/>
  <c r="M17" i="36"/>
  <c r="E33" i="86" s="1"/>
  <c r="G33" i="86" s="1"/>
  <c r="J33" i="86" s="1"/>
  <c r="K58" i="61"/>
  <c r="K57" i="61"/>
  <c r="D56" i="63"/>
  <c r="D55" i="63"/>
  <c r="U32" i="82"/>
  <c r="S32" i="82"/>
  <c r="S31" i="82"/>
  <c r="U31" i="82"/>
  <c r="U33" i="82"/>
  <c r="S33" i="82"/>
  <c r="BS26" i="38"/>
  <c r="B25" i="38"/>
  <c r="AO20" i="76" s="1"/>
  <c r="BS25" i="38"/>
  <c r="B24" i="38"/>
  <c r="AO19" i="76" s="1"/>
  <c r="BZ47" i="38"/>
  <c r="BT47" i="38"/>
  <c r="I23" i="61"/>
  <c r="F30" i="61" s="1"/>
  <c r="M18" i="36"/>
  <c r="A26" i="38"/>
  <c r="M8" i="36"/>
  <c r="H34" i="82" l="1"/>
  <c r="H17" i="63"/>
  <c r="AO19" i="63" s="1"/>
  <c r="H35" i="82"/>
  <c r="H18" i="63"/>
  <c r="AO20" i="63" s="1"/>
  <c r="BS27" i="38"/>
  <c r="B26" i="38"/>
  <c r="AO21" i="76" s="1"/>
  <c r="E30" i="61"/>
  <c r="G30" i="61" s="1"/>
  <c r="J30" i="61" s="1"/>
  <c r="F31" i="61"/>
  <c r="F51" i="61"/>
  <c r="F41" i="61"/>
  <c r="G41" i="61" s="1"/>
  <c r="F38" i="61"/>
  <c r="G38" i="61" s="1"/>
  <c r="F36" i="61"/>
  <c r="G36" i="61" s="1"/>
  <c r="F28" i="61"/>
  <c r="F39" i="61"/>
  <c r="G39" i="61" s="1"/>
  <c r="F35" i="61"/>
  <c r="G35" i="61" s="1"/>
  <c r="F40" i="61"/>
  <c r="F29" i="61"/>
  <c r="F37" i="61"/>
  <c r="G37" i="61" s="1"/>
  <c r="A27" i="38"/>
  <c r="S34" i="82" l="1"/>
  <c r="U34" i="82"/>
  <c r="S35" i="82"/>
  <c r="U35" i="82"/>
  <c r="H36" i="82"/>
  <c r="H19" i="63"/>
  <c r="AO21" i="63" s="1"/>
  <c r="BS28" i="38"/>
  <c r="B27" i="38"/>
  <c r="I36" i="61"/>
  <c r="J36" i="61" s="1"/>
  <c r="I38" i="61"/>
  <c r="J38" i="61" s="1"/>
  <c r="I37" i="61"/>
  <c r="J37" i="61" s="1"/>
  <c r="I39" i="61"/>
  <c r="J39" i="61" s="1"/>
  <c r="I41" i="61"/>
  <c r="J41" i="61" s="1"/>
  <c r="I35" i="61"/>
  <c r="J35" i="61" s="1"/>
  <c r="G40" i="61"/>
  <c r="A28" i="38"/>
  <c r="U36" i="82" l="1"/>
  <c r="S36" i="82"/>
  <c r="H37" i="82"/>
  <c r="H20" i="63"/>
  <c r="AO22" i="63" s="1"/>
  <c r="BS29" i="38"/>
  <c r="B28" i="38"/>
  <c r="I40" i="61"/>
  <c r="J40" i="61" s="1"/>
  <c r="A29" i="38"/>
  <c r="U37" i="82" l="1"/>
  <c r="S37" i="82"/>
  <c r="H38" i="82"/>
  <c r="H21" i="63"/>
  <c r="AO23" i="63" s="1"/>
  <c r="BS30" i="38"/>
  <c r="B29" i="38"/>
  <c r="A30" i="38"/>
  <c r="S38" i="82" l="1"/>
  <c r="U38" i="82"/>
  <c r="H39" i="82"/>
  <c r="H22" i="63"/>
  <c r="AO24" i="63" s="1"/>
  <c r="BS31" i="38"/>
  <c r="B30" i="38"/>
  <c r="A31" i="38"/>
  <c r="S39" i="82" l="1"/>
  <c r="U39" i="82"/>
  <c r="H40" i="82"/>
  <c r="H23" i="63"/>
  <c r="AO25" i="63" s="1"/>
  <c r="BS32" i="38"/>
  <c r="B31" i="38"/>
  <c r="A32" i="38"/>
  <c r="U40" i="82" l="1"/>
  <c r="S40" i="82"/>
  <c r="H41" i="82"/>
  <c r="H24" i="63"/>
  <c r="AO26" i="63" s="1"/>
  <c r="BS33" i="38"/>
  <c r="B32" i="38"/>
  <c r="A34" i="38"/>
  <c r="U41" i="82" l="1"/>
  <c r="S41" i="82"/>
  <c r="H42" i="82"/>
  <c r="H25" i="63"/>
  <c r="AO27" i="63" s="1"/>
  <c r="BS35" i="38"/>
  <c r="B34" i="38"/>
  <c r="A35" i="38"/>
  <c r="S42" i="82" l="1"/>
  <c r="U42" i="82"/>
  <c r="H44" i="82"/>
  <c r="H27" i="63"/>
  <c r="AO29" i="63" s="1"/>
  <c r="BS36" i="38"/>
  <c r="B35" i="38"/>
  <c r="A36" i="38"/>
  <c r="U44" i="82" l="1"/>
  <c r="S44" i="82"/>
  <c r="H45" i="82"/>
  <c r="H28" i="63"/>
  <c r="AO30" i="63" s="1"/>
  <c r="BS37" i="38"/>
  <c r="B36" i="38"/>
  <c r="A37" i="38"/>
  <c r="U45" i="82" l="1"/>
  <c r="S45" i="82"/>
  <c r="H46" i="82"/>
  <c r="H29" i="63"/>
  <c r="AO31" i="63" s="1"/>
  <c r="BS38" i="38"/>
  <c r="B37" i="38"/>
  <c r="A38" i="38"/>
  <c r="S46" i="82" l="1"/>
  <c r="U46" i="82"/>
  <c r="H47" i="82"/>
  <c r="H30" i="63"/>
  <c r="AO32" i="63" s="1"/>
  <c r="BS39" i="38"/>
  <c r="B38" i="38"/>
  <c r="A39" i="38"/>
  <c r="S47" i="82" l="1"/>
  <c r="U47" i="82"/>
  <c r="H48" i="82"/>
  <c r="H31" i="63"/>
  <c r="AO33" i="63" s="1"/>
  <c r="BS40" i="38"/>
  <c r="B39" i="38"/>
  <c r="A40" i="38"/>
  <c r="U48" i="82" l="1"/>
  <c r="S48" i="82"/>
  <c r="H49" i="82"/>
  <c r="H32" i="63"/>
  <c r="AO34" i="63" s="1"/>
  <c r="BS41" i="38"/>
  <c r="B40" i="38"/>
  <c r="A41" i="38"/>
  <c r="U49" i="82" l="1"/>
  <c r="S49" i="82"/>
  <c r="H50" i="82"/>
  <c r="H33" i="63"/>
  <c r="AO35" i="63" s="1"/>
  <c r="BS42" i="38"/>
  <c r="B41" i="38"/>
  <c r="A42" i="38"/>
  <c r="S50" i="82" l="1"/>
  <c r="U50" i="82"/>
  <c r="H51" i="82"/>
  <c r="H34" i="63"/>
  <c r="AO36" i="63" s="1"/>
  <c r="BS43" i="38"/>
  <c r="B42" i="38"/>
  <c r="A43" i="38"/>
  <c r="S51" i="82" l="1"/>
  <c r="U51" i="82"/>
  <c r="H52" i="82"/>
  <c r="H35" i="63"/>
  <c r="AO37" i="63" s="1"/>
  <c r="H26" i="80"/>
  <c r="BS44" i="38"/>
  <c r="B43" i="38"/>
  <c r="A44" i="38"/>
  <c r="A45" i="38"/>
  <c r="U52" i="82" l="1"/>
  <c r="S52" i="82"/>
  <c r="H53" i="82"/>
  <c r="H36" i="63"/>
  <c r="AO38" i="63" s="1"/>
  <c r="BS45" i="38"/>
  <c r="B44" i="38"/>
  <c r="BS46" i="38"/>
  <c r="B45" i="38"/>
  <c r="S353" i="3"/>
  <c r="S354" i="3"/>
  <c r="S119" i="3"/>
  <c r="S293" i="3"/>
  <c r="S391" i="3"/>
  <c r="S392" i="3"/>
  <c r="S120" i="3"/>
  <c r="S360" i="3"/>
  <c r="S294" i="3"/>
  <c r="S361" i="3"/>
  <c r="S260" i="3"/>
  <c r="S241" i="3"/>
  <c r="S242" i="3"/>
  <c r="L10" i="76" l="1"/>
  <c r="AP12" i="76" s="1"/>
  <c r="L11" i="76"/>
  <c r="AP13" i="76" s="1"/>
  <c r="G12" i="76"/>
  <c r="AO14" i="76" s="1"/>
  <c r="G13" i="76"/>
  <c r="AO15" i="76" s="1"/>
  <c r="G15" i="76"/>
  <c r="AO17" i="76" s="1"/>
  <c r="G14" i="76"/>
  <c r="AO16" i="76" s="1"/>
  <c r="G16" i="76"/>
  <c r="AO18" i="76" s="1"/>
  <c r="G11" i="76"/>
  <c r="AO13" i="76" s="1"/>
  <c r="G10" i="76"/>
  <c r="AO12" i="76" s="1"/>
  <c r="U53" i="82"/>
  <c r="S53" i="82"/>
  <c r="H55" i="82"/>
  <c r="H38" i="63"/>
  <c r="AO40" i="63" s="1"/>
  <c r="H54" i="82"/>
  <c r="H37" i="63"/>
  <c r="AO39" i="63" s="1"/>
  <c r="S151" i="3"/>
  <c r="S305" i="3"/>
  <c r="S306" i="3"/>
  <c r="S320" i="3"/>
  <c r="S321" i="3"/>
  <c r="S93" i="3"/>
  <c r="S94" i="3"/>
  <c r="S202" i="3"/>
  <c r="S203" i="3"/>
  <c r="S179" i="3"/>
  <c r="S180" i="3"/>
  <c r="S382" i="3"/>
  <c r="S383" i="3"/>
  <c r="S161" i="3"/>
  <c r="S428" i="3"/>
  <c r="S427" i="3"/>
  <c r="S448" i="3"/>
  <c r="S449" i="3"/>
  <c r="AQ13" i="76" l="1"/>
  <c r="BJ13" i="76"/>
  <c r="BI13" i="76" s="1"/>
  <c r="AQ14" i="76"/>
  <c r="AQ12" i="76"/>
  <c r="BJ12" i="76"/>
  <c r="AR11" i="76"/>
  <c r="AU11" i="76" s="1"/>
  <c r="I26" i="81"/>
  <c r="I26" i="80" s="1"/>
  <c r="I36" i="81"/>
  <c r="K33" i="81"/>
  <c r="I31" i="81"/>
  <c r="I27" i="81"/>
  <c r="K36" i="81"/>
  <c r="K32" i="81"/>
  <c r="I30" i="81"/>
  <c r="K35" i="81"/>
  <c r="K31" i="81"/>
  <c r="I29" i="81"/>
  <c r="M30" i="81"/>
  <c r="K34" i="81"/>
  <c r="M36" i="81"/>
  <c r="K29" i="81"/>
  <c r="K30" i="81"/>
  <c r="M34" i="81"/>
  <c r="M35" i="81"/>
  <c r="I33" i="81"/>
  <c r="M26" i="81"/>
  <c r="M26" i="80" s="1"/>
  <c r="I28" i="81"/>
  <c r="M32" i="81"/>
  <c r="I34" i="81"/>
  <c r="M29" i="81"/>
  <c r="K28" i="81"/>
  <c r="I35" i="81"/>
  <c r="M33" i="81"/>
  <c r="M28" i="81"/>
  <c r="K27" i="81"/>
  <c r="I32" i="81"/>
  <c r="K26" i="81"/>
  <c r="K26" i="80" s="1"/>
  <c r="M27" i="81"/>
  <c r="M31" i="81"/>
  <c r="S55" i="82"/>
  <c r="U55" i="82"/>
  <c r="S54" i="82"/>
  <c r="U54" i="82"/>
  <c r="K20" i="82"/>
  <c r="S150" i="3"/>
  <c r="AS12" i="76" l="1"/>
  <c r="AR12" i="76"/>
  <c r="AS14" i="76"/>
  <c r="AR14" i="76"/>
  <c r="BI12" i="76"/>
  <c r="BL11" i="76"/>
  <c r="BN11" i="76" s="1"/>
  <c r="AW11" i="76" s="1"/>
  <c r="AS13" i="76"/>
  <c r="AU13" i="76" s="1"/>
  <c r="AR13" i="76"/>
  <c r="H27" i="83"/>
  <c r="D27" i="83"/>
  <c r="S8" i="3"/>
  <c r="S9" i="3"/>
  <c r="AU14" i="76" l="1"/>
  <c r="AU12" i="76"/>
  <c r="BK13" i="76"/>
  <c r="BK36" i="76"/>
  <c r="BK35" i="76"/>
  <c r="BK17" i="76"/>
  <c r="BK38" i="76"/>
  <c r="BK27" i="76"/>
  <c r="BK19" i="76"/>
  <c r="BK12" i="76"/>
  <c r="BK24" i="76"/>
  <c r="BK23" i="76"/>
  <c r="BK30" i="76"/>
  <c r="BK32" i="76"/>
  <c r="BK37" i="76"/>
  <c r="BK29" i="76"/>
  <c r="BK39" i="76"/>
  <c r="BK15" i="76"/>
  <c r="BK18" i="76"/>
  <c r="BK21" i="76"/>
  <c r="BK25" i="76"/>
  <c r="BK31" i="76"/>
  <c r="BK40" i="76"/>
  <c r="BK20" i="76"/>
  <c r="BK14" i="76"/>
  <c r="BK16" i="76"/>
  <c r="BK28" i="76"/>
  <c r="BK26" i="76"/>
  <c r="BK34" i="76"/>
  <c r="BK33" i="76"/>
  <c r="BK22" i="76"/>
  <c r="H2001" i="3"/>
  <c r="AU2001" i="3" s="1"/>
  <c r="I2001" i="3" s="1"/>
  <c r="H2002" i="3"/>
  <c r="AU2002" i="3" s="1"/>
  <c r="I2002" i="3" s="1"/>
  <c r="G2001" i="3"/>
  <c r="G2002" i="3"/>
  <c r="F2001" i="3"/>
  <c r="F2002" i="3"/>
  <c r="E2001" i="3"/>
  <c r="E2002" i="3"/>
  <c r="C2001" i="3"/>
  <c r="D2001" i="3" s="1"/>
  <c r="C2002" i="3"/>
  <c r="D2002" i="3" s="1"/>
  <c r="BL34" i="76" l="1"/>
  <c r="BM34" i="76"/>
  <c r="BN34" i="76" s="1"/>
  <c r="AW34" i="76" s="1"/>
  <c r="BL25" i="76"/>
  <c r="BM25" i="76"/>
  <c r="BN25" i="76" s="1"/>
  <c r="AW25" i="76" s="1"/>
  <c r="BM19" i="76"/>
  <c r="BN19" i="76" s="1"/>
  <c r="AW19" i="76" s="1"/>
  <c r="BL19" i="76"/>
  <c r="BL26" i="76"/>
  <c r="BM26" i="76"/>
  <c r="BN26" i="76" s="1"/>
  <c r="AW26" i="76" s="1"/>
  <c r="BL20" i="76"/>
  <c r="BM20" i="76"/>
  <c r="BN20" i="76" s="1"/>
  <c r="AW20" i="76" s="1"/>
  <c r="BM21" i="76"/>
  <c r="BN21" i="76" s="1"/>
  <c r="AW21" i="76" s="1"/>
  <c r="BL21" i="76"/>
  <c r="BM29" i="76"/>
  <c r="BN29" i="76" s="1"/>
  <c r="AW29" i="76" s="1"/>
  <c r="BL29" i="76"/>
  <c r="BL23" i="76"/>
  <c r="BM23" i="76"/>
  <c r="BN23" i="76" s="1"/>
  <c r="AW23" i="76" s="1"/>
  <c r="BL27" i="76"/>
  <c r="BM27" i="76"/>
  <c r="BN27" i="76" s="1"/>
  <c r="AW27" i="76" s="1"/>
  <c r="BM36" i="76"/>
  <c r="BN36" i="76" s="1"/>
  <c r="AW36" i="76" s="1"/>
  <c r="BL36" i="76"/>
  <c r="BM14" i="76"/>
  <c r="BL14" i="76"/>
  <c r="BM35" i="76"/>
  <c r="BN35" i="76" s="1"/>
  <c r="AW35" i="76" s="1"/>
  <c r="BL35" i="76"/>
  <c r="BM22" i="76"/>
  <c r="BN22" i="76" s="1"/>
  <c r="AW22" i="76" s="1"/>
  <c r="BL22" i="76"/>
  <c r="BM28" i="76"/>
  <c r="BN28" i="76" s="1"/>
  <c r="AW28" i="76" s="1"/>
  <c r="BL28" i="76"/>
  <c r="BM40" i="76"/>
  <c r="BN40" i="76" s="1"/>
  <c r="AW40" i="76" s="1"/>
  <c r="BL40" i="76"/>
  <c r="BM18" i="76"/>
  <c r="BN18" i="76" s="1"/>
  <c r="AW18" i="76" s="1"/>
  <c r="BL18" i="76"/>
  <c r="BM37" i="76"/>
  <c r="BN37" i="76" s="1"/>
  <c r="AW37" i="76" s="1"/>
  <c r="BL37" i="76"/>
  <c r="BL24" i="76"/>
  <c r="BM24" i="76"/>
  <c r="BN24" i="76" s="1"/>
  <c r="AW24" i="76" s="1"/>
  <c r="BL38" i="76"/>
  <c r="BM38" i="76"/>
  <c r="BN38" i="76" s="1"/>
  <c r="AW38" i="76" s="1"/>
  <c r="BL13" i="76"/>
  <c r="BM13" i="76"/>
  <c r="BN13" i="76" s="1"/>
  <c r="AW13" i="76" s="1"/>
  <c r="BL39" i="76"/>
  <c r="BM39" i="76"/>
  <c r="BN39" i="76" s="1"/>
  <c r="AW39" i="76" s="1"/>
  <c r="BL30" i="76"/>
  <c r="BM30" i="76"/>
  <c r="BN30" i="76" s="1"/>
  <c r="AW30" i="76" s="1"/>
  <c r="BL33" i="76"/>
  <c r="BM33" i="76"/>
  <c r="BN33" i="76" s="1"/>
  <c r="AW33" i="76" s="1"/>
  <c r="BL16" i="76"/>
  <c r="BM16" i="76"/>
  <c r="BN16" i="76" s="1"/>
  <c r="AW16" i="76" s="1"/>
  <c r="BM31" i="76"/>
  <c r="BN31" i="76" s="1"/>
  <c r="AW31" i="76" s="1"/>
  <c r="BL31" i="76"/>
  <c r="BM15" i="76"/>
  <c r="BN15" i="76" s="1"/>
  <c r="AW15" i="76" s="1"/>
  <c r="BL15" i="76"/>
  <c r="BM32" i="76"/>
  <c r="BN32" i="76" s="1"/>
  <c r="AW32" i="76" s="1"/>
  <c r="BL32" i="76"/>
  <c r="BM12" i="76"/>
  <c r="BN12" i="76" s="1"/>
  <c r="AW12" i="76" s="1"/>
  <c r="BL12" i="76"/>
  <c r="BM17" i="76"/>
  <c r="BN17" i="76" s="1"/>
  <c r="AW17" i="76" s="1"/>
  <c r="BL17" i="76"/>
  <c r="AT2001" i="3"/>
  <c r="AT2002" i="3"/>
  <c r="BN14" i="76" l="1"/>
  <c r="AW14" i="76" s="1"/>
  <c r="BA2001" i="3"/>
  <c r="BA2002" i="3"/>
  <c r="J2001" i="3" l="1"/>
  <c r="Q2002" i="3"/>
  <c r="Q2001" i="3"/>
  <c r="P2001" i="3" l="1"/>
  <c r="P2002" i="3"/>
  <c r="J2002" i="3"/>
  <c r="P24" i="80" l="1"/>
  <c r="R42" i="80"/>
  <c r="T18" i="80" s="1"/>
  <c r="R47" i="80"/>
  <c r="T23" i="80" s="1"/>
  <c r="R33" i="80"/>
  <c r="T9" i="80" s="1"/>
  <c r="R32" i="80"/>
  <c r="T8" i="80" s="1"/>
  <c r="R35" i="80"/>
  <c r="T11" i="80" s="1"/>
  <c r="R30" i="80"/>
  <c r="T6" i="80" s="1"/>
  <c r="R37" i="80"/>
  <c r="T13" i="80" s="1"/>
  <c r="R52" i="80"/>
  <c r="T28" i="80" s="1"/>
  <c r="R27" i="80"/>
  <c r="T3" i="80" s="1"/>
  <c r="R29" i="80"/>
  <c r="T5" i="80" s="1"/>
  <c r="R54" i="80"/>
  <c r="T30" i="80" s="1"/>
  <c r="R40" i="80"/>
  <c r="T16" i="80" s="1"/>
  <c r="R34" i="80"/>
  <c r="T10" i="80" s="1"/>
  <c r="R48" i="80"/>
  <c r="T24" i="80" s="1"/>
  <c r="R55" i="80"/>
  <c r="T31" i="80" s="1"/>
  <c r="R51" i="80"/>
  <c r="T27" i="80" s="1"/>
  <c r="R36" i="80"/>
  <c r="T12" i="80" s="1"/>
  <c r="R31" i="80"/>
  <c r="T7" i="80" s="1"/>
  <c r="R43" i="80"/>
  <c r="T19" i="80" s="1"/>
  <c r="R39" i="80"/>
  <c r="T15" i="80" s="1"/>
  <c r="R45" i="80"/>
  <c r="T21" i="80" s="1"/>
  <c r="R46" i="80"/>
  <c r="T22" i="80" s="1"/>
  <c r="R41" i="80"/>
  <c r="T17" i="80" s="1"/>
  <c r="R26" i="80"/>
  <c r="T2" i="80" s="1"/>
  <c r="R53" i="80"/>
  <c r="T29" i="80" s="1"/>
  <c r="R44" i="80"/>
  <c r="T20" i="80" s="1"/>
  <c r="R28" i="80"/>
  <c r="T4" i="80" s="1"/>
  <c r="R38" i="80"/>
  <c r="T14" i="80" s="1"/>
  <c r="R49" i="80"/>
  <c r="T25" i="80" s="1"/>
  <c r="R50" i="80"/>
  <c r="T26" i="80" s="1"/>
  <c r="P24" i="81"/>
  <c r="T26" i="81" l="1"/>
  <c r="T12" i="81" l="1"/>
  <c r="T9" i="81"/>
  <c r="T25" i="81"/>
  <c r="T3" i="81"/>
  <c r="T29" i="81"/>
  <c r="T22" i="81"/>
  <c r="T17" i="81"/>
  <c r="T4" i="81"/>
  <c r="T20" i="81"/>
  <c r="T8" i="81"/>
  <c r="T19" i="81"/>
  <c r="T14" i="81"/>
  <c r="T27" i="81"/>
  <c r="T10" i="81"/>
  <c r="T5" i="81"/>
  <c r="T15" i="81"/>
  <c r="T24" i="81"/>
  <c r="T23" i="81"/>
  <c r="T21" i="81"/>
  <c r="T16" i="81"/>
  <c r="T7" i="81"/>
  <c r="T31" i="81"/>
  <c r="T6" i="81"/>
  <c r="T13" i="81"/>
  <c r="T30" i="81"/>
  <c r="T11" i="81"/>
  <c r="T28" i="81"/>
  <c r="T2" i="81"/>
  <c r="T18" i="81"/>
  <c r="G38" i="36" l="1"/>
  <c r="CA46" i="38" s="1"/>
  <c r="CB46" i="38" s="1"/>
  <c r="CC46" i="38" s="1"/>
  <c r="G18" i="36"/>
  <c r="CA26" i="38" s="1"/>
  <c r="CB26" i="38" s="1"/>
  <c r="CC26" i="38" s="1"/>
  <c r="G19" i="36"/>
  <c r="CA27" i="38" s="1"/>
  <c r="CB27" i="38" s="1"/>
  <c r="CC27" i="38" s="1"/>
  <c r="G32" i="36"/>
  <c r="CA40" i="38" s="1"/>
  <c r="CB40" i="38" s="1"/>
  <c r="CC40" i="38" s="1"/>
  <c r="G36" i="36"/>
  <c r="CA44" i="38" s="1"/>
  <c r="CB44" i="38" s="1"/>
  <c r="CC44" i="38" s="1"/>
  <c r="G35" i="36"/>
  <c r="CA43" i="38" s="1"/>
  <c r="CB43" i="38" s="1"/>
  <c r="CC43" i="38" s="1"/>
  <c r="G23" i="36"/>
  <c r="CA31" i="38" s="1"/>
  <c r="CB31" i="38" s="1"/>
  <c r="CC31" i="38" s="1"/>
  <c r="G33" i="36"/>
  <c r="CA41" i="38" s="1"/>
  <c r="CB41" i="38" s="1"/>
  <c r="CC41" i="38" s="1"/>
  <c r="G20" i="36"/>
  <c r="CA28" i="38" s="1"/>
  <c r="CB28" i="38" s="1"/>
  <c r="CC28" i="38" s="1"/>
  <c r="G24" i="36"/>
  <c r="G21" i="36"/>
  <c r="CA29" i="38" s="1"/>
  <c r="CB29" i="38" s="1"/>
  <c r="CC29" i="38" s="1"/>
  <c r="G37" i="36"/>
  <c r="CA45" i="38" s="1"/>
  <c r="CB45" i="38" s="1"/>
  <c r="CC45" i="38" s="1"/>
  <c r="G25" i="36"/>
  <c r="F35" i="36" l="1"/>
  <c r="F34" i="36"/>
  <c r="F38" i="36"/>
  <c r="F36" i="36"/>
  <c r="E31" i="36"/>
  <c r="F21" i="36"/>
  <c r="F26" i="36"/>
  <c r="F28" i="36"/>
  <c r="F23" i="36"/>
  <c r="F31" i="36"/>
  <c r="E45" i="38"/>
  <c r="J38" i="63" s="1"/>
  <c r="E36" i="38"/>
  <c r="J29" i="63" s="1"/>
  <c r="E29" i="38"/>
  <c r="J22" i="63" s="1"/>
  <c r="E23" i="38"/>
  <c r="J16" i="63" s="1"/>
  <c r="E37" i="38"/>
  <c r="J30" i="63" s="1"/>
  <c r="E44" i="38"/>
  <c r="J37" i="63" s="1"/>
  <c r="E33" i="38"/>
  <c r="J26" i="63" s="1"/>
  <c r="E42" i="38"/>
  <c r="J35" i="63" s="1"/>
  <c r="E43" i="38"/>
  <c r="J36" i="63" s="1"/>
  <c r="E34" i="38"/>
  <c r="J27" i="63" s="1"/>
  <c r="E39" i="38"/>
  <c r="J32" i="63" s="1"/>
  <c r="E24" i="38"/>
  <c r="J17" i="63" s="1"/>
  <c r="E27" i="36"/>
  <c r="E28" i="36"/>
  <c r="E32" i="36"/>
  <c r="E35" i="36"/>
  <c r="E16" i="38"/>
  <c r="J9" i="63" s="1"/>
  <c r="E17" i="38"/>
  <c r="J10" i="63" s="1"/>
  <c r="E22" i="38"/>
  <c r="J15" i="63" s="1"/>
  <c r="E36" i="36"/>
  <c r="E29" i="36"/>
  <c r="E34" i="36"/>
  <c r="F32" i="36"/>
  <c r="F33" i="36"/>
  <c r="E18" i="36"/>
  <c r="E26" i="36"/>
  <c r="E20" i="36"/>
  <c r="E25" i="38"/>
  <c r="J18" i="63" s="1"/>
  <c r="E31" i="38"/>
  <c r="J24" i="63" s="1"/>
  <c r="E32" i="38"/>
  <c r="J25" i="63" s="1"/>
  <c r="E30" i="38"/>
  <c r="J23" i="63" s="1"/>
  <c r="E20" i="38"/>
  <c r="J13" i="63" s="1"/>
  <c r="E35" i="38"/>
  <c r="J28" i="63" s="1"/>
  <c r="E21" i="38"/>
  <c r="J14" i="63" s="1"/>
  <c r="E40" i="38"/>
  <c r="J33" i="63" s="1"/>
  <c r="E18" i="38"/>
  <c r="J11" i="63" s="1"/>
  <c r="E37" i="36"/>
  <c r="E21" i="36"/>
  <c r="E41" i="38"/>
  <c r="J34" i="63" s="1"/>
  <c r="E28" i="38"/>
  <c r="J21" i="63" s="1"/>
  <c r="F29" i="36"/>
  <c r="E24" i="36"/>
  <c r="E33" i="36"/>
  <c r="F37" i="36"/>
  <c r="F24" i="36"/>
  <c r="F27" i="36"/>
  <c r="E38" i="36"/>
  <c r="E23" i="36"/>
  <c r="AW28" i="38" l="1"/>
  <c r="O28" i="38"/>
  <c r="BD28" i="38"/>
  <c r="R28" i="38"/>
  <c r="O32" i="38"/>
  <c r="BD32" i="38"/>
  <c r="AW32" i="38"/>
  <c r="R32" i="38"/>
  <c r="R31" i="38"/>
  <c r="BD31" i="38"/>
  <c r="O31" i="38"/>
  <c r="AW31" i="38"/>
  <c r="BD24" i="38"/>
  <c r="R24" i="38"/>
  <c r="O24" i="38"/>
  <c r="AW24" i="38"/>
  <c r="O42" i="38"/>
  <c r="R42" i="38"/>
  <c r="AW42" i="38"/>
  <c r="BD42" i="38"/>
  <c r="R44" i="38"/>
  <c r="O44" i="38"/>
  <c r="AW44" i="38"/>
  <c r="BD44" i="38"/>
  <c r="AW36" i="38"/>
  <c r="R36" i="38"/>
  <c r="BD36" i="38"/>
  <c r="O36" i="38"/>
  <c r="O18" i="38"/>
  <c r="BD18" i="38"/>
  <c r="AW18" i="38"/>
  <c r="R18" i="38"/>
  <c r="R21" i="38"/>
  <c r="O21" i="38"/>
  <c r="BD21" i="38"/>
  <c r="AW21" i="38"/>
  <c r="O30" i="38"/>
  <c r="R30" i="38"/>
  <c r="AW30" i="38"/>
  <c r="BD30" i="38"/>
  <c r="R34" i="38"/>
  <c r="O34" i="38"/>
  <c r="AW34" i="38"/>
  <c r="BD34" i="38"/>
  <c r="O43" i="38"/>
  <c r="AW43" i="38"/>
  <c r="BD43" i="38"/>
  <c r="R43" i="38"/>
  <c r="R23" i="38"/>
  <c r="AW23" i="38"/>
  <c r="BD23" i="38"/>
  <c r="O23" i="38"/>
  <c r="BD41" i="38"/>
  <c r="AW41" i="38"/>
  <c r="R41" i="38"/>
  <c r="O41" i="38"/>
  <c r="R40" i="38"/>
  <c r="O40" i="38"/>
  <c r="AW40" i="38"/>
  <c r="BD40" i="38"/>
  <c r="BD35" i="38"/>
  <c r="AW35" i="38"/>
  <c r="O35" i="38"/>
  <c r="R35" i="38"/>
  <c r="AW20" i="38"/>
  <c r="O20" i="38"/>
  <c r="R20" i="38"/>
  <c r="BD20" i="38"/>
  <c r="AW25" i="38"/>
  <c r="BD25" i="38"/>
  <c r="R25" i="38"/>
  <c r="O25" i="38"/>
  <c r="BD22" i="38"/>
  <c r="AW22" i="38"/>
  <c r="R22" i="38"/>
  <c r="O22" i="38"/>
  <c r="BD16" i="38"/>
  <c r="O16" i="38"/>
  <c r="AW16" i="38"/>
  <c r="R16" i="38"/>
  <c r="O39" i="38"/>
  <c r="R39" i="38"/>
  <c r="BD39" i="38"/>
  <c r="AW39" i="38"/>
  <c r="BD33" i="38"/>
  <c r="R33" i="38"/>
  <c r="AW33" i="38"/>
  <c r="O33" i="38"/>
  <c r="R37" i="38"/>
  <c r="O37" i="38"/>
  <c r="AW37" i="38"/>
  <c r="BD37" i="38"/>
  <c r="O45" i="38"/>
  <c r="BD45" i="38"/>
  <c r="AW45" i="38"/>
  <c r="R45" i="38"/>
  <c r="AW17" i="38"/>
  <c r="O17" i="38"/>
  <c r="R17" i="38"/>
  <c r="BD17" i="38"/>
  <c r="O29" i="38"/>
  <c r="R29" i="38"/>
  <c r="AW29" i="38"/>
  <c r="BD29" i="38"/>
  <c r="AX29" i="38" l="1"/>
  <c r="AY29" i="38" s="1"/>
  <c r="AZ29" i="38" s="1"/>
  <c r="BA29" i="38" s="1"/>
  <c r="AV29" i="38"/>
  <c r="AV41" i="38"/>
  <c r="AX41" i="38"/>
  <c r="AY41" i="38" s="1"/>
  <c r="AZ41" i="38" s="1"/>
  <c r="BA41" i="38" s="1"/>
  <c r="AV21" i="38"/>
  <c r="AX21" i="38"/>
  <c r="AY21" i="38" s="1"/>
  <c r="AZ21" i="38" s="1"/>
  <c r="BA21" i="38" s="1"/>
  <c r="AX24" i="38"/>
  <c r="AY24" i="38" s="1"/>
  <c r="AZ24" i="38" s="1"/>
  <c r="BA24" i="38" s="1"/>
  <c r="AV24" i="38"/>
  <c r="AX17" i="38"/>
  <c r="AY17" i="38" s="1"/>
  <c r="AZ17" i="38" s="1"/>
  <c r="BA17" i="38" s="1"/>
  <c r="AV17" i="38"/>
  <c r="AX45" i="38"/>
  <c r="AY45" i="38" s="1"/>
  <c r="AZ45" i="38" s="1"/>
  <c r="BA45" i="38" s="1"/>
  <c r="AV45" i="38"/>
  <c r="AV39" i="38"/>
  <c r="AX39" i="38"/>
  <c r="AY39" i="38" s="1"/>
  <c r="AZ39" i="38" s="1"/>
  <c r="BA39" i="38" s="1"/>
  <c r="AV20" i="38"/>
  <c r="AX20" i="38"/>
  <c r="AY20" i="38" s="1"/>
  <c r="AZ20" i="38" s="1"/>
  <c r="BA20" i="38" s="1"/>
  <c r="AV34" i="38"/>
  <c r="AX34" i="38"/>
  <c r="AY34" i="38" s="1"/>
  <c r="AZ34" i="38" s="1"/>
  <c r="BA34" i="38" s="1"/>
  <c r="AX18" i="38"/>
  <c r="AY18" i="38" s="1"/>
  <c r="AZ18" i="38" s="1"/>
  <c r="BA18" i="38" s="1"/>
  <c r="AV18" i="38"/>
  <c r="AV36" i="38"/>
  <c r="AX36" i="38"/>
  <c r="AY36" i="38" s="1"/>
  <c r="AZ36" i="38" s="1"/>
  <c r="BA36" i="38" s="1"/>
  <c r="AX31" i="38"/>
  <c r="AY31" i="38" s="1"/>
  <c r="AZ31" i="38" s="1"/>
  <c r="BA31" i="38" s="1"/>
  <c r="AV31" i="38"/>
  <c r="AX37" i="38"/>
  <c r="AY37" i="38" s="1"/>
  <c r="AZ37" i="38" s="1"/>
  <c r="BA37" i="38" s="1"/>
  <c r="AV37" i="38"/>
  <c r="AX33" i="38"/>
  <c r="AY33" i="38" s="1"/>
  <c r="AZ33" i="38" s="1"/>
  <c r="BA33" i="38" s="1"/>
  <c r="AV33" i="38"/>
  <c r="AX16" i="38"/>
  <c r="AY16" i="38" s="1"/>
  <c r="AZ16" i="38" s="1"/>
  <c r="BA16" i="38" s="1"/>
  <c r="AV16" i="38"/>
  <c r="AV25" i="38"/>
  <c r="AX25" i="38"/>
  <c r="AY25" i="38" s="1"/>
  <c r="AZ25" i="38" s="1"/>
  <c r="BA25" i="38" s="1"/>
  <c r="AV35" i="38"/>
  <c r="AX35" i="38"/>
  <c r="AY35" i="38" s="1"/>
  <c r="AZ35" i="38" s="1"/>
  <c r="BA35" i="38" s="1"/>
  <c r="AX40" i="38"/>
  <c r="AY40" i="38" s="1"/>
  <c r="AZ40" i="38" s="1"/>
  <c r="BA40" i="38" s="1"/>
  <c r="AV40" i="38"/>
  <c r="AX23" i="38"/>
  <c r="AY23" i="38" s="1"/>
  <c r="AZ23" i="38" s="1"/>
  <c r="BA23" i="38" s="1"/>
  <c r="AV23" i="38"/>
  <c r="AV43" i="38"/>
  <c r="AX43" i="38"/>
  <c r="AY43" i="38" s="1"/>
  <c r="AZ43" i="38" s="1"/>
  <c r="BA43" i="38" s="1"/>
  <c r="AX44" i="38"/>
  <c r="AY44" i="38" s="1"/>
  <c r="AZ44" i="38" s="1"/>
  <c r="BA44" i="38" s="1"/>
  <c r="AV44" i="38"/>
  <c r="AX32" i="38"/>
  <c r="AY32" i="38" s="1"/>
  <c r="AZ32" i="38" s="1"/>
  <c r="BA32" i="38" s="1"/>
  <c r="AV32" i="38"/>
  <c r="AX22" i="38"/>
  <c r="AY22" i="38" s="1"/>
  <c r="AZ22" i="38" s="1"/>
  <c r="BA22" i="38" s="1"/>
  <c r="AV22" i="38"/>
  <c r="AX30" i="38"/>
  <c r="AY30" i="38" s="1"/>
  <c r="AZ30" i="38" s="1"/>
  <c r="BA30" i="38" s="1"/>
  <c r="AV30" i="38"/>
  <c r="AX42" i="38"/>
  <c r="AY42" i="38" s="1"/>
  <c r="AZ42" i="38" s="1"/>
  <c r="BA42" i="38" s="1"/>
  <c r="AV42" i="38"/>
  <c r="AX28" i="38"/>
  <c r="AY28" i="38" s="1"/>
  <c r="AZ28" i="38" s="1"/>
  <c r="BA28" i="38" s="1"/>
  <c r="AV28" i="38"/>
  <c r="BC16" i="38" l="1"/>
  <c r="K16" i="38" s="1"/>
  <c r="BB16" i="38"/>
  <c r="BB33" i="38"/>
  <c r="BC33" i="38"/>
  <c r="K33" i="38" s="1"/>
  <c r="BC31" i="38"/>
  <c r="K31" i="38" s="1"/>
  <c r="BB31" i="38"/>
  <c r="BB17" i="38"/>
  <c r="BC17" i="38"/>
  <c r="K17" i="38" s="1"/>
  <c r="BC24" i="38"/>
  <c r="K24" i="38" s="1"/>
  <c r="BB24" i="38"/>
  <c r="BC29" i="38"/>
  <c r="K29" i="38" s="1"/>
  <c r="BB29" i="38"/>
  <c r="BB28" i="38"/>
  <c r="BC28" i="38"/>
  <c r="K28" i="38" s="1"/>
  <c r="BC30" i="38"/>
  <c r="K30" i="38" s="1"/>
  <c r="BB30" i="38"/>
  <c r="BB44" i="38"/>
  <c r="BC44" i="38"/>
  <c r="K44" i="38" s="1"/>
  <c r="BC25" i="38"/>
  <c r="K25" i="38" s="1"/>
  <c r="BB25" i="38"/>
  <c r="BB20" i="38"/>
  <c r="BC20" i="38"/>
  <c r="K20" i="38" s="1"/>
  <c r="BB21" i="38"/>
  <c r="BC21" i="38"/>
  <c r="K21" i="38" s="1"/>
  <c r="BC41" i="38"/>
  <c r="K41" i="38" s="1"/>
  <c r="BB41" i="38"/>
  <c r="BB22" i="38"/>
  <c r="BC22" i="38"/>
  <c r="K22" i="38" s="1"/>
  <c r="BB32" i="38"/>
  <c r="BC32" i="38"/>
  <c r="K32" i="38" s="1"/>
  <c r="BB43" i="38"/>
  <c r="BC43" i="38"/>
  <c r="K43" i="38" s="1"/>
  <c r="BB42" i="38"/>
  <c r="BC42" i="38"/>
  <c r="K42" i="38" s="1"/>
  <c r="BC40" i="38"/>
  <c r="K40" i="38" s="1"/>
  <c r="BB40" i="38"/>
  <c r="BC37" i="38"/>
  <c r="K37" i="38" s="1"/>
  <c r="BB37" i="38"/>
  <c r="BB18" i="38"/>
  <c r="BC18" i="38"/>
  <c r="K18" i="38" s="1"/>
  <c r="BB45" i="38"/>
  <c r="BC45" i="38"/>
  <c r="K45" i="38" s="1"/>
  <c r="BB23" i="38"/>
  <c r="BC23" i="38"/>
  <c r="K23" i="38" s="1"/>
  <c r="BB35" i="38"/>
  <c r="BC35" i="38"/>
  <c r="K35" i="38" s="1"/>
  <c r="BC36" i="38"/>
  <c r="K36" i="38" s="1"/>
  <c r="BB36" i="38"/>
  <c r="BC34" i="38"/>
  <c r="K34" i="38" s="1"/>
  <c r="BB34" i="38"/>
  <c r="BC39" i="38"/>
  <c r="K39" i="38" s="1"/>
  <c r="BB39" i="38"/>
  <c r="E25" i="36" l="1"/>
  <c r="E22" i="36"/>
  <c r="G34" i="36" l="1"/>
  <c r="G31" i="36"/>
  <c r="CA39" i="38" s="1"/>
  <c r="CB39" i="38" s="1"/>
  <c r="CC39" i="38" s="1"/>
  <c r="CA32" i="38" l="1"/>
  <c r="CB32" i="38" s="1"/>
  <c r="CC32" i="38" s="1"/>
  <c r="CA42" i="38"/>
  <c r="CB42" i="38" s="1"/>
  <c r="CC42" i="38" s="1"/>
  <c r="E26" i="38"/>
  <c r="J19" i="63" s="1"/>
  <c r="E19" i="36" l="1"/>
  <c r="E30" i="36"/>
  <c r="AW26" i="38"/>
  <c r="O26" i="38"/>
  <c r="BD26" i="38"/>
  <c r="R26" i="38"/>
  <c r="E38" i="38"/>
  <c r="E27" i="38"/>
  <c r="J20" i="63" s="1"/>
  <c r="E19" i="38"/>
  <c r="J12" i="63" s="1"/>
  <c r="O38" i="38" l="1"/>
  <c r="J31" i="63"/>
  <c r="R38" i="38"/>
  <c r="AW38" i="38"/>
  <c r="AV38" i="38" s="1"/>
  <c r="AX26" i="38"/>
  <c r="AY26" i="38" s="1"/>
  <c r="AZ26" i="38" s="1"/>
  <c r="BA26" i="38" s="1"/>
  <c r="AV26" i="38"/>
  <c r="BD38" i="38"/>
  <c r="AW27" i="38"/>
  <c r="R27" i="38"/>
  <c r="O27" i="38"/>
  <c r="BD27" i="38"/>
  <c r="BD19" i="38"/>
  <c r="AW19" i="38"/>
  <c r="R19" i="38"/>
  <c r="O19" i="38"/>
  <c r="AX38" i="38" l="1"/>
  <c r="AY38" i="38" s="1"/>
  <c r="AZ38" i="38" s="1"/>
  <c r="BA38" i="38" s="1"/>
  <c r="BB38" i="38" s="1"/>
  <c r="BC26" i="38"/>
  <c r="K26" i="38" s="1"/>
  <c r="BB26" i="38"/>
  <c r="AX27" i="38"/>
  <c r="AY27" i="38" s="1"/>
  <c r="AZ27" i="38" s="1"/>
  <c r="BA27" i="38" s="1"/>
  <c r="AV27" i="38"/>
  <c r="AX19" i="38"/>
  <c r="AY19" i="38" s="1"/>
  <c r="AZ19" i="38" s="1"/>
  <c r="BA19" i="38" s="1"/>
  <c r="AV19" i="38"/>
  <c r="BC38" i="38" l="1"/>
  <c r="K38" i="38" s="1"/>
  <c r="BB27" i="38"/>
  <c r="BC27" i="38"/>
  <c r="K27" i="38" s="1"/>
  <c r="BB19" i="38"/>
  <c r="BC19" i="38"/>
  <c r="K19" i="38" s="1"/>
  <c r="G28" i="36" l="1"/>
  <c r="CA36" i="38" s="1"/>
  <c r="CB36" i="38" s="1"/>
  <c r="CC36" i="38" s="1"/>
  <c r="G29" i="36"/>
  <c r="CA37" i="38" s="1"/>
  <c r="CB37" i="38" s="1"/>
  <c r="CC37" i="38" s="1"/>
  <c r="G27" i="36"/>
  <c r="CA35" i="38" s="1"/>
  <c r="CB35" i="38" s="1"/>
  <c r="CC35" i="38" s="1"/>
  <c r="G30" i="36"/>
  <c r="CA38" i="38" s="1"/>
  <c r="CB38" i="38" s="1"/>
  <c r="CC38" i="38" s="1"/>
  <c r="G22" i="36"/>
  <c r="CA34" i="38" l="1"/>
  <c r="CB34" i="38" s="1"/>
  <c r="CC34" i="38" s="1"/>
  <c r="CA30" i="38"/>
  <c r="CB30" i="38" s="1"/>
  <c r="CC30" i="38" s="1"/>
  <c r="H41" i="80" l="1"/>
  <c r="H31" i="80"/>
  <c r="H34" i="80"/>
  <c r="H28" i="80"/>
  <c r="H37" i="80"/>
  <c r="H55" i="80"/>
  <c r="H45" i="80"/>
  <c r="H40" i="80"/>
  <c r="H35" i="80"/>
  <c r="H54" i="80"/>
  <c r="H46" i="80"/>
  <c r="H44" i="80"/>
  <c r="H33" i="80"/>
  <c r="H38" i="80"/>
  <c r="H39" i="80"/>
  <c r="H52" i="80"/>
  <c r="H50" i="80"/>
  <c r="H47" i="80"/>
  <c r="H49" i="80"/>
  <c r="H48" i="80"/>
  <c r="H30" i="80"/>
  <c r="H42" i="80"/>
  <c r="H32" i="80"/>
  <c r="H53" i="80"/>
  <c r="H43" i="80"/>
  <c r="H29" i="80"/>
  <c r="H51" i="80"/>
  <c r="H36" i="80"/>
  <c r="K36" i="80" l="1"/>
  <c r="M36" i="80"/>
  <c r="I36" i="80"/>
  <c r="M48" i="80"/>
  <c r="K48" i="80"/>
  <c r="I48" i="80"/>
  <c r="M44" i="80"/>
  <c r="I44" i="80"/>
  <c r="K44" i="80"/>
  <c r="I28" i="80"/>
  <c r="M28" i="80"/>
  <c r="K28" i="80"/>
  <c r="K32" i="80"/>
  <c r="I32" i="80"/>
  <c r="M32" i="80"/>
  <c r="I46" i="80"/>
  <c r="M46" i="80"/>
  <c r="K46" i="80"/>
  <c r="M34" i="80"/>
  <c r="K34" i="80"/>
  <c r="I34" i="80"/>
  <c r="K29" i="80"/>
  <c r="M29" i="80"/>
  <c r="I29" i="80"/>
  <c r="I42" i="80"/>
  <c r="M42" i="80"/>
  <c r="K42" i="80"/>
  <c r="K47" i="80"/>
  <c r="I47" i="80"/>
  <c r="M47" i="80"/>
  <c r="I38" i="80"/>
  <c r="M38" i="80"/>
  <c r="K38" i="80"/>
  <c r="I54" i="80"/>
  <c r="M54" i="80"/>
  <c r="K54" i="80"/>
  <c r="K55" i="80"/>
  <c r="I55" i="80"/>
  <c r="M55" i="80"/>
  <c r="I31" i="80"/>
  <c r="M31" i="80"/>
  <c r="K31" i="80"/>
  <c r="M53" i="80"/>
  <c r="K53" i="80"/>
  <c r="I53" i="80"/>
  <c r="M52" i="80"/>
  <c r="I52" i="80"/>
  <c r="K52" i="80"/>
  <c r="M40" i="80"/>
  <c r="K40" i="80"/>
  <c r="I40" i="80"/>
  <c r="K51" i="80"/>
  <c r="M51" i="80"/>
  <c r="I51" i="80"/>
  <c r="K49" i="80"/>
  <c r="I49" i="80"/>
  <c r="M49" i="80"/>
  <c r="K39" i="80"/>
  <c r="I39" i="80"/>
  <c r="M39" i="80"/>
  <c r="M45" i="80"/>
  <c r="K45" i="80"/>
  <c r="I45" i="80"/>
  <c r="K43" i="80"/>
  <c r="M43" i="80"/>
  <c r="I43" i="80"/>
  <c r="I30" i="80"/>
  <c r="K30" i="80"/>
  <c r="M30" i="80"/>
  <c r="I50" i="80"/>
  <c r="M50" i="80"/>
  <c r="K50" i="80"/>
  <c r="I33" i="80"/>
  <c r="K33" i="80"/>
  <c r="M33" i="80"/>
  <c r="M35" i="80"/>
  <c r="K35" i="80"/>
  <c r="I35" i="80"/>
  <c r="M37" i="80"/>
  <c r="K37" i="80"/>
  <c r="I37" i="80"/>
  <c r="K41" i="80"/>
  <c r="I41" i="80"/>
  <c r="M41" i="80"/>
  <c r="H27" i="80"/>
  <c r="K20" i="81"/>
  <c r="M27" i="80" l="1"/>
  <c r="K27" i="80"/>
  <c r="I27" i="80"/>
  <c r="J20" i="80"/>
  <c r="CA33" i="38" l="1"/>
  <c r="CB33" i="38" s="1"/>
  <c r="CC33" i="38" s="1"/>
  <c r="K74" i="61" l="1"/>
  <c r="E14" i="36" l="1"/>
  <c r="E11" i="36"/>
  <c r="G26" i="36" l="1"/>
  <c r="F13" i="36" l="1"/>
  <c r="E12" i="36"/>
  <c r="E17" i="36"/>
  <c r="E10" i="36"/>
  <c r="E13" i="36"/>
  <c r="E15" i="36"/>
  <c r="G17" i="36"/>
  <c r="CA25" i="38" s="1"/>
  <c r="CB25" i="38" s="1"/>
  <c r="CC25" i="38" s="1"/>
  <c r="G13" i="36"/>
  <c r="CA21" i="38" s="1"/>
  <c r="CB21" i="38" s="1"/>
  <c r="CC21" i="38" s="1"/>
  <c r="E16" i="36"/>
  <c r="F10" i="36"/>
  <c r="G14" i="36"/>
  <c r="CA22" i="38" s="1"/>
  <c r="CB22" i="38" s="1"/>
  <c r="CC22" i="38" s="1"/>
  <c r="F15" i="36"/>
  <c r="G15" i="36"/>
  <c r="CA23" i="38" s="1"/>
  <c r="CB23" i="38" s="1"/>
  <c r="CC23" i="38" s="1"/>
  <c r="G11" i="36"/>
  <c r="CA19" i="38" s="1"/>
  <c r="CB19" i="38" s="1"/>
  <c r="CC19" i="38" s="1"/>
  <c r="G16" i="36"/>
  <c r="CA24" i="38" s="1"/>
  <c r="CB24" i="38" s="1"/>
  <c r="CC24" i="38" s="1"/>
  <c r="G12" i="36"/>
  <c r="CA20" i="38" s="1"/>
  <c r="CB20" i="38" s="1"/>
  <c r="CC20" i="38" s="1"/>
  <c r="G10" i="36"/>
  <c r="CA18" i="38" s="1"/>
  <c r="CB18" i="38" s="1"/>
  <c r="CC18" i="38" s="1"/>
  <c r="D71" i="36" l="1"/>
  <c r="D70" i="36"/>
  <c r="P88" i="36" l="1"/>
  <c r="F35" i="82"/>
  <c r="O74" i="36"/>
  <c r="F61" i="86"/>
  <c r="F36" i="82"/>
  <c r="F62" i="86"/>
  <c r="E63" i="86" l="1"/>
  <c r="E62" i="86"/>
  <c r="Q74" i="36"/>
  <c r="F1387" i="3" l="1"/>
  <c r="F1388" i="3"/>
  <c r="F1389" i="3"/>
  <c r="F1392" i="3"/>
  <c r="F1393" i="3"/>
  <c r="F1394" i="3"/>
  <c r="F1395" i="3"/>
  <c r="F1397" i="3"/>
  <c r="F1398" i="3"/>
  <c r="F1399" i="3"/>
  <c r="F1400" i="3"/>
  <c r="F1401" i="3"/>
  <c r="F1402" i="3"/>
  <c r="F1403" i="3"/>
  <c r="F1405" i="3"/>
  <c r="F1406" i="3"/>
  <c r="F1407" i="3"/>
  <c r="F1408" i="3"/>
  <c r="F1409" i="3"/>
  <c r="F1410" i="3"/>
  <c r="F1411" i="3"/>
  <c r="F1412" i="3"/>
  <c r="F1413" i="3"/>
  <c r="F1415" i="3"/>
  <c r="F1416" i="3"/>
  <c r="F1417" i="3"/>
  <c r="F1418" i="3"/>
  <c r="F1419" i="3"/>
  <c r="F1420" i="3"/>
  <c r="F1421" i="3"/>
  <c r="F1422" i="3"/>
  <c r="F1423" i="3"/>
  <c r="F1424" i="3"/>
  <c r="F1425" i="3"/>
  <c r="F1426" i="3"/>
  <c r="F1427" i="3"/>
  <c r="F1428" i="3"/>
  <c r="F1429" i="3"/>
  <c r="F1430" i="3"/>
  <c r="F1431" i="3"/>
  <c r="F1432" i="3"/>
  <c r="F1433" i="3"/>
  <c r="F1434" i="3"/>
  <c r="F1435" i="3"/>
  <c r="F1436" i="3"/>
  <c r="F1437" i="3"/>
  <c r="F1438" i="3"/>
  <c r="F1439" i="3"/>
  <c r="F1440" i="3"/>
  <c r="F1441" i="3"/>
  <c r="F1442" i="3"/>
  <c r="F1443" i="3"/>
  <c r="F1445" i="3"/>
  <c r="F1446" i="3"/>
  <c r="F1447" i="3"/>
  <c r="F1448" i="3"/>
  <c r="F1449" i="3"/>
  <c r="F1451" i="3"/>
  <c r="F1452" i="3"/>
  <c r="F1453" i="3"/>
  <c r="F1454" i="3"/>
  <c r="F1457" i="3"/>
  <c r="F1458" i="3"/>
  <c r="F1460" i="3"/>
  <c r="F1461" i="3"/>
  <c r="F1463" i="3"/>
  <c r="F1464" i="3"/>
  <c r="F1466" i="3"/>
  <c r="F1467" i="3"/>
  <c r="F1468" i="3"/>
  <c r="F1469" i="3"/>
  <c r="F1471" i="3"/>
  <c r="F1472" i="3"/>
  <c r="F1473" i="3"/>
  <c r="F1475" i="3"/>
  <c r="F1478" i="3"/>
  <c r="F1479" i="3"/>
  <c r="F1481" i="3"/>
  <c r="F1482" i="3"/>
  <c r="F1483" i="3"/>
  <c r="F1484" i="3"/>
  <c r="F1485" i="3"/>
  <c r="F1486" i="3"/>
  <c r="F1487" i="3"/>
  <c r="F1488" i="3"/>
  <c r="F1489" i="3"/>
  <c r="F1490" i="3"/>
  <c r="F1491" i="3"/>
  <c r="F1492" i="3"/>
  <c r="F1493" i="3"/>
  <c r="F1494" i="3"/>
  <c r="F1495" i="3"/>
  <c r="F1496" i="3"/>
  <c r="F1497" i="3"/>
  <c r="F1498" i="3"/>
  <c r="F1499" i="3"/>
  <c r="F1500" i="3"/>
  <c r="F1501" i="3"/>
  <c r="F1502" i="3"/>
  <c r="F1503" i="3"/>
  <c r="F1504" i="3"/>
  <c r="F1506" i="3"/>
  <c r="F1507" i="3"/>
  <c r="F1508" i="3"/>
  <c r="F1509" i="3"/>
  <c r="F1511" i="3"/>
  <c r="F1513" i="3"/>
  <c r="F1514" i="3"/>
  <c r="F1515" i="3"/>
  <c r="F1516" i="3"/>
  <c r="F1518" i="3"/>
  <c r="F1519" i="3"/>
  <c r="F1520" i="3"/>
  <c r="F1521" i="3"/>
  <c r="F1522" i="3"/>
  <c r="F1523" i="3"/>
  <c r="F1524" i="3"/>
  <c r="F1525" i="3"/>
  <c r="F1526" i="3"/>
  <c r="F1527" i="3"/>
  <c r="F1528" i="3"/>
  <c r="F1529" i="3"/>
  <c r="F1530" i="3"/>
  <c r="F1531" i="3"/>
  <c r="F1532" i="3"/>
  <c r="F1533" i="3"/>
  <c r="F1534" i="3"/>
  <c r="F1535" i="3"/>
  <c r="F1536" i="3"/>
  <c r="F1537" i="3"/>
  <c r="F1538" i="3"/>
  <c r="F1540" i="3"/>
  <c r="F1541" i="3"/>
  <c r="F1542" i="3"/>
  <c r="F1543" i="3"/>
  <c r="F1544" i="3"/>
  <c r="F1545" i="3"/>
  <c r="F1547" i="3"/>
  <c r="F1548" i="3"/>
  <c r="F1549" i="3"/>
  <c r="F1550" i="3"/>
  <c r="F1551" i="3"/>
  <c r="F1552" i="3"/>
  <c r="F1553" i="3"/>
  <c r="F1554" i="3"/>
  <c r="F1555" i="3"/>
  <c r="F1556" i="3"/>
  <c r="F1557" i="3"/>
  <c r="F1558" i="3"/>
  <c r="F1559" i="3"/>
  <c r="F1560" i="3"/>
  <c r="F1561" i="3"/>
  <c r="F1562" i="3"/>
  <c r="F1563" i="3"/>
  <c r="F1564" i="3"/>
  <c r="F1565" i="3"/>
  <c r="F1566" i="3"/>
  <c r="F1567" i="3"/>
  <c r="F1568" i="3"/>
  <c r="F1570" i="3"/>
  <c r="F1571" i="3"/>
  <c r="F1572" i="3"/>
  <c r="F1573" i="3"/>
  <c r="F1574" i="3"/>
  <c r="F1575" i="3"/>
  <c r="F1577" i="3"/>
  <c r="F1579" i="3"/>
  <c r="F1580" i="3"/>
  <c r="F1581" i="3"/>
  <c r="F1582" i="3"/>
  <c r="F1584" i="3"/>
  <c r="F1586" i="3"/>
  <c r="F1587" i="3"/>
  <c r="F1588" i="3"/>
  <c r="F1589" i="3"/>
  <c r="F1591" i="3"/>
  <c r="F1592" i="3"/>
  <c r="F1593" i="3"/>
  <c r="F1594" i="3"/>
  <c r="F1595" i="3"/>
  <c r="F1596" i="3"/>
  <c r="F1597" i="3"/>
  <c r="F1598" i="3"/>
  <c r="F1599" i="3"/>
  <c r="F1600" i="3"/>
  <c r="F1601" i="3"/>
  <c r="F1602" i="3"/>
  <c r="F1603" i="3"/>
  <c r="F1604" i="3"/>
  <c r="F1605" i="3"/>
  <c r="F1607" i="3"/>
  <c r="F1608" i="3"/>
  <c r="F1609" i="3"/>
  <c r="F1610" i="3"/>
  <c r="F1611" i="3"/>
  <c r="F1612" i="3"/>
  <c r="F1614" i="3"/>
  <c r="F1615" i="3"/>
  <c r="F1616" i="3"/>
  <c r="F1617" i="3"/>
  <c r="F1618" i="3"/>
  <c r="F1619" i="3"/>
  <c r="F1620" i="3"/>
  <c r="F1621" i="3"/>
  <c r="F1622" i="3"/>
  <c r="F1623" i="3"/>
  <c r="F1624" i="3"/>
  <c r="F1625" i="3"/>
  <c r="F1626" i="3"/>
  <c r="F1627" i="3"/>
  <c r="F1628" i="3"/>
  <c r="F1629" i="3"/>
  <c r="F1630" i="3"/>
  <c r="F1631" i="3"/>
  <c r="F1632" i="3"/>
  <c r="F1633" i="3"/>
  <c r="F1634" i="3"/>
  <c r="F1635" i="3"/>
  <c r="F1636" i="3"/>
  <c r="F1637" i="3"/>
  <c r="F1638" i="3"/>
  <c r="F1639" i="3"/>
  <c r="F1640" i="3"/>
  <c r="F1641" i="3"/>
  <c r="F1642" i="3"/>
  <c r="F1643" i="3"/>
  <c r="F1644" i="3"/>
  <c r="F1645" i="3"/>
  <c r="F1646" i="3"/>
  <c r="F1647" i="3"/>
  <c r="F1648" i="3"/>
  <c r="F1649" i="3"/>
  <c r="F1650" i="3"/>
  <c r="F1651" i="3"/>
  <c r="F1652" i="3"/>
  <c r="F1653" i="3"/>
  <c r="F1654" i="3"/>
  <c r="F1655" i="3"/>
  <c r="F1656" i="3"/>
  <c r="F1657" i="3"/>
  <c r="F1658" i="3"/>
  <c r="F1659" i="3"/>
  <c r="F1660" i="3"/>
  <c r="F1661" i="3"/>
  <c r="F1662" i="3"/>
  <c r="F1663" i="3"/>
  <c r="F1664" i="3"/>
  <c r="F1665" i="3"/>
  <c r="F1666" i="3"/>
  <c r="F1667" i="3"/>
  <c r="F1668" i="3"/>
  <c r="F1669" i="3"/>
  <c r="F1670" i="3"/>
  <c r="F1671" i="3"/>
  <c r="F1672" i="3"/>
  <c r="F1673" i="3"/>
  <c r="F1674" i="3"/>
  <c r="F1675" i="3"/>
  <c r="F1676" i="3"/>
  <c r="F1677" i="3"/>
  <c r="F1678" i="3"/>
  <c r="F1679" i="3"/>
  <c r="F1680" i="3"/>
  <c r="F1681" i="3"/>
  <c r="F1682" i="3"/>
  <c r="F1683" i="3"/>
  <c r="F1684" i="3"/>
  <c r="F1685" i="3"/>
  <c r="F1686" i="3"/>
  <c r="F1687" i="3"/>
  <c r="F1688" i="3"/>
  <c r="F1689" i="3"/>
  <c r="F1690" i="3"/>
  <c r="F1691" i="3"/>
  <c r="F1692" i="3"/>
  <c r="F1693" i="3"/>
  <c r="F1694" i="3"/>
  <c r="F1695" i="3"/>
  <c r="F1696" i="3"/>
  <c r="F1697" i="3"/>
  <c r="F1698" i="3"/>
  <c r="F1699" i="3"/>
  <c r="F1700" i="3"/>
  <c r="F1701" i="3"/>
  <c r="F1702" i="3"/>
  <c r="F1703" i="3"/>
  <c r="F1704" i="3"/>
  <c r="F1705" i="3"/>
  <c r="F1706" i="3"/>
  <c r="F1707" i="3"/>
  <c r="F1708" i="3"/>
  <c r="F1709" i="3"/>
  <c r="F1710" i="3"/>
  <c r="F1711" i="3"/>
  <c r="F1712" i="3"/>
  <c r="F1713" i="3"/>
  <c r="F1714" i="3"/>
  <c r="F1715" i="3"/>
  <c r="F1716" i="3"/>
  <c r="F1717" i="3"/>
  <c r="F1718" i="3"/>
  <c r="F1719" i="3"/>
  <c r="F1720" i="3"/>
  <c r="F1721" i="3"/>
  <c r="F1722" i="3"/>
  <c r="F1723" i="3"/>
  <c r="F1724" i="3"/>
  <c r="F1725" i="3"/>
  <c r="F1726" i="3"/>
  <c r="F1727" i="3"/>
  <c r="F1728" i="3"/>
  <c r="F1729" i="3"/>
  <c r="F1730" i="3"/>
  <c r="F1731" i="3"/>
  <c r="F1732" i="3"/>
  <c r="F1733" i="3"/>
  <c r="F1734" i="3"/>
  <c r="F1735" i="3"/>
  <c r="F1736" i="3"/>
  <c r="F1737" i="3"/>
  <c r="F1738" i="3"/>
  <c r="F1739" i="3"/>
  <c r="F1740" i="3"/>
  <c r="F1741" i="3"/>
  <c r="F1742" i="3"/>
  <c r="F1743" i="3"/>
  <c r="F1744" i="3"/>
  <c r="F1745" i="3"/>
  <c r="F1746" i="3"/>
  <c r="F1747" i="3"/>
  <c r="F1748" i="3"/>
  <c r="F1749" i="3"/>
  <c r="F1750" i="3"/>
  <c r="F1751" i="3"/>
  <c r="F1752" i="3"/>
  <c r="F1753" i="3"/>
  <c r="F1754" i="3"/>
  <c r="F1755" i="3"/>
  <c r="F1756" i="3"/>
  <c r="F1757" i="3"/>
  <c r="F1758" i="3"/>
  <c r="F1759" i="3"/>
  <c r="F1760" i="3"/>
  <c r="F1761" i="3"/>
  <c r="F1762" i="3"/>
  <c r="F1763" i="3"/>
  <c r="F1764" i="3"/>
  <c r="F1765" i="3"/>
  <c r="F1766" i="3"/>
  <c r="F1767" i="3"/>
  <c r="F1768" i="3"/>
  <c r="F1769" i="3"/>
  <c r="F1770" i="3"/>
  <c r="F1771" i="3"/>
  <c r="F1772" i="3"/>
  <c r="F1773" i="3"/>
  <c r="F1774" i="3"/>
  <c r="F1775" i="3"/>
  <c r="F1776" i="3"/>
  <c r="F1777" i="3"/>
  <c r="F1778" i="3"/>
  <c r="F1779" i="3"/>
  <c r="F1780" i="3"/>
  <c r="F1781" i="3"/>
  <c r="F1782" i="3"/>
  <c r="F1783" i="3"/>
  <c r="F1784" i="3"/>
  <c r="F1785" i="3"/>
  <c r="F1786" i="3"/>
  <c r="F1787" i="3"/>
  <c r="F1788" i="3"/>
  <c r="F1789" i="3"/>
  <c r="F1790" i="3"/>
  <c r="F1791" i="3"/>
  <c r="F1792" i="3"/>
  <c r="F1793" i="3"/>
  <c r="F1794" i="3"/>
  <c r="F1795" i="3"/>
  <c r="F1796" i="3"/>
  <c r="F1797" i="3"/>
  <c r="F1798" i="3"/>
  <c r="F1799" i="3"/>
  <c r="F1800" i="3"/>
  <c r="F1801" i="3"/>
  <c r="F1802" i="3"/>
  <c r="F1803" i="3"/>
  <c r="F1804" i="3"/>
  <c r="F1805" i="3"/>
  <c r="F1806" i="3"/>
  <c r="F1807" i="3"/>
  <c r="F1808" i="3"/>
  <c r="F1809" i="3"/>
  <c r="F1810" i="3"/>
  <c r="F1811" i="3"/>
  <c r="F1812" i="3"/>
  <c r="F1813" i="3"/>
  <c r="F1814" i="3"/>
  <c r="F1815" i="3"/>
  <c r="F1816" i="3"/>
  <c r="F1817" i="3"/>
  <c r="F1818" i="3"/>
  <c r="F1819" i="3"/>
  <c r="F1820" i="3"/>
  <c r="F1821" i="3"/>
  <c r="F1822" i="3"/>
  <c r="F1823" i="3"/>
  <c r="F1824" i="3"/>
  <c r="F1825" i="3"/>
  <c r="F1826" i="3"/>
  <c r="F1827" i="3"/>
  <c r="F1828" i="3"/>
  <c r="F1829" i="3"/>
  <c r="F1830" i="3"/>
  <c r="F1831" i="3"/>
  <c r="F1832" i="3"/>
  <c r="F1833" i="3"/>
  <c r="F1834" i="3"/>
  <c r="F1835" i="3"/>
  <c r="F1836" i="3"/>
  <c r="F1837" i="3"/>
  <c r="F1838" i="3"/>
  <c r="F1839" i="3"/>
  <c r="F1840" i="3"/>
  <c r="F1841" i="3"/>
  <c r="F1842" i="3"/>
  <c r="F1843" i="3"/>
  <c r="F1844" i="3"/>
  <c r="F1845" i="3"/>
  <c r="F1846" i="3"/>
  <c r="F1847" i="3"/>
  <c r="F1848" i="3"/>
  <c r="F1849" i="3"/>
  <c r="F1850" i="3"/>
  <c r="F1851" i="3"/>
  <c r="F1852" i="3"/>
  <c r="F1853" i="3"/>
  <c r="F1854" i="3"/>
  <c r="F1855" i="3"/>
  <c r="F1856" i="3"/>
  <c r="F1857" i="3"/>
  <c r="F1858" i="3"/>
  <c r="F1859" i="3"/>
  <c r="F1860" i="3"/>
  <c r="F1861" i="3"/>
  <c r="F1862" i="3"/>
  <c r="F1863" i="3"/>
  <c r="F1864" i="3"/>
  <c r="F1865" i="3"/>
  <c r="F1866" i="3"/>
  <c r="F1867" i="3"/>
  <c r="F1868" i="3"/>
  <c r="F1869" i="3"/>
  <c r="F1870" i="3"/>
  <c r="F1871" i="3"/>
  <c r="F1872" i="3"/>
  <c r="F1873" i="3"/>
  <c r="F1874" i="3"/>
  <c r="F1875" i="3"/>
  <c r="F1876" i="3"/>
  <c r="F1877" i="3"/>
  <c r="F1878" i="3"/>
  <c r="F1879" i="3"/>
  <c r="F1880" i="3"/>
  <c r="F1881" i="3"/>
  <c r="F1882" i="3"/>
  <c r="F1883" i="3"/>
  <c r="F1884" i="3"/>
  <c r="F1885" i="3"/>
  <c r="F1886" i="3"/>
  <c r="F1887" i="3"/>
  <c r="F1888" i="3"/>
  <c r="F1889" i="3"/>
  <c r="F1890" i="3"/>
  <c r="F1891" i="3"/>
  <c r="F1892" i="3"/>
  <c r="F1893" i="3"/>
  <c r="F1894" i="3"/>
  <c r="F1895" i="3"/>
  <c r="F1896" i="3"/>
  <c r="F1897" i="3"/>
  <c r="F1898" i="3"/>
  <c r="F1899" i="3"/>
  <c r="F1900" i="3"/>
  <c r="F1901" i="3"/>
  <c r="F1902" i="3"/>
  <c r="F1903" i="3"/>
  <c r="F1904" i="3"/>
  <c r="F1905" i="3"/>
  <c r="F1906" i="3"/>
  <c r="F1907" i="3"/>
  <c r="F1908" i="3"/>
  <c r="F1909" i="3"/>
  <c r="F1910" i="3"/>
  <c r="F1911" i="3"/>
  <c r="F1912" i="3"/>
  <c r="F1913" i="3"/>
  <c r="F1914" i="3"/>
  <c r="F1915" i="3"/>
  <c r="F1916" i="3"/>
  <c r="F1917" i="3"/>
  <c r="F1918" i="3"/>
  <c r="F1919" i="3"/>
  <c r="F1920" i="3"/>
  <c r="F1921" i="3"/>
  <c r="F1922" i="3"/>
  <c r="F1923" i="3"/>
  <c r="F1924" i="3"/>
  <c r="F1925" i="3"/>
  <c r="F1926" i="3"/>
  <c r="F1927" i="3"/>
  <c r="F1928" i="3"/>
  <c r="F1929" i="3"/>
  <c r="F1930" i="3"/>
  <c r="F1931" i="3"/>
  <c r="F1932" i="3"/>
  <c r="F1933" i="3"/>
  <c r="F1934" i="3"/>
  <c r="F1935" i="3"/>
  <c r="F1936" i="3"/>
  <c r="F1937" i="3"/>
  <c r="F1938" i="3"/>
  <c r="F1939" i="3"/>
  <c r="F1940" i="3"/>
  <c r="F1941" i="3"/>
  <c r="F1942" i="3"/>
  <c r="F1943" i="3"/>
  <c r="F1944" i="3"/>
  <c r="F1945" i="3"/>
  <c r="F1946" i="3"/>
  <c r="F1947" i="3"/>
  <c r="F1948" i="3"/>
  <c r="F1949" i="3"/>
  <c r="F1950" i="3"/>
  <c r="F1951" i="3"/>
  <c r="F1952" i="3"/>
  <c r="F1953" i="3"/>
  <c r="F1954" i="3"/>
  <c r="F1955" i="3"/>
  <c r="F1956" i="3"/>
  <c r="F1957" i="3"/>
  <c r="F1958" i="3"/>
  <c r="F1959" i="3"/>
  <c r="F1960" i="3"/>
  <c r="F1961" i="3"/>
  <c r="F1962" i="3"/>
  <c r="F1963" i="3"/>
  <c r="F1964" i="3"/>
  <c r="F1965" i="3"/>
  <c r="F1966" i="3"/>
  <c r="F1967" i="3"/>
  <c r="F1968" i="3"/>
  <c r="F1969" i="3"/>
  <c r="F1970" i="3"/>
  <c r="F1971" i="3"/>
  <c r="F1972" i="3"/>
  <c r="F1973" i="3"/>
  <c r="F1974" i="3"/>
  <c r="F1975" i="3"/>
  <c r="F1976" i="3"/>
  <c r="F1977" i="3"/>
  <c r="F1978" i="3"/>
  <c r="F1979" i="3"/>
  <c r="F1980" i="3"/>
  <c r="F1981" i="3"/>
  <c r="F1982" i="3"/>
  <c r="F1983" i="3"/>
  <c r="F1984" i="3"/>
  <c r="F1985" i="3"/>
  <c r="F1986" i="3"/>
  <c r="F1987" i="3"/>
  <c r="F1988" i="3"/>
  <c r="F1989" i="3"/>
  <c r="F1990" i="3"/>
  <c r="F1991" i="3"/>
  <c r="F1992" i="3"/>
  <c r="F1993" i="3"/>
  <c r="F1994" i="3"/>
  <c r="F1995" i="3"/>
  <c r="F1996" i="3"/>
  <c r="F1997" i="3"/>
  <c r="F1998" i="3"/>
  <c r="F1999" i="3"/>
  <c r="F2000" i="3"/>
  <c r="F1613" i="3" l="1"/>
  <c r="F1590" i="3"/>
  <c r="F1585" i="3"/>
  <c r="F1576" i="3"/>
  <c r="F1546" i="3"/>
  <c r="F1517" i="3"/>
  <c r="F1512" i="3"/>
  <c r="F1480" i="3"/>
  <c r="F1476" i="3"/>
  <c r="F1465" i="3"/>
  <c r="F1462" i="3"/>
  <c r="F1396" i="3"/>
  <c r="B983" i="3" l="1"/>
  <c r="C983" i="3"/>
  <c r="D983" i="3" s="1"/>
  <c r="G983" i="3"/>
  <c r="B984" i="3"/>
  <c r="C984" i="3"/>
  <c r="D984" i="3" s="1"/>
  <c r="G984" i="3"/>
  <c r="B985" i="3"/>
  <c r="C985" i="3"/>
  <c r="D985" i="3" s="1"/>
  <c r="G985" i="3"/>
  <c r="B986" i="3"/>
  <c r="C986" i="3"/>
  <c r="D986" i="3" s="1"/>
  <c r="G986" i="3"/>
  <c r="H986" i="3"/>
  <c r="AU986" i="3" s="1"/>
  <c r="I986" i="3" s="1"/>
  <c r="B987" i="3"/>
  <c r="C987" i="3"/>
  <c r="D987" i="3" s="1"/>
  <c r="G987" i="3"/>
  <c r="H987" i="3"/>
  <c r="AU987" i="3" s="1"/>
  <c r="I987" i="3" s="1"/>
  <c r="B988" i="3"/>
  <c r="C988" i="3"/>
  <c r="D988" i="3" s="1"/>
  <c r="G988" i="3"/>
  <c r="H988" i="3"/>
  <c r="AU988" i="3" s="1"/>
  <c r="I988" i="3" s="1"/>
  <c r="B989" i="3"/>
  <c r="C989" i="3"/>
  <c r="D989" i="3" s="1"/>
  <c r="G989" i="3"/>
  <c r="B990" i="3"/>
  <c r="C990" i="3"/>
  <c r="D990" i="3" s="1"/>
  <c r="G990" i="3"/>
  <c r="H990" i="3"/>
  <c r="AU990" i="3" s="1"/>
  <c r="I990" i="3" s="1"/>
  <c r="B991" i="3"/>
  <c r="C991" i="3"/>
  <c r="D991" i="3" s="1"/>
  <c r="G991" i="3"/>
  <c r="H991" i="3"/>
  <c r="AU991" i="3" s="1"/>
  <c r="I991" i="3" s="1"/>
  <c r="B992" i="3"/>
  <c r="C992" i="3"/>
  <c r="D992" i="3" s="1"/>
  <c r="G992" i="3"/>
  <c r="H992" i="3"/>
  <c r="AU992" i="3" s="1"/>
  <c r="I992" i="3" s="1"/>
  <c r="B993" i="3"/>
  <c r="C993" i="3"/>
  <c r="D993" i="3" s="1"/>
  <c r="G993" i="3"/>
  <c r="H993" i="3"/>
  <c r="AU993" i="3" s="1"/>
  <c r="I993" i="3" s="1"/>
  <c r="B994" i="3"/>
  <c r="C994" i="3"/>
  <c r="D994" i="3" s="1"/>
  <c r="G994" i="3"/>
  <c r="H994" i="3"/>
  <c r="AU994" i="3" s="1"/>
  <c r="I994" i="3" s="1"/>
  <c r="B995" i="3"/>
  <c r="C995" i="3"/>
  <c r="D995" i="3" s="1"/>
  <c r="G995" i="3"/>
  <c r="B996" i="3"/>
  <c r="C996" i="3"/>
  <c r="D996" i="3" s="1"/>
  <c r="G996" i="3"/>
  <c r="H996" i="3"/>
  <c r="AU996" i="3" s="1"/>
  <c r="I996" i="3" s="1"/>
  <c r="B997" i="3"/>
  <c r="C997" i="3"/>
  <c r="D997" i="3" s="1"/>
  <c r="G997" i="3"/>
  <c r="H997" i="3"/>
  <c r="AU997" i="3" s="1"/>
  <c r="I997" i="3" s="1"/>
  <c r="B998" i="3"/>
  <c r="C998" i="3"/>
  <c r="D998" i="3" s="1"/>
  <c r="G998" i="3"/>
  <c r="H998" i="3"/>
  <c r="AU998" i="3" s="1"/>
  <c r="I998" i="3" s="1"/>
  <c r="B999" i="3"/>
  <c r="C999" i="3"/>
  <c r="D999" i="3" s="1"/>
  <c r="G999" i="3"/>
  <c r="H999" i="3"/>
  <c r="AU999" i="3" s="1"/>
  <c r="I999" i="3" s="1"/>
  <c r="B1000" i="3"/>
  <c r="C1000" i="3"/>
  <c r="D1000" i="3" s="1"/>
  <c r="G1000" i="3"/>
  <c r="H1000" i="3"/>
  <c r="AU1000" i="3" s="1"/>
  <c r="I1000" i="3" s="1"/>
  <c r="B1001" i="3"/>
  <c r="C1001" i="3"/>
  <c r="D1001" i="3" s="1"/>
  <c r="G1001" i="3"/>
  <c r="H1001" i="3"/>
  <c r="AU1001" i="3" s="1"/>
  <c r="I1001" i="3" s="1"/>
  <c r="B1002" i="3"/>
  <c r="C1002" i="3"/>
  <c r="D1002" i="3" s="1"/>
  <c r="G1002" i="3"/>
  <c r="H1002" i="3"/>
  <c r="AU1002" i="3" s="1"/>
  <c r="I1002" i="3" s="1"/>
  <c r="B1003" i="3"/>
  <c r="C1003" i="3"/>
  <c r="D1003" i="3" s="1"/>
  <c r="G1003" i="3"/>
  <c r="H1003" i="3"/>
  <c r="AU1003" i="3" s="1"/>
  <c r="I1003" i="3" s="1"/>
  <c r="B1004" i="3"/>
  <c r="C1004" i="3"/>
  <c r="D1004" i="3" s="1"/>
  <c r="G1004" i="3"/>
  <c r="H1004" i="3"/>
  <c r="AU1004" i="3" s="1"/>
  <c r="I1004" i="3" s="1"/>
  <c r="B1005" i="3"/>
  <c r="C1005" i="3"/>
  <c r="D1005" i="3" s="1"/>
  <c r="G1005" i="3"/>
  <c r="H1005" i="3"/>
  <c r="AU1005" i="3" s="1"/>
  <c r="I1005" i="3" s="1"/>
  <c r="B1006" i="3"/>
  <c r="C1006" i="3"/>
  <c r="D1006" i="3" s="1"/>
  <c r="G1006" i="3"/>
  <c r="H1006" i="3"/>
  <c r="AU1006" i="3" s="1"/>
  <c r="I1006" i="3" s="1"/>
  <c r="B1007" i="3"/>
  <c r="C1007" i="3"/>
  <c r="D1007" i="3" s="1"/>
  <c r="G1007" i="3"/>
  <c r="H1007" i="3"/>
  <c r="AU1007" i="3" s="1"/>
  <c r="I1007" i="3" s="1"/>
  <c r="B1008" i="3"/>
  <c r="C1008" i="3"/>
  <c r="D1008" i="3" s="1"/>
  <c r="G1008" i="3"/>
  <c r="H1008" i="3"/>
  <c r="AU1008" i="3" s="1"/>
  <c r="I1008" i="3" s="1"/>
  <c r="B1009" i="3"/>
  <c r="C1009" i="3"/>
  <c r="D1009" i="3" s="1"/>
  <c r="G1009" i="3"/>
  <c r="H1009" i="3"/>
  <c r="AU1009" i="3" s="1"/>
  <c r="I1009" i="3" s="1"/>
  <c r="B1010" i="3"/>
  <c r="C1010" i="3"/>
  <c r="D1010" i="3" s="1"/>
  <c r="E1010" i="3"/>
  <c r="G1010" i="3"/>
  <c r="H1010" i="3"/>
  <c r="AU1010" i="3" s="1"/>
  <c r="I1010" i="3" s="1"/>
  <c r="B1011" i="3"/>
  <c r="C1011" i="3"/>
  <c r="D1011" i="3" s="1"/>
  <c r="G1011" i="3"/>
  <c r="H1011" i="3"/>
  <c r="AU1011" i="3" s="1"/>
  <c r="I1011" i="3" s="1"/>
  <c r="B1012" i="3"/>
  <c r="C1012" i="3"/>
  <c r="D1012" i="3" s="1"/>
  <c r="G1012" i="3"/>
  <c r="H1012" i="3"/>
  <c r="AU1012" i="3" s="1"/>
  <c r="I1012" i="3" s="1"/>
  <c r="B1013" i="3"/>
  <c r="C1013" i="3"/>
  <c r="D1013" i="3" s="1"/>
  <c r="G1013" i="3"/>
  <c r="H1013" i="3"/>
  <c r="AU1013" i="3" s="1"/>
  <c r="I1013" i="3" s="1"/>
  <c r="B1014" i="3"/>
  <c r="C1014" i="3"/>
  <c r="D1014" i="3" s="1"/>
  <c r="G1014" i="3"/>
  <c r="H1014" i="3"/>
  <c r="AU1014" i="3" s="1"/>
  <c r="I1014" i="3" s="1"/>
  <c r="B1015" i="3"/>
  <c r="C1015" i="3"/>
  <c r="D1015" i="3" s="1"/>
  <c r="G1015" i="3"/>
  <c r="H1015" i="3"/>
  <c r="AU1015" i="3" s="1"/>
  <c r="I1015" i="3" s="1"/>
  <c r="B1016" i="3"/>
  <c r="C1016" i="3"/>
  <c r="D1016" i="3" s="1"/>
  <c r="G1016" i="3"/>
  <c r="H1016" i="3"/>
  <c r="AU1016" i="3" s="1"/>
  <c r="I1016" i="3" s="1"/>
  <c r="B1017" i="3"/>
  <c r="C1017" i="3"/>
  <c r="D1017" i="3" s="1"/>
  <c r="G1017" i="3"/>
  <c r="H1017" i="3"/>
  <c r="AU1017" i="3" s="1"/>
  <c r="I1017" i="3" s="1"/>
  <c r="B1018" i="3"/>
  <c r="C1018" i="3"/>
  <c r="D1018" i="3" s="1"/>
  <c r="G1018" i="3"/>
  <c r="H1018" i="3"/>
  <c r="AU1018" i="3" s="1"/>
  <c r="I1018" i="3" s="1"/>
  <c r="B1019" i="3"/>
  <c r="C1019" i="3"/>
  <c r="D1019" i="3" s="1"/>
  <c r="G1019" i="3"/>
  <c r="H1019" i="3"/>
  <c r="AU1019" i="3" s="1"/>
  <c r="I1019" i="3" s="1"/>
  <c r="B1020" i="3"/>
  <c r="C1020" i="3"/>
  <c r="D1020" i="3" s="1"/>
  <c r="G1020" i="3"/>
  <c r="H1020" i="3"/>
  <c r="AU1020" i="3" s="1"/>
  <c r="I1020" i="3" s="1"/>
  <c r="B1021" i="3"/>
  <c r="C1021" i="3"/>
  <c r="D1021" i="3" s="1"/>
  <c r="G1021" i="3"/>
  <c r="H1021" i="3"/>
  <c r="AU1021" i="3" s="1"/>
  <c r="I1021" i="3" s="1"/>
  <c r="B1022" i="3"/>
  <c r="C1022" i="3"/>
  <c r="D1022" i="3" s="1"/>
  <c r="G1022" i="3"/>
  <c r="H1022" i="3"/>
  <c r="AU1022" i="3" s="1"/>
  <c r="I1022" i="3" s="1"/>
  <c r="B1023" i="3"/>
  <c r="C1023" i="3"/>
  <c r="D1023" i="3" s="1"/>
  <c r="G1023" i="3"/>
  <c r="H1023" i="3"/>
  <c r="AU1023" i="3" s="1"/>
  <c r="I1023" i="3" s="1"/>
  <c r="B1024" i="3"/>
  <c r="C1024" i="3"/>
  <c r="D1024" i="3" s="1"/>
  <c r="G1024" i="3"/>
  <c r="B1025" i="3"/>
  <c r="C1025" i="3"/>
  <c r="D1025" i="3" s="1"/>
  <c r="G1025" i="3"/>
  <c r="H1025" i="3"/>
  <c r="AU1025" i="3" s="1"/>
  <c r="I1025" i="3" s="1"/>
  <c r="B1026" i="3"/>
  <c r="C1026" i="3"/>
  <c r="D1026" i="3" s="1"/>
  <c r="G1026" i="3"/>
  <c r="H1026" i="3"/>
  <c r="AU1026" i="3" s="1"/>
  <c r="I1026" i="3" s="1"/>
  <c r="B1027" i="3"/>
  <c r="C1027" i="3"/>
  <c r="D1027" i="3" s="1"/>
  <c r="G1027" i="3"/>
  <c r="H1027" i="3"/>
  <c r="AU1027" i="3" s="1"/>
  <c r="I1027" i="3" s="1"/>
  <c r="B1028" i="3"/>
  <c r="C1028" i="3"/>
  <c r="D1028" i="3" s="1"/>
  <c r="G1028" i="3"/>
  <c r="B1029" i="3"/>
  <c r="C1029" i="3"/>
  <c r="D1029" i="3" s="1"/>
  <c r="G1029" i="3"/>
  <c r="H1029" i="3"/>
  <c r="AU1029" i="3" s="1"/>
  <c r="I1029" i="3" s="1"/>
  <c r="B1030" i="3"/>
  <c r="C1030" i="3"/>
  <c r="D1030" i="3" s="1"/>
  <c r="G1030" i="3"/>
  <c r="H1030" i="3"/>
  <c r="AU1030" i="3" s="1"/>
  <c r="I1030" i="3" s="1"/>
  <c r="B1031" i="3"/>
  <c r="C1031" i="3"/>
  <c r="D1031" i="3" s="1"/>
  <c r="G1031" i="3"/>
  <c r="B1032" i="3"/>
  <c r="C1032" i="3"/>
  <c r="D1032" i="3" s="1"/>
  <c r="G1032" i="3"/>
  <c r="H1032" i="3"/>
  <c r="AU1032" i="3" s="1"/>
  <c r="I1032" i="3" s="1"/>
  <c r="B1033" i="3"/>
  <c r="C1033" i="3"/>
  <c r="D1033" i="3" s="1"/>
  <c r="G1033" i="3"/>
  <c r="H1033" i="3"/>
  <c r="AU1033" i="3" s="1"/>
  <c r="I1033" i="3" s="1"/>
  <c r="B1034" i="3"/>
  <c r="C1034" i="3"/>
  <c r="D1034" i="3" s="1"/>
  <c r="G1034" i="3"/>
  <c r="H1034" i="3"/>
  <c r="AU1034" i="3" s="1"/>
  <c r="I1034" i="3" s="1"/>
  <c r="B1035" i="3"/>
  <c r="C1035" i="3"/>
  <c r="D1035" i="3" s="1"/>
  <c r="G1035" i="3"/>
  <c r="H1035" i="3"/>
  <c r="AU1035" i="3" s="1"/>
  <c r="I1035" i="3" s="1"/>
  <c r="B1036" i="3"/>
  <c r="C1036" i="3"/>
  <c r="D1036" i="3" s="1"/>
  <c r="G1036" i="3"/>
  <c r="H1036" i="3"/>
  <c r="AU1036" i="3" s="1"/>
  <c r="I1036" i="3" s="1"/>
  <c r="B1037" i="3"/>
  <c r="C1037" i="3"/>
  <c r="D1037" i="3" s="1"/>
  <c r="G1037" i="3"/>
  <c r="H1037" i="3"/>
  <c r="AU1037" i="3" s="1"/>
  <c r="I1037" i="3" s="1"/>
  <c r="B1038" i="3"/>
  <c r="C1038" i="3"/>
  <c r="D1038" i="3" s="1"/>
  <c r="G1038" i="3"/>
  <c r="H1038" i="3"/>
  <c r="AU1038" i="3" s="1"/>
  <c r="I1038" i="3" s="1"/>
  <c r="B1039" i="3"/>
  <c r="C1039" i="3"/>
  <c r="D1039" i="3" s="1"/>
  <c r="G1039" i="3"/>
  <c r="B1040" i="3"/>
  <c r="C1040" i="3"/>
  <c r="D1040" i="3" s="1"/>
  <c r="G1040" i="3"/>
  <c r="H1040" i="3"/>
  <c r="AU1040" i="3" s="1"/>
  <c r="I1040" i="3" s="1"/>
  <c r="B1041" i="3"/>
  <c r="C1041" i="3"/>
  <c r="D1041" i="3" s="1"/>
  <c r="G1041" i="3"/>
  <c r="H1041" i="3"/>
  <c r="AU1041" i="3" s="1"/>
  <c r="I1041" i="3" s="1"/>
  <c r="B1042" i="3"/>
  <c r="C1042" i="3"/>
  <c r="D1042" i="3" s="1"/>
  <c r="G1042" i="3"/>
  <c r="H1042" i="3"/>
  <c r="AU1042" i="3" s="1"/>
  <c r="I1042" i="3" s="1"/>
  <c r="B1043" i="3"/>
  <c r="C1043" i="3"/>
  <c r="D1043" i="3" s="1"/>
  <c r="G1043" i="3"/>
  <c r="H1043" i="3"/>
  <c r="AU1043" i="3" s="1"/>
  <c r="I1043" i="3" s="1"/>
  <c r="B1044" i="3"/>
  <c r="C1044" i="3"/>
  <c r="D1044" i="3" s="1"/>
  <c r="G1044" i="3"/>
  <c r="H1044" i="3"/>
  <c r="AU1044" i="3" s="1"/>
  <c r="I1044" i="3" s="1"/>
  <c r="B1045" i="3"/>
  <c r="C1045" i="3"/>
  <c r="D1045" i="3" s="1"/>
  <c r="G1045" i="3"/>
  <c r="H1045" i="3"/>
  <c r="AU1045" i="3" s="1"/>
  <c r="I1045" i="3" s="1"/>
  <c r="B1046" i="3"/>
  <c r="C1046" i="3"/>
  <c r="D1046" i="3" s="1"/>
  <c r="G1046" i="3"/>
  <c r="H1046" i="3"/>
  <c r="AU1046" i="3" s="1"/>
  <c r="I1046" i="3" s="1"/>
  <c r="B1047" i="3"/>
  <c r="C1047" i="3"/>
  <c r="D1047" i="3" s="1"/>
  <c r="G1047" i="3"/>
  <c r="H1047" i="3"/>
  <c r="AU1047" i="3" s="1"/>
  <c r="I1047" i="3" s="1"/>
  <c r="B1048" i="3"/>
  <c r="C1048" i="3"/>
  <c r="D1048" i="3" s="1"/>
  <c r="G1048" i="3"/>
  <c r="H1048" i="3"/>
  <c r="AU1048" i="3" s="1"/>
  <c r="I1048" i="3" s="1"/>
  <c r="B1049" i="3"/>
  <c r="C1049" i="3"/>
  <c r="D1049" i="3" s="1"/>
  <c r="G1049" i="3"/>
  <c r="H1049" i="3"/>
  <c r="AU1049" i="3" s="1"/>
  <c r="I1049" i="3" s="1"/>
  <c r="B1050" i="3"/>
  <c r="C1050" i="3"/>
  <c r="D1050" i="3" s="1"/>
  <c r="G1050" i="3"/>
  <c r="H1050" i="3"/>
  <c r="AU1050" i="3" s="1"/>
  <c r="I1050" i="3" s="1"/>
  <c r="B1051" i="3"/>
  <c r="C1051" i="3"/>
  <c r="D1051" i="3" s="1"/>
  <c r="G1051" i="3"/>
  <c r="B1052" i="3"/>
  <c r="C1052" i="3"/>
  <c r="D1052" i="3" s="1"/>
  <c r="G1052" i="3"/>
  <c r="H1052" i="3"/>
  <c r="AU1052" i="3" s="1"/>
  <c r="I1052" i="3" s="1"/>
  <c r="B1053" i="3"/>
  <c r="C1053" i="3"/>
  <c r="D1053" i="3" s="1"/>
  <c r="G1053" i="3"/>
  <c r="H1053" i="3"/>
  <c r="AU1053" i="3" s="1"/>
  <c r="I1053" i="3" s="1"/>
  <c r="B1054" i="3"/>
  <c r="C1054" i="3"/>
  <c r="D1054" i="3" s="1"/>
  <c r="G1054" i="3"/>
  <c r="H1054" i="3"/>
  <c r="AU1054" i="3" s="1"/>
  <c r="I1054" i="3" s="1"/>
  <c r="B1055" i="3"/>
  <c r="C1055" i="3"/>
  <c r="D1055" i="3" s="1"/>
  <c r="G1055" i="3"/>
  <c r="H1055" i="3"/>
  <c r="AU1055" i="3" s="1"/>
  <c r="I1055" i="3" s="1"/>
  <c r="B1056" i="3"/>
  <c r="C1056" i="3"/>
  <c r="D1056" i="3" s="1"/>
  <c r="G1056" i="3"/>
  <c r="H1056" i="3"/>
  <c r="AU1056" i="3" s="1"/>
  <c r="I1056" i="3" s="1"/>
  <c r="B1057" i="3"/>
  <c r="C1057" i="3"/>
  <c r="D1057" i="3" s="1"/>
  <c r="G1057" i="3"/>
  <c r="H1057" i="3"/>
  <c r="AU1057" i="3" s="1"/>
  <c r="I1057" i="3" s="1"/>
  <c r="B1058" i="3"/>
  <c r="C1058" i="3"/>
  <c r="D1058" i="3" s="1"/>
  <c r="G1058" i="3"/>
  <c r="H1058" i="3"/>
  <c r="AU1058" i="3" s="1"/>
  <c r="I1058" i="3" s="1"/>
  <c r="B1059" i="3"/>
  <c r="C1059" i="3"/>
  <c r="D1059" i="3" s="1"/>
  <c r="G1059" i="3"/>
  <c r="H1059" i="3"/>
  <c r="AU1059" i="3" s="1"/>
  <c r="I1059" i="3" s="1"/>
  <c r="B1060" i="3"/>
  <c r="C1060" i="3"/>
  <c r="D1060" i="3" s="1"/>
  <c r="G1060" i="3"/>
  <c r="H1060" i="3"/>
  <c r="AU1060" i="3" s="1"/>
  <c r="I1060" i="3" s="1"/>
  <c r="B1061" i="3"/>
  <c r="C1061" i="3"/>
  <c r="D1061" i="3" s="1"/>
  <c r="G1061" i="3"/>
  <c r="H1061" i="3"/>
  <c r="AU1061" i="3" s="1"/>
  <c r="I1061" i="3" s="1"/>
  <c r="B1062" i="3"/>
  <c r="C1062" i="3"/>
  <c r="D1062" i="3" s="1"/>
  <c r="G1062" i="3"/>
  <c r="H1062" i="3"/>
  <c r="AU1062" i="3" s="1"/>
  <c r="I1062" i="3" s="1"/>
  <c r="B1063" i="3"/>
  <c r="C1063" i="3"/>
  <c r="D1063" i="3" s="1"/>
  <c r="G1063" i="3"/>
  <c r="H1063" i="3"/>
  <c r="AU1063" i="3" s="1"/>
  <c r="I1063" i="3" s="1"/>
  <c r="B1064" i="3"/>
  <c r="C1064" i="3"/>
  <c r="D1064" i="3" s="1"/>
  <c r="G1064" i="3"/>
  <c r="H1064" i="3"/>
  <c r="AU1064" i="3" s="1"/>
  <c r="I1064" i="3" s="1"/>
  <c r="B1065" i="3"/>
  <c r="C1065" i="3"/>
  <c r="D1065" i="3" s="1"/>
  <c r="G1065" i="3"/>
  <c r="H1065" i="3"/>
  <c r="AU1065" i="3" s="1"/>
  <c r="I1065" i="3" s="1"/>
  <c r="B1066" i="3"/>
  <c r="C1066" i="3"/>
  <c r="D1066" i="3" s="1"/>
  <c r="G1066" i="3"/>
  <c r="H1066" i="3"/>
  <c r="AU1066" i="3" s="1"/>
  <c r="I1066" i="3" s="1"/>
  <c r="B1067" i="3"/>
  <c r="C1067" i="3"/>
  <c r="D1067" i="3" s="1"/>
  <c r="G1067" i="3"/>
  <c r="H1067" i="3"/>
  <c r="AU1067" i="3" s="1"/>
  <c r="I1067" i="3" s="1"/>
  <c r="B1068" i="3"/>
  <c r="C1068" i="3"/>
  <c r="D1068" i="3" s="1"/>
  <c r="G1068" i="3"/>
  <c r="H1068" i="3"/>
  <c r="AU1068" i="3" s="1"/>
  <c r="I1068" i="3" s="1"/>
  <c r="B1069" i="3"/>
  <c r="C1069" i="3"/>
  <c r="D1069" i="3" s="1"/>
  <c r="G1069" i="3"/>
  <c r="H1069" i="3"/>
  <c r="AU1069" i="3" s="1"/>
  <c r="I1069" i="3" s="1"/>
  <c r="B1070" i="3"/>
  <c r="C1070" i="3"/>
  <c r="D1070" i="3" s="1"/>
  <c r="G1070" i="3"/>
  <c r="H1070" i="3"/>
  <c r="AU1070" i="3" s="1"/>
  <c r="I1070" i="3" s="1"/>
  <c r="B1071" i="3"/>
  <c r="C1071" i="3"/>
  <c r="D1071" i="3" s="1"/>
  <c r="G1071" i="3"/>
  <c r="H1071" i="3"/>
  <c r="AU1071" i="3" s="1"/>
  <c r="I1071" i="3" s="1"/>
  <c r="B1072" i="3"/>
  <c r="C1072" i="3"/>
  <c r="D1072" i="3" s="1"/>
  <c r="G1072" i="3"/>
  <c r="H1072" i="3"/>
  <c r="AU1072" i="3" s="1"/>
  <c r="I1072" i="3" s="1"/>
  <c r="B1073" i="3"/>
  <c r="C1073" i="3"/>
  <c r="D1073" i="3" s="1"/>
  <c r="G1073" i="3"/>
  <c r="H1073" i="3"/>
  <c r="AU1073" i="3" s="1"/>
  <c r="I1073" i="3" s="1"/>
  <c r="B1074" i="3"/>
  <c r="C1074" i="3"/>
  <c r="D1074" i="3" s="1"/>
  <c r="G1074" i="3"/>
  <c r="H1074" i="3"/>
  <c r="AU1074" i="3" s="1"/>
  <c r="I1074" i="3" s="1"/>
  <c r="B1075" i="3"/>
  <c r="C1075" i="3"/>
  <c r="D1075" i="3" s="1"/>
  <c r="G1075" i="3"/>
  <c r="H1075" i="3"/>
  <c r="AU1075" i="3" s="1"/>
  <c r="I1075" i="3" s="1"/>
  <c r="B1076" i="3"/>
  <c r="C1076" i="3"/>
  <c r="D1076" i="3" s="1"/>
  <c r="G1076" i="3"/>
  <c r="H1076" i="3"/>
  <c r="AU1076" i="3" s="1"/>
  <c r="I1076" i="3" s="1"/>
  <c r="B1077" i="3"/>
  <c r="C1077" i="3"/>
  <c r="D1077" i="3" s="1"/>
  <c r="G1077" i="3"/>
  <c r="H1077" i="3"/>
  <c r="AU1077" i="3" s="1"/>
  <c r="I1077" i="3" s="1"/>
  <c r="B1078" i="3"/>
  <c r="C1078" i="3"/>
  <c r="D1078" i="3" s="1"/>
  <c r="G1078" i="3"/>
  <c r="H1078" i="3"/>
  <c r="AU1078" i="3" s="1"/>
  <c r="I1078" i="3" s="1"/>
  <c r="B1079" i="3"/>
  <c r="C1079" i="3"/>
  <c r="D1079" i="3" s="1"/>
  <c r="G1079" i="3"/>
  <c r="H1079" i="3"/>
  <c r="AU1079" i="3" s="1"/>
  <c r="I1079" i="3" s="1"/>
  <c r="B1080" i="3"/>
  <c r="C1080" i="3"/>
  <c r="D1080" i="3" s="1"/>
  <c r="G1080" i="3"/>
  <c r="H1080" i="3"/>
  <c r="AU1080" i="3" s="1"/>
  <c r="I1080" i="3" s="1"/>
  <c r="B1081" i="3"/>
  <c r="C1081" i="3"/>
  <c r="D1081" i="3" s="1"/>
  <c r="G1081" i="3"/>
  <c r="H1081" i="3"/>
  <c r="AU1081" i="3" s="1"/>
  <c r="I1081" i="3" s="1"/>
  <c r="B1082" i="3"/>
  <c r="C1082" i="3"/>
  <c r="D1082" i="3" s="1"/>
  <c r="G1082" i="3"/>
  <c r="H1082" i="3"/>
  <c r="AU1082" i="3" s="1"/>
  <c r="I1082" i="3" s="1"/>
  <c r="B1083" i="3"/>
  <c r="C1083" i="3"/>
  <c r="D1083" i="3" s="1"/>
  <c r="G1083" i="3"/>
  <c r="H1083" i="3"/>
  <c r="AU1083" i="3" s="1"/>
  <c r="I1083" i="3" s="1"/>
  <c r="B1084" i="3"/>
  <c r="C1084" i="3"/>
  <c r="D1084" i="3" s="1"/>
  <c r="G1084" i="3"/>
  <c r="H1084" i="3"/>
  <c r="AU1084" i="3" s="1"/>
  <c r="I1084" i="3" s="1"/>
  <c r="B1085" i="3"/>
  <c r="C1085" i="3"/>
  <c r="D1085" i="3" s="1"/>
  <c r="G1085" i="3"/>
  <c r="H1085" i="3"/>
  <c r="AU1085" i="3" s="1"/>
  <c r="I1085" i="3" s="1"/>
  <c r="B1086" i="3"/>
  <c r="C1086" i="3"/>
  <c r="D1086" i="3" s="1"/>
  <c r="G1086" i="3"/>
  <c r="H1086" i="3"/>
  <c r="AU1086" i="3" s="1"/>
  <c r="I1086" i="3" s="1"/>
  <c r="B1087" i="3"/>
  <c r="C1087" i="3"/>
  <c r="D1087" i="3" s="1"/>
  <c r="G1087" i="3"/>
  <c r="H1087" i="3"/>
  <c r="AU1087" i="3" s="1"/>
  <c r="I1087" i="3" s="1"/>
  <c r="B1088" i="3"/>
  <c r="C1088" i="3"/>
  <c r="D1088" i="3" s="1"/>
  <c r="G1088" i="3"/>
  <c r="H1088" i="3"/>
  <c r="AU1088" i="3" s="1"/>
  <c r="I1088" i="3" s="1"/>
  <c r="B1089" i="3"/>
  <c r="C1089" i="3"/>
  <c r="D1089" i="3" s="1"/>
  <c r="G1089" i="3"/>
  <c r="H1089" i="3"/>
  <c r="AU1089" i="3" s="1"/>
  <c r="I1089" i="3" s="1"/>
  <c r="B1090" i="3"/>
  <c r="C1090" i="3"/>
  <c r="D1090" i="3" s="1"/>
  <c r="G1090" i="3"/>
  <c r="H1090" i="3"/>
  <c r="AU1090" i="3" s="1"/>
  <c r="I1090" i="3" s="1"/>
  <c r="B1091" i="3"/>
  <c r="C1091" i="3"/>
  <c r="D1091" i="3" s="1"/>
  <c r="G1091" i="3"/>
  <c r="H1091" i="3"/>
  <c r="AU1091" i="3" s="1"/>
  <c r="I1091" i="3" s="1"/>
  <c r="B1092" i="3"/>
  <c r="C1092" i="3"/>
  <c r="D1092" i="3" s="1"/>
  <c r="G1092" i="3"/>
  <c r="H1092" i="3"/>
  <c r="AU1092" i="3" s="1"/>
  <c r="I1092" i="3" s="1"/>
  <c r="B1093" i="3"/>
  <c r="C1093" i="3"/>
  <c r="D1093" i="3" s="1"/>
  <c r="G1093" i="3"/>
  <c r="H1093" i="3"/>
  <c r="AU1093" i="3" s="1"/>
  <c r="I1093" i="3" s="1"/>
  <c r="B1094" i="3"/>
  <c r="C1094" i="3"/>
  <c r="D1094" i="3" s="1"/>
  <c r="G1094" i="3"/>
  <c r="H1094" i="3"/>
  <c r="AU1094" i="3" s="1"/>
  <c r="I1094" i="3" s="1"/>
  <c r="B1095" i="3"/>
  <c r="C1095" i="3"/>
  <c r="D1095" i="3" s="1"/>
  <c r="G1095" i="3"/>
  <c r="H1095" i="3"/>
  <c r="AU1095" i="3" s="1"/>
  <c r="I1095" i="3" s="1"/>
  <c r="B1096" i="3"/>
  <c r="C1096" i="3"/>
  <c r="D1096" i="3" s="1"/>
  <c r="G1096" i="3"/>
  <c r="H1096" i="3"/>
  <c r="AU1096" i="3" s="1"/>
  <c r="I1096" i="3" s="1"/>
  <c r="B1097" i="3"/>
  <c r="C1097" i="3"/>
  <c r="D1097" i="3" s="1"/>
  <c r="G1097" i="3"/>
  <c r="H1097" i="3"/>
  <c r="AU1097" i="3" s="1"/>
  <c r="I1097" i="3" s="1"/>
  <c r="B1098" i="3"/>
  <c r="C1098" i="3"/>
  <c r="D1098" i="3" s="1"/>
  <c r="G1098" i="3"/>
  <c r="H1098" i="3"/>
  <c r="AU1098" i="3" s="1"/>
  <c r="I1098" i="3" s="1"/>
  <c r="B1099" i="3"/>
  <c r="C1099" i="3"/>
  <c r="D1099" i="3" s="1"/>
  <c r="G1099" i="3"/>
  <c r="H1099" i="3"/>
  <c r="AU1099" i="3" s="1"/>
  <c r="I1099" i="3" s="1"/>
  <c r="B1100" i="3"/>
  <c r="C1100" i="3"/>
  <c r="D1100" i="3" s="1"/>
  <c r="G1100" i="3"/>
  <c r="H1100" i="3"/>
  <c r="AU1100" i="3" s="1"/>
  <c r="I1100" i="3" s="1"/>
  <c r="B1101" i="3"/>
  <c r="C1101" i="3"/>
  <c r="D1101" i="3" s="1"/>
  <c r="G1101" i="3"/>
  <c r="H1101" i="3"/>
  <c r="AU1101" i="3" s="1"/>
  <c r="I1101" i="3" s="1"/>
  <c r="B1102" i="3"/>
  <c r="C1102" i="3"/>
  <c r="D1102" i="3" s="1"/>
  <c r="G1102" i="3"/>
  <c r="B1103" i="3"/>
  <c r="C1103" i="3"/>
  <c r="D1103" i="3" s="1"/>
  <c r="G1103" i="3"/>
  <c r="H1103" i="3"/>
  <c r="AU1103" i="3" s="1"/>
  <c r="I1103" i="3" s="1"/>
  <c r="B1104" i="3"/>
  <c r="C1104" i="3"/>
  <c r="D1104" i="3" s="1"/>
  <c r="G1104" i="3"/>
  <c r="H1104" i="3"/>
  <c r="AU1104" i="3" s="1"/>
  <c r="I1104" i="3" s="1"/>
  <c r="B1105" i="3"/>
  <c r="C1105" i="3"/>
  <c r="D1105" i="3" s="1"/>
  <c r="G1105" i="3"/>
  <c r="H1105" i="3"/>
  <c r="AU1105" i="3" s="1"/>
  <c r="I1105" i="3" s="1"/>
  <c r="B1106" i="3"/>
  <c r="C1106" i="3"/>
  <c r="D1106" i="3" s="1"/>
  <c r="G1106" i="3"/>
  <c r="B1107" i="3"/>
  <c r="C1107" i="3"/>
  <c r="D1107" i="3" s="1"/>
  <c r="G1107" i="3"/>
  <c r="H1107" i="3"/>
  <c r="AU1107" i="3" s="1"/>
  <c r="I1107" i="3" s="1"/>
  <c r="B1108" i="3"/>
  <c r="C1108" i="3"/>
  <c r="D1108" i="3" s="1"/>
  <c r="G1108" i="3"/>
  <c r="H1108" i="3"/>
  <c r="AU1108" i="3" s="1"/>
  <c r="I1108" i="3" s="1"/>
  <c r="B1109" i="3"/>
  <c r="C1109" i="3"/>
  <c r="D1109" i="3" s="1"/>
  <c r="G1109" i="3"/>
  <c r="H1109" i="3"/>
  <c r="AU1109" i="3" s="1"/>
  <c r="I1109" i="3" s="1"/>
  <c r="B1110" i="3"/>
  <c r="C1110" i="3"/>
  <c r="D1110" i="3" s="1"/>
  <c r="G1110" i="3"/>
  <c r="H1110" i="3"/>
  <c r="AU1110" i="3" s="1"/>
  <c r="I1110" i="3" s="1"/>
  <c r="B1111" i="3"/>
  <c r="C1111" i="3"/>
  <c r="D1111" i="3" s="1"/>
  <c r="G1111" i="3"/>
  <c r="H1111" i="3"/>
  <c r="AU1111" i="3" s="1"/>
  <c r="I1111" i="3" s="1"/>
  <c r="B1112" i="3"/>
  <c r="C1112" i="3"/>
  <c r="D1112" i="3" s="1"/>
  <c r="G1112" i="3"/>
  <c r="B1113" i="3"/>
  <c r="C1113" i="3"/>
  <c r="D1113" i="3" s="1"/>
  <c r="G1113" i="3"/>
  <c r="H1113" i="3"/>
  <c r="AU1113" i="3" s="1"/>
  <c r="I1113" i="3" s="1"/>
  <c r="B1114" i="3"/>
  <c r="C1114" i="3"/>
  <c r="D1114" i="3" s="1"/>
  <c r="G1114" i="3"/>
  <c r="H1114" i="3"/>
  <c r="AU1114" i="3" s="1"/>
  <c r="I1114" i="3" s="1"/>
  <c r="B1115" i="3"/>
  <c r="C1115" i="3"/>
  <c r="D1115" i="3" s="1"/>
  <c r="G1115" i="3"/>
  <c r="H1115" i="3"/>
  <c r="AU1115" i="3" s="1"/>
  <c r="I1115" i="3" s="1"/>
  <c r="B1116" i="3"/>
  <c r="C1116" i="3"/>
  <c r="D1116" i="3" s="1"/>
  <c r="G1116" i="3"/>
  <c r="H1116" i="3"/>
  <c r="AU1116" i="3" s="1"/>
  <c r="I1116" i="3" s="1"/>
  <c r="B1117" i="3"/>
  <c r="C1117" i="3"/>
  <c r="D1117" i="3" s="1"/>
  <c r="G1117" i="3"/>
  <c r="H1117" i="3"/>
  <c r="AU1117" i="3" s="1"/>
  <c r="I1117" i="3" s="1"/>
  <c r="B1118" i="3"/>
  <c r="C1118" i="3"/>
  <c r="D1118" i="3" s="1"/>
  <c r="G1118" i="3"/>
  <c r="H1118" i="3"/>
  <c r="AU1118" i="3" s="1"/>
  <c r="I1118" i="3" s="1"/>
  <c r="B1119" i="3"/>
  <c r="C1119" i="3"/>
  <c r="D1119" i="3" s="1"/>
  <c r="G1119" i="3"/>
  <c r="H1119" i="3"/>
  <c r="AU1119" i="3" s="1"/>
  <c r="I1119" i="3" s="1"/>
  <c r="B1120" i="3"/>
  <c r="C1120" i="3"/>
  <c r="D1120" i="3" s="1"/>
  <c r="G1120" i="3"/>
  <c r="H1120" i="3"/>
  <c r="AU1120" i="3" s="1"/>
  <c r="I1120" i="3" s="1"/>
  <c r="B1121" i="3"/>
  <c r="C1121" i="3"/>
  <c r="D1121" i="3" s="1"/>
  <c r="G1121" i="3"/>
  <c r="H1121" i="3"/>
  <c r="AU1121" i="3" s="1"/>
  <c r="I1121" i="3" s="1"/>
  <c r="B1122" i="3"/>
  <c r="C1122" i="3"/>
  <c r="D1122" i="3" s="1"/>
  <c r="G1122" i="3"/>
  <c r="H1122" i="3"/>
  <c r="AU1122" i="3" s="1"/>
  <c r="I1122" i="3" s="1"/>
  <c r="B1123" i="3"/>
  <c r="C1123" i="3"/>
  <c r="D1123" i="3" s="1"/>
  <c r="G1123" i="3"/>
  <c r="H1123" i="3"/>
  <c r="AU1123" i="3" s="1"/>
  <c r="I1123" i="3" s="1"/>
  <c r="B1124" i="3"/>
  <c r="C1124" i="3"/>
  <c r="D1124" i="3" s="1"/>
  <c r="G1124" i="3"/>
  <c r="H1124" i="3"/>
  <c r="AU1124" i="3" s="1"/>
  <c r="I1124" i="3" s="1"/>
  <c r="B1125" i="3"/>
  <c r="C1125" i="3"/>
  <c r="D1125" i="3" s="1"/>
  <c r="G1125" i="3"/>
  <c r="H1125" i="3"/>
  <c r="AU1125" i="3" s="1"/>
  <c r="I1125" i="3" s="1"/>
  <c r="B1126" i="3"/>
  <c r="C1126" i="3"/>
  <c r="D1126" i="3" s="1"/>
  <c r="G1126" i="3"/>
  <c r="H1126" i="3"/>
  <c r="AU1126" i="3" s="1"/>
  <c r="I1126" i="3" s="1"/>
  <c r="B1127" i="3"/>
  <c r="C1127" i="3"/>
  <c r="D1127" i="3" s="1"/>
  <c r="G1127" i="3"/>
  <c r="H1127" i="3"/>
  <c r="AU1127" i="3" s="1"/>
  <c r="I1127" i="3" s="1"/>
  <c r="B1128" i="3"/>
  <c r="C1128" i="3"/>
  <c r="D1128" i="3" s="1"/>
  <c r="G1128" i="3"/>
  <c r="H1128" i="3"/>
  <c r="AU1128" i="3" s="1"/>
  <c r="I1128" i="3" s="1"/>
  <c r="B1129" i="3"/>
  <c r="C1129" i="3"/>
  <c r="D1129" i="3" s="1"/>
  <c r="G1129" i="3"/>
  <c r="H1129" i="3"/>
  <c r="AU1129" i="3" s="1"/>
  <c r="I1129" i="3" s="1"/>
  <c r="B1130" i="3"/>
  <c r="C1130" i="3"/>
  <c r="D1130" i="3" s="1"/>
  <c r="G1130" i="3"/>
  <c r="H1130" i="3"/>
  <c r="AU1130" i="3" s="1"/>
  <c r="I1130" i="3" s="1"/>
  <c r="B1131" i="3"/>
  <c r="C1131" i="3"/>
  <c r="D1131" i="3" s="1"/>
  <c r="G1131" i="3"/>
  <c r="H1131" i="3"/>
  <c r="AU1131" i="3" s="1"/>
  <c r="I1131" i="3" s="1"/>
  <c r="B1132" i="3"/>
  <c r="C1132" i="3"/>
  <c r="D1132" i="3" s="1"/>
  <c r="G1132" i="3"/>
  <c r="H1132" i="3"/>
  <c r="AU1132" i="3" s="1"/>
  <c r="I1132" i="3" s="1"/>
  <c r="B1133" i="3"/>
  <c r="C1133" i="3"/>
  <c r="D1133" i="3" s="1"/>
  <c r="G1133" i="3"/>
  <c r="H1133" i="3"/>
  <c r="AU1133" i="3" s="1"/>
  <c r="I1133" i="3" s="1"/>
  <c r="B1134" i="3"/>
  <c r="C1134" i="3"/>
  <c r="D1134" i="3" s="1"/>
  <c r="G1134" i="3"/>
  <c r="H1134" i="3"/>
  <c r="AU1134" i="3" s="1"/>
  <c r="I1134" i="3" s="1"/>
  <c r="B1135" i="3"/>
  <c r="C1135" i="3"/>
  <c r="D1135" i="3" s="1"/>
  <c r="G1135" i="3"/>
  <c r="H1135" i="3"/>
  <c r="AU1135" i="3" s="1"/>
  <c r="I1135" i="3" s="1"/>
  <c r="B1136" i="3"/>
  <c r="C1136" i="3"/>
  <c r="D1136" i="3" s="1"/>
  <c r="G1136" i="3"/>
  <c r="H1136" i="3"/>
  <c r="AU1136" i="3" s="1"/>
  <c r="I1136" i="3" s="1"/>
  <c r="B1137" i="3"/>
  <c r="C1137" i="3"/>
  <c r="D1137" i="3" s="1"/>
  <c r="E1137" i="3"/>
  <c r="G1137" i="3"/>
  <c r="H1137" i="3"/>
  <c r="AU1137" i="3" s="1"/>
  <c r="I1137" i="3" s="1"/>
  <c r="B1138" i="3"/>
  <c r="C1138" i="3"/>
  <c r="D1138" i="3" s="1"/>
  <c r="G1138" i="3"/>
  <c r="H1138" i="3"/>
  <c r="AU1138" i="3" s="1"/>
  <c r="I1138" i="3" s="1"/>
  <c r="B1139" i="3"/>
  <c r="C1139" i="3"/>
  <c r="D1139" i="3" s="1"/>
  <c r="G1139" i="3"/>
  <c r="H1139" i="3"/>
  <c r="AU1139" i="3" s="1"/>
  <c r="I1139" i="3" s="1"/>
  <c r="B1140" i="3"/>
  <c r="C1140" i="3"/>
  <c r="D1140" i="3" s="1"/>
  <c r="G1140" i="3"/>
  <c r="H1140" i="3"/>
  <c r="AU1140" i="3" s="1"/>
  <c r="I1140" i="3" s="1"/>
  <c r="B1141" i="3"/>
  <c r="C1141" i="3"/>
  <c r="D1141" i="3" s="1"/>
  <c r="G1141" i="3"/>
  <c r="H1141" i="3"/>
  <c r="AU1141" i="3" s="1"/>
  <c r="I1141" i="3" s="1"/>
  <c r="B1142" i="3"/>
  <c r="C1142" i="3"/>
  <c r="D1142" i="3" s="1"/>
  <c r="G1142" i="3"/>
  <c r="H1142" i="3"/>
  <c r="AU1142" i="3" s="1"/>
  <c r="I1142" i="3" s="1"/>
  <c r="B1143" i="3"/>
  <c r="C1143" i="3"/>
  <c r="D1143" i="3" s="1"/>
  <c r="G1143" i="3"/>
  <c r="H1143" i="3"/>
  <c r="AU1143" i="3" s="1"/>
  <c r="I1143" i="3" s="1"/>
  <c r="B1144" i="3"/>
  <c r="C1144" i="3"/>
  <c r="D1144" i="3" s="1"/>
  <c r="G1144" i="3"/>
  <c r="H1144" i="3"/>
  <c r="AU1144" i="3" s="1"/>
  <c r="I1144" i="3" s="1"/>
  <c r="B1145" i="3"/>
  <c r="C1145" i="3"/>
  <c r="D1145" i="3" s="1"/>
  <c r="G1145" i="3"/>
  <c r="H1145" i="3"/>
  <c r="AU1145" i="3" s="1"/>
  <c r="I1145" i="3" s="1"/>
  <c r="B1146" i="3"/>
  <c r="C1146" i="3"/>
  <c r="D1146" i="3" s="1"/>
  <c r="G1146" i="3"/>
  <c r="H1146" i="3"/>
  <c r="AU1146" i="3" s="1"/>
  <c r="I1146" i="3" s="1"/>
  <c r="B1147" i="3"/>
  <c r="C1147" i="3"/>
  <c r="D1147" i="3" s="1"/>
  <c r="G1147" i="3"/>
  <c r="H1147" i="3"/>
  <c r="AU1147" i="3" s="1"/>
  <c r="I1147" i="3" s="1"/>
  <c r="B1148" i="3"/>
  <c r="C1148" i="3"/>
  <c r="D1148" i="3" s="1"/>
  <c r="G1148" i="3"/>
  <c r="H1148" i="3"/>
  <c r="AU1148" i="3" s="1"/>
  <c r="I1148" i="3" s="1"/>
  <c r="B1149" i="3"/>
  <c r="C1149" i="3"/>
  <c r="D1149" i="3" s="1"/>
  <c r="G1149" i="3"/>
  <c r="H1149" i="3"/>
  <c r="AU1149" i="3" s="1"/>
  <c r="I1149" i="3" s="1"/>
  <c r="B1150" i="3"/>
  <c r="C1150" i="3"/>
  <c r="D1150" i="3" s="1"/>
  <c r="G1150" i="3"/>
  <c r="H1150" i="3"/>
  <c r="AU1150" i="3" s="1"/>
  <c r="I1150" i="3" s="1"/>
  <c r="B1151" i="3"/>
  <c r="C1151" i="3"/>
  <c r="D1151" i="3" s="1"/>
  <c r="G1151" i="3"/>
  <c r="H1151" i="3"/>
  <c r="AU1151" i="3" s="1"/>
  <c r="I1151" i="3" s="1"/>
  <c r="B1152" i="3"/>
  <c r="C1152" i="3"/>
  <c r="D1152" i="3" s="1"/>
  <c r="G1152" i="3"/>
  <c r="H1152" i="3"/>
  <c r="AU1152" i="3" s="1"/>
  <c r="I1152" i="3" s="1"/>
  <c r="B1153" i="3"/>
  <c r="C1153" i="3"/>
  <c r="D1153" i="3" s="1"/>
  <c r="G1153" i="3"/>
  <c r="H1153" i="3"/>
  <c r="AU1153" i="3" s="1"/>
  <c r="I1153" i="3" s="1"/>
  <c r="B1154" i="3"/>
  <c r="C1154" i="3"/>
  <c r="D1154" i="3" s="1"/>
  <c r="G1154" i="3"/>
  <c r="H1154" i="3"/>
  <c r="AU1154" i="3" s="1"/>
  <c r="I1154" i="3" s="1"/>
  <c r="B1155" i="3"/>
  <c r="C1155" i="3"/>
  <c r="D1155" i="3" s="1"/>
  <c r="G1155" i="3"/>
  <c r="H1155" i="3"/>
  <c r="AU1155" i="3" s="1"/>
  <c r="I1155" i="3" s="1"/>
  <c r="B1156" i="3"/>
  <c r="C1156" i="3"/>
  <c r="D1156" i="3" s="1"/>
  <c r="G1156" i="3"/>
  <c r="H1156" i="3"/>
  <c r="AU1156" i="3" s="1"/>
  <c r="I1156" i="3" s="1"/>
  <c r="B1157" i="3"/>
  <c r="C1157" i="3"/>
  <c r="D1157" i="3" s="1"/>
  <c r="G1157" i="3"/>
  <c r="H1157" i="3"/>
  <c r="AU1157" i="3" s="1"/>
  <c r="I1157" i="3" s="1"/>
  <c r="B1158" i="3"/>
  <c r="C1158" i="3"/>
  <c r="D1158" i="3" s="1"/>
  <c r="G1158" i="3"/>
  <c r="H1158" i="3"/>
  <c r="AU1158" i="3" s="1"/>
  <c r="I1158" i="3" s="1"/>
  <c r="B1159" i="3"/>
  <c r="C1159" i="3"/>
  <c r="D1159" i="3" s="1"/>
  <c r="G1159" i="3"/>
  <c r="H1159" i="3"/>
  <c r="AU1159" i="3" s="1"/>
  <c r="I1159" i="3" s="1"/>
  <c r="B1160" i="3"/>
  <c r="C1160" i="3"/>
  <c r="D1160" i="3" s="1"/>
  <c r="G1160" i="3"/>
  <c r="H1160" i="3"/>
  <c r="AU1160" i="3" s="1"/>
  <c r="I1160" i="3" s="1"/>
  <c r="B1161" i="3"/>
  <c r="C1161" i="3"/>
  <c r="D1161" i="3" s="1"/>
  <c r="G1161" i="3"/>
  <c r="H1161" i="3"/>
  <c r="AU1161" i="3" s="1"/>
  <c r="I1161" i="3" s="1"/>
  <c r="B1162" i="3"/>
  <c r="C1162" i="3"/>
  <c r="D1162" i="3" s="1"/>
  <c r="G1162" i="3"/>
  <c r="H1162" i="3"/>
  <c r="AU1162" i="3" s="1"/>
  <c r="I1162" i="3" s="1"/>
  <c r="B1163" i="3"/>
  <c r="C1163" i="3"/>
  <c r="D1163" i="3" s="1"/>
  <c r="G1163" i="3"/>
  <c r="H1163" i="3"/>
  <c r="AU1163" i="3" s="1"/>
  <c r="I1163" i="3" s="1"/>
  <c r="B1164" i="3"/>
  <c r="C1164" i="3"/>
  <c r="D1164" i="3" s="1"/>
  <c r="G1164" i="3"/>
  <c r="H1164" i="3"/>
  <c r="AU1164" i="3" s="1"/>
  <c r="I1164" i="3" s="1"/>
  <c r="B1165" i="3"/>
  <c r="C1165" i="3"/>
  <c r="D1165" i="3" s="1"/>
  <c r="G1165" i="3"/>
  <c r="H1165" i="3"/>
  <c r="AU1165" i="3" s="1"/>
  <c r="I1165" i="3" s="1"/>
  <c r="B1166" i="3"/>
  <c r="C1166" i="3"/>
  <c r="D1166" i="3" s="1"/>
  <c r="G1166" i="3"/>
  <c r="H1166" i="3"/>
  <c r="AU1166" i="3" s="1"/>
  <c r="I1166" i="3" s="1"/>
  <c r="B1167" i="3"/>
  <c r="C1167" i="3"/>
  <c r="D1167" i="3" s="1"/>
  <c r="G1167" i="3"/>
  <c r="H1167" i="3"/>
  <c r="AU1167" i="3" s="1"/>
  <c r="I1167" i="3" s="1"/>
  <c r="B1168" i="3"/>
  <c r="C1168" i="3"/>
  <c r="D1168" i="3" s="1"/>
  <c r="G1168" i="3"/>
  <c r="H1168" i="3"/>
  <c r="AU1168" i="3" s="1"/>
  <c r="I1168" i="3" s="1"/>
  <c r="B1169" i="3"/>
  <c r="C1169" i="3"/>
  <c r="D1169" i="3" s="1"/>
  <c r="G1169" i="3"/>
  <c r="H1169" i="3"/>
  <c r="AU1169" i="3" s="1"/>
  <c r="I1169" i="3" s="1"/>
  <c r="B1170" i="3"/>
  <c r="C1170" i="3"/>
  <c r="D1170" i="3" s="1"/>
  <c r="G1170" i="3"/>
  <c r="H1170" i="3"/>
  <c r="AU1170" i="3" s="1"/>
  <c r="I1170" i="3" s="1"/>
  <c r="B1171" i="3"/>
  <c r="C1171" i="3"/>
  <c r="D1171" i="3" s="1"/>
  <c r="G1171" i="3"/>
  <c r="H1171" i="3"/>
  <c r="AU1171" i="3" s="1"/>
  <c r="I1171" i="3" s="1"/>
  <c r="B1172" i="3"/>
  <c r="C1172" i="3"/>
  <c r="D1172" i="3" s="1"/>
  <c r="G1172" i="3"/>
  <c r="H1172" i="3"/>
  <c r="AU1172" i="3" s="1"/>
  <c r="I1172" i="3" s="1"/>
  <c r="B1173" i="3"/>
  <c r="C1173" i="3"/>
  <c r="D1173" i="3" s="1"/>
  <c r="G1173" i="3"/>
  <c r="H1173" i="3"/>
  <c r="AU1173" i="3" s="1"/>
  <c r="I1173" i="3" s="1"/>
  <c r="B1174" i="3"/>
  <c r="C1174" i="3"/>
  <c r="D1174" i="3" s="1"/>
  <c r="G1174" i="3"/>
  <c r="H1174" i="3"/>
  <c r="AU1174" i="3" s="1"/>
  <c r="I1174" i="3" s="1"/>
  <c r="B1175" i="3"/>
  <c r="C1175" i="3"/>
  <c r="D1175" i="3" s="1"/>
  <c r="G1175" i="3"/>
  <c r="H1175" i="3"/>
  <c r="AU1175" i="3" s="1"/>
  <c r="I1175" i="3" s="1"/>
  <c r="B1176" i="3"/>
  <c r="C1176" i="3"/>
  <c r="D1176" i="3" s="1"/>
  <c r="G1176" i="3"/>
  <c r="H1176" i="3"/>
  <c r="AU1176" i="3" s="1"/>
  <c r="I1176" i="3" s="1"/>
  <c r="B1177" i="3"/>
  <c r="C1177" i="3"/>
  <c r="D1177" i="3" s="1"/>
  <c r="G1177" i="3"/>
  <c r="H1177" i="3"/>
  <c r="AU1177" i="3" s="1"/>
  <c r="I1177" i="3" s="1"/>
  <c r="B1178" i="3"/>
  <c r="C1178" i="3"/>
  <c r="D1178" i="3" s="1"/>
  <c r="G1178" i="3"/>
  <c r="H1178" i="3"/>
  <c r="AU1178" i="3" s="1"/>
  <c r="I1178" i="3" s="1"/>
  <c r="B1179" i="3"/>
  <c r="C1179" i="3"/>
  <c r="D1179" i="3" s="1"/>
  <c r="G1179" i="3"/>
  <c r="H1179" i="3"/>
  <c r="AU1179" i="3" s="1"/>
  <c r="I1179" i="3" s="1"/>
  <c r="B1180" i="3"/>
  <c r="C1180" i="3"/>
  <c r="D1180" i="3" s="1"/>
  <c r="G1180" i="3"/>
  <c r="B1181" i="3"/>
  <c r="C1181" i="3"/>
  <c r="D1181" i="3" s="1"/>
  <c r="G1181" i="3"/>
  <c r="H1181" i="3"/>
  <c r="AU1181" i="3" s="1"/>
  <c r="I1181" i="3" s="1"/>
  <c r="B1182" i="3"/>
  <c r="C1182" i="3"/>
  <c r="D1182" i="3" s="1"/>
  <c r="G1182" i="3"/>
  <c r="H1182" i="3"/>
  <c r="AU1182" i="3" s="1"/>
  <c r="I1182" i="3" s="1"/>
  <c r="B1183" i="3"/>
  <c r="C1183" i="3"/>
  <c r="D1183" i="3" s="1"/>
  <c r="G1183" i="3"/>
  <c r="H1183" i="3"/>
  <c r="AU1183" i="3" s="1"/>
  <c r="I1183" i="3" s="1"/>
  <c r="B1184" i="3"/>
  <c r="C1184" i="3"/>
  <c r="D1184" i="3" s="1"/>
  <c r="G1184" i="3"/>
  <c r="H1184" i="3"/>
  <c r="AU1184" i="3" s="1"/>
  <c r="I1184" i="3" s="1"/>
  <c r="B1185" i="3"/>
  <c r="C1185" i="3"/>
  <c r="D1185" i="3" s="1"/>
  <c r="G1185" i="3"/>
  <c r="H1185" i="3"/>
  <c r="AU1185" i="3" s="1"/>
  <c r="I1185" i="3" s="1"/>
  <c r="B1186" i="3"/>
  <c r="C1186" i="3"/>
  <c r="D1186" i="3" s="1"/>
  <c r="G1186" i="3"/>
  <c r="B1187" i="3"/>
  <c r="C1187" i="3"/>
  <c r="D1187" i="3" s="1"/>
  <c r="G1187" i="3"/>
  <c r="H1187" i="3"/>
  <c r="AU1187" i="3" s="1"/>
  <c r="I1187" i="3" s="1"/>
  <c r="B1188" i="3"/>
  <c r="C1188" i="3"/>
  <c r="D1188" i="3" s="1"/>
  <c r="G1188" i="3"/>
  <c r="H1188" i="3"/>
  <c r="AU1188" i="3" s="1"/>
  <c r="I1188" i="3" s="1"/>
  <c r="B1189" i="3"/>
  <c r="C1189" i="3"/>
  <c r="D1189" i="3" s="1"/>
  <c r="G1189" i="3"/>
  <c r="H1189" i="3"/>
  <c r="AU1189" i="3" s="1"/>
  <c r="I1189" i="3" s="1"/>
  <c r="B1190" i="3"/>
  <c r="C1190" i="3"/>
  <c r="D1190" i="3" s="1"/>
  <c r="G1190" i="3"/>
  <c r="H1190" i="3"/>
  <c r="AU1190" i="3" s="1"/>
  <c r="I1190" i="3" s="1"/>
  <c r="B1191" i="3"/>
  <c r="C1191" i="3"/>
  <c r="D1191" i="3" s="1"/>
  <c r="G1191" i="3"/>
  <c r="H1191" i="3"/>
  <c r="AU1191" i="3" s="1"/>
  <c r="I1191" i="3" s="1"/>
  <c r="B1192" i="3"/>
  <c r="C1192" i="3"/>
  <c r="D1192" i="3" s="1"/>
  <c r="G1192" i="3"/>
  <c r="H1192" i="3"/>
  <c r="AU1192" i="3" s="1"/>
  <c r="I1192" i="3" s="1"/>
  <c r="B1193" i="3"/>
  <c r="C1193" i="3"/>
  <c r="D1193" i="3" s="1"/>
  <c r="G1193" i="3"/>
  <c r="H1193" i="3"/>
  <c r="AU1193" i="3" s="1"/>
  <c r="I1193" i="3" s="1"/>
  <c r="B1194" i="3"/>
  <c r="C1194" i="3"/>
  <c r="D1194" i="3" s="1"/>
  <c r="G1194" i="3"/>
  <c r="H1194" i="3"/>
  <c r="AU1194" i="3" s="1"/>
  <c r="I1194" i="3" s="1"/>
  <c r="B1195" i="3"/>
  <c r="C1195" i="3"/>
  <c r="D1195" i="3" s="1"/>
  <c r="G1195" i="3"/>
  <c r="H1195" i="3"/>
  <c r="AU1195" i="3" s="1"/>
  <c r="I1195" i="3" s="1"/>
  <c r="B1196" i="3"/>
  <c r="C1196" i="3"/>
  <c r="D1196" i="3" s="1"/>
  <c r="G1196" i="3"/>
  <c r="B1197" i="3"/>
  <c r="C1197" i="3"/>
  <c r="D1197" i="3" s="1"/>
  <c r="G1197" i="3"/>
  <c r="H1197" i="3"/>
  <c r="AU1197" i="3" s="1"/>
  <c r="I1197" i="3" s="1"/>
  <c r="B1198" i="3"/>
  <c r="C1198" i="3"/>
  <c r="D1198" i="3" s="1"/>
  <c r="G1198" i="3"/>
  <c r="H1198" i="3"/>
  <c r="AU1198" i="3" s="1"/>
  <c r="I1198" i="3" s="1"/>
  <c r="B1199" i="3"/>
  <c r="C1199" i="3"/>
  <c r="D1199" i="3" s="1"/>
  <c r="G1199" i="3"/>
  <c r="H1199" i="3"/>
  <c r="AU1199" i="3" s="1"/>
  <c r="I1199" i="3" s="1"/>
  <c r="B1200" i="3"/>
  <c r="C1200" i="3"/>
  <c r="D1200" i="3" s="1"/>
  <c r="G1200" i="3"/>
  <c r="H1200" i="3"/>
  <c r="AU1200" i="3" s="1"/>
  <c r="I1200" i="3" s="1"/>
  <c r="B1201" i="3"/>
  <c r="C1201" i="3"/>
  <c r="D1201" i="3" s="1"/>
  <c r="G1201" i="3"/>
  <c r="H1201" i="3"/>
  <c r="AU1201" i="3" s="1"/>
  <c r="I1201" i="3" s="1"/>
  <c r="B1202" i="3"/>
  <c r="C1202" i="3"/>
  <c r="D1202" i="3" s="1"/>
  <c r="G1202" i="3"/>
  <c r="H1202" i="3"/>
  <c r="AU1202" i="3" s="1"/>
  <c r="I1202" i="3" s="1"/>
  <c r="B1203" i="3"/>
  <c r="C1203" i="3"/>
  <c r="D1203" i="3" s="1"/>
  <c r="G1203" i="3"/>
  <c r="H1203" i="3"/>
  <c r="AU1203" i="3" s="1"/>
  <c r="I1203" i="3" s="1"/>
  <c r="B1204" i="3"/>
  <c r="C1204" i="3"/>
  <c r="D1204" i="3" s="1"/>
  <c r="G1204" i="3"/>
  <c r="H1204" i="3"/>
  <c r="AU1204" i="3" s="1"/>
  <c r="I1204" i="3" s="1"/>
  <c r="B1205" i="3"/>
  <c r="C1205" i="3"/>
  <c r="D1205" i="3" s="1"/>
  <c r="G1205" i="3"/>
  <c r="H1205" i="3"/>
  <c r="AU1205" i="3" s="1"/>
  <c r="I1205" i="3" s="1"/>
  <c r="B1206" i="3"/>
  <c r="C1206" i="3"/>
  <c r="D1206" i="3" s="1"/>
  <c r="G1206" i="3"/>
  <c r="H1206" i="3"/>
  <c r="AU1206" i="3" s="1"/>
  <c r="I1206" i="3" s="1"/>
  <c r="B1207" i="3"/>
  <c r="C1207" i="3"/>
  <c r="D1207" i="3" s="1"/>
  <c r="G1207" i="3"/>
  <c r="H1207" i="3"/>
  <c r="AU1207" i="3" s="1"/>
  <c r="I1207" i="3" s="1"/>
  <c r="B1208" i="3"/>
  <c r="C1208" i="3"/>
  <c r="D1208" i="3" s="1"/>
  <c r="G1208" i="3"/>
  <c r="H1208" i="3"/>
  <c r="AU1208" i="3" s="1"/>
  <c r="I1208" i="3" s="1"/>
  <c r="B1209" i="3"/>
  <c r="C1209" i="3"/>
  <c r="D1209" i="3" s="1"/>
  <c r="G1209" i="3"/>
  <c r="H1209" i="3"/>
  <c r="AU1209" i="3" s="1"/>
  <c r="I1209" i="3" s="1"/>
  <c r="B1210" i="3"/>
  <c r="C1210" i="3"/>
  <c r="D1210" i="3" s="1"/>
  <c r="G1210" i="3"/>
  <c r="H1210" i="3"/>
  <c r="AU1210" i="3" s="1"/>
  <c r="I1210" i="3" s="1"/>
  <c r="B1211" i="3"/>
  <c r="C1211" i="3"/>
  <c r="D1211" i="3" s="1"/>
  <c r="G1211" i="3"/>
  <c r="H1211" i="3"/>
  <c r="AU1211" i="3" s="1"/>
  <c r="I1211" i="3" s="1"/>
  <c r="B1212" i="3"/>
  <c r="C1212" i="3"/>
  <c r="D1212" i="3" s="1"/>
  <c r="G1212" i="3"/>
  <c r="H1212" i="3"/>
  <c r="AU1212" i="3" s="1"/>
  <c r="I1212" i="3" s="1"/>
  <c r="B1213" i="3"/>
  <c r="C1213" i="3"/>
  <c r="D1213" i="3" s="1"/>
  <c r="G1213" i="3"/>
  <c r="H1213" i="3"/>
  <c r="AU1213" i="3" s="1"/>
  <c r="I1213" i="3" s="1"/>
  <c r="B1214" i="3"/>
  <c r="C1214" i="3"/>
  <c r="D1214" i="3" s="1"/>
  <c r="G1214" i="3"/>
  <c r="H1214" i="3"/>
  <c r="AU1214" i="3" s="1"/>
  <c r="I1214" i="3" s="1"/>
  <c r="B1215" i="3"/>
  <c r="C1215" i="3"/>
  <c r="D1215" i="3" s="1"/>
  <c r="E1215" i="3"/>
  <c r="G1215" i="3"/>
  <c r="H1215" i="3"/>
  <c r="AU1215" i="3" s="1"/>
  <c r="I1215" i="3" s="1"/>
  <c r="B1216" i="3"/>
  <c r="C1216" i="3"/>
  <c r="D1216" i="3" s="1"/>
  <c r="G1216" i="3"/>
  <c r="H1216" i="3"/>
  <c r="AU1216" i="3" s="1"/>
  <c r="I1216" i="3" s="1"/>
  <c r="B1217" i="3"/>
  <c r="C1217" i="3"/>
  <c r="D1217" i="3" s="1"/>
  <c r="G1217" i="3"/>
  <c r="H1217" i="3"/>
  <c r="AU1217" i="3" s="1"/>
  <c r="I1217" i="3" s="1"/>
  <c r="B1218" i="3"/>
  <c r="C1218" i="3"/>
  <c r="D1218" i="3" s="1"/>
  <c r="G1218" i="3"/>
  <c r="H1218" i="3"/>
  <c r="AU1218" i="3" s="1"/>
  <c r="I1218" i="3" s="1"/>
  <c r="B1219" i="3"/>
  <c r="C1219" i="3"/>
  <c r="D1219" i="3" s="1"/>
  <c r="G1219" i="3"/>
  <c r="H1219" i="3"/>
  <c r="AU1219" i="3" s="1"/>
  <c r="I1219" i="3" s="1"/>
  <c r="B1220" i="3"/>
  <c r="C1220" i="3"/>
  <c r="D1220" i="3" s="1"/>
  <c r="G1220" i="3"/>
  <c r="H1220" i="3"/>
  <c r="AU1220" i="3" s="1"/>
  <c r="I1220" i="3" s="1"/>
  <c r="B1221" i="3"/>
  <c r="C1221" i="3"/>
  <c r="D1221" i="3" s="1"/>
  <c r="G1221" i="3"/>
  <c r="H1221" i="3"/>
  <c r="AU1221" i="3" s="1"/>
  <c r="I1221" i="3" s="1"/>
  <c r="B1222" i="3"/>
  <c r="C1222" i="3"/>
  <c r="D1222" i="3" s="1"/>
  <c r="G1222" i="3"/>
  <c r="H1222" i="3"/>
  <c r="AU1222" i="3" s="1"/>
  <c r="I1222" i="3" s="1"/>
  <c r="B1223" i="3"/>
  <c r="C1223" i="3"/>
  <c r="D1223" i="3" s="1"/>
  <c r="G1223" i="3"/>
  <c r="H1223" i="3"/>
  <c r="AU1223" i="3" s="1"/>
  <c r="I1223" i="3" s="1"/>
  <c r="B1224" i="3"/>
  <c r="C1224" i="3"/>
  <c r="D1224" i="3" s="1"/>
  <c r="G1224" i="3"/>
  <c r="H1224" i="3"/>
  <c r="AU1224" i="3" s="1"/>
  <c r="I1224" i="3" s="1"/>
  <c r="B1225" i="3"/>
  <c r="C1225" i="3"/>
  <c r="D1225" i="3" s="1"/>
  <c r="G1225" i="3"/>
  <c r="H1225" i="3"/>
  <c r="AU1225" i="3" s="1"/>
  <c r="I1225" i="3" s="1"/>
  <c r="B1226" i="3"/>
  <c r="C1226" i="3"/>
  <c r="D1226" i="3" s="1"/>
  <c r="G1226" i="3"/>
  <c r="H1226" i="3"/>
  <c r="AU1226" i="3" s="1"/>
  <c r="I1226" i="3" s="1"/>
  <c r="B1227" i="3"/>
  <c r="C1227" i="3"/>
  <c r="D1227" i="3" s="1"/>
  <c r="G1227" i="3"/>
  <c r="H1227" i="3"/>
  <c r="AU1227" i="3" s="1"/>
  <c r="I1227" i="3" s="1"/>
  <c r="B1228" i="3"/>
  <c r="C1228" i="3"/>
  <c r="D1228" i="3" s="1"/>
  <c r="G1228" i="3"/>
  <c r="H1228" i="3"/>
  <c r="AU1228" i="3" s="1"/>
  <c r="I1228" i="3" s="1"/>
  <c r="B1229" i="3"/>
  <c r="C1229" i="3"/>
  <c r="D1229" i="3" s="1"/>
  <c r="G1229" i="3"/>
  <c r="H1229" i="3"/>
  <c r="AU1229" i="3" s="1"/>
  <c r="I1229" i="3" s="1"/>
  <c r="B1230" i="3"/>
  <c r="C1230" i="3"/>
  <c r="D1230" i="3" s="1"/>
  <c r="G1230" i="3"/>
  <c r="H1230" i="3"/>
  <c r="AU1230" i="3" s="1"/>
  <c r="I1230" i="3" s="1"/>
  <c r="B1231" i="3"/>
  <c r="C1231" i="3"/>
  <c r="D1231" i="3" s="1"/>
  <c r="G1231" i="3"/>
  <c r="H1231" i="3"/>
  <c r="AU1231" i="3" s="1"/>
  <c r="I1231" i="3" s="1"/>
  <c r="B1232" i="3"/>
  <c r="C1232" i="3"/>
  <c r="D1232" i="3" s="1"/>
  <c r="G1232" i="3"/>
  <c r="H1232" i="3"/>
  <c r="AU1232" i="3" s="1"/>
  <c r="I1232" i="3" s="1"/>
  <c r="B1233" i="3"/>
  <c r="C1233" i="3"/>
  <c r="D1233" i="3" s="1"/>
  <c r="G1233" i="3"/>
  <c r="H1233" i="3"/>
  <c r="AU1233" i="3" s="1"/>
  <c r="I1233" i="3" s="1"/>
  <c r="B1234" i="3"/>
  <c r="C1234" i="3"/>
  <c r="D1234" i="3" s="1"/>
  <c r="G1234" i="3"/>
  <c r="H1234" i="3"/>
  <c r="AU1234" i="3" s="1"/>
  <c r="I1234" i="3" s="1"/>
  <c r="B1235" i="3"/>
  <c r="C1235" i="3"/>
  <c r="D1235" i="3" s="1"/>
  <c r="G1235" i="3"/>
  <c r="H1235" i="3"/>
  <c r="AU1235" i="3" s="1"/>
  <c r="I1235" i="3" s="1"/>
  <c r="B1236" i="3"/>
  <c r="C1236" i="3"/>
  <c r="D1236" i="3" s="1"/>
  <c r="G1236" i="3"/>
  <c r="H1236" i="3"/>
  <c r="AU1236" i="3" s="1"/>
  <c r="I1236" i="3" s="1"/>
  <c r="B1237" i="3"/>
  <c r="C1237" i="3"/>
  <c r="D1237" i="3" s="1"/>
  <c r="G1237" i="3"/>
  <c r="H1237" i="3"/>
  <c r="AU1237" i="3" s="1"/>
  <c r="I1237" i="3" s="1"/>
  <c r="B1238" i="3"/>
  <c r="C1238" i="3"/>
  <c r="D1238" i="3" s="1"/>
  <c r="G1238" i="3"/>
  <c r="H1238" i="3"/>
  <c r="AU1238" i="3" s="1"/>
  <c r="I1238" i="3" s="1"/>
  <c r="B1239" i="3"/>
  <c r="C1239" i="3"/>
  <c r="D1239" i="3" s="1"/>
  <c r="G1239" i="3"/>
  <c r="H1239" i="3"/>
  <c r="AU1239" i="3" s="1"/>
  <c r="I1239" i="3" s="1"/>
  <c r="B1240" i="3"/>
  <c r="C1240" i="3"/>
  <c r="D1240" i="3" s="1"/>
  <c r="G1240" i="3"/>
  <c r="H1240" i="3"/>
  <c r="AU1240" i="3" s="1"/>
  <c r="I1240" i="3" s="1"/>
  <c r="B1241" i="3"/>
  <c r="C1241" i="3"/>
  <c r="D1241" i="3" s="1"/>
  <c r="G1241" i="3"/>
  <c r="H1241" i="3"/>
  <c r="AU1241" i="3" s="1"/>
  <c r="I1241" i="3" s="1"/>
  <c r="B1242" i="3"/>
  <c r="C1242" i="3"/>
  <c r="D1242" i="3" s="1"/>
  <c r="G1242" i="3"/>
  <c r="H1242" i="3"/>
  <c r="AU1242" i="3" s="1"/>
  <c r="I1242" i="3" s="1"/>
  <c r="B1243" i="3"/>
  <c r="C1243" i="3"/>
  <c r="D1243" i="3" s="1"/>
  <c r="G1243" i="3"/>
  <c r="H1243" i="3"/>
  <c r="AU1243" i="3" s="1"/>
  <c r="I1243" i="3" s="1"/>
  <c r="B1244" i="3"/>
  <c r="C1244" i="3"/>
  <c r="D1244" i="3" s="1"/>
  <c r="G1244" i="3"/>
  <c r="H1244" i="3"/>
  <c r="AU1244" i="3" s="1"/>
  <c r="I1244" i="3" s="1"/>
  <c r="B1245" i="3"/>
  <c r="C1245" i="3"/>
  <c r="D1245" i="3" s="1"/>
  <c r="G1245" i="3"/>
  <c r="H1245" i="3"/>
  <c r="AU1245" i="3" s="1"/>
  <c r="I1245" i="3" s="1"/>
  <c r="B1246" i="3"/>
  <c r="C1246" i="3"/>
  <c r="D1246" i="3" s="1"/>
  <c r="G1246" i="3"/>
  <c r="H1246" i="3"/>
  <c r="AU1246" i="3" s="1"/>
  <c r="I1246" i="3" s="1"/>
  <c r="B1247" i="3"/>
  <c r="C1247" i="3"/>
  <c r="D1247" i="3" s="1"/>
  <c r="G1247" i="3"/>
  <c r="H1247" i="3"/>
  <c r="AU1247" i="3" s="1"/>
  <c r="I1247" i="3" s="1"/>
  <c r="B1248" i="3"/>
  <c r="C1248" i="3"/>
  <c r="D1248" i="3" s="1"/>
  <c r="G1248" i="3"/>
  <c r="H1248" i="3"/>
  <c r="AU1248" i="3" s="1"/>
  <c r="I1248" i="3" s="1"/>
  <c r="B1249" i="3"/>
  <c r="C1249" i="3"/>
  <c r="D1249" i="3" s="1"/>
  <c r="G1249" i="3"/>
  <c r="H1249" i="3"/>
  <c r="AU1249" i="3" s="1"/>
  <c r="I1249" i="3" s="1"/>
  <c r="B1250" i="3"/>
  <c r="C1250" i="3"/>
  <c r="D1250" i="3" s="1"/>
  <c r="G1250" i="3"/>
  <c r="H1250" i="3"/>
  <c r="AU1250" i="3" s="1"/>
  <c r="I1250" i="3" s="1"/>
  <c r="B1251" i="3"/>
  <c r="C1251" i="3"/>
  <c r="D1251" i="3" s="1"/>
  <c r="G1251" i="3"/>
  <c r="H1251" i="3"/>
  <c r="AU1251" i="3" s="1"/>
  <c r="I1251" i="3" s="1"/>
  <c r="B1252" i="3"/>
  <c r="C1252" i="3"/>
  <c r="D1252" i="3" s="1"/>
  <c r="G1252" i="3"/>
  <c r="H1252" i="3"/>
  <c r="AU1252" i="3" s="1"/>
  <c r="I1252" i="3" s="1"/>
  <c r="B1253" i="3"/>
  <c r="C1253" i="3"/>
  <c r="D1253" i="3" s="1"/>
  <c r="G1253" i="3"/>
  <c r="H1253" i="3"/>
  <c r="AU1253" i="3" s="1"/>
  <c r="I1253" i="3" s="1"/>
  <c r="B1254" i="3"/>
  <c r="C1254" i="3"/>
  <c r="D1254" i="3" s="1"/>
  <c r="G1254" i="3"/>
  <c r="H1254" i="3"/>
  <c r="AU1254" i="3" s="1"/>
  <c r="I1254" i="3" s="1"/>
  <c r="B1255" i="3"/>
  <c r="C1255" i="3"/>
  <c r="D1255" i="3" s="1"/>
  <c r="G1255" i="3"/>
  <c r="H1255" i="3"/>
  <c r="AU1255" i="3" s="1"/>
  <c r="I1255" i="3" s="1"/>
  <c r="B1256" i="3"/>
  <c r="C1256" i="3"/>
  <c r="D1256" i="3" s="1"/>
  <c r="G1256" i="3"/>
  <c r="H1256" i="3"/>
  <c r="AU1256" i="3" s="1"/>
  <c r="I1256" i="3" s="1"/>
  <c r="B1257" i="3"/>
  <c r="C1257" i="3"/>
  <c r="D1257" i="3" s="1"/>
  <c r="G1257" i="3"/>
  <c r="H1257" i="3"/>
  <c r="AU1257" i="3" s="1"/>
  <c r="I1257" i="3" s="1"/>
  <c r="B1258" i="3"/>
  <c r="C1258" i="3"/>
  <c r="D1258" i="3" s="1"/>
  <c r="G1258" i="3"/>
  <c r="H1258" i="3"/>
  <c r="AU1258" i="3" s="1"/>
  <c r="I1258" i="3" s="1"/>
  <c r="B1259" i="3"/>
  <c r="C1259" i="3"/>
  <c r="D1259" i="3" s="1"/>
  <c r="G1259" i="3"/>
  <c r="H1259" i="3"/>
  <c r="AU1259" i="3" s="1"/>
  <c r="I1259" i="3" s="1"/>
  <c r="B1260" i="3"/>
  <c r="C1260" i="3"/>
  <c r="D1260" i="3" s="1"/>
  <c r="G1260" i="3"/>
  <c r="H1260" i="3"/>
  <c r="AU1260" i="3" s="1"/>
  <c r="I1260" i="3" s="1"/>
  <c r="B1261" i="3"/>
  <c r="C1261" i="3"/>
  <c r="D1261" i="3" s="1"/>
  <c r="G1261" i="3"/>
  <c r="H1261" i="3"/>
  <c r="AU1261" i="3" s="1"/>
  <c r="I1261" i="3" s="1"/>
  <c r="B1262" i="3"/>
  <c r="C1262" i="3"/>
  <c r="D1262" i="3" s="1"/>
  <c r="E1262" i="3"/>
  <c r="G1262" i="3"/>
  <c r="H1262" i="3"/>
  <c r="AU1262" i="3" s="1"/>
  <c r="I1262" i="3" s="1"/>
  <c r="B1263" i="3"/>
  <c r="C1263" i="3"/>
  <c r="D1263" i="3" s="1"/>
  <c r="G1263" i="3"/>
  <c r="H1263" i="3"/>
  <c r="AU1263" i="3" s="1"/>
  <c r="I1263" i="3" s="1"/>
  <c r="B1264" i="3"/>
  <c r="C1264" i="3"/>
  <c r="D1264" i="3" s="1"/>
  <c r="G1264" i="3"/>
  <c r="H1264" i="3"/>
  <c r="AU1264" i="3" s="1"/>
  <c r="I1264" i="3" s="1"/>
  <c r="B1265" i="3"/>
  <c r="C1265" i="3"/>
  <c r="D1265" i="3" s="1"/>
  <c r="E1265" i="3"/>
  <c r="G1265" i="3"/>
  <c r="H1265" i="3"/>
  <c r="AU1265" i="3" s="1"/>
  <c r="I1265" i="3" s="1"/>
  <c r="B1266" i="3"/>
  <c r="C1266" i="3"/>
  <c r="D1266" i="3" s="1"/>
  <c r="G1266" i="3"/>
  <c r="H1266" i="3"/>
  <c r="AU1266" i="3" s="1"/>
  <c r="I1266" i="3" s="1"/>
  <c r="B1267" i="3"/>
  <c r="C1267" i="3"/>
  <c r="D1267" i="3" s="1"/>
  <c r="G1267" i="3"/>
  <c r="H1267" i="3"/>
  <c r="AU1267" i="3" s="1"/>
  <c r="I1267" i="3" s="1"/>
  <c r="B1268" i="3"/>
  <c r="C1268" i="3"/>
  <c r="D1268" i="3" s="1"/>
  <c r="G1268" i="3"/>
  <c r="H1268" i="3"/>
  <c r="AU1268" i="3" s="1"/>
  <c r="I1268" i="3" s="1"/>
  <c r="B1269" i="3"/>
  <c r="C1269" i="3"/>
  <c r="D1269" i="3" s="1"/>
  <c r="G1269" i="3"/>
  <c r="H1269" i="3"/>
  <c r="AU1269" i="3" s="1"/>
  <c r="I1269" i="3" s="1"/>
  <c r="B1270" i="3"/>
  <c r="C1270" i="3"/>
  <c r="D1270" i="3" s="1"/>
  <c r="G1270" i="3"/>
  <c r="H1270" i="3"/>
  <c r="AU1270" i="3" s="1"/>
  <c r="I1270" i="3" s="1"/>
  <c r="B1271" i="3"/>
  <c r="C1271" i="3"/>
  <c r="D1271" i="3" s="1"/>
  <c r="G1271" i="3"/>
  <c r="H1271" i="3"/>
  <c r="AU1271" i="3" s="1"/>
  <c r="I1271" i="3" s="1"/>
  <c r="B1272" i="3"/>
  <c r="C1272" i="3"/>
  <c r="D1272" i="3" s="1"/>
  <c r="G1272" i="3"/>
  <c r="H1272" i="3"/>
  <c r="AU1272" i="3" s="1"/>
  <c r="I1272" i="3" s="1"/>
  <c r="B1273" i="3"/>
  <c r="C1273" i="3"/>
  <c r="D1273" i="3" s="1"/>
  <c r="G1273" i="3"/>
  <c r="H1273" i="3"/>
  <c r="AU1273" i="3" s="1"/>
  <c r="I1273" i="3" s="1"/>
  <c r="B1274" i="3"/>
  <c r="C1274" i="3"/>
  <c r="D1274" i="3" s="1"/>
  <c r="E1274" i="3"/>
  <c r="G1274" i="3"/>
  <c r="H1274" i="3"/>
  <c r="AU1274" i="3" s="1"/>
  <c r="I1274" i="3" s="1"/>
  <c r="B1275" i="3"/>
  <c r="C1275" i="3"/>
  <c r="D1275" i="3" s="1"/>
  <c r="E1275" i="3"/>
  <c r="G1275" i="3"/>
  <c r="H1275" i="3"/>
  <c r="AU1275" i="3" s="1"/>
  <c r="I1275" i="3" s="1"/>
  <c r="B1276" i="3"/>
  <c r="C1276" i="3"/>
  <c r="D1276" i="3" s="1"/>
  <c r="G1276" i="3"/>
  <c r="H1276" i="3"/>
  <c r="AU1276" i="3" s="1"/>
  <c r="I1276" i="3" s="1"/>
  <c r="B1277" i="3"/>
  <c r="C1277" i="3"/>
  <c r="D1277" i="3" s="1"/>
  <c r="G1277" i="3"/>
  <c r="H1277" i="3"/>
  <c r="AU1277" i="3" s="1"/>
  <c r="I1277" i="3" s="1"/>
  <c r="B1278" i="3"/>
  <c r="C1278" i="3"/>
  <c r="D1278" i="3" s="1"/>
  <c r="G1278" i="3"/>
  <c r="H1278" i="3"/>
  <c r="AU1278" i="3" s="1"/>
  <c r="I1278" i="3" s="1"/>
  <c r="B1279" i="3"/>
  <c r="C1279" i="3"/>
  <c r="D1279" i="3" s="1"/>
  <c r="G1279" i="3"/>
  <c r="H1279" i="3"/>
  <c r="AU1279" i="3" s="1"/>
  <c r="I1279" i="3" s="1"/>
  <c r="B1280" i="3"/>
  <c r="C1280" i="3"/>
  <c r="D1280" i="3" s="1"/>
  <c r="G1280" i="3"/>
  <c r="H1280" i="3"/>
  <c r="AU1280" i="3" s="1"/>
  <c r="I1280" i="3" s="1"/>
  <c r="B1281" i="3"/>
  <c r="C1281" i="3"/>
  <c r="D1281" i="3" s="1"/>
  <c r="G1281" i="3"/>
  <c r="H1281" i="3"/>
  <c r="AU1281" i="3" s="1"/>
  <c r="I1281" i="3" s="1"/>
  <c r="B1282" i="3"/>
  <c r="C1282" i="3"/>
  <c r="D1282" i="3" s="1"/>
  <c r="G1282" i="3"/>
  <c r="H1282" i="3"/>
  <c r="AU1282" i="3" s="1"/>
  <c r="I1282" i="3" s="1"/>
  <c r="B1283" i="3"/>
  <c r="C1283" i="3"/>
  <c r="D1283" i="3" s="1"/>
  <c r="G1283" i="3"/>
  <c r="B1284" i="3"/>
  <c r="C1284" i="3"/>
  <c r="D1284" i="3" s="1"/>
  <c r="G1284" i="3"/>
  <c r="H1284" i="3"/>
  <c r="AU1284" i="3" s="1"/>
  <c r="I1284" i="3" s="1"/>
  <c r="B1285" i="3"/>
  <c r="C1285" i="3"/>
  <c r="D1285" i="3" s="1"/>
  <c r="G1285" i="3"/>
  <c r="H1285" i="3"/>
  <c r="AU1285" i="3" s="1"/>
  <c r="I1285" i="3" s="1"/>
  <c r="B1286" i="3"/>
  <c r="C1286" i="3"/>
  <c r="D1286" i="3" s="1"/>
  <c r="G1286" i="3"/>
  <c r="H1286" i="3"/>
  <c r="AU1286" i="3" s="1"/>
  <c r="I1286" i="3" s="1"/>
  <c r="B1287" i="3"/>
  <c r="C1287" i="3"/>
  <c r="D1287" i="3" s="1"/>
  <c r="G1287" i="3"/>
  <c r="H1287" i="3"/>
  <c r="AU1287" i="3" s="1"/>
  <c r="I1287" i="3" s="1"/>
  <c r="B1288" i="3"/>
  <c r="C1288" i="3"/>
  <c r="D1288" i="3" s="1"/>
  <c r="G1288" i="3"/>
  <c r="H1288" i="3"/>
  <c r="AU1288" i="3" s="1"/>
  <c r="I1288" i="3" s="1"/>
  <c r="B1289" i="3"/>
  <c r="C1289" i="3"/>
  <c r="D1289" i="3" s="1"/>
  <c r="G1289" i="3"/>
  <c r="H1289" i="3"/>
  <c r="AU1289" i="3" s="1"/>
  <c r="I1289" i="3" s="1"/>
  <c r="B1290" i="3"/>
  <c r="C1290" i="3"/>
  <c r="D1290" i="3" s="1"/>
  <c r="G1290" i="3"/>
  <c r="H1290" i="3"/>
  <c r="AU1290" i="3" s="1"/>
  <c r="I1290" i="3" s="1"/>
  <c r="B1291" i="3"/>
  <c r="C1291" i="3"/>
  <c r="D1291" i="3" s="1"/>
  <c r="G1291" i="3"/>
  <c r="H1291" i="3"/>
  <c r="AU1291" i="3" s="1"/>
  <c r="I1291" i="3" s="1"/>
  <c r="B1292" i="3"/>
  <c r="C1292" i="3"/>
  <c r="D1292" i="3" s="1"/>
  <c r="G1292" i="3"/>
  <c r="H1292" i="3"/>
  <c r="AU1292" i="3" s="1"/>
  <c r="I1292" i="3" s="1"/>
  <c r="B1293" i="3"/>
  <c r="C1293" i="3"/>
  <c r="D1293" i="3" s="1"/>
  <c r="G1293" i="3"/>
  <c r="H1293" i="3"/>
  <c r="AU1293" i="3" s="1"/>
  <c r="I1293" i="3" s="1"/>
  <c r="B1294" i="3"/>
  <c r="C1294" i="3"/>
  <c r="D1294" i="3" s="1"/>
  <c r="G1294" i="3"/>
  <c r="H1294" i="3"/>
  <c r="AU1294" i="3" s="1"/>
  <c r="I1294" i="3" s="1"/>
  <c r="B1295" i="3"/>
  <c r="C1295" i="3"/>
  <c r="D1295" i="3" s="1"/>
  <c r="G1295" i="3"/>
  <c r="H1295" i="3"/>
  <c r="AU1295" i="3" s="1"/>
  <c r="I1295" i="3" s="1"/>
  <c r="B1296" i="3"/>
  <c r="C1296" i="3"/>
  <c r="D1296" i="3" s="1"/>
  <c r="G1296" i="3"/>
  <c r="H1296" i="3"/>
  <c r="AU1296" i="3" s="1"/>
  <c r="I1296" i="3" s="1"/>
  <c r="B1297" i="3"/>
  <c r="C1297" i="3"/>
  <c r="D1297" i="3" s="1"/>
  <c r="G1297" i="3"/>
  <c r="H1297" i="3"/>
  <c r="AU1297" i="3" s="1"/>
  <c r="I1297" i="3" s="1"/>
  <c r="B1298" i="3"/>
  <c r="C1298" i="3"/>
  <c r="D1298" i="3" s="1"/>
  <c r="E1298" i="3"/>
  <c r="G1298" i="3"/>
  <c r="H1298" i="3"/>
  <c r="AU1298" i="3" s="1"/>
  <c r="I1298" i="3" s="1"/>
  <c r="B1299" i="3"/>
  <c r="C1299" i="3"/>
  <c r="D1299" i="3" s="1"/>
  <c r="G1299" i="3"/>
  <c r="H1299" i="3"/>
  <c r="AU1299" i="3" s="1"/>
  <c r="I1299" i="3" s="1"/>
  <c r="B1300" i="3"/>
  <c r="C1300" i="3"/>
  <c r="D1300" i="3" s="1"/>
  <c r="G1300" i="3"/>
  <c r="H1300" i="3"/>
  <c r="AU1300" i="3" s="1"/>
  <c r="I1300" i="3" s="1"/>
  <c r="B1301" i="3"/>
  <c r="C1301" i="3"/>
  <c r="D1301" i="3" s="1"/>
  <c r="G1301" i="3"/>
  <c r="H1301" i="3"/>
  <c r="AU1301" i="3" s="1"/>
  <c r="I1301" i="3" s="1"/>
  <c r="B1302" i="3"/>
  <c r="C1302" i="3"/>
  <c r="D1302" i="3" s="1"/>
  <c r="G1302" i="3"/>
  <c r="H1302" i="3"/>
  <c r="AU1302" i="3" s="1"/>
  <c r="I1302" i="3" s="1"/>
  <c r="B1303" i="3"/>
  <c r="C1303" i="3"/>
  <c r="D1303" i="3" s="1"/>
  <c r="E1303" i="3"/>
  <c r="G1303" i="3"/>
  <c r="H1303" i="3"/>
  <c r="AU1303" i="3" s="1"/>
  <c r="I1303" i="3" s="1"/>
  <c r="B1304" i="3"/>
  <c r="C1304" i="3"/>
  <c r="D1304" i="3" s="1"/>
  <c r="G1304" i="3"/>
  <c r="H1304" i="3"/>
  <c r="AU1304" i="3" s="1"/>
  <c r="I1304" i="3" s="1"/>
  <c r="B1305" i="3"/>
  <c r="C1305" i="3"/>
  <c r="D1305" i="3" s="1"/>
  <c r="G1305" i="3"/>
  <c r="H1305" i="3"/>
  <c r="AU1305" i="3" s="1"/>
  <c r="I1305" i="3" s="1"/>
  <c r="B1306" i="3"/>
  <c r="C1306" i="3"/>
  <c r="D1306" i="3" s="1"/>
  <c r="G1306" i="3"/>
  <c r="H1306" i="3"/>
  <c r="AU1306" i="3" s="1"/>
  <c r="I1306" i="3" s="1"/>
  <c r="B1307" i="3"/>
  <c r="C1307" i="3"/>
  <c r="D1307" i="3" s="1"/>
  <c r="G1307" i="3"/>
  <c r="H1307" i="3"/>
  <c r="AU1307" i="3" s="1"/>
  <c r="I1307" i="3" s="1"/>
  <c r="B1308" i="3"/>
  <c r="C1308" i="3"/>
  <c r="D1308" i="3" s="1"/>
  <c r="G1308" i="3"/>
  <c r="H1308" i="3"/>
  <c r="AU1308" i="3" s="1"/>
  <c r="I1308" i="3" s="1"/>
  <c r="B1309" i="3"/>
  <c r="C1309" i="3"/>
  <c r="D1309" i="3" s="1"/>
  <c r="G1309" i="3"/>
  <c r="H1309" i="3"/>
  <c r="AU1309" i="3" s="1"/>
  <c r="I1309" i="3" s="1"/>
  <c r="B1310" i="3"/>
  <c r="C1310" i="3"/>
  <c r="D1310" i="3" s="1"/>
  <c r="G1310" i="3"/>
  <c r="H1310" i="3"/>
  <c r="AU1310" i="3" s="1"/>
  <c r="I1310" i="3" s="1"/>
  <c r="B1311" i="3"/>
  <c r="C1311" i="3"/>
  <c r="D1311" i="3" s="1"/>
  <c r="G1311" i="3"/>
  <c r="B1312" i="3"/>
  <c r="C1312" i="3"/>
  <c r="D1312" i="3" s="1"/>
  <c r="G1312" i="3"/>
  <c r="H1312" i="3"/>
  <c r="AU1312" i="3" s="1"/>
  <c r="I1312" i="3" s="1"/>
  <c r="B1313" i="3"/>
  <c r="C1313" i="3"/>
  <c r="D1313" i="3" s="1"/>
  <c r="G1313" i="3"/>
  <c r="H1313" i="3"/>
  <c r="AU1313" i="3" s="1"/>
  <c r="I1313" i="3" s="1"/>
  <c r="B1314" i="3"/>
  <c r="C1314" i="3"/>
  <c r="D1314" i="3" s="1"/>
  <c r="G1314" i="3"/>
  <c r="H1314" i="3"/>
  <c r="AU1314" i="3" s="1"/>
  <c r="I1314" i="3" s="1"/>
  <c r="B1315" i="3"/>
  <c r="C1315" i="3"/>
  <c r="D1315" i="3" s="1"/>
  <c r="G1315" i="3"/>
  <c r="H1315" i="3"/>
  <c r="AU1315" i="3" s="1"/>
  <c r="I1315" i="3" s="1"/>
  <c r="B1316" i="3"/>
  <c r="C1316" i="3"/>
  <c r="D1316" i="3" s="1"/>
  <c r="G1316" i="3"/>
  <c r="H1316" i="3"/>
  <c r="AU1316" i="3" s="1"/>
  <c r="I1316" i="3" s="1"/>
  <c r="B1317" i="3"/>
  <c r="C1317" i="3"/>
  <c r="D1317" i="3" s="1"/>
  <c r="G1317" i="3"/>
  <c r="B1318" i="3"/>
  <c r="C1318" i="3"/>
  <c r="D1318" i="3" s="1"/>
  <c r="G1318" i="3"/>
  <c r="H1318" i="3"/>
  <c r="AU1318" i="3" s="1"/>
  <c r="I1318" i="3" s="1"/>
  <c r="B1319" i="3"/>
  <c r="C1319" i="3"/>
  <c r="D1319" i="3" s="1"/>
  <c r="G1319" i="3"/>
  <c r="H1319" i="3"/>
  <c r="AU1319" i="3" s="1"/>
  <c r="I1319" i="3" s="1"/>
  <c r="B1320" i="3"/>
  <c r="C1320" i="3"/>
  <c r="D1320" i="3" s="1"/>
  <c r="G1320" i="3"/>
  <c r="H1320" i="3"/>
  <c r="AU1320" i="3" s="1"/>
  <c r="I1320" i="3" s="1"/>
  <c r="B1321" i="3"/>
  <c r="C1321" i="3"/>
  <c r="D1321" i="3" s="1"/>
  <c r="G1321" i="3"/>
  <c r="H1321" i="3"/>
  <c r="AU1321" i="3" s="1"/>
  <c r="I1321" i="3" s="1"/>
  <c r="B1322" i="3"/>
  <c r="C1322" i="3"/>
  <c r="D1322" i="3" s="1"/>
  <c r="G1322" i="3"/>
  <c r="H1322" i="3"/>
  <c r="AU1322" i="3" s="1"/>
  <c r="I1322" i="3" s="1"/>
  <c r="B1323" i="3"/>
  <c r="C1323" i="3"/>
  <c r="D1323" i="3" s="1"/>
  <c r="G1323" i="3"/>
  <c r="H1323" i="3"/>
  <c r="AU1323" i="3" s="1"/>
  <c r="I1323" i="3" s="1"/>
  <c r="B1324" i="3"/>
  <c r="C1324" i="3"/>
  <c r="D1324" i="3" s="1"/>
  <c r="E1324" i="3"/>
  <c r="G1324" i="3"/>
  <c r="H1324" i="3"/>
  <c r="AU1324" i="3" s="1"/>
  <c r="I1324" i="3" s="1"/>
  <c r="B1325" i="3"/>
  <c r="C1325" i="3"/>
  <c r="D1325" i="3" s="1"/>
  <c r="G1325" i="3"/>
  <c r="H1325" i="3"/>
  <c r="AU1325" i="3" s="1"/>
  <c r="I1325" i="3" s="1"/>
  <c r="B1326" i="3"/>
  <c r="C1326" i="3"/>
  <c r="D1326" i="3" s="1"/>
  <c r="G1326" i="3"/>
  <c r="H1326" i="3"/>
  <c r="AU1326" i="3" s="1"/>
  <c r="I1326" i="3" s="1"/>
  <c r="B1327" i="3"/>
  <c r="C1327" i="3"/>
  <c r="D1327" i="3" s="1"/>
  <c r="G1327" i="3"/>
  <c r="H1327" i="3"/>
  <c r="AU1327" i="3" s="1"/>
  <c r="I1327" i="3" s="1"/>
  <c r="B1328" i="3"/>
  <c r="C1328" i="3"/>
  <c r="D1328" i="3" s="1"/>
  <c r="G1328" i="3"/>
  <c r="H1328" i="3"/>
  <c r="AU1328" i="3" s="1"/>
  <c r="I1328" i="3" s="1"/>
  <c r="B1329" i="3"/>
  <c r="C1329" i="3"/>
  <c r="D1329" i="3" s="1"/>
  <c r="G1329" i="3"/>
  <c r="H1329" i="3"/>
  <c r="AU1329" i="3" s="1"/>
  <c r="I1329" i="3" s="1"/>
  <c r="B1330" i="3"/>
  <c r="C1330" i="3"/>
  <c r="D1330" i="3" s="1"/>
  <c r="G1330" i="3"/>
  <c r="H1330" i="3"/>
  <c r="AU1330" i="3" s="1"/>
  <c r="I1330" i="3" s="1"/>
  <c r="B1331" i="3"/>
  <c r="C1331" i="3"/>
  <c r="D1331" i="3" s="1"/>
  <c r="G1331" i="3"/>
  <c r="H1331" i="3"/>
  <c r="AU1331" i="3" s="1"/>
  <c r="I1331" i="3" s="1"/>
  <c r="B1332" i="3"/>
  <c r="C1332" i="3"/>
  <c r="D1332" i="3" s="1"/>
  <c r="G1332" i="3"/>
  <c r="H1332" i="3"/>
  <c r="AU1332" i="3" s="1"/>
  <c r="I1332" i="3" s="1"/>
  <c r="B1333" i="3"/>
  <c r="C1333" i="3"/>
  <c r="D1333" i="3" s="1"/>
  <c r="G1333" i="3"/>
  <c r="H1333" i="3"/>
  <c r="AU1333" i="3" s="1"/>
  <c r="I1333" i="3" s="1"/>
  <c r="B1334" i="3"/>
  <c r="C1334" i="3"/>
  <c r="D1334" i="3" s="1"/>
  <c r="G1334" i="3"/>
  <c r="H1334" i="3"/>
  <c r="AU1334" i="3" s="1"/>
  <c r="I1334" i="3" s="1"/>
  <c r="B1335" i="3"/>
  <c r="C1335" i="3"/>
  <c r="D1335" i="3" s="1"/>
  <c r="G1335" i="3"/>
  <c r="H1335" i="3"/>
  <c r="AU1335" i="3" s="1"/>
  <c r="I1335" i="3" s="1"/>
  <c r="B1336" i="3"/>
  <c r="C1336" i="3"/>
  <c r="D1336" i="3" s="1"/>
  <c r="G1336" i="3"/>
  <c r="H1336" i="3"/>
  <c r="AU1336" i="3" s="1"/>
  <c r="I1336" i="3" s="1"/>
  <c r="B1337" i="3"/>
  <c r="C1337" i="3"/>
  <c r="D1337" i="3" s="1"/>
  <c r="G1337" i="3"/>
  <c r="H1337" i="3"/>
  <c r="AU1337" i="3" s="1"/>
  <c r="I1337" i="3" s="1"/>
  <c r="B1338" i="3"/>
  <c r="C1338" i="3"/>
  <c r="D1338" i="3" s="1"/>
  <c r="G1338" i="3"/>
  <c r="H1338" i="3"/>
  <c r="AU1338" i="3" s="1"/>
  <c r="I1338" i="3" s="1"/>
  <c r="B1339" i="3"/>
  <c r="C1339" i="3"/>
  <c r="D1339" i="3" s="1"/>
  <c r="G1339" i="3"/>
  <c r="H1339" i="3"/>
  <c r="AU1339" i="3" s="1"/>
  <c r="I1339" i="3" s="1"/>
  <c r="B1340" i="3"/>
  <c r="C1340" i="3"/>
  <c r="D1340" i="3" s="1"/>
  <c r="G1340" i="3"/>
  <c r="H1340" i="3"/>
  <c r="AU1340" i="3" s="1"/>
  <c r="I1340" i="3" s="1"/>
  <c r="B1341" i="3"/>
  <c r="C1341" i="3"/>
  <c r="D1341" i="3" s="1"/>
  <c r="G1341" i="3"/>
  <c r="H1341" i="3"/>
  <c r="AU1341" i="3" s="1"/>
  <c r="I1341" i="3" s="1"/>
  <c r="B1342" i="3"/>
  <c r="C1342" i="3"/>
  <c r="D1342" i="3" s="1"/>
  <c r="G1342" i="3"/>
  <c r="H1342" i="3"/>
  <c r="AU1342" i="3" s="1"/>
  <c r="I1342" i="3" s="1"/>
  <c r="B1343" i="3"/>
  <c r="C1343" i="3"/>
  <c r="D1343" i="3" s="1"/>
  <c r="G1343" i="3"/>
  <c r="H1343" i="3"/>
  <c r="AU1343" i="3" s="1"/>
  <c r="I1343" i="3" s="1"/>
  <c r="B1344" i="3"/>
  <c r="C1344" i="3"/>
  <c r="D1344" i="3" s="1"/>
  <c r="G1344" i="3"/>
  <c r="H1344" i="3"/>
  <c r="AU1344" i="3" s="1"/>
  <c r="I1344" i="3" s="1"/>
  <c r="B1345" i="3"/>
  <c r="C1345" i="3"/>
  <c r="D1345" i="3" s="1"/>
  <c r="G1345" i="3"/>
  <c r="H1345" i="3"/>
  <c r="AU1345" i="3" s="1"/>
  <c r="I1345" i="3" s="1"/>
  <c r="B1346" i="3"/>
  <c r="C1346" i="3"/>
  <c r="D1346" i="3" s="1"/>
  <c r="G1346" i="3"/>
  <c r="H1346" i="3"/>
  <c r="AU1346" i="3" s="1"/>
  <c r="I1346" i="3" s="1"/>
  <c r="B1347" i="3"/>
  <c r="C1347" i="3"/>
  <c r="D1347" i="3" s="1"/>
  <c r="G1347" i="3"/>
  <c r="H1347" i="3"/>
  <c r="AU1347" i="3" s="1"/>
  <c r="I1347" i="3" s="1"/>
  <c r="B1348" i="3"/>
  <c r="C1348" i="3"/>
  <c r="D1348" i="3" s="1"/>
  <c r="G1348" i="3"/>
  <c r="H1348" i="3"/>
  <c r="AU1348" i="3" s="1"/>
  <c r="I1348" i="3" s="1"/>
  <c r="B1349" i="3"/>
  <c r="C1349" i="3"/>
  <c r="D1349" i="3" s="1"/>
  <c r="G1349" i="3"/>
  <c r="H1349" i="3"/>
  <c r="AU1349" i="3" s="1"/>
  <c r="I1349" i="3" s="1"/>
  <c r="B1350" i="3"/>
  <c r="C1350" i="3"/>
  <c r="D1350" i="3" s="1"/>
  <c r="G1350" i="3"/>
  <c r="H1350" i="3"/>
  <c r="AU1350" i="3" s="1"/>
  <c r="I1350" i="3" s="1"/>
  <c r="B1351" i="3"/>
  <c r="C1351" i="3"/>
  <c r="D1351" i="3" s="1"/>
  <c r="G1351" i="3"/>
  <c r="H1351" i="3"/>
  <c r="AU1351" i="3" s="1"/>
  <c r="I1351" i="3" s="1"/>
  <c r="B1352" i="3"/>
  <c r="C1352" i="3"/>
  <c r="D1352" i="3" s="1"/>
  <c r="G1352" i="3"/>
  <c r="H1352" i="3"/>
  <c r="AU1352" i="3" s="1"/>
  <c r="I1352" i="3" s="1"/>
  <c r="B1353" i="3"/>
  <c r="C1353" i="3"/>
  <c r="D1353" i="3" s="1"/>
  <c r="E1353" i="3"/>
  <c r="G1353" i="3"/>
  <c r="H1353" i="3"/>
  <c r="AU1353" i="3" s="1"/>
  <c r="I1353" i="3" s="1"/>
  <c r="B1354" i="3"/>
  <c r="C1354" i="3"/>
  <c r="D1354" i="3" s="1"/>
  <c r="G1354" i="3"/>
  <c r="H1354" i="3"/>
  <c r="AU1354" i="3" s="1"/>
  <c r="I1354" i="3" s="1"/>
  <c r="B1355" i="3"/>
  <c r="C1355" i="3"/>
  <c r="D1355" i="3" s="1"/>
  <c r="G1355" i="3"/>
  <c r="H1355" i="3"/>
  <c r="AU1355" i="3" s="1"/>
  <c r="I1355" i="3" s="1"/>
  <c r="B1356" i="3"/>
  <c r="C1356" i="3"/>
  <c r="D1356" i="3" s="1"/>
  <c r="G1356" i="3"/>
  <c r="H1356" i="3"/>
  <c r="AU1356" i="3" s="1"/>
  <c r="I1356" i="3" s="1"/>
  <c r="B1357" i="3"/>
  <c r="C1357" i="3"/>
  <c r="D1357" i="3" s="1"/>
  <c r="G1357" i="3"/>
  <c r="B1358" i="3"/>
  <c r="C1358" i="3"/>
  <c r="D1358" i="3" s="1"/>
  <c r="G1358" i="3"/>
  <c r="H1358" i="3"/>
  <c r="AU1358" i="3" s="1"/>
  <c r="I1358" i="3" s="1"/>
  <c r="B1359" i="3"/>
  <c r="C1359" i="3"/>
  <c r="D1359" i="3" s="1"/>
  <c r="E1359" i="3"/>
  <c r="G1359" i="3"/>
  <c r="H1359" i="3"/>
  <c r="AU1359" i="3" s="1"/>
  <c r="I1359" i="3" s="1"/>
  <c r="B1360" i="3"/>
  <c r="C1360" i="3"/>
  <c r="D1360" i="3" s="1"/>
  <c r="G1360" i="3"/>
  <c r="H1360" i="3"/>
  <c r="AU1360" i="3" s="1"/>
  <c r="I1360" i="3" s="1"/>
  <c r="B1361" i="3"/>
  <c r="C1361" i="3"/>
  <c r="D1361" i="3" s="1"/>
  <c r="G1361" i="3"/>
  <c r="H1361" i="3"/>
  <c r="AU1361" i="3" s="1"/>
  <c r="I1361" i="3" s="1"/>
  <c r="B1362" i="3"/>
  <c r="C1362" i="3"/>
  <c r="D1362" i="3" s="1"/>
  <c r="G1362" i="3"/>
  <c r="H1362" i="3"/>
  <c r="AU1362" i="3" s="1"/>
  <c r="I1362" i="3" s="1"/>
  <c r="B1363" i="3"/>
  <c r="C1363" i="3"/>
  <c r="D1363" i="3" s="1"/>
  <c r="G1363" i="3"/>
  <c r="H1363" i="3"/>
  <c r="AU1363" i="3" s="1"/>
  <c r="I1363" i="3" s="1"/>
  <c r="B1364" i="3"/>
  <c r="C1364" i="3"/>
  <c r="D1364" i="3" s="1"/>
  <c r="E1364" i="3"/>
  <c r="G1364" i="3"/>
  <c r="H1364" i="3"/>
  <c r="AU1364" i="3" s="1"/>
  <c r="I1364" i="3" s="1"/>
  <c r="B1365" i="3"/>
  <c r="C1365" i="3"/>
  <c r="D1365" i="3" s="1"/>
  <c r="G1365" i="3"/>
  <c r="H1365" i="3"/>
  <c r="AU1365" i="3" s="1"/>
  <c r="I1365" i="3" s="1"/>
  <c r="B1366" i="3"/>
  <c r="C1366" i="3"/>
  <c r="D1366" i="3" s="1"/>
  <c r="G1366" i="3"/>
  <c r="H1366" i="3"/>
  <c r="AU1366" i="3" s="1"/>
  <c r="I1366" i="3" s="1"/>
  <c r="B1367" i="3"/>
  <c r="C1367" i="3"/>
  <c r="D1367" i="3" s="1"/>
  <c r="G1367" i="3"/>
  <c r="H1367" i="3"/>
  <c r="AU1367" i="3" s="1"/>
  <c r="I1367" i="3" s="1"/>
  <c r="B1368" i="3"/>
  <c r="C1368" i="3"/>
  <c r="D1368" i="3" s="1"/>
  <c r="G1368" i="3"/>
  <c r="H1368" i="3"/>
  <c r="AU1368" i="3" s="1"/>
  <c r="I1368" i="3" s="1"/>
  <c r="B1369" i="3"/>
  <c r="C1369" i="3"/>
  <c r="D1369" i="3" s="1"/>
  <c r="G1369" i="3"/>
  <c r="H1369" i="3"/>
  <c r="AU1369" i="3" s="1"/>
  <c r="I1369" i="3" s="1"/>
  <c r="B1370" i="3"/>
  <c r="C1370" i="3"/>
  <c r="D1370" i="3" s="1"/>
  <c r="G1370" i="3"/>
  <c r="B1371" i="3"/>
  <c r="C1371" i="3"/>
  <c r="D1371" i="3" s="1"/>
  <c r="G1371" i="3"/>
  <c r="H1371" i="3"/>
  <c r="AU1371" i="3" s="1"/>
  <c r="I1371" i="3" s="1"/>
  <c r="B1372" i="3"/>
  <c r="C1372" i="3"/>
  <c r="D1372" i="3" s="1"/>
  <c r="G1372" i="3"/>
  <c r="H1372" i="3"/>
  <c r="AU1372" i="3" s="1"/>
  <c r="I1372" i="3" s="1"/>
  <c r="B1373" i="3"/>
  <c r="C1373" i="3"/>
  <c r="D1373" i="3" s="1"/>
  <c r="G1373" i="3"/>
  <c r="H1373" i="3"/>
  <c r="AU1373" i="3" s="1"/>
  <c r="I1373" i="3" s="1"/>
  <c r="B1374" i="3"/>
  <c r="C1374" i="3"/>
  <c r="D1374" i="3" s="1"/>
  <c r="G1374" i="3"/>
  <c r="H1374" i="3"/>
  <c r="AU1374" i="3" s="1"/>
  <c r="I1374" i="3" s="1"/>
  <c r="B1375" i="3"/>
  <c r="C1375" i="3"/>
  <c r="D1375" i="3" s="1"/>
  <c r="G1375" i="3"/>
  <c r="H1375" i="3"/>
  <c r="AU1375" i="3" s="1"/>
  <c r="I1375" i="3" s="1"/>
  <c r="B1376" i="3"/>
  <c r="C1376" i="3"/>
  <c r="D1376" i="3" s="1"/>
  <c r="G1376" i="3"/>
  <c r="H1376" i="3"/>
  <c r="AU1376" i="3" s="1"/>
  <c r="I1376" i="3" s="1"/>
  <c r="B1377" i="3"/>
  <c r="C1377" i="3"/>
  <c r="D1377" i="3" s="1"/>
  <c r="G1377" i="3"/>
  <c r="H1377" i="3"/>
  <c r="AU1377" i="3" s="1"/>
  <c r="I1377" i="3" s="1"/>
  <c r="B1378" i="3"/>
  <c r="C1378" i="3"/>
  <c r="D1378" i="3" s="1"/>
  <c r="G1378" i="3"/>
  <c r="H1378" i="3"/>
  <c r="AU1378" i="3" s="1"/>
  <c r="I1378" i="3" s="1"/>
  <c r="B1379" i="3"/>
  <c r="C1379" i="3"/>
  <c r="D1379" i="3" s="1"/>
  <c r="G1379" i="3"/>
  <c r="B1380" i="3"/>
  <c r="C1380" i="3"/>
  <c r="D1380" i="3" s="1"/>
  <c r="G1380" i="3"/>
  <c r="H1380" i="3"/>
  <c r="AU1380" i="3" s="1"/>
  <c r="I1380" i="3" s="1"/>
  <c r="B1381" i="3"/>
  <c r="C1381" i="3"/>
  <c r="D1381" i="3" s="1"/>
  <c r="G1381" i="3"/>
  <c r="H1381" i="3"/>
  <c r="AU1381" i="3" s="1"/>
  <c r="I1381" i="3" s="1"/>
  <c r="B1382" i="3"/>
  <c r="C1382" i="3"/>
  <c r="D1382" i="3" s="1"/>
  <c r="G1382" i="3"/>
  <c r="H1382" i="3"/>
  <c r="AU1382" i="3" s="1"/>
  <c r="I1382" i="3" s="1"/>
  <c r="B1383" i="3"/>
  <c r="C1383" i="3"/>
  <c r="D1383" i="3" s="1"/>
  <c r="G1383" i="3"/>
  <c r="H1383" i="3"/>
  <c r="AU1383" i="3" s="1"/>
  <c r="I1383" i="3" s="1"/>
  <c r="B1384" i="3"/>
  <c r="C1384" i="3"/>
  <c r="D1384" i="3" s="1"/>
  <c r="G1384" i="3"/>
  <c r="H1384" i="3"/>
  <c r="AU1384" i="3" s="1"/>
  <c r="I1384" i="3" s="1"/>
  <c r="B1385" i="3"/>
  <c r="C1385" i="3"/>
  <c r="D1385" i="3" s="1"/>
  <c r="G1385" i="3"/>
  <c r="H1385" i="3"/>
  <c r="AU1385" i="3" s="1"/>
  <c r="I1385" i="3" s="1"/>
  <c r="B1386" i="3"/>
  <c r="C1386" i="3"/>
  <c r="D1386" i="3" s="1"/>
  <c r="E1386" i="3"/>
  <c r="G1386" i="3"/>
  <c r="H1386" i="3"/>
  <c r="AU1386" i="3" s="1"/>
  <c r="I1386" i="3" s="1"/>
  <c r="B1387" i="3"/>
  <c r="C1387" i="3"/>
  <c r="D1387" i="3" s="1"/>
  <c r="E1387" i="3"/>
  <c r="G1387" i="3"/>
  <c r="H1387" i="3"/>
  <c r="AU1387" i="3" s="1"/>
  <c r="I1387" i="3" s="1"/>
  <c r="B1388" i="3"/>
  <c r="C1388" i="3"/>
  <c r="D1388" i="3" s="1"/>
  <c r="E1388" i="3"/>
  <c r="G1388" i="3"/>
  <c r="H1388" i="3"/>
  <c r="AU1388" i="3" s="1"/>
  <c r="I1388" i="3" s="1"/>
  <c r="B1389" i="3"/>
  <c r="C1389" i="3"/>
  <c r="D1389" i="3" s="1"/>
  <c r="E1389" i="3"/>
  <c r="G1389" i="3"/>
  <c r="H1389" i="3"/>
  <c r="AU1389" i="3" s="1"/>
  <c r="I1389" i="3" s="1"/>
  <c r="B1390" i="3"/>
  <c r="C1390" i="3"/>
  <c r="D1390" i="3" s="1"/>
  <c r="E1390" i="3"/>
  <c r="G1390" i="3"/>
  <c r="B1391" i="3"/>
  <c r="C1391" i="3"/>
  <c r="D1391" i="3" s="1"/>
  <c r="E1391" i="3"/>
  <c r="G1391" i="3"/>
  <c r="H1391" i="3"/>
  <c r="AU1391" i="3" s="1"/>
  <c r="I1391" i="3" s="1"/>
  <c r="B1392" i="3"/>
  <c r="C1392" i="3"/>
  <c r="D1392" i="3" s="1"/>
  <c r="E1392" i="3"/>
  <c r="G1392" i="3"/>
  <c r="H1392" i="3"/>
  <c r="AU1392" i="3" s="1"/>
  <c r="I1392" i="3" s="1"/>
  <c r="B1393" i="3"/>
  <c r="C1393" i="3"/>
  <c r="D1393" i="3" s="1"/>
  <c r="E1393" i="3"/>
  <c r="G1393" i="3"/>
  <c r="H1393" i="3"/>
  <c r="AU1393" i="3" s="1"/>
  <c r="I1393" i="3" s="1"/>
  <c r="B1394" i="3"/>
  <c r="C1394" i="3"/>
  <c r="D1394" i="3" s="1"/>
  <c r="E1394" i="3"/>
  <c r="G1394" i="3"/>
  <c r="H1394" i="3"/>
  <c r="AU1394" i="3" s="1"/>
  <c r="I1394" i="3" s="1"/>
  <c r="B1395" i="3"/>
  <c r="BA1395" i="3" s="1"/>
  <c r="C1395" i="3"/>
  <c r="D1395" i="3" s="1"/>
  <c r="E1395" i="3"/>
  <c r="G1395" i="3"/>
  <c r="H1395" i="3"/>
  <c r="AU1395" i="3" s="1"/>
  <c r="I1395" i="3" s="1"/>
  <c r="B1396" i="3"/>
  <c r="C1396" i="3"/>
  <c r="D1396" i="3" s="1"/>
  <c r="E1396" i="3"/>
  <c r="G1396" i="3"/>
  <c r="B1397" i="3"/>
  <c r="C1397" i="3"/>
  <c r="D1397" i="3" s="1"/>
  <c r="E1397" i="3"/>
  <c r="G1397" i="3"/>
  <c r="H1397" i="3"/>
  <c r="AU1397" i="3" s="1"/>
  <c r="I1397" i="3" s="1"/>
  <c r="B1398" i="3"/>
  <c r="C1398" i="3"/>
  <c r="D1398" i="3" s="1"/>
  <c r="E1398" i="3"/>
  <c r="G1398" i="3"/>
  <c r="H1398" i="3"/>
  <c r="AU1398" i="3" s="1"/>
  <c r="I1398" i="3" s="1"/>
  <c r="B1399" i="3"/>
  <c r="C1399" i="3"/>
  <c r="D1399" i="3" s="1"/>
  <c r="E1399" i="3"/>
  <c r="G1399" i="3"/>
  <c r="H1399" i="3"/>
  <c r="AU1399" i="3" s="1"/>
  <c r="I1399" i="3" s="1"/>
  <c r="B1400" i="3"/>
  <c r="C1400" i="3"/>
  <c r="D1400" i="3" s="1"/>
  <c r="E1400" i="3"/>
  <c r="G1400" i="3"/>
  <c r="H1400" i="3"/>
  <c r="AU1400" i="3" s="1"/>
  <c r="I1400" i="3" s="1"/>
  <c r="B1401" i="3"/>
  <c r="C1401" i="3"/>
  <c r="D1401" i="3" s="1"/>
  <c r="E1401" i="3"/>
  <c r="G1401" i="3"/>
  <c r="H1401" i="3"/>
  <c r="AU1401" i="3" s="1"/>
  <c r="I1401" i="3" s="1"/>
  <c r="B1402" i="3"/>
  <c r="C1402" i="3"/>
  <c r="D1402" i="3" s="1"/>
  <c r="E1402" i="3"/>
  <c r="G1402" i="3"/>
  <c r="H1402" i="3"/>
  <c r="AU1402" i="3" s="1"/>
  <c r="I1402" i="3" s="1"/>
  <c r="B1403" i="3"/>
  <c r="C1403" i="3"/>
  <c r="D1403" i="3" s="1"/>
  <c r="E1403" i="3"/>
  <c r="G1403" i="3"/>
  <c r="H1403" i="3"/>
  <c r="AU1403" i="3" s="1"/>
  <c r="I1403" i="3" s="1"/>
  <c r="B1404" i="3"/>
  <c r="C1404" i="3"/>
  <c r="D1404" i="3" s="1"/>
  <c r="E1404" i="3"/>
  <c r="G1404" i="3"/>
  <c r="H1404" i="3"/>
  <c r="AU1404" i="3" s="1"/>
  <c r="I1404" i="3" s="1"/>
  <c r="B1405" i="3"/>
  <c r="BA1405" i="3" s="1"/>
  <c r="C1405" i="3"/>
  <c r="D1405" i="3" s="1"/>
  <c r="E1405" i="3"/>
  <c r="G1405" i="3"/>
  <c r="H1405" i="3"/>
  <c r="AU1405" i="3" s="1"/>
  <c r="I1405" i="3" s="1"/>
  <c r="B1406" i="3"/>
  <c r="BA1406" i="3" s="1"/>
  <c r="C1406" i="3"/>
  <c r="D1406" i="3" s="1"/>
  <c r="E1406" i="3"/>
  <c r="G1406" i="3"/>
  <c r="B1407" i="3"/>
  <c r="BA1407" i="3" s="1"/>
  <c r="C1407" i="3"/>
  <c r="D1407" i="3" s="1"/>
  <c r="E1407" i="3"/>
  <c r="G1407" i="3"/>
  <c r="H1407" i="3"/>
  <c r="AU1407" i="3" s="1"/>
  <c r="I1407" i="3" s="1"/>
  <c r="B1408" i="3"/>
  <c r="BA1408" i="3" s="1"/>
  <c r="C1408" i="3"/>
  <c r="D1408" i="3" s="1"/>
  <c r="E1408" i="3"/>
  <c r="G1408" i="3"/>
  <c r="H1408" i="3"/>
  <c r="AU1408" i="3" s="1"/>
  <c r="I1408" i="3" s="1"/>
  <c r="B1409" i="3"/>
  <c r="BA1409" i="3" s="1"/>
  <c r="C1409" i="3"/>
  <c r="D1409" i="3" s="1"/>
  <c r="E1409" i="3"/>
  <c r="G1409" i="3"/>
  <c r="H1409" i="3"/>
  <c r="AU1409" i="3" s="1"/>
  <c r="I1409" i="3" s="1"/>
  <c r="B1410" i="3"/>
  <c r="BA1410" i="3" s="1"/>
  <c r="C1410" i="3"/>
  <c r="D1410" i="3" s="1"/>
  <c r="E1410" i="3"/>
  <c r="G1410" i="3"/>
  <c r="H1410" i="3"/>
  <c r="AU1410" i="3" s="1"/>
  <c r="I1410" i="3" s="1"/>
  <c r="B1411" i="3"/>
  <c r="BA1411" i="3" s="1"/>
  <c r="C1411" i="3"/>
  <c r="D1411" i="3" s="1"/>
  <c r="E1411" i="3"/>
  <c r="G1411" i="3"/>
  <c r="H1411" i="3"/>
  <c r="AU1411" i="3" s="1"/>
  <c r="I1411" i="3" s="1"/>
  <c r="B1412" i="3"/>
  <c r="BA1412" i="3" s="1"/>
  <c r="C1412" i="3"/>
  <c r="D1412" i="3" s="1"/>
  <c r="E1412" i="3"/>
  <c r="G1412" i="3"/>
  <c r="B1413" i="3"/>
  <c r="BA1413" i="3" s="1"/>
  <c r="C1413" i="3"/>
  <c r="D1413" i="3" s="1"/>
  <c r="E1413" i="3"/>
  <c r="G1413" i="3"/>
  <c r="H1413" i="3"/>
  <c r="AU1413" i="3" s="1"/>
  <c r="I1413" i="3" s="1"/>
  <c r="B1414" i="3"/>
  <c r="C1414" i="3"/>
  <c r="D1414" i="3" s="1"/>
  <c r="E1414" i="3"/>
  <c r="G1414" i="3"/>
  <c r="H1414" i="3"/>
  <c r="AU1414" i="3" s="1"/>
  <c r="I1414" i="3" s="1"/>
  <c r="B1415" i="3"/>
  <c r="BA1415" i="3" s="1"/>
  <c r="C1415" i="3"/>
  <c r="D1415" i="3" s="1"/>
  <c r="E1415" i="3"/>
  <c r="G1415" i="3"/>
  <c r="H1415" i="3"/>
  <c r="AU1415" i="3" s="1"/>
  <c r="I1415" i="3" s="1"/>
  <c r="B1416" i="3"/>
  <c r="BA1416" i="3" s="1"/>
  <c r="C1416" i="3"/>
  <c r="D1416" i="3" s="1"/>
  <c r="E1416" i="3"/>
  <c r="G1416" i="3"/>
  <c r="H1416" i="3"/>
  <c r="AU1416" i="3" s="1"/>
  <c r="I1416" i="3" s="1"/>
  <c r="B1417" i="3"/>
  <c r="BA1417" i="3" s="1"/>
  <c r="C1417" i="3"/>
  <c r="D1417" i="3" s="1"/>
  <c r="E1417" i="3"/>
  <c r="G1417" i="3"/>
  <c r="H1417" i="3"/>
  <c r="AU1417" i="3" s="1"/>
  <c r="I1417" i="3" s="1"/>
  <c r="B1418" i="3"/>
  <c r="BA1418" i="3" s="1"/>
  <c r="C1418" i="3"/>
  <c r="D1418" i="3" s="1"/>
  <c r="E1418" i="3"/>
  <c r="G1418" i="3"/>
  <c r="H1418" i="3"/>
  <c r="AU1418" i="3" s="1"/>
  <c r="I1418" i="3" s="1"/>
  <c r="B1419" i="3"/>
  <c r="BA1419" i="3" s="1"/>
  <c r="C1419" i="3"/>
  <c r="D1419" i="3" s="1"/>
  <c r="E1419" i="3"/>
  <c r="G1419" i="3"/>
  <c r="H1419" i="3"/>
  <c r="AU1419" i="3" s="1"/>
  <c r="I1419" i="3" s="1"/>
  <c r="B1420" i="3"/>
  <c r="BA1420" i="3" s="1"/>
  <c r="C1420" i="3"/>
  <c r="D1420" i="3" s="1"/>
  <c r="E1420" i="3"/>
  <c r="G1420" i="3"/>
  <c r="H1420" i="3"/>
  <c r="AU1420" i="3" s="1"/>
  <c r="I1420" i="3" s="1"/>
  <c r="B1421" i="3"/>
  <c r="BA1421" i="3" s="1"/>
  <c r="C1421" i="3"/>
  <c r="D1421" i="3" s="1"/>
  <c r="E1421" i="3"/>
  <c r="G1421" i="3"/>
  <c r="H1421" i="3"/>
  <c r="AU1421" i="3" s="1"/>
  <c r="I1421" i="3" s="1"/>
  <c r="B1422" i="3"/>
  <c r="BA1422" i="3" s="1"/>
  <c r="C1422" i="3"/>
  <c r="D1422" i="3" s="1"/>
  <c r="E1422" i="3"/>
  <c r="G1422" i="3"/>
  <c r="H1422" i="3"/>
  <c r="AU1422" i="3" s="1"/>
  <c r="I1422" i="3" s="1"/>
  <c r="B1423" i="3"/>
  <c r="BA1423" i="3" s="1"/>
  <c r="C1423" i="3"/>
  <c r="D1423" i="3" s="1"/>
  <c r="E1423" i="3"/>
  <c r="G1423" i="3"/>
  <c r="H1423" i="3"/>
  <c r="AU1423" i="3" s="1"/>
  <c r="I1423" i="3" s="1"/>
  <c r="B1424" i="3"/>
  <c r="BA1424" i="3" s="1"/>
  <c r="C1424" i="3"/>
  <c r="D1424" i="3" s="1"/>
  <c r="E1424" i="3"/>
  <c r="G1424" i="3"/>
  <c r="H1424" i="3"/>
  <c r="AU1424" i="3" s="1"/>
  <c r="I1424" i="3" s="1"/>
  <c r="B1425" i="3"/>
  <c r="BA1425" i="3" s="1"/>
  <c r="C1425" i="3"/>
  <c r="D1425" i="3" s="1"/>
  <c r="E1425" i="3"/>
  <c r="G1425" i="3"/>
  <c r="H1425" i="3"/>
  <c r="AU1425" i="3" s="1"/>
  <c r="I1425" i="3" s="1"/>
  <c r="B1426" i="3"/>
  <c r="BA1426" i="3" s="1"/>
  <c r="C1426" i="3"/>
  <c r="D1426" i="3" s="1"/>
  <c r="E1426" i="3"/>
  <c r="G1426" i="3"/>
  <c r="H1426" i="3"/>
  <c r="AU1426" i="3" s="1"/>
  <c r="I1426" i="3" s="1"/>
  <c r="B1427" i="3"/>
  <c r="BA1427" i="3" s="1"/>
  <c r="C1427" i="3"/>
  <c r="D1427" i="3" s="1"/>
  <c r="E1427" i="3"/>
  <c r="G1427" i="3"/>
  <c r="H1427" i="3"/>
  <c r="AU1427" i="3" s="1"/>
  <c r="I1427" i="3" s="1"/>
  <c r="B1428" i="3"/>
  <c r="BA1428" i="3" s="1"/>
  <c r="C1428" i="3"/>
  <c r="D1428" i="3" s="1"/>
  <c r="E1428" i="3"/>
  <c r="G1428" i="3"/>
  <c r="H1428" i="3"/>
  <c r="AU1428" i="3" s="1"/>
  <c r="I1428" i="3" s="1"/>
  <c r="B1429" i="3"/>
  <c r="BA1429" i="3" s="1"/>
  <c r="C1429" i="3"/>
  <c r="D1429" i="3" s="1"/>
  <c r="E1429" i="3"/>
  <c r="G1429" i="3"/>
  <c r="H1429" i="3"/>
  <c r="AU1429" i="3" s="1"/>
  <c r="I1429" i="3" s="1"/>
  <c r="B1430" i="3"/>
  <c r="BA1430" i="3" s="1"/>
  <c r="C1430" i="3"/>
  <c r="D1430" i="3" s="1"/>
  <c r="E1430" i="3"/>
  <c r="G1430" i="3"/>
  <c r="H1430" i="3"/>
  <c r="AU1430" i="3" s="1"/>
  <c r="I1430" i="3" s="1"/>
  <c r="B1431" i="3"/>
  <c r="BA1431" i="3" s="1"/>
  <c r="C1431" i="3"/>
  <c r="D1431" i="3" s="1"/>
  <c r="E1431" i="3"/>
  <c r="G1431" i="3"/>
  <c r="H1431" i="3"/>
  <c r="AU1431" i="3" s="1"/>
  <c r="I1431" i="3" s="1"/>
  <c r="B1432" i="3"/>
  <c r="BA1432" i="3" s="1"/>
  <c r="C1432" i="3"/>
  <c r="D1432" i="3" s="1"/>
  <c r="E1432" i="3"/>
  <c r="G1432" i="3"/>
  <c r="H1432" i="3"/>
  <c r="AU1432" i="3" s="1"/>
  <c r="I1432" i="3" s="1"/>
  <c r="B1433" i="3"/>
  <c r="BA1433" i="3" s="1"/>
  <c r="C1433" i="3"/>
  <c r="D1433" i="3" s="1"/>
  <c r="E1433" i="3"/>
  <c r="G1433" i="3"/>
  <c r="H1433" i="3"/>
  <c r="AU1433" i="3" s="1"/>
  <c r="I1433" i="3" s="1"/>
  <c r="B1434" i="3"/>
  <c r="BA1434" i="3" s="1"/>
  <c r="C1434" i="3"/>
  <c r="D1434" i="3" s="1"/>
  <c r="E1434" i="3"/>
  <c r="G1434" i="3"/>
  <c r="H1434" i="3"/>
  <c r="AU1434" i="3" s="1"/>
  <c r="I1434" i="3" s="1"/>
  <c r="B1435" i="3"/>
  <c r="BA1435" i="3" s="1"/>
  <c r="C1435" i="3"/>
  <c r="D1435" i="3" s="1"/>
  <c r="E1435" i="3"/>
  <c r="G1435" i="3"/>
  <c r="H1435" i="3"/>
  <c r="AU1435" i="3" s="1"/>
  <c r="I1435" i="3" s="1"/>
  <c r="B1436" i="3"/>
  <c r="BA1436" i="3" s="1"/>
  <c r="C1436" i="3"/>
  <c r="D1436" i="3" s="1"/>
  <c r="E1436" i="3"/>
  <c r="G1436" i="3"/>
  <c r="H1436" i="3"/>
  <c r="AU1436" i="3" s="1"/>
  <c r="I1436" i="3" s="1"/>
  <c r="B1437" i="3"/>
  <c r="BA1437" i="3" s="1"/>
  <c r="C1437" i="3"/>
  <c r="D1437" i="3" s="1"/>
  <c r="E1437" i="3"/>
  <c r="G1437" i="3"/>
  <c r="H1437" i="3"/>
  <c r="AU1437" i="3" s="1"/>
  <c r="I1437" i="3" s="1"/>
  <c r="B1438" i="3"/>
  <c r="BA1438" i="3" s="1"/>
  <c r="C1438" i="3"/>
  <c r="D1438" i="3" s="1"/>
  <c r="E1438" i="3"/>
  <c r="G1438" i="3"/>
  <c r="H1438" i="3"/>
  <c r="AU1438" i="3" s="1"/>
  <c r="I1438" i="3" s="1"/>
  <c r="B1439" i="3"/>
  <c r="BA1439" i="3" s="1"/>
  <c r="C1439" i="3"/>
  <c r="D1439" i="3" s="1"/>
  <c r="E1439" i="3"/>
  <c r="G1439" i="3"/>
  <c r="H1439" i="3"/>
  <c r="AU1439" i="3" s="1"/>
  <c r="I1439" i="3" s="1"/>
  <c r="B1440" i="3"/>
  <c r="BA1440" i="3" s="1"/>
  <c r="C1440" i="3"/>
  <c r="D1440" i="3" s="1"/>
  <c r="E1440" i="3"/>
  <c r="G1440" i="3"/>
  <c r="H1440" i="3"/>
  <c r="AU1440" i="3" s="1"/>
  <c r="I1440" i="3" s="1"/>
  <c r="B1441" i="3"/>
  <c r="BA1441" i="3" s="1"/>
  <c r="C1441" i="3"/>
  <c r="D1441" i="3" s="1"/>
  <c r="E1441" i="3"/>
  <c r="G1441" i="3"/>
  <c r="H1441" i="3"/>
  <c r="AU1441" i="3" s="1"/>
  <c r="I1441" i="3" s="1"/>
  <c r="B1442" i="3"/>
  <c r="BA1442" i="3" s="1"/>
  <c r="C1442" i="3"/>
  <c r="D1442" i="3" s="1"/>
  <c r="E1442" i="3"/>
  <c r="G1442" i="3"/>
  <c r="H1442" i="3"/>
  <c r="AU1442" i="3" s="1"/>
  <c r="I1442" i="3" s="1"/>
  <c r="B1443" i="3"/>
  <c r="BA1443" i="3" s="1"/>
  <c r="C1443" i="3"/>
  <c r="D1443" i="3" s="1"/>
  <c r="E1443" i="3"/>
  <c r="G1443" i="3"/>
  <c r="H1443" i="3"/>
  <c r="AU1443" i="3" s="1"/>
  <c r="I1443" i="3" s="1"/>
  <c r="B1444" i="3"/>
  <c r="C1444" i="3"/>
  <c r="D1444" i="3" s="1"/>
  <c r="E1444" i="3"/>
  <c r="G1444" i="3"/>
  <c r="H1444" i="3"/>
  <c r="AU1444" i="3" s="1"/>
  <c r="I1444" i="3" s="1"/>
  <c r="B1445" i="3"/>
  <c r="BA1445" i="3" s="1"/>
  <c r="C1445" i="3"/>
  <c r="D1445" i="3" s="1"/>
  <c r="E1445" i="3"/>
  <c r="G1445" i="3"/>
  <c r="H1445" i="3"/>
  <c r="AU1445" i="3" s="1"/>
  <c r="I1445" i="3" s="1"/>
  <c r="B1446" i="3"/>
  <c r="BA1446" i="3" s="1"/>
  <c r="C1446" i="3"/>
  <c r="D1446" i="3" s="1"/>
  <c r="E1446" i="3"/>
  <c r="G1446" i="3"/>
  <c r="H1446" i="3"/>
  <c r="AU1446" i="3" s="1"/>
  <c r="I1446" i="3" s="1"/>
  <c r="B1447" i="3"/>
  <c r="BA1447" i="3" s="1"/>
  <c r="C1447" i="3"/>
  <c r="D1447" i="3" s="1"/>
  <c r="E1447" i="3"/>
  <c r="G1447" i="3"/>
  <c r="H1447" i="3"/>
  <c r="AU1447" i="3" s="1"/>
  <c r="I1447" i="3" s="1"/>
  <c r="B1448" i="3"/>
  <c r="BA1448" i="3" s="1"/>
  <c r="C1448" i="3"/>
  <c r="D1448" i="3" s="1"/>
  <c r="E1448" i="3"/>
  <c r="G1448" i="3"/>
  <c r="H1448" i="3"/>
  <c r="AU1448" i="3" s="1"/>
  <c r="I1448" i="3" s="1"/>
  <c r="B1449" i="3"/>
  <c r="BA1449" i="3" s="1"/>
  <c r="C1449" i="3"/>
  <c r="D1449" i="3" s="1"/>
  <c r="E1449" i="3"/>
  <c r="G1449" i="3"/>
  <c r="H1449" i="3"/>
  <c r="AU1449" i="3" s="1"/>
  <c r="I1449" i="3" s="1"/>
  <c r="B1450" i="3"/>
  <c r="C1450" i="3"/>
  <c r="D1450" i="3" s="1"/>
  <c r="E1450" i="3"/>
  <c r="G1450" i="3"/>
  <c r="H1450" i="3"/>
  <c r="AU1450" i="3" s="1"/>
  <c r="I1450" i="3" s="1"/>
  <c r="B1451" i="3"/>
  <c r="BA1451" i="3" s="1"/>
  <c r="C1451" i="3"/>
  <c r="D1451" i="3" s="1"/>
  <c r="E1451" i="3"/>
  <c r="G1451" i="3"/>
  <c r="H1451" i="3"/>
  <c r="AU1451" i="3" s="1"/>
  <c r="I1451" i="3" s="1"/>
  <c r="B1452" i="3"/>
  <c r="BA1452" i="3" s="1"/>
  <c r="C1452" i="3"/>
  <c r="D1452" i="3" s="1"/>
  <c r="E1452" i="3"/>
  <c r="G1452" i="3"/>
  <c r="H1452" i="3"/>
  <c r="AU1452" i="3" s="1"/>
  <c r="I1452" i="3" s="1"/>
  <c r="B1453" i="3"/>
  <c r="BA1453" i="3" s="1"/>
  <c r="C1453" i="3"/>
  <c r="D1453" i="3" s="1"/>
  <c r="E1453" i="3"/>
  <c r="G1453" i="3"/>
  <c r="B1454" i="3"/>
  <c r="BA1454" i="3" s="1"/>
  <c r="C1454" i="3"/>
  <c r="D1454" i="3" s="1"/>
  <c r="E1454" i="3"/>
  <c r="G1454" i="3"/>
  <c r="H1454" i="3"/>
  <c r="AU1454" i="3" s="1"/>
  <c r="I1454" i="3" s="1"/>
  <c r="B1455" i="3"/>
  <c r="C1455" i="3"/>
  <c r="D1455" i="3" s="1"/>
  <c r="E1455" i="3"/>
  <c r="G1455" i="3"/>
  <c r="H1455" i="3"/>
  <c r="AU1455" i="3" s="1"/>
  <c r="I1455" i="3" s="1"/>
  <c r="B1456" i="3"/>
  <c r="C1456" i="3"/>
  <c r="D1456" i="3" s="1"/>
  <c r="E1456" i="3"/>
  <c r="G1456" i="3"/>
  <c r="B1457" i="3"/>
  <c r="BA1457" i="3" s="1"/>
  <c r="C1457" i="3"/>
  <c r="D1457" i="3" s="1"/>
  <c r="E1457" i="3"/>
  <c r="G1457" i="3"/>
  <c r="H1457" i="3"/>
  <c r="AU1457" i="3" s="1"/>
  <c r="I1457" i="3" s="1"/>
  <c r="B1458" i="3"/>
  <c r="BA1458" i="3" s="1"/>
  <c r="C1458" i="3"/>
  <c r="D1458" i="3" s="1"/>
  <c r="E1458" i="3"/>
  <c r="G1458" i="3"/>
  <c r="H1458" i="3"/>
  <c r="AU1458" i="3" s="1"/>
  <c r="I1458" i="3" s="1"/>
  <c r="B1459" i="3"/>
  <c r="C1459" i="3"/>
  <c r="D1459" i="3" s="1"/>
  <c r="E1459" i="3"/>
  <c r="G1459" i="3"/>
  <c r="B1460" i="3"/>
  <c r="BA1460" i="3" s="1"/>
  <c r="C1460" i="3"/>
  <c r="D1460" i="3" s="1"/>
  <c r="E1460" i="3"/>
  <c r="G1460" i="3"/>
  <c r="H1460" i="3"/>
  <c r="AU1460" i="3" s="1"/>
  <c r="I1460" i="3" s="1"/>
  <c r="B1461" i="3"/>
  <c r="BA1461" i="3" s="1"/>
  <c r="C1461" i="3"/>
  <c r="D1461" i="3" s="1"/>
  <c r="E1461" i="3"/>
  <c r="G1461" i="3"/>
  <c r="H1461" i="3"/>
  <c r="AU1461" i="3" s="1"/>
  <c r="I1461" i="3" s="1"/>
  <c r="B1462" i="3"/>
  <c r="BA1462" i="3" s="1"/>
  <c r="C1462" i="3"/>
  <c r="D1462" i="3" s="1"/>
  <c r="E1462" i="3"/>
  <c r="G1462" i="3"/>
  <c r="B1463" i="3"/>
  <c r="BA1463" i="3" s="1"/>
  <c r="C1463" i="3"/>
  <c r="D1463" i="3" s="1"/>
  <c r="E1463" i="3"/>
  <c r="G1463" i="3"/>
  <c r="H1463" i="3"/>
  <c r="AU1463" i="3" s="1"/>
  <c r="I1463" i="3" s="1"/>
  <c r="B1464" i="3"/>
  <c r="BA1464" i="3" s="1"/>
  <c r="C1464" i="3"/>
  <c r="D1464" i="3" s="1"/>
  <c r="E1464" i="3"/>
  <c r="G1464" i="3"/>
  <c r="H1464" i="3"/>
  <c r="AU1464" i="3" s="1"/>
  <c r="I1464" i="3" s="1"/>
  <c r="B1465" i="3"/>
  <c r="BA1465" i="3" s="1"/>
  <c r="C1465" i="3"/>
  <c r="D1465" i="3" s="1"/>
  <c r="E1465" i="3"/>
  <c r="G1465" i="3"/>
  <c r="B1466" i="3"/>
  <c r="BA1466" i="3" s="1"/>
  <c r="C1466" i="3"/>
  <c r="D1466" i="3" s="1"/>
  <c r="E1466" i="3"/>
  <c r="G1466" i="3"/>
  <c r="H1466" i="3"/>
  <c r="AU1466" i="3" s="1"/>
  <c r="I1466" i="3" s="1"/>
  <c r="B1467" i="3"/>
  <c r="BA1467" i="3" s="1"/>
  <c r="C1467" i="3"/>
  <c r="D1467" i="3" s="1"/>
  <c r="E1467" i="3"/>
  <c r="G1467" i="3"/>
  <c r="H1467" i="3"/>
  <c r="AU1467" i="3" s="1"/>
  <c r="I1467" i="3" s="1"/>
  <c r="B1468" i="3"/>
  <c r="BA1468" i="3" s="1"/>
  <c r="C1468" i="3"/>
  <c r="D1468" i="3" s="1"/>
  <c r="E1468" i="3"/>
  <c r="G1468" i="3"/>
  <c r="H1468" i="3"/>
  <c r="AU1468" i="3" s="1"/>
  <c r="I1468" i="3" s="1"/>
  <c r="B1469" i="3"/>
  <c r="BA1469" i="3" s="1"/>
  <c r="C1469" i="3"/>
  <c r="D1469" i="3" s="1"/>
  <c r="E1469" i="3"/>
  <c r="G1469" i="3"/>
  <c r="H1469" i="3"/>
  <c r="AU1469" i="3" s="1"/>
  <c r="I1469" i="3" s="1"/>
  <c r="B1470" i="3"/>
  <c r="C1470" i="3"/>
  <c r="D1470" i="3" s="1"/>
  <c r="E1470" i="3"/>
  <c r="G1470" i="3"/>
  <c r="B1471" i="3"/>
  <c r="BA1471" i="3" s="1"/>
  <c r="C1471" i="3"/>
  <c r="D1471" i="3" s="1"/>
  <c r="E1471" i="3"/>
  <c r="G1471" i="3"/>
  <c r="H1471" i="3"/>
  <c r="AU1471" i="3" s="1"/>
  <c r="I1471" i="3" s="1"/>
  <c r="B1472" i="3"/>
  <c r="BA1472" i="3" s="1"/>
  <c r="C1472" i="3"/>
  <c r="D1472" i="3" s="1"/>
  <c r="E1472" i="3"/>
  <c r="G1472" i="3"/>
  <c r="H1472" i="3"/>
  <c r="AU1472" i="3" s="1"/>
  <c r="I1472" i="3" s="1"/>
  <c r="B1473" i="3"/>
  <c r="BA1473" i="3" s="1"/>
  <c r="C1473" i="3"/>
  <c r="D1473" i="3" s="1"/>
  <c r="E1473" i="3"/>
  <c r="G1473" i="3"/>
  <c r="H1473" i="3"/>
  <c r="AU1473" i="3" s="1"/>
  <c r="I1473" i="3" s="1"/>
  <c r="B1474" i="3"/>
  <c r="C1474" i="3"/>
  <c r="D1474" i="3" s="1"/>
  <c r="E1474" i="3"/>
  <c r="G1474" i="3"/>
  <c r="B1475" i="3"/>
  <c r="BA1475" i="3" s="1"/>
  <c r="C1475" i="3"/>
  <c r="D1475" i="3" s="1"/>
  <c r="E1475" i="3"/>
  <c r="G1475" i="3"/>
  <c r="H1475" i="3"/>
  <c r="AU1475" i="3" s="1"/>
  <c r="I1475" i="3" s="1"/>
  <c r="B1476" i="3"/>
  <c r="BA1476" i="3" s="1"/>
  <c r="C1476" i="3"/>
  <c r="D1476" i="3" s="1"/>
  <c r="E1476" i="3"/>
  <c r="G1476" i="3"/>
  <c r="B1477" i="3"/>
  <c r="C1477" i="3"/>
  <c r="D1477" i="3" s="1"/>
  <c r="E1477" i="3"/>
  <c r="G1477" i="3"/>
  <c r="H1477" i="3"/>
  <c r="AU1477" i="3" s="1"/>
  <c r="I1477" i="3" s="1"/>
  <c r="B1478" i="3"/>
  <c r="BA1478" i="3" s="1"/>
  <c r="C1478" i="3"/>
  <c r="D1478" i="3" s="1"/>
  <c r="E1478" i="3"/>
  <c r="G1478" i="3"/>
  <c r="H1478" i="3"/>
  <c r="AU1478" i="3" s="1"/>
  <c r="I1478" i="3" s="1"/>
  <c r="B1479" i="3"/>
  <c r="BA1479" i="3" s="1"/>
  <c r="C1479" i="3"/>
  <c r="D1479" i="3" s="1"/>
  <c r="E1479" i="3"/>
  <c r="G1479" i="3"/>
  <c r="H1479" i="3"/>
  <c r="AU1479" i="3" s="1"/>
  <c r="I1479" i="3" s="1"/>
  <c r="B1480" i="3"/>
  <c r="BA1480" i="3" s="1"/>
  <c r="C1480" i="3"/>
  <c r="D1480" i="3" s="1"/>
  <c r="E1480" i="3"/>
  <c r="G1480" i="3"/>
  <c r="B1481" i="3"/>
  <c r="BA1481" i="3" s="1"/>
  <c r="C1481" i="3"/>
  <c r="D1481" i="3" s="1"/>
  <c r="E1481" i="3"/>
  <c r="G1481" i="3"/>
  <c r="H1481" i="3"/>
  <c r="AU1481" i="3" s="1"/>
  <c r="I1481" i="3" s="1"/>
  <c r="B1482" i="3"/>
  <c r="BA1482" i="3" s="1"/>
  <c r="C1482" i="3"/>
  <c r="D1482" i="3" s="1"/>
  <c r="E1482" i="3"/>
  <c r="G1482" i="3"/>
  <c r="H1482" i="3"/>
  <c r="AU1482" i="3" s="1"/>
  <c r="I1482" i="3" s="1"/>
  <c r="B1483" i="3"/>
  <c r="BA1483" i="3" s="1"/>
  <c r="C1483" i="3"/>
  <c r="D1483" i="3" s="1"/>
  <c r="E1483" i="3"/>
  <c r="G1483" i="3"/>
  <c r="B1484" i="3"/>
  <c r="BA1484" i="3" s="1"/>
  <c r="C1484" i="3"/>
  <c r="D1484" i="3" s="1"/>
  <c r="E1484" i="3"/>
  <c r="G1484" i="3"/>
  <c r="H1484" i="3"/>
  <c r="AU1484" i="3" s="1"/>
  <c r="I1484" i="3" s="1"/>
  <c r="B1485" i="3"/>
  <c r="BA1485" i="3" s="1"/>
  <c r="C1485" i="3"/>
  <c r="D1485" i="3" s="1"/>
  <c r="E1485" i="3"/>
  <c r="G1485" i="3"/>
  <c r="H1485" i="3"/>
  <c r="AU1485" i="3" s="1"/>
  <c r="I1485" i="3" s="1"/>
  <c r="B1486" i="3"/>
  <c r="BA1486" i="3" s="1"/>
  <c r="C1486" i="3"/>
  <c r="D1486" i="3" s="1"/>
  <c r="E1486" i="3"/>
  <c r="G1486" i="3"/>
  <c r="H1486" i="3"/>
  <c r="AU1486" i="3" s="1"/>
  <c r="I1486" i="3" s="1"/>
  <c r="B1487" i="3"/>
  <c r="BA1487" i="3" s="1"/>
  <c r="C1487" i="3"/>
  <c r="D1487" i="3" s="1"/>
  <c r="E1487" i="3"/>
  <c r="G1487" i="3"/>
  <c r="H1487" i="3"/>
  <c r="AU1487" i="3" s="1"/>
  <c r="I1487" i="3" s="1"/>
  <c r="B1488" i="3"/>
  <c r="BA1488" i="3" s="1"/>
  <c r="C1488" i="3"/>
  <c r="D1488" i="3" s="1"/>
  <c r="E1488" i="3"/>
  <c r="G1488" i="3"/>
  <c r="H1488" i="3"/>
  <c r="AU1488" i="3" s="1"/>
  <c r="I1488" i="3" s="1"/>
  <c r="B1489" i="3"/>
  <c r="BA1489" i="3" s="1"/>
  <c r="C1489" i="3"/>
  <c r="D1489" i="3" s="1"/>
  <c r="E1489" i="3"/>
  <c r="G1489" i="3"/>
  <c r="H1489" i="3"/>
  <c r="AU1489" i="3" s="1"/>
  <c r="I1489" i="3" s="1"/>
  <c r="B1490" i="3"/>
  <c r="BA1490" i="3" s="1"/>
  <c r="C1490" i="3"/>
  <c r="D1490" i="3" s="1"/>
  <c r="E1490" i="3"/>
  <c r="G1490" i="3"/>
  <c r="H1490" i="3"/>
  <c r="AU1490" i="3" s="1"/>
  <c r="I1490" i="3" s="1"/>
  <c r="B1491" i="3"/>
  <c r="BA1491" i="3" s="1"/>
  <c r="C1491" i="3"/>
  <c r="D1491" i="3" s="1"/>
  <c r="E1491" i="3"/>
  <c r="G1491" i="3"/>
  <c r="H1491" i="3"/>
  <c r="AU1491" i="3" s="1"/>
  <c r="I1491" i="3" s="1"/>
  <c r="B1492" i="3"/>
  <c r="BA1492" i="3" s="1"/>
  <c r="C1492" i="3"/>
  <c r="D1492" i="3" s="1"/>
  <c r="E1492" i="3"/>
  <c r="G1492" i="3"/>
  <c r="B1493" i="3"/>
  <c r="BA1493" i="3" s="1"/>
  <c r="C1493" i="3"/>
  <c r="D1493" i="3" s="1"/>
  <c r="E1493" i="3"/>
  <c r="G1493" i="3"/>
  <c r="H1493" i="3"/>
  <c r="AU1493" i="3" s="1"/>
  <c r="I1493" i="3" s="1"/>
  <c r="B1494" i="3"/>
  <c r="BA1494" i="3" s="1"/>
  <c r="C1494" i="3"/>
  <c r="D1494" i="3" s="1"/>
  <c r="E1494" i="3"/>
  <c r="G1494" i="3"/>
  <c r="H1494" i="3"/>
  <c r="AU1494" i="3" s="1"/>
  <c r="I1494" i="3" s="1"/>
  <c r="B1495" i="3"/>
  <c r="BA1495" i="3" s="1"/>
  <c r="C1495" i="3"/>
  <c r="D1495" i="3" s="1"/>
  <c r="E1495" i="3"/>
  <c r="G1495" i="3"/>
  <c r="H1495" i="3"/>
  <c r="AU1495" i="3" s="1"/>
  <c r="I1495" i="3" s="1"/>
  <c r="B1496" i="3"/>
  <c r="BA1496" i="3" s="1"/>
  <c r="C1496" i="3"/>
  <c r="D1496" i="3" s="1"/>
  <c r="E1496" i="3"/>
  <c r="G1496" i="3"/>
  <c r="H1496" i="3"/>
  <c r="AU1496" i="3" s="1"/>
  <c r="I1496" i="3" s="1"/>
  <c r="B1497" i="3"/>
  <c r="BA1497" i="3" s="1"/>
  <c r="C1497" i="3"/>
  <c r="D1497" i="3" s="1"/>
  <c r="E1497" i="3"/>
  <c r="G1497" i="3"/>
  <c r="B1498" i="3"/>
  <c r="BA1498" i="3" s="1"/>
  <c r="C1498" i="3"/>
  <c r="D1498" i="3" s="1"/>
  <c r="E1498" i="3"/>
  <c r="G1498" i="3"/>
  <c r="H1498" i="3"/>
  <c r="AU1498" i="3" s="1"/>
  <c r="I1498" i="3" s="1"/>
  <c r="B1499" i="3"/>
  <c r="BA1499" i="3" s="1"/>
  <c r="C1499" i="3"/>
  <c r="D1499" i="3" s="1"/>
  <c r="E1499" i="3"/>
  <c r="G1499" i="3"/>
  <c r="H1499" i="3"/>
  <c r="AU1499" i="3" s="1"/>
  <c r="I1499" i="3" s="1"/>
  <c r="B1500" i="3"/>
  <c r="BA1500" i="3" s="1"/>
  <c r="C1500" i="3"/>
  <c r="D1500" i="3" s="1"/>
  <c r="E1500" i="3"/>
  <c r="G1500" i="3"/>
  <c r="H1500" i="3"/>
  <c r="AU1500" i="3" s="1"/>
  <c r="I1500" i="3" s="1"/>
  <c r="B1501" i="3"/>
  <c r="BA1501" i="3" s="1"/>
  <c r="C1501" i="3"/>
  <c r="D1501" i="3" s="1"/>
  <c r="E1501" i="3"/>
  <c r="G1501" i="3"/>
  <c r="H1501" i="3"/>
  <c r="AU1501" i="3" s="1"/>
  <c r="I1501" i="3" s="1"/>
  <c r="B1502" i="3"/>
  <c r="BA1502" i="3" s="1"/>
  <c r="C1502" i="3"/>
  <c r="D1502" i="3" s="1"/>
  <c r="E1502" i="3"/>
  <c r="G1502" i="3"/>
  <c r="H1502" i="3"/>
  <c r="AU1502" i="3" s="1"/>
  <c r="I1502" i="3" s="1"/>
  <c r="B1503" i="3"/>
  <c r="BA1503" i="3" s="1"/>
  <c r="C1503" i="3"/>
  <c r="D1503" i="3" s="1"/>
  <c r="E1503" i="3"/>
  <c r="G1503" i="3"/>
  <c r="H1503" i="3"/>
  <c r="AU1503" i="3" s="1"/>
  <c r="I1503" i="3" s="1"/>
  <c r="B1504" i="3"/>
  <c r="BA1504" i="3" s="1"/>
  <c r="C1504" i="3"/>
  <c r="D1504" i="3" s="1"/>
  <c r="E1504" i="3"/>
  <c r="G1504" i="3"/>
  <c r="H1504" i="3"/>
  <c r="AU1504" i="3" s="1"/>
  <c r="I1504" i="3" s="1"/>
  <c r="B1505" i="3"/>
  <c r="BA1505" i="3" s="1"/>
  <c r="C1505" i="3"/>
  <c r="D1505" i="3" s="1"/>
  <c r="E1505" i="3"/>
  <c r="G1505" i="3"/>
  <c r="B1506" i="3"/>
  <c r="BA1506" i="3" s="1"/>
  <c r="C1506" i="3"/>
  <c r="D1506" i="3" s="1"/>
  <c r="E1506" i="3"/>
  <c r="G1506" i="3"/>
  <c r="H1506" i="3"/>
  <c r="AU1506" i="3" s="1"/>
  <c r="I1506" i="3" s="1"/>
  <c r="B1507" i="3"/>
  <c r="BA1507" i="3" s="1"/>
  <c r="C1507" i="3"/>
  <c r="D1507" i="3" s="1"/>
  <c r="E1507" i="3"/>
  <c r="G1507" i="3"/>
  <c r="H1507" i="3"/>
  <c r="AU1507" i="3" s="1"/>
  <c r="I1507" i="3" s="1"/>
  <c r="B1508" i="3"/>
  <c r="BA1508" i="3" s="1"/>
  <c r="C1508" i="3"/>
  <c r="D1508" i="3" s="1"/>
  <c r="E1508" i="3"/>
  <c r="G1508" i="3"/>
  <c r="H1508" i="3"/>
  <c r="AU1508" i="3" s="1"/>
  <c r="I1508" i="3" s="1"/>
  <c r="B1509" i="3"/>
  <c r="BA1509" i="3" s="1"/>
  <c r="C1509" i="3"/>
  <c r="D1509" i="3" s="1"/>
  <c r="E1509" i="3"/>
  <c r="G1509" i="3"/>
  <c r="H1509" i="3"/>
  <c r="AU1509" i="3" s="1"/>
  <c r="I1509" i="3" s="1"/>
  <c r="B1510" i="3"/>
  <c r="BA1510" i="3" s="1"/>
  <c r="C1510" i="3"/>
  <c r="D1510" i="3" s="1"/>
  <c r="E1510" i="3"/>
  <c r="G1510" i="3"/>
  <c r="B1511" i="3"/>
  <c r="BA1511" i="3" s="1"/>
  <c r="C1511" i="3"/>
  <c r="D1511" i="3" s="1"/>
  <c r="E1511" i="3"/>
  <c r="G1511" i="3"/>
  <c r="H1511" i="3"/>
  <c r="AU1511" i="3" s="1"/>
  <c r="I1511" i="3" s="1"/>
  <c r="B1512" i="3"/>
  <c r="BA1512" i="3" s="1"/>
  <c r="C1512" i="3"/>
  <c r="D1512" i="3" s="1"/>
  <c r="E1512" i="3"/>
  <c r="G1512" i="3"/>
  <c r="B1513" i="3"/>
  <c r="BA1513" i="3" s="1"/>
  <c r="C1513" i="3"/>
  <c r="D1513" i="3" s="1"/>
  <c r="E1513" i="3"/>
  <c r="G1513" i="3"/>
  <c r="H1513" i="3"/>
  <c r="AU1513" i="3" s="1"/>
  <c r="I1513" i="3" s="1"/>
  <c r="B1514" i="3"/>
  <c r="BA1514" i="3" s="1"/>
  <c r="C1514" i="3"/>
  <c r="D1514" i="3" s="1"/>
  <c r="E1514" i="3"/>
  <c r="G1514" i="3"/>
  <c r="H1514" i="3"/>
  <c r="AU1514" i="3" s="1"/>
  <c r="I1514" i="3" s="1"/>
  <c r="B1515" i="3"/>
  <c r="BA1515" i="3" s="1"/>
  <c r="C1515" i="3"/>
  <c r="D1515" i="3" s="1"/>
  <c r="E1515" i="3"/>
  <c r="G1515" i="3"/>
  <c r="H1515" i="3"/>
  <c r="AU1515" i="3" s="1"/>
  <c r="I1515" i="3" s="1"/>
  <c r="B1516" i="3"/>
  <c r="BA1516" i="3" s="1"/>
  <c r="C1516" i="3"/>
  <c r="D1516" i="3" s="1"/>
  <c r="E1516" i="3"/>
  <c r="G1516" i="3"/>
  <c r="H1516" i="3"/>
  <c r="AU1516" i="3" s="1"/>
  <c r="I1516" i="3" s="1"/>
  <c r="B1517" i="3"/>
  <c r="BA1517" i="3" s="1"/>
  <c r="C1517" i="3"/>
  <c r="D1517" i="3" s="1"/>
  <c r="E1517" i="3"/>
  <c r="G1517" i="3"/>
  <c r="B1518" i="3"/>
  <c r="BA1518" i="3" s="1"/>
  <c r="C1518" i="3"/>
  <c r="D1518" i="3" s="1"/>
  <c r="E1518" i="3"/>
  <c r="G1518" i="3"/>
  <c r="H1518" i="3"/>
  <c r="AU1518" i="3" s="1"/>
  <c r="I1518" i="3" s="1"/>
  <c r="B1519" i="3"/>
  <c r="BA1519" i="3" s="1"/>
  <c r="C1519" i="3"/>
  <c r="D1519" i="3" s="1"/>
  <c r="E1519" i="3"/>
  <c r="G1519" i="3"/>
  <c r="H1519" i="3"/>
  <c r="AU1519" i="3" s="1"/>
  <c r="I1519" i="3" s="1"/>
  <c r="B1520" i="3"/>
  <c r="BA1520" i="3" s="1"/>
  <c r="C1520" i="3"/>
  <c r="D1520" i="3" s="1"/>
  <c r="E1520" i="3"/>
  <c r="G1520" i="3"/>
  <c r="H1520" i="3"/>
  <c r="AU1520" i="3" s="1"/>
  <c r="I1520" i="3" s="1"/>
  <c r="B1521" i="3"/>
  <c r="BA1521" i="3" s="1"/>
  <c r="C1521" i="3"/>
  <c r="D1521" i="3" s="1"/>
  <c r="E1521" i="3"/>
  <c r="G1521" i="3"/>
  <c r="H1521" i="3"/>
  <c r="AU1521" i="3" s="1"/>
  <c r="I1521" i="3" s="1"/>
  <c r="B1522" i="3"/>
  <c r="BA1522" i="3" s="1"/>
  <c r="C1522" i="3"/>
  <c r="D1522" i="3" s="1"/>
  <c r="E1522" i="3"/>
  <c r="G1522" i="3"/>
  <c r="H1522" i="3"/>
  <c r="AU1522" i="3" s="1"/>
  <c r="I1522" i="3" s="1"/>
  <c r="B1523" i="3"/>
  <c r="BA1523" i="3" s="1"/>
  <c r="C1523" i="3"/>
  <c r="D1523" i="3" s="1"/>
  <c r="E1523" i="3"/>
  <c r="G1523" i="3"/>
  <c r="B1524" i="3"/>
  <c r="BA1524" i="3" s="1"/>
  <c r="C1524" i="3"/>
  <c r="D1524" i="3" s="1"/>
  <c r="E1524" i="3"/>
  <c r="G1524" i="3"/>
  <c r="H1524" i="3"/>
  <c r="AU1524" i="3" s="1"/>
  <c r="I1524" i="3" s="1"/>
  <c r="B1525" i="3"/>
  <c r="BA1525" i="3" s="1"/>
  <c r="C1525" i="3"/>
  <c r="D1525" i="3" s="1"/>
  <c r="E1525" i="3"/>
  <c r="G1525" i="3"/>
  <c r="H1525" i="3"/>
  <c r="AU1525" i="3" s="1"/>
  <c r="I1525" i="3" s="1"/>
  <c r="B1526" i="3"/>
  <c r="BA1526" i="3" s="1"/>
  <c r="C1526" i="3"/>
  <c r="D1526" i="3" s="1"/>
  <c r="E1526" i="3"/>
  <c r="G1526" i="3"/>
  <c r="H1526" i="3"/>
  <c r="AU1526" i="3" s="1"/>
  <c r="I1526" i="3" s="1"/>
  <c r="B1527" i="3"/>
  <c r="BA1527" i="3" s="1"/>
  <c r="C1527" i="3"/>
  <c r="D1527" i="3" s="1"/>
  <c r="E1527" i="3"/>
  <c r="G1527" i="3"/>
  <c r="H1527" i="3"/>
  <c r="AU1527" i="3" s="1"/>
  <c r="I1527" i="3" s="1"/>
  <c r="B1528" i="3"/>
  <c r="BA1528" i="3" s="1"/>
  <c r="C1528" i="3"/>
  <c r="D1528" i="3" s="1"/>
  <c r="E1528" i="3"/>
  <c r="G1528" i="3"/>
  <c r="H1528" i="3"/>
  <c r="AU1528" i="3" s="1"/>
  <c r="I1528" i="3" s="1"/>
  <c r="B1529" i="3"/>
  <c r="BA1529" i="3" s="1"/>
  <c r="C1529" i="3"/>
  <c r="D1529" i="3" s="1"/>
  <c r="E1529" i="3"/>
  <c r="G1529" i="3"/>
  <c r="H1529" i="3"/>
  <c r="AU1529" i="3" s="1"/>
  <c r="I1529" i="3" s="1"/>
  <c r="B1530" i="3"/>
  <c r="BA1530" i="3" s="1"/>
  <c r="C1530" i="3"/>
  <c r="D1530" i="3" s="1"/>
  <c r="E1530" i="3"/>
  <c r="G1530" i="3"/>
  <c r="H1530" i="3"/>
  <c r="AU1530" i="3" s="1"/>
  <c r="I1530" i="3" s="1"/>
  <c r="B1531" i="3"/>
  <c r="BA1531" i="3" s="1"/>
  <c r="C1531" i="3"/>
  <c r="D1531" i="3" s="1"/>
  <c r="E1531" i="3"/>
  <c r="G1531" i="3"/>
  <c r="H1531" i="3"/>
  <c r="AU1531" i="3" s="1"/>
  <c r="I1531" i="3" s="1"/>
  <c r="B1532" i="3"/>
  <c r="BA1532" i="3" s="1"/>
  <c r="C1532" i="3"/>
  <c r="D1532" i="3" s="1"/>
  <c r="E1532" i="3"/>
  <c r="G1532" i="3"/>
  <c r="H1532" i="3"/>
  <c r="AU1532" i="3" s="1"/>
  <c r="I1532" i="3" s="1"/>
  <c r="B1533" i="3"/>
  <c r="BA1533" i="3" s="1"/>
  <c r="C1533" i="3"/>
  <c r="D1533" i="3" s="1"/>
  <c r="E1533" i="3"/>
  <c r="G1533" i="3"/>
  <c r="H1533" i="3"/>
  <c r="AU1533" i="3" s="1"/>
  <c r="I1533" i="3" s="1"/>
  <c r="B1534" i="3"/>
  <c r="BA1534" i="3" s="1"/>
  <c r="C1534" i="3"/>
  <c r="D1534" i="3" s="1"/>
  <c r="E1534" i="3"/>
  <c r="G1534" i="3"/>
  <c r="H1534" i="3"/>
  <c r="AU1534" i="3" s="1"/>
  <c r="I1534" i="3" s="1"/>
  <c r="B1535" i="3"/>
  <c r="BA1535" i="3" s="1"/>
  <c r="C1535" i="3"/>
  <c r="D1535" i="3" s="1"/>
  <c r="E1535" i="3"/>
  <c r="G1535" i="3"/>
  <c r="H1535" i="3"/>
  <c r="AU1535" i="3" s="1"/>
  <c r="I1535" i="3" s="1"/>
  <c r="B1536" i="3"/>
  <c r="BA1536" i="3" s="1"/>
  <c r="C1536" i="3"/>
  <c r="D1536" i="3" s="1"/>
  <c r="E1536" i="3"/>
  <c r="G1536" i="3"/>
  <c r="H1536" i="3"/>
  <c r="AU1536" i="3" s="1"/>
  <c r="I1536" i="3" s="1"/>
  <c r="B1537" i="3"/>
  <c r="BA1537" i="3" s="1"/>
  <c r="C1537" i="3"/>
  <c r="D1537" i="3" s="1"/>
  <c r="E1537" i="3"/>
  <c r="G1537" i="3"/>
  <c r="H1537" i="3"/>
  <c r="AU1537" i="3" s="1"/>
  <c r="I1537" i="3" s="1"/>
  <c r="B1538" i="3"/>
  <c r="BA1538" i="3" s="1"/>
  <c r="C1538" i="3"/>
  <c r="D1538" i="3" s="1"/>
  <c r="E1538" i="3"/>
  <c r="G1538" i="3"/>
  <c r="H1538" i="3"/>
  <c r="AU1538" i="3" s="1"/>
  <c r="I1538" i="3" s="1"/>
  <c r="B1539" i="3"/>
  <c r="BA1539" i="3" s="1"/>
  <c r="C1539" i="3"/>
  <c r="D1539" i="3" s="1"/>
  <c r="E1539" i="3"/>
  <c r="G1539" i="3"/>
  <c r="B1540" i="3"/>
  <c r="BA1540" i="3" s="1"/>
  <c r="C1540" i="3"/>
  <c r="D1540" i="3" s="1"/>
  <c r="E1540" i="3"/>
  <c r="G1540" i="3"/>
  <c r="H1540" i="3"/>
  <c r="AU1540" i="3" s="1"/>
  <c r="I1540" i="3" s="1"/>
  <c r="B1541" i="3"/>
  <c r="BA1541" i="3" s="1"/>
  <c r="C1541" i="3"/>
  <c r="D1541" i="3" s="1"/>
  <c r="E1541" i="3"/>
  <c r="G1541" i="3"/>
  <c r="H1541" i="3"/>
  <c r="AU1541" i="3" s="1"/>
  <c r="I1541" i="3" s="1"/>
  <c r="B1542" i="3"/>
  <c r="BA1542" i="3" s="1"/>
  <c r="C1542" i="3"/>
  <c r="D1542" i="3" s="1"/>
  <c r="E1542" i="3"/>
  <c r="G1542" i="3"/>
  <c r="H1542" i="3"/>
  <c r="AU1542" i="3" s="1"/>
  <c r="I1542" i="3" s="1"/>
  <c r="B1543" i="3"/>
  <c r="BA1543" i="3" s="1"/>
  <c r="C1543" i="3"/>
  <c r="D1543" i="3" s="1"/>
  <c r="E1543" i="3"/>
  <c r="G1543" i="3"/>
  <c r="H1543" i="3"/>
  <c r="AU1543" i="3" s="1"/>
  <c r="I1543" i="3" s="1"/>
  <c r="B1544" i="3"/>
  <c r="BA1544" i="3" s="1"/>
  <c r="C1544" i="3"/>
  <c r="D1544" i="3" s="1"/>
  <c r="E1544" i="3"/>
  <c r="G1544" i="3"/>
  <c r="H1544" i="3"/>
  <c r="AU1544" i="3" s="1"/>
  <c r="I1544" i="3" s="1"/>
  <c r="B1545" i="3"/>
  <c r="BA1545" i="3" s="1"/>
  <c r="C1545" i="3"/>
  <c r="D1545" i="3" s="1"/>
  <c r="E1545" i="3"/>
  <c r="G1545" i="3"/>
  <c r="H1545" i="3"/>
  <c r="AU1545" i="3" s="1"/>
  <c r="I1545" i="3" s="1"/>
  <c r="B1546" i="3"/>
  <c r="BA1546" i="3" s="1"/>
  <c r="C1546" i="3"/>
  <c r="D1546" i="3" s="1"/>
  <c r="E1546" i="3"/>
  <c r="G1546" i="3"/>
  <c r="B1547" i="3"/>
  <c r="BA1547" i="3" s="1"/>
  <c r="C1547" i="3"/>
  <c r="D1547" i="3" s="1"/>
  <c r="E1547" i="3"/>
  <c r="G1547" i="3"/>
  <c r="H1547" i="3"/>
  <c r="AU1547" i="3" s="1"/>
  <c r="I1547" i="3" s="1"/>
  <c r="B1548" i="3"/>
  <c r="BA1548" i="3" s="1"/>
  <c r="C1548" i="3"/>
  <c r="D1548" i="3" s="1"/>
  <c r="E1548" i="3"/>
  <c r="G1548" i="3"/>
  <c r="H1548" i="3"/>
  <c r="AU1548" i="3" s="1"/>
  <c r="I1548" i="3" s="1"/>
  <c r="B1549" i="3"/>
  <c r="BA1549" i="3" s="1"/>
  <c r="C1549" i="3"/>
  <c r="D1549" i="3" s="1"/>
  <c r="E1549" i="3"/>
  <c r="G1549" i="3"/>
  <c r="H1549" i="3"/>
  <c r="AU1549" i="3" s="1"/>
  <c r="I1549" i="3" s="1"/>
  <c r="B1550" i="3"/>
  <c r="BA1550" i="3" s="1"/>
  <c r="C1550" i="3"/>
  <c r="D1550" i="3" s="1"/>
  <c r="E1550" i="3"/>
  <c r="G1550" i="3"/>
  <c r="H1550" i="3"/>
  <c r="AU1550" i="3" s="1"/>
  <c r="I1550" i="3" s="1"/>
  <c r="B1551" i="3"/>
  <c r="BA1551" i="3" s="1"/>
  <c r="C1551" i="3"/>
  <c r="D1551" i="3" s="1"/>
  <c r="E1551" i="3"/>
  <c r="G1551" i="3"/>
  <c r="H1551" i="3"/>
  <c r="AU1551" i="3" s="1"/>
  <c r="I1551" i="3" s="1"/>
  <c r="B1552" i="3"/>
  <c r="BA1552" i="3" s="1"/>
  <c r="C1552" i="3"/>
  <c r="D1552" i="3" s="1"/>
  <c r="E1552" i="3"/>
  <c r="G1552" i="3"/>
  <c r="H1552" i="3"/>
  <c r="AU1552" i="3" s="1"/>
  <c r="I1552" i="3" s="1"/>
  <c r="B1553" i="3"/>
  <c r="BA1553" i="3" s="1"/>
  <c r="C1553" i="3"/>
  <c r="D1553" i="3" s="1"/>
  <c r="E1553" i="3"/>
  <c r="G1553" i="3"/>
  <c r="H1553" i="3"/>
  <c r="AU1553" i="3" s="1"/>
  <c r="I1553" i="3" s="1"/>
  <c r="B1554" i="3"/>
  <c r="BA1554" i="3" s="1"/>
  <c r="C1554" i="3"/>
  <c r="D1554" i="3" s="1"/>
  <c r="E1554" i="3"/>
  <c r="G1554" i="3"/>
  <c r="H1554" i="3"/>
  <c r="AU1554" i="3" s="1"/>
  <c r="I1554" i="3" s="1"/>
  <c r="B1555" i="3"/>
  <c r="BA1555" i="3" s="1"/>
  <c r="C1555" i="3"/>
  <c r="D1555" i="3" s="1"/>
  <c r="E1555" i="3"/>
  <c r="G1555" i="3"/>
  <c r="H1555" i="3"/>
  <c r="AU1555" i="3" s="1"/>
  <c r="I1555" i="3" s="1"/>
  <c r="B1556" i="3"/>
  <c r="BA1556" i="3" s="1"/>
  <c r="C1556" i="3"/>
  <c r="D1556" i="3" s="1"/>
  <c r="E1556" i="3"/>
  <c r="G1556" i="3"/>
  <c r="H1556" i="3"/>
  <c r="AU1556" i="3" s="1"/>
  <c r="I1556" i="3" s="1"/>
  <c r="B1557" i="3"/>
  <c r="BA1557" i="3" s="1"/>
  <c r="C1557" i="3"/>
  <c r="D1557" i="3" s="1"/>
  <c r="E1557" i="3"/>
  <c r="G1557" i="3"/>
  <c r="H1557" i="3"/>
  <c r="AU1557" i="3" s="1"/>
  <c r="I1557" i="3" s="1"/>
  <c r="B1558" i="3"/>
  <c r="BA1558" i="3" s="1"/>
  <c r="C1558" i="3"/>
  <c r="D1558" i="3" s="1"/>
  <c r="E1558" i="3"/>
  <c r="G1558" i="3"/>
  <c r="H1558" i="3"/>
  <c r="AU1558" i="3" s="1"/>
  <c r="I1558" i="3" s="1"/>
  <c r="B1559" i="3"/>
  <c r="BA1559" i="3" s="1"/>
  <c r="C1559" i="3"/>
  <c r="D1559" i="3" s="1"/>
  <c r="E1559" i="3"/>
  <c r="G1559" i="3"/>
  <c r="H1559" i="3"/>
  <c r="AU1559" i="3" s="1"/>
  <c r="I1559" i="3" s="1"/>
  <c r="B1560" i="3"/>
  <c r="BA1560" i="3" s="1"/>
  <c r="C1560" i="3"/>
  <c r="D1560" i="3" s="1"/>
  <c r="E1560" i="3"/>
  <c r="G1560" i="3"/>
  <c r="H1560" i="3"/>
  <c r="AU1560" i="3" s="1"/>
  <c r="I1560" i="3" s="1"/>
  <c r="B1561" i="3"/>
  <c r="BA1561" i="3" s="1"/>
  <c r="C1561" i="3"/>
  <c r="D1561" i="3" s="1"/>
  <c r="E1561" i="3"/>
  <c r="G1561" i="3"/>
  <c r="H1561" i="3"/>
  <c r="AU1561" i="3" s="1"/>
  <c r="I1561" i="3" s="1"/>
  <c r="B1562" i="3"/>
  <c r="BA1562" i="3" s="1"/>
  <c r="C1562" i="3"/>
  <c r="D1562" i="3" s="1"/>
  <c r="E1562" i="3"/>
  <c r="G1562" i="3"/>
  <c r="H1562" i="3"/>
  <c r="AU1562" i="3" s="1"/>
  <c r="I1562" i="3" s="1"/>
  <c r="B1563" i="3"/>
  <c r="BA1563" i="3" s="1"/>
  <c r="C1563" i="3"/>
  <c r="D1563" i="3" s="1"/>
  <c r="E1563" i="3"/>
  <c r="G1563" i="3"/>
  <c r="H1563" i="3"/>
  <c r="AU1563" i="3" s="1"/>
  <c r="I1563" i="3" s="1"/>
  <c r="B1564" i="3"/>
  <c r="BA1564" i="3" s="1"/>
  <c r="C1564" i="3"/>
  <c r="D1564" i="3" s="1"/>
  <c r="E1564" i="3"/>
  <c r="G1564" i="3"/>
  <c r="H1564" i="3"/>
  <c r="AU1564" i="3" s="1"/>
  <c r="I1564" i="3" s="1"/>
  <c r="B1565" i="3"/>
  <c r="BA1565" i="3" s="1"/>
  <c r="C1565" i="3"/>
  <c r="D1565" i="3" s="1"/>
  <c r="E1565" i="3"/>
  <c r="G1565" i="3"/>
  <c r="H1565" i="3"/>
  <c r="AU1565" i="3" s="1"/>
  <c r="I1565" i="3" s="1"/>
  <c r="B1566" i="3"/>
  <c r="BA1566" i="3" s="1"/>
  <c r="C1566" i="3"/>
  <c r="D1566" i="3" s="1"/>
  <c r="E1566" i="3"/>
  <c r="G1566" i="3"/>
  <c r="H1566" i="3"/>
  <c r="AU1566" i="3" s="1"/>
  <c r="I1566" i="3" s="1"/>
  <c r="B1567" i="3"/>
  <c r="BA1567" i="3" s="1"/>
  <c r="C1567" i="3"/>
  <c r="D1567" i="3" s="1"/>
  <c r="E1567" i="3"/>
  <c r="G1567" i="3"/>
  <c r="H1567" i="3"/>
  <c r="AU1567" i="3" s="1"/>
  <c r="I1567" i="3" s="1"/>
  <c r="B1568" i="3"/>
  <c r="BA1568" i="3" s="1"/>
  <c r="C1568" i="3"/>
  <c r="D1568" i="3" s="1"/>
  <c r="E1568" i="3"/>
  <c r="G1568" i="3"/>
  <c r="H1568" i="3"/>
  <c r="AU1568" i="3" s="1"/>
  <c r="I1568" i="3" s="1"/>
  <c r="B1569" i="3"/>
  <c r="BA1569" i="3" s="1"/>
  <c r="C1569" i="3"/>
  <c r="D1569" i="3" s="1"/>
  <c r="E1569" i="3"/>
  <c r="G1569" i="3"/>
  <c r="B1570" i="3"/>
  <c r="BA1570" i="3" s="1"/>
  <c r="C1570" i="3"/>
  <c r="D1570" i="3" s="1"/>
  <c r="E1570" i="3"/>
  <c r="G1570" i="3"/>
  <c r="H1570" i="3"/>
  <c r="AU1570" i="3" s="1"/>
  <c r="I1570" i="3" s="1"/>
  <c r="B1571" i="3"/>
  <c r="BA1571" i="3" s="1"/>
  <c r="C1571" i="3"/>
  <c r="D1571" i="3" s="1"/>
  <c r="E1571" i="3"/>
  <c r="G1571" i="3"/>
  <c r="H1571" i="3"/>
  <c r="AU1571" i="3" s="1"/>
  <c r="I1571" i="3" s="1"/>
  <c r="B1572" i="3"/>
  <c r="BA1572" i="3" s="1"/>
  <c r="C1572" i="3"/>
  <c r="D1572" i="3" s="1"/>
  <c r="E1572" i="3"/>
  <c r="G1572" i="3"/>
  <c r="H1572" i="3"/>
  <c r="AU1572" i="3" s="1"/>
  <c r="I1572" i="3" s="1"/>
  <c r="B1573" i="3"/>
  <c r="BA1573" i="3" s="1"/>
  <c r="C1573" i="3"/>
  <c r="D1573" i="3" s="1"/>
  <c r="E1573" i="3"/>
  <c r="G1573" i="3"/>
  <c r="H1573" i="3"/>
  <c r="AU1573" i="3" s="1"/>
  <c r="I1573" i="3" s="1"/>
  <c r="B1574" i="3"/>
  <c r="BA1574" i="3" s="1"/>
  <c r="C1574" i="3"/>
  <c r="D1574" i="3" s="1"/>
  <c r="E1574" i="3"/>
  <c r="G1574" i="3"/>
  <c r="H1574" i="3"/>
  <c r="AU1574" i="3" s="1"/>
  <c r="I1574" i="3" s="1"/>
  <c r="B1575" i="3"/>
  <c r="BA1575" i="3" s="1"/>
  <c r="C1575" i="3"/>
  <c r="D1575" i="3" s="1"/>
  <c r="E1575" i="3"/>
  <c r="G1575" i="3"/>
  <c r="H1575" i="3"/>
  <c r="AU1575" i="3" s="1"/>
  <c r="I1575" i="3" s="1"/>
  <c r="B1576" i="3"/>
  <c r="BA1576" i="3" s="1"/>
  <c r="C1576" i="3"/>
  <c r="D1576" i="3" s="1"/>
  <c r="E1576" i="3"/>
  <c r="G1576" i="3"/>
  <c r="B1577" i="3"/>
  <c r="BA1577" i="3" s="1"/>
  <c r="C1577" i="3"/>
  <c r="D1577" i="3" s="1"/>
  <c r="E1577" i="3"/>
  <c r="G1577" i="3"/>
  <c r="H1577" i="3"/>
  <c r="AU1577" i="3" s="1"/>
  <c r="I1577" i="3" s="1"/>
  <c r="B1578" i="3"/>
  <c r="BA1578" i="3" s="1"/>
  <c r="C1578" i="3"/>
  <c r="D1578" i="3" s="1"/>
  <c r="E1578" i="3"/>
  <c r="G1578" i="3"/>
  <c r="B1579" i="3"/>
  <c r="BA1579" i="3" s="1"/>
  <c r="C1579" i="3"/>
  <c r="D1579" i="3" s="1"/>
  <c r="E1579" i="3"/>
  <c r="G1579" i="3"/>
  <c r="H1579" i="3"/>
  <c r="AU1579" i="3" s="1"/>
  <c r="I1579" i="3" s="1"/>
  <c r="B1580" i="3"/>
  <c r="BA1580" i="3" s="1"/>
  <c r="C1580" i="3"/>
  <c r="D1580" i="3" s="1"/>
  <c r="E1580" i="3"/>
  <c r="G1580" i="3"/>
  <c r="H1580" i="3"/>
  <c r="AU1580" i="3" s="1"/>
  <c r="I1580" i="3" s="1"/>
  <c r="B1581" i="3"/>
  <c r="BA1581" i="3" s="1"/>
  <c r="C1581" i="3"/>
  <c r="D1581" i="3" s="1"/>
  <c r="E1581" i="3"/>
  <c r="G1581" i="3"/>
  <c r="H1581" i="3"/>
  <c r="AU1581" i="3" s="1"/>
  <c r="I1581" i="3" s="1"/>
  <c r="B1582" i="3"/>
  <c r="BA1582" i="3" s="1"/>
  <c r="C1582" i="3"/>
  <c r="D1582" i="3" s="1"/>
  <c r="E1582" i="3"/>
  <c r="G1582" i="3"/>
  <c r="H1582" i="3"/>
  <c r="AU1582" i="3" s="1"/>
  <c r="I1582" i="3" s="1"/>
  <c r="B1583" i="3"/>
  <c r="BA1583" i="3" s="1"/>
  <c r="C1583" i="3"/>
  <c r="D1583" i="3" s="1"/>
  <c r="E1583" i="3"/>
  <c r="G1583" i="3"/>
  <c r="B1584" i="3"/>
  <c r="BA1584" i="3" s="1"/>
  <c r="C1584" i="3"/>
  <c r="D1584" i="3" s="1"/>
  <c r="E1584" i="3"/>
  <c r="G1584" i="3"/>
  <c r="H1584" i="3"/>
  <c r="AU1584" i="3" s="1"/>
  <c r="I1584" i="3" s="1"/>
  <c r="B1585" i="3"/>
  <c r="BA1585" i="3" s="1"/>
  <c r="C1585" i="3"/>
  <c r="D1585" i="3" s="1"/>
  <c r="E1585" i="3"/>
  <c r="G1585" i="3"/>
  <c r="B1586" i="3"/>
  <c r="BA1586" i="3" s="1"/>
  <c r="C1586" i="3"/>
  <c r="D1586" i="3" s="1"/>
  <c r="E1586" i="3"/>
  <c r="G1586" i="3"/>
  <c r="H1586" i="3"/>
  <c r="AU1586" i="3" s="1"/>
  <c r="I1586" i="3" s="1"/>
  <c r="B1587" i="3"/>
  <c r="BA1587" i="3" s="1"/>
  <c r="C1587" i="3"/>
  <c r="D1587" i="3" s="1"/>
  <c r="E1587" i="3"/>
  <c r="G1587" i="3"/>
  <c r="H1587" i="3"/>
  <c r="AU1587" i="3" s="1"/>
  <c r="I1587" i="3" s="1"/>
  <c r="B1588" i="3"/>
  <c r="BA1588" i="3" s="1"/>
  <c r="C1588" i="3"/>
  <c r="D1588" i="3" s="1"/>
  <c r="E1588" i="3"/>
  <c r="G1588" i="3"/>
  <c r="H1588" i="3"/>
  <c r="AU1588" i="3" s="1"/>
  <c r="I1588" i="3" s="1"/>
  <c r="B1589" i="3"/>
  <c r="BA1589" i="3" s="1"/>
  <c r="C1589" i="3"/>
  <c r="D1589" i="3" s="1"/>
  <c r="E1589" i="3"/>
  <c r="G1589" i="3"/>
  <c r="H1589" i="3"/>
  <c r="AU1589" i="3" s="1"/>
  <c r="I1589" i="3" s="1"/>
  <c r="B1590" i="3"/>
  <c r="BA1590" i="3" s="1"/>
  <c r="C1590" i="3"/>
  <c r="D1590" i="3" s="1"/>
  <c r="E1590" i="3"/>
  <c r="G1590" i="3"/>
  <c r="B1591" i="3"/>
  <c r="BA1591" i="3" s="1"/>
  <c r="C1591" i="3"/>
  <c r="D1591" i="3" s="1"/>
  <c r="E1591" i="3"/>
  <c r="G1591" i="3"/>
  <c r="H1591" i="3"/>
  <c r="AU1591" i="3" s="1"/>
  <c r="I1591" i="3" s="1"/>
  <c r="B1592" i="3"/>
  <c r="BA1592" i="3" s="1"/>
  <c r="C1592" i="3"/>
  <c r="D1592" i="3" s="1"/>
  <c r="E1592" i="3"/>
  <c r="G1592" i="3"/>
  <c r="H1592" i="3"/>
  <c r="AU1592" i="3" s="1"/>
  <c r="I1592" i="3" s="1"/>
  <c r="B1593" i="3"/>
  <c r="BA1593" i="3" s="1"/>
  <c r="C1593" i="3"/>
  <c r="D1593" i="3" s="1"/>
  <c r="E1593" i="3"/>
  <c r="G1593" i="3"/>
  <c r="H1593" i="3"/>
  <c r="AU1593" i="3" s="1"/>
  <c r="I1593" i="3" s="1"/>
  <c r="B1594" i="3"/>
  <c r="BA1594" i="3" s="1"/>
  <c r="C1594" i="3"/>
  <c r="D1594" i="3" s="1"/>
  <c r="E1594" i="3"/>
  <c r="G1594" i="3"/>
  <c r="H1594" i="3"/>
  <c r="AU1594" i="3" s="1"/>
  <c r="I1594" i="3" s="1"/>
  <c r="B1595" i="3"/>
  <c r="BA1595" i="3" s="1"/>
  <c r="C1595" i="3"/>
  <c r="D1595" i="3" s="1"/>
  <c r="E1595" i="3"/>
  <c r="G1595" i="3"/>
  <c r="H1595" i="3"/>
  <c r="AU1595" i="3" s="1"/>
  <c r="I1595" i="3" s="1"/>
  <c r="B1596" i="3"/>
  <c r="BA1596" i="3" s="1"/>
  <c r="C1596" i="3"/>
  <c r="D1596" i="3" s="1"/>
  <c r="E1596" i="3"/>
  <c r="G1596" i="3"/>
  <c r="H1596" i="3"/>
  <c r="AU1596" i="3" s="1"/>
  <c r="I1596" i="3" s="1"/>
  <c r="B1597" i="3"/>
  <c r="BA1597" i="3" s="1"/>
  <c r="C1597" i="3"/>
  <c r="D1597" i="3" s="1"/>
  <c r="E1597" i="3"/>
  <c r="G1597" i="3"/>
  <c r="H1597" i="3"/>
  <c r="AU1597" i="3" s="1"/>
  <c r="I1597" i="3" s="1"/>
  <c r="B1598" i="3"/>
  <c r="BA1598" i="3" s="1"/>
  <c r="C1598" i="3"/>
  <c r="D1598" i="3" s="1"/>
  <c r="E1598" i="3"/>
  <c r="G1598" i="3"/>
  <c r="H1598" i="3"/>
  <c r="AU1598" i="3" s="1"/>
  <c r="I1598" i="3" s="1"/>
  <c r="B1599" i="3"/>
  <c r="BA1599" i="3" s="1"/>
  <c r="C1599" i="3"/>
  <c r="D1599" i="3" s="1"/>
  <c r="E1599" i="3"/>
  <c r="G1599" i="3"/>
  <c r="H1599" i="3"/>
  <c r="AU1599" i="3" s="1"/>
  <c r="I1599" i="3" s="1"/>
  <c r="B1600" i="3"/>
  <c r="BA1600" i="3" s="1"/>
  <c r="C1600" i="3"/>
  <c r="D1600" i="3" s="1"/>
  <c r="E1600" i="3"/>
  <c r="G1600" i="3"/>
  <c r="H1600" i="3"/>
  <c r="AU1600" i="3" s="1"/>
  <c r="I1600" i="3" s="1"/>
  <c r="B1601" i="3"/>
  <c r="BA1601" i="3" s="1"/>
  <c r="C1601" i="3"/>
  <c r="D1601" i="3" s="1"/>
  <c r="E1601" i="3"/>
  <c r="G1601" i="3"/>
  <c r="H1601" i="3"/>
  <c r="AU1601" i="3" s="1"/>
  <c r="I1601" i="3" s="1"/>
  <c r="B1602" i="3"/>
  <c r="BA1602" i="3" s="1"/>
  <c r="C1602" i="3"/>
  <c r="D1602" i="3" s="1"/>
  <c r="E1602" i="3"/>
  <c r="G1602" i="3"/>
  <c r="H1602" i="3"/>
  <c r="AU1602" i="3" s="1"/>
  <c r="I1602" i="3" s="1"/>
  <c r="B1603" i="3"/>
  <c r="BA1603" i="3" s="1"/>
  <c r="C1603" i="3"/>
  <c r="D1603" i="3" s="1"/>
  <c r="E1603" i="3"/>
  <c r="G1603" i="3"/>
  <c r="H1603" i="3"/>
  <c r="AU1603" i="3" s="1"/>
  <c r="I1603" i="3" s="1"/>
  <c r="B1604" i="3"/>
  <c r="BA1604" i="3" s="1"/>
  <c r="C1604" i="3"/>
  <c r="D1604" i="3" s="1"/>
  <c r="E1604" i="3"/>
  <c r="G1604" i="3"/>
  <c r="H1604" i="3"/>
  <c r="AU1604" i="3" s="1"/>
  <c r="I1604" i="3" s="1"/>
  <c r="B1605" i="3"/>
  <c r="BA1605" i="3" s="1"/>
  <c r="C1605" i="3"/>
  <c r="D1605" i="3" s="1"/>
  <c r="E1605" i="3"/>
  <c r="G1605" i="3"/>
  <c r="H1605" i="3"/>
  <c r="AU1605" i="3" s="1"/>
  <c r="I1605" i="3" s="1"/>
  <c r="B1606" i="3"/>
  <c r="BA1606" i="3" s="1"/>
  <c r="C1606" i="3"/>
  <c r="D1606" i="3" s="1"/>
  <c r="E1606" i="3"/>
  <c r="G1606" i="3"/>
  <c r="B1607" i="3"/>
  <c r="BA1607" i="3" s="1"/>
  <c r="C1607" i="3"/>
  <c r="D1607" i="3" s="1"/>
  <c r="E1607" i="3"/>
  <c r="G1607" i="3"/>
  <c r="H1607" i="3"/>
  <c r="AU1607" i="3" s="1"/>
  <c r="I1607" i="3" s="1"/>
  <c r="B1608" i="3"/>
  <c r="BA1608" i="3" s="1"/>
  <c r="C1608" i="3"/>
  <c r="D1608" i="3" s="1"/>
  <c r="E1608" i="3"/>
  <c r="G1608" i="3"/>
  <c r="H1608" i="3"/>
  <c r="AU1608" i="3" s="1"/>
  <c r="I1608" i="3" s="1"/>
  <c r="B1609" i="3"/>
  <c r="BA1609" i="3" s="1"/>
  <c r="C1609" i="3"/>
  <c r="D1609" i="3" s="1"/>
  <c r="E1609" i="3"/>
  <c r="G1609" i="3"/>
  <c r="H1609" i="3"/>
  <c r="AU1609" i="3" s="1"/>
  <c r="I1609" i="3" s="1"/>
  <c r="B1610" i="3"/>
  <c r="BA1610" i="3" s="1"/>
  <c r="C1610" i="3"/>
  <c r="D1610" i="3" s="1"/>
  <c r="E1610" i="3"/>
  <c r="G1610" i="3"/>
  <c r="H1610" i="3"/>
  <c r="AU1610" i="3" s="1"/>
  <c r="I1610" i="3" s="1"/>
  <c r="B1611" i="3"/>
  <c r="BA1611" i="3" s="1"/>
  <c r="C1611" i="3"/>
  <c r="D1611" i="3" s="1"/>
  <c r="E1611" i="3"/>
  <c r="G1611" i="3"/>
  <c r="H1611" i="3"/>
  <c r="AU1611" i="3" s="1"/>
  <c r="I1611" i="3" s="1"/>
  <c r="B1612" i="3"/>
  <c r="BA1612" i="3" s="1"/>
  <c r="C1612" i="3"/>
  <c r="D1612" i="3" s="1"/>
  <c r="E1612" i="3"/>
  <c r="G1612" i="3"/>
  <c r="H1612" i="3"/>
  <c r="AU1612" i="3" s="1"/>
  <c r="I1612" i="3" s="1"/>
  <c r="B1613" i="3"/>
  <c r="BA1613" i="3" s="1"/>
  <c r="C1613" i="3"/>
  <c r="D1613" i="3" s="1"/>
  <c r="E1613" i="3"/>
  <c r="G1613" i="3"/>
  <c r="B1614" i="3"/>
  <c r="BA1614" i="3" s="1"/>
  <c r="C1614" i="3"/>
  <c r="D1614" i="3" s="1"/>
  <c r="E1614" i="3"/>
  <c r="G1614" i="3"/>
  <c r="H1614" i="3"/>
  <c r="AU1614" i="3" s="1"/>
  <c r="I1614" i="3" s="1"/>
  <c r="B1615" i="3"/>
  <c r="BA1615" i="3" s="1"/>
  <c r="C1615" i="3"/>
  <c r="D1615" i="3" s="1"/>
  <c r="E1615" i="3"/>
  <c r="G1615" i="3"/>
  <c r="H1615" i="3"/>
  <c r="AU1615" i="3" s="1"/>
  <c r="I1615" i="3" s="1"/>
  <c r="B1616" i="3"/>
  <c r="BA1616" i="3" s="1"/>
  <c r="C1616" i="3"/>
  <c r="D1616" i="3" s="1"/>
  <c r="E1616" i="3"/>
  <c r="G1616" i="3"/>
  <c r="H1616" i="3"/>
  <c r="AU1616" i="3" s="1"/>
  <c r="I1616" i="3" s="1"/>
  <c r="B1617" i="3"/>
  <c r="BA1617" i="3" s="1"/>
  <c r="C1617" i="3"/>
  <c r="D1617" i="3" s="1"/>
  <c r="E1617" i="3"/>
  <c r="G1617" i="3"/>
  <c r="H1617" i="3"/>
  <c r="AU1617" i="3" s="1"/>
  <c r="I1617" i="3" s="1"/>
  <c r="B1618" i="3"/>
  <c r="BA1618" i="3" s="1"/>
  <c r="C1618" i="3"/>
  <c r="D1618" i="3" s="1"/>
  <c r="E1618" i="3"/>
  <c r="G1618" i="3"/>
  <c r="H1618" i="3"/>
  <c r="AU1618" i="3" s="1"/>
  <c r="I1618" i="3" s="1"/>
  <c r="B1619" i="3"/>
  <c r="BA1619" i="3" s="1"/>
  <c r="C1619" i="3"/>
  <c r="D1619" i="3" s="1"/>
  <c r="E1619" i="3"/>
  <c r="G1619" i="3"/>
  <c r="H1619" i="3"/>
  <c r="AU1619" i="3" s="1"/>
  <c r="I1619" i="3" s="1"/>
  <c r="B1620" i="3"/>
  <c r="BA1620" i="3" s="1"/>
  <c r="C1620" i="3"/>
  <c r="D1620" i="3" s="1"/>
  <c r="E1620" i="3"/>
  <c r="G1620" i="3"/>
  <c r="H1620" i="3"/>
  <c r="AU1620" i="3" s="1"/>
  <c r="I1620" i="3" s="1"/>
  <c r="B1621" i="3"/>
  <c r="BA1621" i="3" s="1"/>
  <c r="C1621" i="3"/>
  <c r="D1621" i="3" s="1"/>
  <c r="E1621" i="3"/>
  <c r="G1621" i="3"/>
  <c r="H1621" i="3"/>
  <c r="AU1621" i="3" s="1"/>
  <c r="I1621" i="3" s="1"/>
  <c r="B1622" i="3"/>
  <c r="BA1622" i="3" s="1"/>
  <c r="C1622" i="3"/>
  <c r="D1622" i="3" s="1"/>
  <c r="E1622" i="3"/>
  <c r="G1622" i="3"/>
  <c r="H1622" i="3"/>
  <c r="AU1622" i="3" s="1"/>
  <c r="I1622" i="3" s="1"/>
  <c r="B1623" i="3"/>
  <c r="BA1623" i="3" s="1"/>
  <c r="C1623" i="3"/>
  <c r="D1623" i="3" s="1"/>
  <c r="E1623" i="3"/>
  <c r="G1623" i="3"/>
  <c r="H1623" i="3"/>
  <c r="AU1623" i="3" s="1"/>
  <c r="I1623" i="3" s="1"/>
  <c r="B1624" i="3"/>
  <c r="BA1624" i="3" s="1"/>
  <c r="C1624" i="3"/>
  <c r="D1624" i="3" s="1"/>
  <c r="E1624" i="3"/>
  <c r="G1624" i="3"/>
  <c r="H1624" i="3"/>
  <c r="AU1624" i="3" s="1"/>
  <c r="I1624" i="3" s="1"/>
  <c r="B1625" i="3"/>
  <c r="BA1625" i="3" s="1"/>
  <c r="C1625" i="3"/>
  <c r="D1625" i="3" s="1"/>
  <c r="E1625" i="3"/>
  <c r="G1625" i="3"/>
  <c r="H1625" i="3"/>
  <c r="AU1625" i="3" s="1"/>
  <c r="I1625" i="3" s="1"/>
  <c r="B1626" i="3"/>
  <c r="BA1626" i="3" s="1"/>
  <c r="C1626" i="3"/>
  <c r="D1626" i="3" s="1"/>
  <c r="E1626" i="3"/>
  <c r="G1626" i="3"/>
  <c r="H1626" i="3"/>
  <c r="AU1626" i="3" s="1"/>
  <c r="I1626" i="3" s="1"/>
  <c r="B1627" i="3"/>
  <c r="BA1627" i="3" s="1"/>
  <c r="C1627" i="3"/>
  <c r="D1627" i="3" s="1"/>
  <c r="E1627" i="3"/>
  <c r="G1627" i="3"/>
  <c r="H1627" i="3"/>
  <c r="AU1627" i="3" s="1"/>
  <c r="I1627" i="3" s="1"/>
  <c r="B1628" i="3"/>
  <c r="BA1628" i="3" s="1"/>
  <c r="C1628" i="3"/>
  <c r="D1628" i="3" s="1"/>
  <c r="E1628" i="3"/>
  <c r="G1628" i="3"/>
  <c r="H1628" i="3"/>
  <c r="AU1628" i="3" s="1"/>
  <c r="I1628" i="3" s="1"/>
  <c r="B1629" i="3"/>
  <c r="BA1629" i="3" s="1"/>
  <c r="C1629" i="3"/>
  <c r="D1629" i="3" s="1"/>
  <c r="E1629" i="3"/>
  <c r="G1629" i="3"/>
  <c r="H1629" i="3"/>
  <c r="AU1629" i="3" s="1"/>
  <c r="I1629" i="3" s="1"/>
  <c r="B1630" i="3"/>
  <c r="BA1630" i="3" s="1"/>
  <c r="C1630" i="3"/>
  <c r="D1630" i="3" s="1"/>
  <c r="E1630" i="3"/>
  <c r="G1630" i="3"/>
  <c r="H1630" i="3"/>
  <c r="AU1630" i="3" s="1"/>
  <c r="I1630" i="3" s="1"/>
  <c r="B1631" i="3"/>
  <c r="BA1631" i="3" s="1"/>
  <c r="C1631" i="3"/>
  <c r="D1631" i="3" s="1"/>
  <c r="E1631" i="3"/>
  <c r="G1631" i="3"/>
  <c r="H1631" i="3"/>
  <c r="AU1631" i="3" s="1"/>
  <c r="I1631" i="3" s="1"/>
  <c r="B1632" i="3"/>
  <c r="BA1632" i="3" s="1"/>
  <c r="C1632" i="3"/>
  <c r="D1632" i="3" s="1"/>
  <c r="E1632" i="3"/>
  <c r="G1632" i="3"/>
  <c r="H1632" i="3"/>
  <c r="AU1632" i="3" s="1"/>
  <c r="I1632" i="3" s="1"/>
  <c r="B1633" i="3"/>
  <c r="BA1633" i="3" s="1"/>
  <c r="C1633" i="3"/>
  <c r="D1633" i="3" s="1"/>
  <c r="E1633" i="3"/>
  <c r="G1633" i="3"/>
  <c r="H1633" i="3"/>
  <c r="AU1633" i="3" s="1"/>
  <c r="I1633" i="3" s="1"/>
  <c r="B1634" i="3"/>
  <c r="BA1634" i="3" s="1"/>
  <c r="C1634" i="3"/>
  <c r="D1634" i="3" s="1"/>
  <c r="E1634" i="3"/>
  <c r="G1634" i="3"/>
  <c r="H1634" i="3"/>
  <c r="AU1634" i="3" s="1"/>
  <c r="I1634" i="3" s="1"/>
  <c r="B1635" i="3"/>
  <c r="BA1635" i="3" s="1"/>
  <c r="C1635" i="3"/>
  <c r="D1635" i="3" s="1"/>
  <c r="E1635" i="3"/>
  <c r="G1635" i="3"/>
  <c r="H1635" i="3"/>
  <c r="AU1635" i="3" s="1"/>
  <c r="I1635" i="3" s="1"/>
  <c r="B1636" i="3"/>
  <c r="BA1636" i="3" s="1"/>
  <c r="C1636" i="3"/>
  <c r="D1636" i="3" s="1"/>
  <c r="E1636" i="3"/>
  <c r="G1636" i="3"/>
  <c r="H1636" i="3"/>
  <c r="AU1636" i="3" s="1"/>
  <c r="I1636" i="3" s="1"/>
  <c r="B1637" i="3"/>
  <c r="BA1637" i="3" s="1"/>
  <c r="C1637" i="3"/>
  <c r="D1637" i="3" s="1"/>
  <c r="E1637" i="3"/>
  <c r="G1637" i="3"/>
  <c r="H1637" i="3"/>
  <c r="AU1637" i="3" s="1"/>
  <c r="I1637" i="3" s="1"/>
  <c r="B1638" i="3"/>
  <c r="BA1638" i="3" s="1"/>
  <c r="C1638" i="3"/>
  <c r="D1638" i="3" s="1"/>
  <c r="E1638" i="3"/>
  <c r="G1638" i="3"/>
  <c r="H1638" i="3"/>
  <c r="AU1638" i="3" s="1"/>
  <c r="I1638" i="3" s="1"/>
  <c r="B1639" i="3"/>
  <c r="BA1639" i="3" s="1"/>
  <c r="C1639" i="3"/>
  <c r="D1639" i="3" s="1"/>
  <c r="E1639" i="3"/>
  <c r="G1639" i="3"/>
  <c r="H1639" i="3"/>
  <c r="AU1639" i="3" s="1"/>
  <c r="I1639" i="3" s="1"/>
  <c r="B1640" i="3"/>
  <c r="BA1640" i="3" s="1"/>
  <c r="C1640" i="3"/>
  <c r="D1640" i="3" s="1"/>
  <c r="E1640" i="3"/>
  <c r="G1640" i="3"/>
  <c r="H1640" i="3"/>
  <c r="AU1640" i="3" s="1"/>
  <c r="I1640" i="3" s="1"/>
  <c r="B1641" i="3"/>
  <c r="BA1641" i="3" s="1"/>
  <c r="C1641" i="3"/>
  <c r="D1641" i="3" s="1"/>
  <c r="E1641" i="3"/>
  <c r="G1641" i="3"/>
  <c r="H1641" i="3"/>
  <c r="AU1641" i="3" s="1"/>
  <c r="I1641" i="3" s="1"/>
  <c r="B1642" i="3"/>
  <c r="BA1642" i="3" s="1"/>
  <c r="C1642" i="3"/>
  <c r="D1642" i="3" s="1"/>
  <c r="E1642" i="3"/>
  <c r="G1642" i="3"/>
  <c r="H1642" i="3"/>
  <c r="AU1642" i="3" s="1"/>
  <c r="I1642" i="3" s="1"/>
  <c r="B1643" i="3"/>
  <c r="BA1643" i="3" s="1"/>
  <c r="C1643" i="3"/>
  <c r="D1643" i="3" s="1"/>
  <c r="E1643" i="3"/>
  <c r="G1643" i="3"/>
  <c r="H1643" i="3"/>
  <c r="AU1643" i="3" s="1"/>
  <c r="I1643" i="3" s="1"/>
  <c r="B1644" i="3"/>
  <c r="BA1644" i="3" s="1"/>
  <c r="C1644" i="3"/>
  <c r="D1644" i="3" s="1"/>
  <c r="E1644" i="3"/>
  <c r="G1644" i="3"/>
  <c r="H1644" i="3"/>
  <c r="AU1644" i="3" s="1"/>
  <c r="I1644" i="3" s="1"/>
  <c r="B1645" i="3"/>
  <c r="BA1645" i="3" s="1"/>
  <c r="C1645" i="3"/>
  <c r="D1645" i="3" s="1"/>
  <c r="E1645" i="3"/>
  <c r="G1645" i="3"/>
  <c r="H1645" i="3"/>
  <c r="AU1645" i="3" s="1"/>
  <c r="I1645" i="3" s="1"/>
  <c r="B1646" i="3"/>
  <c r="BA1646" i="3" s="1"/>
  <c r="C1646" i="3"/>
  <c r="D1646" i="3" s="1"/>
  <c r="E1646" i="3"/>
  <c r="G1646" i="3"/>
  <c r="H1646" i="3"/>
  <c r="AU1646" i="3" s="1"/>
  <c r="I1646" i="3" s="1"/>
  <c r="B1647" i="3"/>
  <c r="BA1647" i="3" s="1"/>
  <c r="C1647" i="3"/>
  <c r="D1647" i="3" s="1"/>
  <c r="E1647" i="3"/>
  <c r="G1647" i="3"/>
  <c r="H1647" i="3"/>
  <c r="AU1647" i="3" s="1"/>
  <c r="I1647" i="3" s="1"/>
  <c r="B1648" i="3"/>
  <c r="BA1648" i="3" s="1"/>
  <c r="C1648" i="3"/>
  <c r="D1648" i="3" s="1"/>
  <c r="E1648" i="3"/>
  <c r="G1648" i="3"/>
  <c r="H1648" i="3"/>
  <c r="AU1648" i="3" s="1"/>
  <c r="I1648" i="3" s="1"/>
  <c r="B1649" i="3"/>
  <c r="BA1649" i="3" s="1"/>
  <c r="C1649" i="3"/>
  <c r="D1649" i="3" s="1"/>
  <c r="E1649" i="3"/>
  <c r="G1649" i="3"/>
  <c r="H1649" i="3"/>
  <c r="AU1649" i="3" s="1"/>
  <c r="I1649" i="3" s="1"/>
  <c r="B1650" i="3"/>
  <c r="BA1650" i="3" s="1"/>
  <c r="C1650" i="3"/>
  <c r="D1650" i="3" s="1"/>
  <c r="E1650" i="3"/>
  <c r="G1650" i="3"/>
  <c r="H1650" i="3"/>
  <c r="AU1650" i="3" s="1"/>
  <c r="I1650" i="3" s="1"/>
  <c r="B1651" i="3"/>
  <c r="BA1651" i="3" s="1"/>
  <c r="C1651" i="3"/>
  <c r="D1651" i="3" s="1"/>
  <c r="E1651" i="3"/>
  <c r="G1651" i="3"/>
  <c r="H1651" i="3"/>
  <c r="AU1651" i="3" s="1"/>
  <c r="I1651" i="3" s="1"/>
  <c r="B1652" i="3"/>
  <c r="BA1652" i="3" s="1"/>
  <c r="C1652" i="3"/>
  <c r="D1652" i="3" s="1"/>
  <c r="E1652" i="3"/>
  <c r="G1652" i="3"/>
  <c r="H1652" i="3"/>
  <c r="AU1652" i="3" s="1"/>
  <c r="I1652" i="3" s="1"/>
  <c r="B1653" i="3"/>
  <c r="BA1653" i="3" s="1"/>
  <c r="C1653" i="3"/>
  <c r="D1653" i="3" s="1"/>
  <c r="E1653" i="3"/>
  <c r="G1653" i="3"/>
  <c r="H1653" i="3"/>
  <c r="AU1653" i="3" s="1"/>
  <c r="I1653" i="3" s="1"/>
  <c r="B1654" i="3"/>
  <c r="BA1654" i="3" s="1"/>
  <c r="C1654" i="3"/>
  <c r="D1654" i="3" s="1"/>
  <c r="E1654" i="3"/>
  <c r="G1654" i="3"/>
  <c r="H1654" i="3"/>
  <c r="AU1654" i="3" s="1"/>
  <c r="I1654" i="3" s="1"/>
  <c r="B1655" i="3"/>
  <c r="BA1655" i="3" s="1"/>
  <c r="C1655" i="3"/>
  <c r="D1655" i="3" s="1"/>
  <c r="E1655" i="3"/>
  <c r="G1655" i="3"/>
  <c r="H1655" i="3"/>
  <c r="AU1655" i="3" s="1"/>
  <c r="I1655" i="3" s="1"/>
  <c r="B1656" i="3"/>
  <c r="BA1656" i="3" s="1"/>
  <c r="C1656" i="3"/>
  <c r="D1656" i="3" s="1"/>
  <c r="E1656" i="3"/>
  <c r="G1656" i="3"/>
  <c r="H1656" i="3"/>
  <c r="AU1656" i="3" s="1"/>
  <c r="I1656" i="3" s="1"/>
  <c r="B1657" i="3"/>
  <c r="BA1657" i="3" s="1"/>
  <c r="C1657" i="3"/>
  <c r="D1657" i="3" s="1"/>
  <c r="E1657" i="3"/>
  <c r="G1657" i="3"/>
  <c r="H1657" i="3"/>
  <c r="AU1657" i="3" s="1"/>
  <c r="I1657" i="3" s="1"/>
  <c r="B1658" i="3"/>
  <c r="BA1658" i="3" s="1"/>
  <c r="C1658" i="3"/>
  <c r="D1658" i="3" s="1"/>
  <c r="E1658" i="3"/>
  <c r="G1658" i="3"/>
  <c r="H1658" i="3"/>
  <c r="AU1658" i="3" s="1"/>
  <c r="I1658" i="3" s="1"/>
  <c r="B1659" i="3"/>
  <c r="BA1659" i="3" s="1"/>
  <c r="C1659" i="3"/>
  <c r="D1659" i="3" s="1"/>
  <c r="E1659" i="3"/>
  <c r="G1659" i="3"/>
  <c r="H1659" i="3"/>
  <c r="AU1659" i="3" s="1"/>
  <c r="I1659" i="3" s="1"/>
  <c r="B1660" i="3"/>
  <c r="BA1660" i="3" s="1"/>
  <c r="C1660" i="3"/>
  <c r="D1660" i="3" s="1"/>
  <c r="E1660" i="3"/>
  <c r="G1660" i="3"/>
  <c r="H1660" i="3"/>
  <c r="AU1660" i="3" s="1"/>
  <c r="I1660" i="3" s="1"/>
  <c r="B1661" i="3"/>
  <c r="BA1661" i="3" s="1"/>
  <c r="C1661" i="3"/>
  <c r="D1661" i="3" s="1"/>
  <c r="E1661" i="3"/>
  <c r="G1661" i="3"/>
  <c r="H1661" i="3"/>
  <c r="AU1661" i="3" s="1"/>
  <c r="I1661" i="3" s="1"/>
  <c r="B1662" i="3"/>
  <c r="BA1662" i="3" s="1"/>
  <c r="C1662" i="3"/>
  <c r="D1662" i="3" s="1"/>
  <c r="E1662" i="3"/>
  <c r="G1662" i="3"/>
  <c r="H1662" i="3"/>
  <c r="AU1662" i="3" s="1"/>
  <c r="I1662" i="3" s="1"/>
  <c r="B1663" i="3"/>
  <c r="BA1663" i="3" s="1"/>
  <c r="C1663" i="3"/>
  <c r="D1663" i="3" s="1"/>
  <c r="E1663" i="3"/>
  <c r="G1663" i="3"/>
  <c r="H1663" i="3"/>
  <c r="AU1663" i="3" s="1"/>
  <c r="I1663" i="3" s="1"/>
  <c r="B1664" i="3"/>
  <c r="BA1664" i="3" s="1"/>
  <c r="C1664" i="3"/>
  <c r="D1664" i="3" s="1"/>
  <c r="E1664" i="3"/>
  <c r="G1664" i="3"/>
  <c r="H1664" i="3"/>
  <c r="AU1664" i="3" s="1"/>
  <c r="I1664" i="3" s="1"/>
  <c r="B1665" i="3"/>
  <c r="BA1665" i="3" s="1"/>
  <c r="C1665" i="3"/>
  <c r="D1665" i="3" s="1"/>
  <c r="E1665" i="3"/>
  <c r="G1665" i="3"/>
  <c r="H1665" i="3"/>
  <c r="AU1665" i="3" s="1"/>
  <c r="I1665" i="3" s="1"/>
  <c r="B1666" i="3"/>
  <c r="BA1666" i="3" s="1"/>
  <c r="C1666" i="3"/>
  <c r="D1666" i="3" s="1"/>
  <c r="E1666" i="3"/>
  <c r="G1666" i="3"/>
  <c r="H1666" i="3"/>
  <c r="AU1666" i="3" s="1"/>
  <c r="I1666" i="3" s="1"/>
  <c r="B1667" i="3"/>
  <c r="BA1667" i="3" s="1"/>
  <c r="C1667" i="3"/>
  <c r="D1667" i="3" s="1"/>
  <c r="E1667" i="3"/>
  <c r="G1667" i="3"/>
  <c r="H1667" i="3"/>
  <c r="AU1667" i="3" s="1"/>
  <c r="I1667" i="3" s="1"/>
  <c r="B1668" i="3"/>
  <c r="BA1668" i="3" s="1"/>
  <c r="C1668" i="3"/>
  <c r="D1668" i="3" s="1"/>
  <c r="E1668" i="3"/>
  <c r="G1668" i="3"/>
  <c r="H1668" i="3"/>
  <c r="AU1668" i="3" s="1"/>
  <c r="I1668" i="3" s="1"/>
  <c r="B1669" i="3"/>
  <c r="BA1669" i="3" s="1"/>
  <c r="C1669" i="3"/>
  <c r="D1669" i="3" s="1"/>
  <c r="E1669" i="3"/>
  <c r="G1669" i="3"/>
  <c r="H1669" i="3"/>
  <c r="AU1669" i="3" s="1"/>
  <c r="I1669" i="3" s="1"/>
  <c r="B1670" i="3"/>
  <c r="BA1670" i="3" s="1"/>
  <c r="C1670" i="3"/>
  <c r="D1670" i="3" s="1"/>
  <c r="E1670" i="3"/>
  <c r="G1670" i="3"/>
  <c r="H1670" i="3"/>
  <c r="AU1670" i="3" s="1"/>
  <c r="I1670" i="3" s="1"/>
  <c r="B1671" i="3"/>
  <c r="BA1671" i="3" s="1"/>
  <c r="C1671" i="3"/>
  <c r="D1671" i="3" s="1"/>
  <c r="E1671" i="3"/>
  <c r="G1671" i="3"/>
  <c r="H1671" i="3"/>
  <c r="AU1671" i="3" s="1"/>
  <c r="I1671" i="3" s="1"/>
  <c r="B1672" i="3"/>
  <c r="BA1672" i="3" s="1"/>
  <c r="C1672" i="3"/>
  <c r="D1672" i="3" s="1"/>
  <c r="E1672" i="3"/>
  <c r="G1672" i="3"/>
  <c r="H1672" i="3"/>
  <c r="AU1672" i="3" s="1"/>
  <c r="I1672" i="3" s="1"/>
  <c r="B1673" i="3"/>
  <c r="BA1673" i="3" s="1"/>
  <c r="C1673" i="3"/>
  <c r="D1673" i="3" s="1"/>
  <c r="E1673" i="3"/>
  <c r="G1673" i="3"/>
  <c r="H1673" i="3"/>
  <c r="AU1673" i="3" s="1"/>
  <c r="I1673" i="3" s="1"/>
  <c r="B1674" i="3"/>
  <c r="BA1674" i="3" s="1"/>
  <c r="C1674" i="3"/>
  <c r="D1674" i="3" s="1"/>
  <c r="E1674" i="3"/>
  <c r="G1674" i="3"/>
  <c r="H1674" i="3"/>
  <c r="AU1674" i="3" s="1"/>
  <c r="I1674" i="3" s="1"/>
  <c r="B1675" i="3"/>
  <c r="BA1675" i="3" s="1"/>
  <c r="C1675" i="3"/>
  <c r="D1675" i="3" s="1"/>
  <c r="E1675" i="3"/>
  <c r="G1675" i="3"/>
  <c r="H1675" i="3"/>
  <c r="AU1675" i="3" s="1"/>
  <c r="I1675" i="3" s="1"/>
  <c r="B1676" i="3"/>
  <c r="BA1676" i="3" s="1"/>
  <c r="C1676" i="3"/>
  <c r="D1676" i="3" s="1"/>
  <c r="E1676" i="3"/>
  <c r="G1676" i="3"/>
  <c r="H1676" i="3"/>
  <c r="AU1676" i="3" s="1"/>
  <c r="I1676" i="3" s="1"/>
  <c r="B1677" i="3"/>
  <c r="BA1677" i="3" s="1"/>
  <c r="C1677" i="3"/>
  <c r="D1677" i="3" s="1"/>
  <c r="E1677" i="3"/>
  <c r="G1677" i="3"/>
  <c r="H1677" i="3"/>
  <c r="AU1677" i="3" s="1"/>
  <c r="I1677" i="3" s="1"/>
  <c r="B1678" i="3"/>
  <c r="BA1678" i="3" s="1"/>
  <c r="C1678" i="3"/>
  <c r="D1678" i="3" s="1"/>
  <c r="E1678" i="3"/>
  <c r="G1678" i="3"/>
  <c r="H1678" i="3"/>
  <c r="AU1678" i="3" s="1"/>
  <c r="I1678" i="3" s="1"/>
  <c r="B1679" i="3"/>
  <c r="BA1679" i="3" s="1"/>
  <c r="C1679" i="3"/>
  <c r="D1679" i="3" s="1"/>
  <c r="E1679" i="3"/>
  <c r="G1679" i="3"/>
  <c r="H1679" i="3"/>
  <c r="AU1679" i="3" s="1"/>
  <c r="I1679" i="3" s="1"/>
  <c r="B1680" i="3"/>
  <c r="BA1680" i="3" s="1"/>
  <c r="C1680" i="3"/>
  <c r="D1680" i="3" s="1"/>
  <c r="E1680" i="3"/>
  <c r="G1680" i="3"/>
  <c r="H1680" i="3"/>
  <c r="AU1680" i="3" s="1"/>
  <c r="I1680" i="3" s="1"/>
  <c r="B1681" i="3"/>
  <c r="BA1681" i="3" s="1"/>
  <c r="C1681" i="3"/>
  <c r="D1681" i="3" s="1"/>
  <c r="E1681" i="3"/>
  <c r="G1681" i="3"/>
  <c r="H1681" i="3"/>
  <c r="AU1681" i="3" s="1"/>
  <c r="I1681" i="3" s="1"/>
  <c r="B1682" i="3"/>
  <c r="BA1682" i="3" s="1"/>
  <c r="C1682" i="3"/>
  <c r="D1682" i="3" s="1"/>
  <c r="E1682" i="3"/>
  <c r="G1682" i="3"/>
  <c r="H1682" i="3"/>
  <c r="AU1682" i="3" s="1"/>
  <c r="I1682" i="3" s="1"/>
  <c r="B1683" i="3"/>
  <c r="BA1683" i="3" s="1"/>
  <c r="C1683" i="3"/>
  <c r="D1683" i="3" s="1"/>
  <c r="E1683" i="3"/>
  <c r="G1683" i="3"/>
  <c r="H1683" i="3"/>
  <c r="AU1683" i="3" s="1"/>
  <c r="I1683" i="3" s="1"/>
  <c r="B1684" i="3"/>
  <c r="BA1684" i="3" s="1"/>
  <c r="C1684" i="3"/>
  <c r="D1684" i="3" s="1"/>
  <c r="E1684" i="3"/>
  <c r="G1684" i="3"/>
  <c r="H1684" i="3"/>
  <c r="AU1684" i="3" s="1"/>
  <c r="I1684" i="3" s="1"/>
  <c r="B1685" i="3"/>
  <c r="BA1685" i="3" s="1"/>
  <c r="C1685" i="3"/>
  <c r="D1685" i="3" s="1"/>
  <c r="E1685" i="3"/>
  <c r="G1685" i="3"/>
  <c r="H1685" i="3"/>
  <c r="AU1685" i="3" s="1"/>
  <c r="I1685" i="3" s="1"/>
  <c r="B1686" i="3"/>
  <c r="BA1686" i="3" s="1"/>
  <c r="C1686" i="3"/>
  <c r="D1686" i="3" s="1"/>
  <c r="E1686" i="3"/>
  <c r="G1686" i="3"/>
  <c r="H1686" i="3"/>
  <c r="AU1686" i="3" s="1"/>
  <c r="I1686" i="3" s="1"/>
  <c r="B1687" i="3"/>
  <c r="BA1687" i="3" s="1"/>
  <c r="C1687" i="3"/>
  <c r="D1687" i="3" s="1"/>
  <c r="E1687" i="3"/>
  <c r="G1687" i="3"/>
  <c r="H1687" i="3"/>
  <c r="AU1687" i="3" s="1"/>
  <c r="I1687" i="3" s="1"/>
  <c r="B1688" i="3"/>
  <c r="BA1688" i="3" s="1"/>
  <c r="C1688" i="3"/>
  <c r="D1688" i="3" s="1"/>
  <c r="E1688" i="3"/>
  <c r="G1688" i="3"/>
  <c r="H1688" i="3"/>
  <c r="AU1688" i="3" s="1"/>
  <c r="I1688" i="3" s="1"/>
  <c r="B1689" i="3"/>
  <c r="BA1689" i="3" s="1"/>
  <c r="C1689" i="3"/>
  <c r="D1689" i="3" s="1"/>
  <c r="E1689" i="3"/>
  <c r="G1689" i="3"/>
  <c r="H1689" i="3"/>
  <c r="AU1689" i="3" s="1"/>
  <c r="I1689" i="3" s="1"/>
  <c r="B1690" i="3"/>
  <c r="BA1690" i="3" s="1"/>
  <c r="C1690" i="3"/>
  <c r="D1690" i="3" s="1"/>
  <c r="E1690" i="3"/>
  <c r="G1690" i="3"/>
  <c r="H1690" i="3"/>
  <c r="AU1690" i="3" s="1"/>
  <c r="I1690" i="3" s="1"/>
  <c r="B1691" i="3"/>
  <c r="BA1691" i="3" s="1"/>
  <c r="C1691" i="3"/>
  <c r="D1691" i="3" s="1"/>
  <c r="E1691" i="3"/>
  <c r="G1691" i="3"/>
  <c r="H1691" i="3"/>
  <c r="AU1691" i="3" s="1"/>
  <c r="I1691" i="3" s="1"/>
  <c r="B1692" i="3"/>
  <c r="BA1692" i="3" s="1"/>
  <c r="C1692" i="3"/>
  <c r="D1692" i="3" s="1"/>
  <c r="E1692" i="3"/>
  <c r="G1692" i="3"/>
  <c r="H1692" i="3"/>
  <c r="AU1692" i="3" s="1"/>
  <c r="I1692" i="3" s="1"/>
  <c r="B1693" i="3"/>
  <c r="BA1693" i="3" s="1"/>
  <c r="C1693" i="3"/>
  <c r="D1693" i="3" s="1"/>
  <c r="E1693" i="3"/>
  <c r="G1693" i="3"/>
  <c r="H1693" i="3"/>
  <c r="AU1693" i="3" s="1"/>
  <c r="I1693" i="3" s="1"/>
  <c r="B1694" i="3"/>
  <c r="BA1694" i="3" s="1"/>
  <c r="C1694" i="3"/>
  <c r="D1694" i="3" s="1"/>
  <c r="E1694" i="3"/>
  <c r="G1694" i="3"/>
  <c r="H1694" i="3"/>
  <c r="AU1694" i="3" s="1"/>
  <c r="I1694" i="3" s="1"/>
  <c r="B1695" i="3"/>
  <c r="BA1695" i="3" s="1"/>
  <c r="C1695" i="3"/>
  <c r="D1695" i="3" s="1"/>
  <c r="E1695" i="3"/>
  <c r="G1695" i="3"/>
  <c r="H1695" i="3"/>
  <c r="AU1695" i="3" s="1"/>
  <c r="I1695" i="3" s="1"/>
  <c r="B1696" i="3"/>
  <c r="BA1696" i="3" s="1"/>
  <c r="C1696" i="3"/>
  <c r="D1696" i="3" s="1"/>
  <c r="E1696" i="3"/>
  <c r="G1696" i="3"/>
  <c r="H1696" i="3"/>
  <c r="AU1696" i="3" s="1"/>
  <c r="I1696" i="3" s="1"/>
  <c r="B1697" i="3"/>
  <c r="BA1697" i="3" s="1"/>
  <c r="C1697" i="3"/>
  <c r="D1697" i="3" s="1"/>
  <c r="E1697" i="3"/>
  <c r="G1697" i="3"/>
  <c r="H1697" i="3"/>
  <c r="AU1697" i="3" s="1"/>
  <c r="I1697" i="3" s="1"/>
  <c r="B1698" i="3"/>
  <c r="BA1698" i="3" s="1"/>
  <c r="C1698" i="3"/>
  <c r="D1698" i="3" s="1"/>
  <c r="E1698" i="3"/>
  <c r="G1698" i="3"/>
  <c r="H1698" i="3"/>
  <c r="AU1698" i="3" s="1"/>
  <c r="I1698" i="3" s="1"/>
  <c r="B1699" i="3"/>
  <c r="BA1699" i="3" s="1"/>
  <c r="C1699" i="3"/>
  <c r="D1699" i="3" s="1"/>
  <c r="E1699" i="3"/>
  <c r="G1699" i="3"/>
  <c r="H1699" i="3"/>
  <c r="AU1699" i="3" s="1"/>
  <c r="I1699" i="3" s="1"/>
  <c r="B1700" i="3"/>
  <c r="BA1700" i="3" s="1"/>
  <c r="C1700" i="3"/>
  <c r="D1700" i="3" s="1"/>
  <c r="E1700" i="3"/>
  <c r="G1700" i="3"/>
  <c r="H1700" i="3"/>
  <c r="AU1700" i="3" s="1"/>
  <c r="I1700" i="3" s="1"/>
  <c r="B1701" i="3"/>
  <c r="BA1701" i="3" s="1"/>
  <c r="C1701" i="3"/>
  <c r="D1701" i="3" s="1"/>
  <c r="E1701" i="3"/>
  <c r="G1701" i="3"/>
  <c r="H1701" i="3"/>
  <c r="AU1701" i="3" s="1"/>
  <c r="I1701" i="3" s="1"/>
  <c r="B1702" i="3"/>
  <c r="BA1702" i="3" s="1"/>
  <c r="C1702" i="3"/>
  <c r="D1702" i="3" s="1"/>
  <c r="E1702" i="3"/>
  <c r="G1702" i="3"/>
  <c r="H1702" i="3"/>
  <c r="AU1702" i="3" s="1"/>
  <c r="I1702" i="3" s="1"/>
  <c r="B1703" i="3"/>
  <c r="BA1703" i="3" s="1"/>
  <c r="C1703" i="3"/>
  <c r="D1703" i="3" s="1"/>
  <c r="E1703" i="3"/>
  <c r="G1703" i="3"/>
  <c r="H1703" i="3"/>
  <c r="AU1703" i="3" s="1"/>
  <c r="I1703" i="3" s="1"/>
  <c r="B1704" i="3"/>
  <c r="BA1704" i="3" s="1"/>
  <c r="C1704" i="3"/>
  <c r="D1704" i="3" s="1"/>
  <c r="E1704" i="3"/>
  <c r="G1704" i="3"/>
  <c r="H1704" i="3"/>
  <c r="AU1704" i="3" s="1"/>
  <c r="I1704" i="3" s="1"/>
  <c r="B1705" i="3"/>
  <c r="BA1705" i="3" s="1"/>
  <c r="C1705" i="3"/>
  <c r="D1705" i="3" s="1"/>
  <c r="E1705" i="3"/>
  <c r="G1705" i="3"/>
  <c r="H1705" i="3"/>
  <c r="AU1705" i="3" s="1"/>
  <c r="I1705" i="3" s="1"/>
  <c r="B1706" i="3"/>
  <c r="BA1706" i="3" s="1"/>
  <c r="C1706" i="3"/>
  <c r="D1706" i="3" s="1"/>
  <c r="E1706" i="3"/>
  <c r="G1706" i="3"/>
  <c r="H1706" i="3"/>
  <c r="AU1706" i="3" s="1"/>
  <c r="I1706" i="3" s="1"/>
  <c r="B1707" i="3"/>
  <c r="BA1707" i="3" s="1"/>
  <c r="C1707" i="3"/>
  <c r="D1707" i="3" s="1"/>
  <c r="E1707" i="3"/>
  <c r="G1707" i="3"/>
  <c r="H1707" i="3"/>
  <c r="AU1707" i="3" s="1"/>
  <c r="I1707" i="3" s="1"/>
  <c r="B1708" i="3"/>
  <c r="BA1708" i="3" s="1"/>
  <c r="C1708" i="3"/>
  <c r="D1708" i="3" s="1"/>
  <c r="E1708" i="3"/>
  <c r="G1708" i="3"/>
  <c r="H1708" i="3"/>
  <c r="AU1708" i="3" s="1"/>
  <c r="I1708" i="3" s="1"/>
  <c r="B1709" i="3"/>
  <c r="BA1709" i="3" s="1"/>
  <c r="C1709" i="3"/>
  <c r="D1709" i="3" s="1"/>
  <c r="E1709" i="3"/>
  <c r="G1709" i="3"/>
  <c r="H1709" i="3"/>
  <c r="AU1709" i="3" s="1"/>
  <c r="I1709" i="3" s="1"/>
  <c r="B1710" i="3"/>
  <c r="BA1710" i="3" s="1"/>
  <c r="C1710" i="3"/>
  <c r="D1710" i="3" s="1"/>
  <c r="E1710" i="3"/>
  <c r="G1710" i="3"/>
  <c r="H1710" i="3"/>
  <c r="AU1710" i="3" s="1"/>
  <c r="I1710" i="3" s="1"/>
  <c r="B1711" i="3"/>
  <c r="BA1711" i="3" s="1"/>
  <c r="C1711" i="3"/>
  <c r="D1711" i="3" s="1"/>
  <c r="E1711" i="3"/>
  <c r="G1711" i="3"/>
  <c r="H1711" i="3"/>
  <c r="AU1711" i="3" s="1"/>
  <c r="I1711" i="3" s="1"/>
  <c r="B1712" i="3"/>
  <c r="BA1712" i="3" s="1"/>
  <c r="C1712" i="3"/>
  <c r="D1712" i="3" s="1"/>
  <c r="E1712" i="3"/>
  <c r="G1712" i="3"/>
  <c r="H1712" i="3"/>
  <c r="AU1712" i="3" s="1"/>
  <c r="I1712" i="3" s="1"/>
  <c r="B1713" i="3"/>
  <c r="BA1713" i="3" s="1"/>
  <c r="C1713" i="3"/>
  <c r="D1713" i="3" s="1"/>
  <c r="E1713" i="3"/>
  <c r="G1713" i="3"/>
  <c r="H1713" i="3"/>
  <c r="AU1713" i="3" s="1"/>
  <c r="I1713" i="3" s="1"/>
  <c r="B1714" i="3"/>
  <c r="BA1714" i="3" s="1"/>
  <c r="C1714" i="3"/>
  <c r="D1714" i="3" s="1"/>
  <c r="E1714" i="3"/>
  <c r="G1714" i="3"/>
  <c r="H1714" i="3"/>
  <c r="AU1714" i="3" s="1"/>
  <c r="I1714" i="3" s="1"/>
  <c r="B1715" i="3"/>
  <c r="BA1715" i="3" s="1"/>
  <c r="C1715" i="3"/>
  <c r="D1715" i="3" s="1"/>
  <c r="E1715" i="3"/>
  <c r="G1715" i="3"/>
  <c r="H1715" i="3"/>
  <c r="AU1715" i="3" s="1"/>
  <c r="I1715" i="3" s="1"/>
  <c r="B1716" i="3"/>
  <c r="BA1716" i="3" s="1"/>
  <c r="C1716" i="3"/>
  <c r="D1716" i="3" s="1"/>
  <c r="E1716" i="3"/>
  <c r="G1716" i="3"/>
  <c r="H1716" i="3"/>
  <c r="AU1716" i="3" s="1"/>
  <c r="I1716" i="3" s="1"/>
  <c r="B1717" i="3"/>
  <c r="BA1717" i="3" s="1"/>
  <c r="C1717" i="3"/>
  <c r="D1717" i="3" s="1"/>
  <c r="E1717" i="3"/>
  <c r="G1717" i="3"/>
  <c r="H1717" i="3"/>
  <c r="AU1717" i="3" s="1"/>
  <c r="I1717" i="3" s="1"/>
  <c r="B1718" i="3"/>
  <c r="BA1718" i="3" s="1"/>
  <c r="C1718" i="3"/>
  <c r="D1718" i="3" s="1"/>
  <c r="E1718" i="3"/>
  <c r="G1718" i="3"/>
  <c r="H1718" i="3"/>
  <c r="AU1718" i="3" s="1"/>
  <c r="I1718" i="3" s="1"/>
  <c r="B1719" i="3"/>
  <c r="BA1719" i="3" s="1"/>
  <c r="C1719" i="3"/>
  <c r="D1719" i="3" s="1"/>
  <c r="E1719" i="3"/>
  <c r="G1719" i="3"/>
  <c r="H1719" i="3"/>
  <c r="AU1719" i="3" s="1"/>
  <c r="I1719" i="3" s="1"/>
  <c r="B1720" i="3"/>
  <c r="BA1720" i="3" s="1"/>
  <c r="C1720" i="3"/>
  <c r="D1720" i="3" s="1"/>
  <c r="E1720" i="3"/>
  <c r="G1720" i="3"/>
  <c r="H1720" i="3"/>
  <c r="AU1720" i="3" s="1"/>
  <c r="I1720" i="3" s="1"/>
  <c r="B1721" i="3"/>
  <c r="BA1721" i="3" s="1"/>
  <c r="C1721" i="3"/>
  <c r="D1721" i="3" s="1"/>
  <c r="E1721" i="3"/>
  <c r="G1721" i="3"/>
  <c r="H1721" i="3"/>
  <c r="AU1721" i="3" s="1"/>
  <c r="I1721" i="3" s="1"/>
  <c r="B1722" i="3"/>
  <c r="BA1722" i="3" s="1"/>
  <c r="C1722" i="3"/>
  <c r="D1722" i="3" s="1"/>
  <c r="E1722" i="3"/>
  <c r="G1722" i="3"/>
  <c r="H1722" i="3"/>
  <c r="AU1722" i="3" s="1"/>
  <c r="I1722" i="3" s="1"/>
  <c r="B1723" i="3"/>
  <c r="BA1723" i="3" s="1"/>
  <c r="C1723" i="3"/>
  <c r="D1723" i="3" s="1"/>
  <c r="E1723" i="3"/>
  <c r="G1723" i="3"/>
  <c r="H1723" i="3"/>
  <c r="AU1723" i="3" s="1"/>
  <c r="I1723" i="3" s="1"/>
  <c r="B1724" i="3"/>
  <c r="BA1724" i="3" s="1"/>
  <c r="C1724" i="3"/>
  <c r="D1724" i="3" s="1"/>
  <c r="E1724" i="3"/>
  <c r="G1724" i="3"/>
  <c r="H1724" i="3"/>
  <c r="AU1724" i="3" s="1"/>
  <c r="I1724" i="3" s="1"/>
  <c r="B1725" i="3"/>
  <c r="BA1725" i="3" s="1"/>
  <c r="C1725" i="3"/>
  <c r="D1725" i="3" s="1"/>
  <c r="E1725" i="3"/>
  <c r="G1725" i="3"/>
  <c r="H1725" i="3"/>
  <c r="AU1725" i="3" s="1"/>
  <c r="I1725" i="3" s="1"/>
  <c r="B1726" i="3"/>
  <c r="BA1726" i="3" s="1"/>
  <c r="C1726" i="3"/>
  <c r="D1726" i="3" s="1"/>
  <c r="E1726" i="3"/>
  <c r="G1726" i="3"/>
  <c r="H1726" i="3"/>
  <c r="AU1726" i="3" s="1"/>
  <c r="I1726" i="3" s="1"/>
  <c r="B1727" i="3"/>
  <c r="BA1727" i="3" s="1"/>
  <c r="C1727" i="3"/>
  <c r="D1727" i="3" s="1"/>
  <c r="E1727" i="3"/>
  <c r="G1727" i="3"/>
  <c r="H1727" i="3"/>
  <c r="AU1727" i="3" s="1"/>
  <c r="I1727" i="3" s="1"/>
  <c r="B1728" i="3"/>
  <c r="BA1728" i="3" s="1"/>
  <c r="C1728" i="3"/>
  <c r="D1728" i="3" s="1"/>
  <c r="E1728" i="3"/>
  <c r="G1728" i="3"/>
  <c r="H1728" i="3"/>
  <c r="AU1728" i="3" s="1"/>
  <c r="I1728" i="3" s="1"/>
  <c r="B1729" i="3"/>
  <c r="BA1729" i="3" s="1"/>
  <c r="C1729" i="3"/>
  <c r="D1729" i="3" s="1"/>
  <c r="E1729" i="3"/>
  <c r="G1729" i="3"/>
  <c r="H1729" i="3"/>
  <c r="AU1729" i="3" s="1"/>
  <c r="I1729" i="3" s="1"/>
  <c r="B1730" i="3"/>
  <c r="BA1730" i="3" s="1"/>
  <c r="C1730" i="3"/>
  <c r="D1730" i="3" s="1"/>
  <c r="E1730" i="3"/>
  <c r="G1730" i="3"/>
  <c r="H1730" i="3"/>
  <c r="AU1730" i="3" s="1"/>
  <c r="I1730" i="3" s="1"/>
  <c r="B1731" i="3"/>
  <c r="BA1731" i="3" s="1"/>
  <c r="C1731" i="3"/>
  <c r="D1731" i="3" s="1"/>
  <c r="E1731" i="3"/>
  <c r="G1731" i="3"/>
  <c r="H1731" i="3"/>
  <c r="AU1731" i="3" s="1"/>
  <c r="I1731" i="3" s="1"/>
  <c r="B1732" i="3"/>
  <c r="BA1732" i="3" s="1"/>
  <c r="C1732" i="3"/>
  <c r="D1732" i="3" s="1"/>
  <c r="E1732" i="3"/>
  <c r="G1732" i="3"/>
  <c r="H1732" i="3"/>
  <c r="AU1732" i="3" s="1"/>
  <c r="I1732" i="3" s="1"/>
  <c r="B1733" i="3"/>
  <c r="BA1733" i="3" s="1"/>
  <c r="C1733" i="3"/>
  <c r="D1733" i="3" s="1"/>
  <c r="E1733" i="3"/>
  <c r="G1733" i="3"/>
  <c r="H1733" i="3"/>
  <c r="AU1733" i="3" s="1"/>
  <c r="I1733" i="3" s="1"/>
  <c r="B1734" i="3"/>
  <c r="BA1734" i="3" s="1"/>
  <c r="C1734" i="3"/>
  <c r="D1734" i="3" s="1"/>
  <c r="E1734" i="3"/>
  <c r="G1734" i="3"/>
  <c r="H1734" i="3"/>
  <c r="AU1734" i="3" s="1"/>
  <c r="I1734" i="3" s="1"/>
  <c r="B1735" i="3"/>
  <c r="BA1735" i="3" s="1"/>
  <c r="C1735" i="3"/>
  <c r="D1735" i="3" s="1"/>
  <c r="E1735" i="3"/>
  <c r="G1735" i="3"/>
  <c r="H1735" i="3"/>
  <c r="AU1735" i="3" s="1"/>
  <c r="I1735" i="3" s="1"/>
  <c r="B1736" i="3"/>
  <c r="BA1736" i="3" s="1"/>
  <c r="C1736" i="3"/>
  <c r="D1736" i="3" s="1"/>
  <c r="E1736" i="3"/>
  <c r="G1736" i="3"/>
  <c r="H1736" i="3"/>
  <c r="AU1736" i="3" s="1"/>
  <c r="I1736" i="3" s="1"/>
  <c r="B1737" i="3"/>
  <c r="BA1737" i="3" s="1"/>
  <c r="C1737" i="3"/>
  <c r="D1737" i="3" s="1"/>
  <c r="E1737" i="3"/>
  <c r="G1737" i="3"/>
  <c r="H1737" i="3"/>
  <c r="AU1737" i="3" s="1"/>
  <c r="I1737" i="3" s="1"/>
  <c r="B1738" i="3"/>
  <c r="BA1738" i="3" s="1"/>
  <c r="C1738" i="3"/>
  <c r="D1738" i="3" s="1"/>
  <c r="E1738" i="3"/>
  <c r="G1738" i="3"/>
  <c r="H1738" i="3"/>
  <c r="AU1738" i="3" s="1"/>
  <c r="I1738" i="3" s="1"/>
  <c r="B1739" i="3"/>
  <c r="BA1739" i="3" s="1"/>
  <c r="C1739" i="3"/>
  <c r="D1739" i="3" s="1"/>
  <c r="E1739" i="3"/>
  <c r="G1739" i="3"/>
  <c r="H1739" i="3"/>
  <c r="AU1739" i="3" s="1"/>
  <c r="I1739" i="3" s="1"/>
  <c r="B1740" i="3"/>
  <c r="BA1740" i="3" s="1"/>
  <c r="C1740" i="3"/>
  <c r="D1740" i="3" s="1"/>
  <c r="E1740" i="3"/>
  <c r="G1740" i="3"/>
  <c r="H1740" i="3"/>
  <c r="AU1740" i="3" s="1"/>
  <c r="I1740" i="3" s="1"/>
  <c r="B1741" i="3"/>
  <c r="BA1741" i="3" s="1"/>
  <c r="C1741" i="3"/>
  <c r="D1741" i="3" s="1"/>
  <c r="E1741" i="3"/>
  <c r="G1741" i="3"/>
  <c r="H1741" i="3"/>
  <c r="AU1741" i="3" s="1"/>
  <c r="I1741" i="3" s="1"/>
  <c r="B1742" i="3"/>
  <c r="BA1742" i="3" s="1"/>
  <c r="C1742" i="3"/>
  <c r="D1742" i="3" s="1"/>
  <c r="E1742" i="3"/>
  <c r="G1742" i="3"/>
  <c r="H1742" i="3"/>
  <c r="AU1742" i="3" s="1"/>
  <c r="I1742" i="3" s="1"/>
  <c r="B1743" i="3"/>
  <c r="BA1743" i="3" s="1"/>
  <c r="C1743" i="3"/>
  <c r="D1743" i="3" s="1"/>
  <c r="E1743" i="3"/>
  <c r="G1743" i="3"/>
  <c r="H1743" i="3"/>
  <c r="AU1743" i="3" s="1"/>
  <c r="I1743" i="3" s="1"/>
  <c r="B1744" i="3"/>
  <c r="BA1744" i="3" s="1"/>
  <c r="C1744" i="3"/>
  <c r="D1744" i="3" s="1"/>
  <c r="E1744" i="3"/>
  <c r="G1744" i="3"/>
  <c r="H1744" i="3"/>
  <c r="AU1744" i="3" s="1"/>
  <c r="I1744" i="3" s="1"/>
  <c r="B1745" i="3"/>
  <c r="BA1745" i="3" s="1"/>
  <c r="C1745" i="3"/>
  <c r="D1745" i="3" s="1"/>
  <c r="E1745" i="3"/>
  <c r="G1745" i="3"/>
  <c r="H1745" i="3"/>
  <c r="AU1745" i="3" s="1"/>
  <c r="I1745" i="3" s="1"/>
  <c r="B1746" i="3"/>
  <c r="BA1746" i="3" s="1"/>
  <c r="C1746" i="3"/>
  <c r="D1746" i="3" s="1"/>
  <c r="E1746" i="3"/>
  <c r="G1746" i="3"/>
  <c r="H1746" i="3"/>
  <c r="AU1746" i="3" s="1"/>
  <c r="I1746" i="3" s="1"/>
  <c r="B1747" i="3"/>
  <c r="BA1747" i="3" s="1"/>
  <c r="C1747" i="3"/>
  <c r="D1747" i="3" s="1"/>
  <c r="E1747" i="3"/>
  <c r="G1747" i="3"/>
  <c r="H1747" i="3"/>
  <c r="AU1747" i="3" s="1"/>
  <c r="I1747" i="3" s="1"/>
  <c r="B1748" i="3"/>
  <c r="BA1748" i="3" s="1"/>
  <c r="C1748" i="3"/>
  <c r="D1748" i="3" s="1"/>
  <c r="E1748" i="3"/>
  <c r="G1748" i="3"/>
  <c r="H1748" i="3"/>
  <c r="AU1748" i="3" s="1"/>
  <c r="I1748" i="3" s="1"/>
  <c r="B1749" i="3"/>
  <c r="BA1749" i="3" s="1"/>
  <c r="C1749" i="3"/>
  <c r="D1749" i="3" s="1"/>
  <c r="E1749" i="3"/>
  <c r="G1749" i="3"/>
  <c r="H1749" i="3"/>
  <c r="AU1749" i="3" s="1"/>
  <c r="I1749" i="3" s="1"/>
  <c r="B1750" i="3"/>
  <c r="BA1750" i="3" s="1"/>
  <c r="C1750" i="3"/>
  <c r="D1750" i="3" s="1"/>
  <c r="E1750" i="3"/>
  <c r="G1750" i="3"/>
  <c r="H1750" i="3"/>
  <c r="AU1750" i="3" s="1"/>
  <c r="I1750" i="3" s="1"/>
  <c r="B1751" i="3"/>
  <c r="BA1751" i="3" s="1"/>
  <c r="C1751" i="3"/>
  <c r="D1751" i="3" s="1"/>
  <c r="E1751" i="3"/>
  <c r="G1751" i="3"/>
  <c r="H1751" i="3"/>
  <c r="AU1751" i="3" s="1"/>
  <c r="I1751" i="3" s="1"/>
  <c r="B1752" i="3"/>
  <c r="BA1752" i="3" s="1"/>
  <c r="C1752" i="3"/>
  <c r="D1752" i="3" s="1"/>
  <c r="E1752" i="3"/>
  <c r="G1752" i="3"/>
  <c r="H1752" i="3"/>
  <c r="AU1752" i="3" s="1"/>
  <c r="I1752" i="3" s="1"/>
  <c r="B1753" i="3"/>
  <c r="BA1753" i="3" s="1"/>
  <c r="C1753" i="3"/>
  <c r="D1753" i="3" s="1"/>
  <c r="E1753" i="3"/>
  <c r="G1753" i="3"/>
  <c r="H1753" i="3"/>
  <c r="AU1753" i="3" s="1"/>
  <c r="I1753" i="3" s="1"/>
  <c r="B1754" i="3"/>
  <c r="BA1754" i="3" s="1"/>
  <c r="C1754" i="3"/>
  <c r="D1754" i="3" s="1"/>
  <c r="E1754" i="3"/>
  <c r="G1754" i="3"/>
  <c r="H1754" i="3"/>
  <c r="AU1754" i="3" s="1"/>
  <c r="I1754" i="3" s="1"/>
  <c r="B1755" i="3"/>
  <c r="BA1755" i="3" s="1"/>
  <c r="C1755" i="3"/>
  <c r="D1755" i="3" s="1"/>
  <c r="E1755" i="3"/>
  <c r="G1755" i="3"/>
  <c r="H1755" i="3"/>
  <c r="AU1755" i="3" s="1"/>
  <c r="I1755" i="3" s="1"/>
  <c r="B1756" i="3"/>
  <c r="BA1756" i="3" s="1"/>
  <c r="C1756" i="3"/>
  <c r="D1756" i="3" s="1"/>
  <c r="E1756" i="3"/>
  <c r="G1756" i="3"/>
  <c r="H1756" i="3"/>
  <c r="AU1756" i="3" s="1"/>
  <c r="I1756" i="3" s="1"/>
  <c r="B1757" i="3"/>
  <c r="BA1757" i="3" s="1"/>
  <c r="C1757" i="3"/>
  <c r="D1757" i="3" s="1"/>
  <c r="E1757" i="3"/>
  <c r="G1757" i="3"/>
  <c r="H1757" i="3"/>
  <c r="AU1757" i="3" s="1"/>
  <c r="I1757" i="3" s="1"/>
  <c r="B1758" i="3"/>
  <c r="BA1758" i="3" s="1"/>
  <c r="C1758" i="3"/>
  <c r="D1758" i="3" s="1"/>
  <c r="E1758" i="3"/>
  <c r="G1758" i="3"/>
  <c r="H1758" i="3"/>
  <c r="AU1758" i="3" s="1"/>
  <c r="I1758" i="3" s="1"/>
  <c r="B1759" i="3"/>
  <c r="BA1759" i="3" s="1"/>
  <c r="C1759" i="3"/>
  <c r="D1759" i="3" s="1"/>
  <c r="E1759" i="3"/>
  <c r="G1759" i="3"/>
  <c r="H1759" i="3"/>
  <c r="AU1759" i="3" s="1"/>
  <c r="I1759" i="3" s="1"/>
  <c r="B1760" i="3"/>
  <c r="BA1760" i="3" s="1"/>
  <c r="C1760" i="3"/>
  <c r="D1760" i="3" s="1"/>
  <c r="E1760" i="3"/>
  <c r="G1760" i="3"/>
  <c r="H1760" i="3"/>
  <c r="AU1760" i="3" s="1"/>
  <c r="I1760" i="3" s="1"/>
  <c r="B1761" i="3"/>
  <c r="BA1761" i="3" s="1"/>
  <c r="C1761" i="3"/>
  <c r="D1761" i="3" s="1"/>
  <c r="E1761" i="3"/>
  <c r="G1761" i="3"/>
  <c r="H1761" i="3"/>
  <c r="AU1761" i="3" s="1"/>
  <c r="I1761" i="3" s="1"/>
  <c r="B1762" i="3"/>
  <c r="BA1762" i="3" s="1"/>
  <c r="C1762" i="3"/>
  <c r="D1762" i="3" s="1"/>
  <c r="E1762" i="3"/>
  <c r="G1762" i="3"/>
  <c r="H1762" i="3"/>
  <c r="AU1762" i="3" s="1"/>
  <c r="I1762" i="3" s="1"/>
  <c r="B1763" i="3"/>
  <c r="BA1763" i="3" s="1"/>
  <c r="C1763" i="3"/>
  <c r="D1763" i="3" s="1"/>
  <c r="E1763" i="3"/>
  <c r="G1763" i="3"/>
  <c r="H1763" i="3"/>
  <c r="AU1763" i="3" s="1"/>
  <c r="I1763" i="3" s="1"/>
  <c r="B1764" i="3"/>
  <c r="BA1764" i="3" s="1"/>
  <c r="C1764" i="3"/>
  <c r="D1764" i="3" s="1"/>
  <c r="E1764" i="3"/>
  <c r="G1764" i="3"/>
  <c r="H1764" i="3"/>
  <c r="AU1764" i="3" s="1"/>
  <c r="I1764" i="3" s="1"/>
  <c r="B1765" i="3"/>
  <c r="BA1765" i="3" s="1"/>
  <c r="C1765" i="3"/>
  <c r="D1765" i="3" s="1"/>
  <c r="E1765" i="3"/>
  <c r="G1765" i="3"/>
  <c r="H1765" i="3"/>
  <c r="AU1765" i="3" s="1"/>
  <c r="I1765" i="3" s="1"/>
  <c r="B1766" i="3"/>
  <c r="BA1766" i="3" s="1"/>
  <c r="C1766" i="3"/>
  <c r="D1766" i="3" s="1"/>
  <c r="E1766" i="3"/>
  <c r="G1766" i="3"/>
  <c r="H1766" i="3"/>
  <c r="AU1766" i="3" s="1"/>
  <c r="I1766" i="3" s="1"/>
  <c r="B1767" i="3"/>
  <c r="BA1767" i="3" s="1"/>
  <c r="C1767" i="3"/>
  <c r="D1767" i="3" s="1"/>
  <c r="E1767" i="3"/>
  <c r="G1767" i="3"/>
  <c r="H1767" i="3"/>
  <c r="AU1767" i="3" s="1"/>
  <c r="I1767" i="3" s="1"/>
  <c r="B1768" i="3"/>
  <c r="BA1768" i="3" s="1"/>
  <c r="C1768" i="3"/>
  <c r="D1768" i="3" s="1"/>
  <c r="E1768" i="3"/>
  <c r="G1768" i="3"/>
  <c r="H1768" i="3"/>
  <c r="AU1768" i="3" s="1"/>
  <c r="I1768" i="3" s="1"/>
  <c r="B1769" i="3"/>
  <c r="BA1769" i="3" s="1"/>
  <c r="C1769" i="3"/>
  <c r="D1769" i="3" s="1"/>
  <c r="E1769" i="3"/>
  <c r="G1769" i="3"/>
  <c r="H1769" i="3"/>
  <c r="AU1769" i="3" s="1"/>
  <c r="I1769" i="3" s="1"/>
  <c r="B1770" i="3"/>
  <c r="BA1770" i="3" s="1"/>
  <c r="C1770" i="3"/>
  <c r="D1770" i="3" s="1"/>
  <c r="E1770" i="3"/>
  <c r="G1770" i="3"/>
  <c r="H1770" i="3"/>
  <c r="AU1770" i="3" s="1"/>
  <c r="I1770" i="3" s="1"/>
  <c r="B1771" i="3"/>
  <c r="BA1771" i="3" s="1"/>
  <c r="C1771" i="3"/>
  <c r="D1771" i="3" s="1"/>
  <c r="E1771" i="3"/>
  <c r="G1771" i="3"/>
  <c r="H1771" i="3"/>
  <c r="AU1771" i="3" s="1"/>
  <c r="I1771" i="3" s="1"/>
  <c r="B1772" i="3"/>
  <c r="BA1772" i="3" s="1"/>
  <c r="C1772" i="3"/>
  <c r="D1772" i="3" s="1"/>
  <c r="E1772" i="3"/>
  <c r="G1772" i="3"/>
  <c r="H1772" i="3"/>
  <c r="AU1772" i="3" s="1"/>
  <c r="I1772" i="3" s="1"/>
  <c r="B1773" i="3"/>
  <c r="BA1773" i="3" s="1"/>
  <c r="C1773" i="3"/>
  <c r="D1773" i="3" s="1"/>
  <c r="E1773" i="3"/>
  <c r="G1773" i="3"/>
  <c r="H1773" i="3"/>
  <c r="AU1773" i="3" s="1"/>
  <c r="I1773" i="3" s="1"/>
  <c r="B1774" i="3"/>
  <c r="BA1774" i="3" s="1"/>
  <c r="C1774" i="3"/>
  <c r="D1774" i="3" s="1"/>
  <c r="E1774" i="3"/>
  <c r="G1774" i="3"/>
  <c r="H1774" i="3"/>
  <c r="AU1774" i="3" s="1"/>
  <c r="I1774" i="3" s="1"/>
  <c r="B1775" i="3"/>
  <c r="BA1775" i="3" s="1"/>
  <c r="C1775" i="3"/>
  <c r="D1775" i="3" s="1"/>
  <c r="E1775" i="3"/>
  <c r="G1775" i="3"/>
  <c r="H1775" i="3"/>
  <c r="AU1775" i="3" s="1"/>
  <c r="I1775" i="3" s="1"/>
  <c r="B1776" i="3"/>
  <c r="BA1776" i="3" s="1"/>
  <c r="C1776" i="3"/>
  <c r="D1776" i="3" s="1"/>
  <c r="E1776" i="3"/>
  <c r="G1776" i="3"/>
  <c r="H1776" i="3"/>
  <c r="AU1776" i="3" s="1"/>
  <c r="I1776" i="3" s="1"/>
  <c r="B1777" i="3"/>
  <c r="BA1777" i="3" s="1"/>
  <c r="C1777" i="3"/>
  <c r="D1777" i="3" s="1"/>
  <c r="E1777" i="3"/>
  <c r="G1777" i="3"/>
  <c r="H1777" i="3"/>
  <c r="AU1777" i="3" s="1"/>
  <c r="I1777" i="3" s="1"/>
  <c r="B1778" i="3"/>
  <c r="BA1778" i="3" s="1"/>
  <c r="C1778" i="3"/>
  <c r="D1778" i="3" s="1"/>
  <c r="E1778" i="3"/>
  <c r="G1778" i="3"/>
  <c r="H1778" i="3"/>
  <c r="AU1778" i="3" s="1"/>
  <c r="I1778" i="3" s="1"/>
  <c r="B1779" i="3"/>
  <c r="BA1779" i="3" s="1"/>
  <c r="C1779" i="3"/>
  <c r="D1779" i="3" s="1"/>
  <c r="E1779" i="3"/>
  <c r="G1779" i="3"/>
  <c r="H1779" i="3"/>
  <c r="AU1779" i="3" s="1"/>
  <c r="I1779" i="3" s="1"/>
  <c r="B1780" i="3"/>
  <c r="BA1780" i="3" s="1"/>
  <c r="C1780" i="3"/>
  <c r="D1780" i="3" s="1"/>
  <c r="E1780" i="3"/>
  <c r="G1780" i="3"/>
  <c r="H1780" i="3"/>
  <c r="AU1780" i="3" s="1"/>
  <c r="I1780" i="3" s="1"/>
  <c r="B1781" i="3"/>
  <c r="BA1781" i="3" s="1"/>
  <c r="C1781" i="3"/>
  <c r="D1781" i="3" s="1"/>
  <c r="E1781" i="3"/>
  <c r="G1781" i="3"/>
  <c r="H1781" i="3"/>
  <c r="AU1781" i="3" s="1"/>
  <c r="I1781" i="3" s="1"/>
  <c r="B1782" i="3"/>
  <c r="BA1782" i="3" s="1"/>
  <c r="C1782" i="3"/>
  <c r="D1782" i="3" s="1"/>
  <c r="E1782" i="3"/>
  <c r="G1782" i="3"/>
  <c r="H1782" i="3"/>
  <c r="AU1782" i="3" s="1"/>
  <c r="I1782" i="3" s="1"/>
  <c r="B1783" i="3"/>
  <c r="BA1783" i="3" s="1"/>
  <c r="C1783" i="3"/>
  <c r="D1783" i="3" s="1"/>
  <c r="E1783" i="3"/>
  <c r="G1783" i="3"/>
  <c r="H1783" i="3"/>
  <c r="AU1783" i="3" s="1"/>
  <c r="I1783" i="3" s="1"/>
  <c r="B1784" i="3"/>
  <c r="BA1784" i="3" s="1"/>
  <c r="C1784" i="3"/>
  <c r="D1784" i="3" s="1"/>
  <c r="E1784" i="3"/>
  <c r="G1784" i="3"/>
  <c r="H1784" i="3"/>
  <c r="AU1784" i="3" s="1"/>
  <c r="I1784" i="3" s="1"/>
  <c r="B1785" i="3"/>
  <c r="BA1785" i="3" s="1"/>
  <c r="C1785" i="3"/>
  <c r="D1785" i="3" s="1"/>
  <c r="E1785" i="3"/>
  <c r="G1785" i="3"/>
  <c r="H1785" i="3"/>
  <c r="AU1785" i="3" s="1"/>
  <c r="I1785" i="3" s="1"/>
  <c r="B1786" i="3"/>
  <c r="BA1786" i="3" s="1"/>
  <c r="C1786" i="3"/>
  <c r="D1786" i="3" s="1"/>
  <c r="E1786" i="3"/>
  <c r="G1786" i="3"/>
  <c r="H1786" i="3"/>
  <c r="AU1786" i="3" s="1"/>
  <c r="I1786" i="3" s="1"/>
  <c r="B1787" i="3"/>
  <c r="BA1787" i="3" s="1"/>
  <c r="C1787" i="3"/>
  <c r="D1787" i="3" s="1"/>
  <c r="E1787" i="3"/>
  <c r="G1787" i="3"/>
  <c r="H1787" i="3"/>
  <c r="AU1787" i="3" s="1"/>
  <c r="I1787" i="3" s="1"/>
  <c r="B1788" i="3"/>
  <c r="BA1788" i="3" s="1"/>
  <c r="C1788" i="3"/>
  <c r="D1788" i="3" s="1"/>
  <c r="E1788" i="3"/>
  <c r="G1788" i="3"/>
  <c r="H1788" i="3"/>
  <c r="AU1788" i="3" s="1"/>
  <c r="I1788" i="3" s="1"/>
  <c r="B1789" i="3"/>
  <c r="BA1789" i="3" s="1"/>
  <c r="C1789" i="3"/>
  <c r="D1789" i="3" s="1"/>
  <c r="E1789" i="3"/>
  <c r="G1789" i="3"/>
  <c r="H1789" i="3"/>
  <c r="AU1789" i="3" s="1"/>
  <c r="I1789" i="3" s="1"/>
  <c r="B1790" i="3"/>
  <c r="BA1790" i="3" s="1"/>
  <c r="C1790" i="3"/>
  <c r="D1790" i="3" s="1"/>
  <c r="E1790" i="3"/>
  <c r="G1790" i="3"/>
  <c r="H1790" i="3"/>
  <c r="AU1790" i="3" s="1"/>
  <c r="I1790" i="3" s="1"/>
  <c r="B1791" i="3"/>
  <c r="BA1791" i="3" s="1"/>
  <c r="C1791" i="3"/>
  <c r="D1791" i="3" s="1"/>
  <c r="E1791" i="3"/>
  <c r="G1791" i="3"/>
  <c r="H1791" i="3"/>
  <c r="AU1791" i="3" s="1"/>
  <c r="I1791" i="3" s="1"/>
  <c r="B1792" i="3"/>
  <c r="BA1792" i="3" s="1"/>
  <c r="C1792" i="3"/>
  <c r="D1792" i="3" s="1"/>
  <c r="E1792" i="3"/>
  <c r="G1792" i="3"/>
  <c r="H1792" i="3"/>
  <c r="AU1792" i="3" s="1"/>
  <c r="I1792" i="3" s="1"/>
  <c r="B1793" i="3"/>
  <c r="BA1793" i="3" s="1"/>
  <c r="C1793" i="3"/>
  <c r="D1793" i="3" s="1"/>
  <c r="E1793" i="3"/>
  <c r="G1793" i="3"/>
  <c r="H1793" i="3"/>
  <c r="AU1793" i="3" s="1"/>
  <c r="I1793" i="3" s="1"/>
  <c r="B1794" i="3"/>
  <c r="BA1794" i="3" s="1"/>
  <c r="C1794" i="3"/>
  <c r="D1794" i="3" s="1"/>
  <c r="E1794" i="3"/>
  <c r="G1794" i="3"/>
  <c r="H1794" i="3"/>
  <c r="AU1794" i="3" s="1"/>
  <c r="I1794" i="3" s="1"/>
  <c r="B1795" i="3"/>
  <c r="BA1795" i="3" s="1"/>
  <c r="C1795" i="3"/>
  <c r="D1795" i="3" s="1"/>
  <c r="E1795" i="3"/>
  <c r="G1795" i="3"/>
  <c r="H1795" i="3"/>
  <c r="AU1795" i="3" s="1"/>
  <c r="I1795" i="3" s="1"/>
  <c r="B1796" i="3"/>
  <c r="BA1796" i="3" s="1"/>
  <c r="C1796" i="3"/>
  <c r="D1796" i="3" s="1"/>
  <c r="E1796" i="3"/>
  <c r="G1796" i="3"/>
  <c r="H1796" i="3"/>
  <c r="AU1796" i="3" s="1"/>
  <c r="I1796" i="3" s="1"/>
  <c r="B1797" i="3"/>
  <c r="BA1797" i="3" s="1"/>
  <c r="C1797" i="3"/>
  <c r="D1797" i="3" s="1"/>
  <c r="E1797" i="3"/>
  <c r="G1797" i="3"/>
  <c r="H1797" i="3"/>
  <c r="AU1797" i="3" s="1"/>
  <c r="I1797" i="3" s="1"/>
  <c r="B1798" i="3"/>
  <c r="BA1798" i="3" s="1"/>
  <c r="C1798" i="3"/>
  <c r="D1798" i="3" s="1"/>
  <c r="E1798" i="3"/>
  <c r="G1798" i="3"/>
  <c r="H1798" i="3"/>
  <c r="AU1798" i="3" s="1"/>
  <c r="I1798" i="3" s="1"/>
  <c r="B1799" i="3"/>
  <c r="BA1799" i="3" s="1"/>
  <c r="C1799" i="3"/>
  <c r="D1799" i="3" s="1"/>
  <c r="E1799" i="3"/>
  <c r="G1799" i="3"/>
  <c r="H1799" i="3"/>
  <c r="AU1799" i="3" s="1"/>
  <c r="I1799" i="3" s="1"/>
  <c r="B1800" i="3"/>
  <c r="BA1800" i="3" s="1"/>
  <c r="C1800" i="3"/>
  <c r="D1800" i="3" s="1"/>
  <c r="E1800" i="3"/>
  <c r="G1800" i="3"/>
  <c r="H1800" i="3"/>
  <c r="AU1800" i="3" s="1"/>
  <c r="I1800" i="3" s="1"/>
  <c r="B1801" i="3"/>
  <c r="BA1801" i="3" s="1"/>
  <c r="C1801" i="3"/>
  <c r="D1801" i="3" s="1"/>
  <c r="E1801" i="3"/>
  <c r="G1801" i="3"/>
  <c r="H1801" i="3"/>
  <c r="AU1801" i="3" s="1"/>
  <c r="I1801" i="3" s="1"/>
  <c r="B1802" i="3"/>
  <c r="BA1802" i="3" s="1"/>
  <c r="C1802" i="3"/>
  <c r="D1802" i="3" s="1"/>
  <c r="E1802" i="3"/>
  <c r="G1802" i="3"/>
  <c r="H1802" i="3"/>
  <c r="AU1802" i="3" s="1"/>
  <c r="I1802" i="3" s="1"/>
  <c r="B1803" i="3"/>
  <c r="BA1803" i="3" s="1"/>
  <c r="C1803" i="3"/>
  <c r="D1803" i="3" s="1"/>
  <c r="E1803" i="3"/>
  <c r="G1803" i="3"/>
  <c r="H1803" i="3"/>
  <c r="AU1803" i="3" s="1"/>
  <c r="I1803" i="3" s="1"/>
  <c r="B1804" i="3"/>
  <c r="BA1804" i="3" s="1"/>
  <c r="C1804" i="3"/>
  <c r="D1804" i="3" s="1"/>
  <c r="E1804" i="3"/>
  <c r="G1804" i="3"/>
  <c r="H1804" i="3"/>
  <c r="AU1804" i="3" s="1"/>
  <c r="I1804" i="3" s="1"/>
  <c r="B1805" i="3"/>
  <c r="BA1805" i="3" s="1"/>
  <c r="C1805" i="3"/>
  <c r="D1805" i="3" s="1"/>
  <c r="E1805" i="3"/>
  <c r="G1805" i="3"/>
  <c r="H1805" i="3"/>
  <c r="AU1805" i="3" s="1"/>
  <c r="I1805" i="3" s="1"/>
  <c r="B1806" i="3"/>
  <c r="BA1806" i="3" s="1"/>
  <c r="C1806" i="3"/>
  <c r="D1806" i="3" s="1"/>
  <c r="E1806" i="3"/>
  <c r="G1806" i="3"/>
  <c r="H1806" i="3"/>
  <c r="AU1806" i="3" s="1"/>
  <c r="I1806" i="3" s="1"/>
  <c r="B1807" i="3"/>
  <c r="BA1807" i="3" s="1"/>
  <c r="C1807" i="3"/>
  <c r="D1807" i="3" s="1"/>
  <c r="E1807" i="3"/>
  <c r="G1807" i="3"/>
  <c r="H1807" i="3"/>
  <c r="AU1807" i="3" s="1"/>
  <c r="I1807" i="3" s="1"/>
  <c r="B1808" i="3"/>
  <c r="BA1808" i="3" s="1"/>
  <c r="C1808" i="3"/>
  <c r="D1808" i="3" s="1"/>
  <c r="E1808" i="3"/>
  <c r="G1808" i="3"/>
  <c r="H1808" i="3"/>
  <c r="AU1808" i="3" s="1"/>
  <c r="I1808" i="3" s="1"/>
  <c r="B1809" i="3"/>
  <c r="BA1809" i="3" s="1"/>
  <c r="C1809" i="3"/>
  <c r="D1809" i="3" s="1"/>
  <c r="E1809" i="3"/>
  <c r="G1809" i="3"/>
  <c r="H1809" i="3"/>
  <c r="AU1809" i="3" s="1"/>
  <c r="I1809" i="3" s="1"/>
  <c r="B1810" i="3"/>
  <c r="BA1810" i="3" s="1"/>
  <c r="C1810" i="3"/>
  <c r="D1810" i="3" s="1"/>
  <c r="E1810" i="3"/>
  <c r="G1810" i="3"/>
  <c r="H1810" i="3"/>
  <c r="AU1810" i="3" s="1"/>
  <c r="I1810" i="3" s="1"/>
  <c r="B1811" i="3"/>
  <c r="BA1811" i="3" s="1"/>
  <c r="C1811" i="3"/>
  <c r="D1811" i="3" s="1"/>
  <c r="E1811" i="3"/>
  <c r="G1811" i="3"/>
  <c r="H1811" i="3"/>
  <c r="AU1811" i="3" s="1"/>
  <c r="I1811" i="3" s="1"/>
  <c r="B1812" i="3"/>
  <c r="BA1812" i="3" s="1"/>
  <c r="C1812" i="3"/>
  <c r="D1812" i="3" s="1"/>
  <c r="E1812" i="3"/>
  <c r="G1812" i="3"/>
  <c r="H1812" i="3"/>
  <c r="AU1812" i="3" s="1"/>
  <c r="I1812" i="3" s="1"/>
  <c r="B1813" i="3"/>
  <c r="BA1813" i="3" s="1"/>
  <c r="C1813" i="3"/>
  <c r="D1813" i="3" s="1"/>
  <c r="E1813" i="3"/>
  <c r="G1813" i="3"/>
  <c r="H1813" i="3"/>
  <c r="AU1813" i="3" s="1"/>
  <c r="I1813" i="3" s="1"/>
  <c r="B1814" i="3"/>
  <c r="BA1814" i="3" s="1"/>
  <c r="C1814" i="3"/>
  <c r="D1814" i="3" s="1"/>
  <c r="E1814" i="3"/>
  <c r="G1814" i="3"/>
  <c r="H1814" i="3"/>
  <c r="AU1814" i="3" s="1"/>
  <c r="I1814" i="3" s="1"/>
  <c r="B1815" i="3"/>
  <c r="BA1815" i="3" s="1"/>
  <c r="C1815" i="3"/>
  <c r="D1815" i="3" s="1"/>
  <c r="E1815" i="3"/>
  <c r="G1815" i="3"/>
  <c r="H1815" i="3"/>
  <c r="AU1815" i="3" s="1"/>
  <c r="I1815" i="3" s="1"/>
  <c r="B1816" i="3"/>
  <c r="BA1816" i="3" s="1"/>
  <c r="C1816" i="3"/>
  <c r="D1816" i="3" s="1"/>
  <c r="E1816" i="3"/>
  <c r="G1816" i="3"/>
  <c r="H1816" i="3"/>
  <c r="AU1816" i="3" s="1"/>
  <c r="I1816" i="3" s="1"/>
  <c r="B1817" i="3"/>
  <c r="BA1817" i="3" s="1"/>
  <c r="C1817" i="3"/>
  <c r="D1817" i="3" s="1"/>
  <c r="E1817" i="3"/>
  <c r="G1817" i="3"/>
  <c r="H1817" i="3"/>
  <c r="AU1817" i="3" s="1"/>
  <c r="I1817" i="3" s="1"/>
  <c r="B1818" i="3"/>
  <c r="BA1818" i="3" s="1"/>
  <c r="C1818" i="3"/>
  <c r="D1818" i="3" s="1"/>
  <c r="E1818" i="3"/>
  <c r="G1818" i="3"/>
  <c r="H1818" i="3"/>
  <c r="AU1818" i="3" s="1"/>
  <c r="I1818" i="3" s="1"/>
  <c r="B1819" i="3"/>
  <c r="BA1819" i="3" s="1"/>
  <c r="C1819" i="3"/>
  <c r="D1819" i="3" s="1"/>
  <c r="E1819" i="3"/>
  <c r="G1819" i="3"/>
  <c r="H1819" i="3"/>
  <c r="AU1819" i="3" s="1"/>
  <c r="I1819" i="3" s="1"/>
  <c r="B1820" i="3"/>
  <c r="BA1820" i="3" s="1"/>
  <c r="C1820" i="3"/>
  <c r="D1820" i="3" s="1"/>
  <c r="E1820" i="3"/>
  <c r="G1820" i="3"/>
  <c r="H1820" i="3"/>
  <c r="AU1820" i="3" s="1"/>
  <c r="I1820" i="3" s="1"/>
  <c r="B1821" i="3"/>
  <c r="BA1821" i="3" s="1"/>
  <c r="C1821" i="3"/>
  <c r="D1821" i="3" s="1"/>
  <c r="E1821" i="3"/>
  <c r="G1821" i="3"/>
  <c r="H1821" i="3"/>
  <c r="AU1821" i="3" s="1"/>
  <c r="I1821" i="3" s="1"/>
  <c r="B1822" i="3"/>
  <c r="BA1822" i="3" s="1"/>
  <c r="C1822" i="3"/>
  <c r="D1822" i="3" s="1"/>
  <c r="E1822" i="3"/>
  <c r="G1822" i="3"/>
  <c r="H1822" i="3"/>
  <c r="AU1822" i="3" s="1"/>
  <c r="I1822" i="3" s="1"/>
  <c r="B1823" i="3"/>
  <c r="BA1823" i="3" s="1"/>
  <c r="C1823" i="3"/>
  <c r="D1823" i="3" s="1"/>
  <c r="E1823" i="3"/>
  <c r="G1823" i="3"/>
  <c r="H1823" i="3"/>
  <c r="AU1823" i="3" s="1"/>
  <c r="I1823" i="3" s="1"/>
  <c r="B1824" i="3"/>
  <c r="BA1824" i="3" s="1"/>
  <c r="C1824" i="3"/>
  <c r="D1824" i="3" s="1"/>
  <c r="E1824" i="3"/>
  <c r="G1824" i="3"/>
  <c r="H1824" i="3"/>
  <c r="AU1824" i="3" s="1"/>
  <c r="I1824" i="3" s="1"/>
  <c r="B1825" i="3"/>
  <c r="BA1825" i="3" s="1"/>
  <c r="C1825" i="3"/>
  <c r="D1825" i="3" s="1"/>
  <c r="E1825" i="3"/>
  <c r="G1825" i="3"/>
  <c r="H1825" i="3"/>
  <c r="AU1825" i="3" s="1"/>
  <c r="I1825" i="3" s="1"/>
  <c r="B1826" i="3"/>
  <c r="BA1826" i="3" s="1"/>
  <c r="C1826" i="3"/>
  <c r="D1826" i="3" s="1"/>
  <c r="E1826" i="3"/>
  <c r="G1826" i="3"/>
  <c r="H1826" i="3"/>
  <c r="AU1826" i="3" s="1"/>
  <c r="I1826" i="3" s="1"/>
  <c r="B1827" i="3"/>
  <c r="BA1827" i="3" s="1"/>
  <c r="C1827" i="3"/>
  <c r="D1827" i="3" s="1"/>
  <c r="E1827" i="3"/>
  <c r="G1827" i="3"/>
  <c r="H1827" i="3"/>
  <c r="AU1827" i="3" s="1"/>
  <c r="I1827" i="3" s="1"/>
  <c r="B1828" i="3"/>
  <c r="BA1828" i="3" s="1"/>
  <c r="C1828" i="3"/>
  <c r="D1828" i="3" s="1"/>
  <c r="E1828" i="3"/>
  <c r="G1828" i="3"/>
  <c r="H1828" i="3"/>
  <c r="AU1828" i="3" s="1"/>
  <c r="I1828" i="3" s="1"/>
  <c r="B1829" i="3"/>
  <c r="BA1829" i="3" s="1"/>
  <c r="C1829" i="3"/>
  <c r="D1829" i="3" s="1"/>
  <c r="E1829" i="3"/>
  <c r="G1829" i="3"/>
  <c r="H1829" i="3"/>
  <c r="AU1829" i="3" s="1"/>
  <c r="I1829" i="3" s="1"/>
  <c r="B1830" i="3"/>
  <c r="BA1830" i="3" s="1"/>
  <c r="C1830" i="3"/>
  <c r="D1830" i="3" s="1"/>
  <c r="E1830" i="3"/>
  <c r="G1830" i="3"/>
  <c r="H1830" i="3"/>
  <c r="AU1830" i="3" s="1"/>
  <c r="I1830" i="3" s="1"/>
  <c r="B1831" i="3"/>
  <c r="BA1831" i="3" s="1"/>
  <c r="C1831" i="3"/>
  <c r="D1831" i="3" s="1"/>
  <c r="E1831" i="3"/>
  <c r="G1831" i="3"/>
  <c r="H1831" i="3"/>
  <c r="AU1831" i="3" s="1"/>
  <c r="I1831" i="3" s="1"/>
  <c r="B1832" i="3"/>
  <c r="BA1832" i="3" s="1"/>
  <c r="C1832" i="3"/>
  <c r="D1832" i="3" s="1"/>
  <c r="E1832" i="3"/>
  <c r="G1832" i="3"/>
  <c r="H1832" i="3"/>
  <c r="AU1832" i="3" s="1"/>
  <c r="I1832" i="3" s="1"/>
  <c r="B1833" i="3"/>
  <c r="BA1833" i="3" s="1"/>
  <c r="C1833" i="3"/>
  <c r="D1833" i="3" s="1"/>
  <c r="E1833" i="3"/>
  <c r="G1833" i="3"/>
  <c r="H1833" i="3"/>
  <c r="AU1833" i="3" s="1"/>
  <c r="I1833" i="3" s="1"/>
  <c r="B1834" i="3"/>
  <c r="BA1834" i="3" s="1"/>
  <c r="C1834" i="3"/>
  <c r="D1834" i="3" s="1"/>
  <c r="E1834" i="3"/>
  <c r="G1834" i="3"/>
  <c r="H1834" i="3"/>
  <c r="AU1834" i="3" s="1"/>
  <c r="I1834" i="3" s="1"/>
  <c r="B1835" i="3"/>
  <c r="BA1835" i="3" s="1"/>
  <c r="C1835" i="3"/>
  <c r="D1835" i="3" s="1"/>
  <c r="E1835" i="3"/>
  <c r="G1835" i="3"/>
  <c r="H1835" i="3"/>
  <c r="AU1835" i="3" s="1"/>
  <c r="I1835" i="3" s="1"/>
  <c r="B1836" i="3"/>
  <c r="BA1836" i="3" s="1"/>
  <c r="C1836" i="3"/>
  <c r="D1836" i="3" s="1"/>
  <c r="E1836" i="3"/>
  <c r="G1836" i="3"/>
  <c r="H1836" i="3"/>
  <c r="AU1836" i="3" s="1"/>
  <c r="I1836" i="3" s="1"/>
  <c r="B1837" i="3"/>
  <c r="BA1837" i="3" s="1"/>
  <c r="C1837" i="3"/>
  <c r="D1837" i="3" s="1"/>
  <c r="E1837" i="3"/>
  <c r="G1837" i="3"/>
  <c r="H1837" i="3"/>
  <c r="AU1837" i="3" s="1"/>
  <c r="I1837" i="3" s="1"/>
  <c r="B1838" i="3"/>
  <c r="BA1838" i="3" s="1"/>
  <c r="C1838" i="3"/>
  <c r="D1838" i="3" s="1"/>
  <c r="E1838" i="3"/>
  <c r="G1838" i="3"/>
  <c r="H1838" i="3"/>
  <c r="AU1838" i="3" s="1"/>
  <c r="I1838" i="3" s="1"/>
  <c r="B1839" i="3"/>
  <c r="BA1839" i="3" s="1"/>
  <c r="C1839" i="3"/>
  <c r="D1839" i="3" s="1"/>
  <c r="E1839" i="3"/>
  <c r="G1839" i="3"/>
  <c r="H1839" i="3"/>
  <c r="AU1839" i="3" s="1"/>
  <c r="I1839" i="3" s="1"/>
  <c r="B1840" i="3"/>
  <c r="BA1840" i="3" s="1"/>
  <c r="C1840" i="3"/>
  <c r="D1840" i="3" s="1"/>
  <c r="E1840" i="3"/>
  <c r="G1840" i="3"/>
  <c r="H1840" i="3"/>
  <c r="AU1840" i="3" s="1"/>
  <c r="I1840" i="3" s="1"/>
  <c r="B1841" i="3"/>
  <c r="BA1841" i="3" s="1"/>
  <c r="C1841" i="3"/>
  <c r="D1841" i="3" s="1"/>
  <c r="E1841" i="3"/>
  <c r="G1841" i="3"/>
  <c r="H1841" i="3"/>
  <c r="AU1841" i="3" s="1"/>
  <c r="I1841" i="3" s="1"/>
  <c r="B1842" i="3"/>
  <c r="BA1842" i="3" s="1"/>
  <c r="C1842" i="3"/>
  <c r="D1842" i="3" s="1"/>
  <c r="E1842" i="3"/>
  <c r="G1842" i="3"/>
  <c r="H1842" i="3"/>
  <c r="AU1842" i="3" s="1"/>
  <c r="I1842" i="3" s="1"/>
  <c r="B1843" i="3"/>
  <c r="BA1843" i="3" s="1"/>
  <c r="C1843" i="3"/>
  <c r="D1843" i="3" s="1"/>
  <c r="E1843" i="3"/>
  <c r="G1843" i="3"/>
  <c r="H1843" i="3"/>
  <c r="AU1843" i="3" s="1"/>
  <c r="I1843" i="3" s="1"/>
  <c r="B1844" i="3"/>
  <c r="BA1844" i="3" s="1"/>
  <c r="C1844" i="3"/>
  <c r="D1844" i="3" s="1"/>
  <c r="E1844" i="3"/>
  <c r="G1844" i="3"/>
  <c r="H1844" i="3"/>
  <c r="AU1844" i="3" s="1"/>
  <c r="I1844" i="3" s="1"/>
  <c r="B1845" i="3"/>
  <c r="BA1845" i="3" s="1"/>
  <c r="C1845" i="3"/>
  <c r="D1845" i="3" s="1"/>
  <c r="E1845" i="3"/>
  <c r="G1845" i="3"/>
  <c r="H1845" i="3"/>
  <c r="AU1845" i="3" s="1"/>
  <c r="I1845" i="3" s="1"/>
  <c r="B1846" i="3"/>
  <c r="BA1846" i="3" s="1"/>
  <c r="C1846" i="3"/>
  <c r="D1846" i="3" s="1"/>
  <c r="E1846" i="3"/>
  <c r="G1846" i="3"/>
  <c r="H1846" i="3"/>
  <c r="AU1846" i="3" s="1"/>
  <c r="I1846" i="3" s="1"/>
  <c r="B1847" i="3"/>
  <c r="BA1847" i="3" s="1"/>
  <c r="C1847" i="3"/>
  <c r="D1847" i="3" s="1"/>
  <c r="E1847" i="3"/>
  <c r="G1847" i="3"/>
  <c r="H1847" i="3"/>
  <c r="AU1847" i="3" s="1"/>
  <c r="I1847" i="3" s="1"/>
  <c r="B1848" i="3"/>
  <c r="BA1848" i="3" s="1"/>
  <c r="C1848" i="3"/>
  <c r="D1848" i="3" s="1"/>
  <c r="E1848" i="3"/>
  <c r="G1848" i="3"/>
  <c r="H1848" i="3"/>
  <c r="AU1848" i="3" s="1"/>
  <c r="I1848" i="3" s="1"/>
  <c r="B1849" i="3"/>
  <c r="BA1849" i="3" s="1"/>
  <c r="C1849" i="3"/>
  <c r="D1849" i="3" s="1"/>
  <c r="E1849" i="3"/>
  <c r="G1849" i="3"/>
  <c r="H1849" i="3"/>
  <c r="AU1849" i="3" s="1"/>
  <c r="I1849" i="3" s="1"/>
  <c r="B1850" i="3"/>
  <c r="BA1850" i="3" s="1"/>
  <c r="C1850" i="3"/>
  <c r="D1850" i="3" s="1"/>
  <c r="E1850" i="3"/>
  <c r="G1850" i="3"/>
  <c r="H1850" i="3"/>
  <c r="AU1850" i="3" s="1"/>
  <c r="I1850" i="3" s="1"/>
  <c r="B1851" i="3"/>
  <c r="BA1851" i="3" s="1"/>
  <c r="C1851" i="3"/>
  <c r="D1851" i="3" s="1"/>
  <c r="E1851" i="3"/>
  <c r="G1851" i="3"/>
  <c r="H1851" i="3"/>
  <c r="AU1851" i="3" s="1"/>
  <c r="I1851" i="3" s="1"/>
  <c r="B1852" i="3"/>
  <c r="BA1852" i="3" s="1"/>
  <c r="C1852" i="3"/>
  <c r="D1852" i="3" s="1"/>
  <c r="E1852" i="3"/>
  <c r="G1852" i="3"/>
  <c r="H1852" i="3"/>
  <c r="AU1852" i="3" s="1"/>
  <c r="I1852" i="3" s="1"/>
  <c r="B1853" i="3"/>
  <c r="BA1853" i="3" s="1"/>
  <c r="C1853" i="3"/>
  <c r="D1853" i="3" s="1"/>
  <c r="E1853" i="3"/>
  <c r="G1853" i="3"/>
  <c r="H1853" i="3"/>
  <c r="AU1853" i="3" s="1"/>
  <c r="I1853" i="3" s="1"/>
  <c r="B1854" i="3"/>
  <c r="BA1854" i="3" s="1"/>
  <c r="C1854" i="3"/>
  <c r="D1854" i="3" s="1"/>
  <c r="E1854" i="3"/>
  <c r="G1854" i="3"/>
  <c r="H1854" i="3"/>
  <c r="AU1854" i="3" s="1"/>
  <c r="I1854" i="3" s="1"/>
  <c r="B1855" i="3"/>
  <c r="BA1855" i="3" s="1"/>
  <c r="C1855" i="3"/>
  <c r="D1855" i="3" s="1"/>
  <c r="E1855" i="3"/>
  <c r="G1855" i="3"/>
  <c r="H1855" i="3"/>
  <c r="AU1855" i="3" s="1"/>
  <c r="I1855" i="3" s="1"/>
  <c r="B1856" i="3"/>
  <c r="BA1856" i="3" s="1"/>
  <c r="C1856" i="3"/>
  <c r="D1856" i="3" s="1"/>
  <c r="E1856" i="3"/>
  <c r="G1856" i="3"/>
  <c r="H1856" i="3"/>
  <c r="AU1856" i="3" s="1"/>
  <c r="I1856" i="3" s="1"/>
  <c r="B1857" i="3"/>
  <c r="BA1857" i="3" s="1"/>
  <c r="C1857" i="3"/>
  <c r="D1857" i="3" s="1"/>
  <c r="E1857" i="3"/>
  <c r="G1857" i="3"/>
  <c r="H1857" i="3"/>
  <c r="AU1857" i="3" s="1"/>
  <c r="I1857" i="3" s="1"/>
  <c r="B1858" i="3"/>
  <c r="BA1858" i="3" s="1"/>
  <c r="C1858" i="3"/>
  <c r="D1858" i="3" s="1"/>
  <c r="E1858" i="3"/>
  <c r="G1858" i="3"/>
  <c r="H1858" i="3"/>
  <c r="AU1858" i="3" s="1"/>
  <c r="I1858" i="3" s="1"/>
  <c r="B1859" i="3"/>
  <c r="BA1859" i="3" s="1"/>
  <c r="C1859" i="3"/>
  <c r="D1859" i="3" s="1"/>
  <c r="E1859" i="3"/>
  <c r="G1859" i="3"/>
  <c r="H1859" i="3"/>
  <c r="AU1859" i="3" s="1"/>
  <c r="I1859" i="3" s="1"/>
  <c r="B1860" i="3"/>
  <c r="BA1860" i="3" s="1"/>
  <c r="C1860" i="3"/>
  <c r="D1860" i="3" s="1"/>
  <c r="E1860" i="3"/>
  <c r="G1860" i="3"/>
  <c r="H1860" i="3"/>
  <c r="AU1860" i="3" s="1"/>
  <c r="I1860" i="3" s="1"/>
  <c r="B1861" i="3"/>
  <c r="BA1861" i="3" s="1"/>
  <c r="C1861" i="3"/>
  <c r="D1861" i="3" s="1"/>
  <c r="E1861" i="3"/>
  <c r="G1861" i="3"/>
  <c r="H1861" i="3"/>
  <c r="AU1861" i="3" s="1"/>
  <c r="I1861" i="3" s="1"/>
  <c r="B1862" i="3"/>
  <c r="BA1862" i="3" s="1"/>
  <c r="C1862" i="3"/>
  <c r="D1862" i="3" s="1"/>
  <c r="E1862" i="3"/>
  <c r="G1862" i="3"/>
  <c r="H1862" i="3"/>
  <c r="AU1862" i="3" s="1"/>
  <c r="I1862" i="3" s="1"/>
  <c r="B1863" i="3"/>
  <c r="BA1863" i="3" s="1"/>
  <c r="C1863" i="3"/>
  <c r="D1863" i="3" s="1"/>
  <c r="E1863" i="3"/>
  <c r="G1863" i="3"/>
  <c r="H1863" i="3"/>
  <c r="AU1863" i="3" s="1"/>
  <c r="I1863" i="3" s="1"/>
  <c r="B1864" i="3"/>
  <c r="BA1864" i="3" s="1"/>
  <c r="C1864" i="3"/>
  <c r="D1864" i="3" s="1"/>
  <c r="E1864" i="3"/>
  <c r="G1864" i="3"/>
  <c r="H1864" i="3"/>
  <c r="AU1864" i="3" s="1"/>
  <c r="I1864" i="3" s="1"/>
  <c r="B1865" i="3"/>
  <c r="BA1865" i="3" s="1"/>
  <c r="C1865" i="3"/>
  <c r="D1865" i="3" s="1"/>
  <c r="E1865" i="3"/>
  <c r="G1865" i="3"/>
  <c r="H1865" i="3"/>
  <c r="AU1865" i="3" s="1"/>
  <c r="I1865" i="3" s="1"/>
  <c r="B1866" i="3"/>
  <c r="BA1866" i="3" s="1"/>
  <c r="C1866" i="3"/>
  <c r="D1866" i="3" s="1"/>
  <c r="E1866" i="3"/>
  <c r="G1866" i="3"/>
  <c r="H1866" i="3"/>
  <c r="AU1866" i="3" s="1"/>
  <c r="I1866" i="3" s="1"/>
  <c r="B1867" i="3"/>
  <c r="BA1867" i="3" s="1"/>
  <c r="C1867" i="3"/>
  <c r="D1867" i="3" s="1"/>
  <c r="E1867" i="3"/>
  <c r="G1867" i="3"/>
  <c r="H1867" i="3"/>
  <c r="AU1867" i="3" s="1"/>
  <c r="I1867" i="3" s="1"/>
  <c r="B1868" i="3"/>
  <c r="BA1868" i="3" s="1"/>
  <c r="C1868" i="3"/>
  <c r="D1868" i="3" s="1"/>
  <c r="E1868" i="3"/>
  <c r="G1868" i="3"/>
  <c r="H1868" i="3"/>
  <c r="AU1868" i="3" s="1"/>
  <c r="I1868" i="3" s="1"/>
  <c r="B1869" i="3"/>
  <c r="BA1869" i="3" s="1"/>
  <c r="C1869" i="3"/>
  <c r="D1869" i="3" s="1"/>
  <c r="E1869" i="3"/>
  <c r="G1869" i="3"/>
  <c r="H1869" i="3"/>
  <c r="AU1869" i="3" s="1"/>
  <c r="I1869" i="3" s="1"/>
  <c r="B1870" i="3"/>
  <c r="BA1870" i="3" s="1"/>
  <c r="C1870" i="3"/>
  <c r="D1870" i="3" s="1"/>
  <c r="E1870" i="3"/>
  <c r="G1870" i="3"/>
  <c r="H1870" i="3"/>
  <c r="AU1870" i="3" s="1"/>
  <c r="I1870" i="3" s="1"/>
  <c r="B1871" i="3"/>
  <c r="BA1871" i="3" s="1"/>
  <c r="C1871" i="3"/>
  <c r="D1871" i="3" s="1"/>
  <c r="E1871" i="3"/>
  <c r="G1871" i="3"/>
  <c r="H1871" i="3"/>
  <c r="AU1871" i="3" s="1"/>
  <c r="I1871" i="3" s="1"/>
  <c r="B1872" i="3"/>
  <c r="BA1872" i="3" s="1"/>
  <c r="C1872" i="3"/>
  <c r="D1872" i="3" s="1"/>
  <c r="E1872" i="3"/>
  <c r="G1872" i="3"/>
  <c r="H1872" i="3"/>
  <c r="AU1872" i="3" s="1"/>
  <c r="I1872" i="3" s="1"/>
  <c r="B1873" i="3"/>
  <c r="BA1873" i="3" s="1"/>
  <c r="C1873" i="3"/>
  <c r="D1873" i="3" s="1"/>
  <c r="E1873" i="3"/>
  <c r="G1873" i="3"/>
  <c r="H1873" i="3"/>
  <c r="AU1873" i="3" s="1"/>
  <c r="I1873" i="3" s="1"/>
  <c r="B1874" i="3"/>
  <c r="BA1874" i="3" s="1"/>
  <c r="C1874" i="3"/>
  <c r="D1874" i="3" s="1"/>
  <c r="E1874" i="3"/>
  <c r="G1874" i="3"/>
  <c r="H1874" i="3"/>
  <c r="AU1874" i="3" s="1"/>
  <c r="I1874" i="3" s="1"/>
  <c r="B1875" i="3"/>
  <c r="BA1875" i="3" s="1"/>
  <c r="C1875" i="3"/>
  <c r="D1875" i="3" s="1"/>
  <c r="E1875" i="3"/>
  <c r="G1875" i="3"/>
  <c r="H1875" i="3"/>
  <c r="AU1875" i="3" s="1"/>
  <c r="I1875" i="3" s="1"/>
  <c r="B1876" i="3"/>
  <c r="BA1876" i="3" s="1"/>
  <c r="C1876" i="3"/>
  <c r="D1876" i="3" s="1"/>
  <c r="E1876" i="3"/>
  <c r="G1876" i="3"/>
  <c r="H1876" i="3"/>
  <c r="AU1876" i="3" s="1"/>
  <c r="I1876" i="3" s="1"/>
  <c r="B1877" i="3"/>
  <c r="BA1877" i="3" s="1"/>
  <c r="C1877" i="3"/>
  <c r="D1877" i="3" s="1"/>
  <c r="E1877" i="3"/>
  <c r="G1877" i="3"/>
  <c r="H1877" i="3"/>
  <c r="AU1877" i="3" s="1"/>
  <c r="I1877" i="3" s="1"/>
  <c r="B1878" i="3"/>
  <c r="BA1878" i="3" s="1"/>
  <c r="C1878" i="3"/>
  <c r="D1878" i="3" s="1"/>
  <c r="E1878" i="3"/>
  <c r="G1878" i="3"/>
  <c r="H1878" i="3"/>
  <c r="AU1878" i="3" s="1"/>
  <c r="I1878" i="3" s="1"/>
  <c r="B1879" i="3"/>
  <c r="BA1879" i="3" s="1"/>
  <c r="C1879" i="3"/>
  <c r="D1879" i="3" s="1"/>
  <c r="E1879" i="3"/>
  <c r="G1879" i="3"/>
  <c r="H1879" i="3"/>
  <c r="AU1879" i="3" s="1"/>
  <c r="I1879" i="3" s="1"/>
  <c r="B1880" i="3"/>
  <c r="BA1880" i="3" s="1"/>
  <c r="C1880" i="3"/>
  <c r="D1880" i="3" s="1"/>
  <c r="E1880" i="3"/>
  <c r="G1880" i="3"/>
  <c r="H1880" i="3"/>
  <c r="AU1880" i="3" s="1"/>
  <c r="I1880" i="3" s="1"/>
  <c r="B1881" i="3"/>
  <c r="BA1881" i="3" s="1"/>
  <c r="C1881" i="3"/>
  <c r="D1881" i="3" s="1"/>
  <c r="E1881" i="3"/>
  <c r="G1881" i="3"/>
  <c r="H1881" i="3"/>
  <c r="AU1881" i="3" s="1"/>
  <c r="I1881" i="3" s="1"/>
  <c r="B1882" i="3"/>
  <c r="BA1882" i="3" s="1"/>
  <c r="C1882" i="3"/>
  <c r="D1882" i="3" s="1"/>
  <c r="E1882" i="3"/>
  <c r="G1882" i="3"/>
  <c r="H1882" i="3"/>
  <c r="AU1882" i="3" s="1"/>
  <c r="I1882" i="3" s="1"/>
  <c r="B1883" i="3"/>
  <c r="BA1883" i="3" s="1"/>
  <c r="C1883" i="3"/>
  <c r="D1883" i="3" s="1"/>
  <c r="E1883" i="3"/>
  <c r="G1883" i="3"/>
  <c r="H1883" i="3"/>
  <c r="AU1883" i="3" s="1"/>
  <c r="I1883" i="3" s="1"/>
  <c r="B1884" i="3"/>
  <c r="BA1884" i="3" s="1"/>
  <c r="C1884" i="3"/>
  <c r="D1884" i="3" s="1"/>
  <c r="E1884" i="3"/>
  <c r="G1884" i="3"/>
  <c r="H1884" i="3"/>
  <c r="AU1884" i="3" s="1"/>
  <c r="I1884" i="3" s="1"/>
  <c r="B1885" i="3"/>
  <c r="BA1885" i="3" s="1"/>
  <c r="C1885" i="3"/>
  <c r="D1885" i="3" s="1"/>
  <c r="E1885" i="3"/>
  <c r="G1885" i="3"/>
  <c r="H1885" i="3"/>
  <c r="AU1885" i="3" s="1"/>
  <c r="I1885" i="3" s="1"/>
  <c r="B1886" i="3"/>
  <c r="BA1886" i="3" s="1"/>
  <c r="C1886" i="3"/>
  <c r="D1886" i="3" s="1"/>
  <c r="E1886" i="3"/>
  <c r="G1886" i="3"/>
  <c r="H1886" i="3"/>
  <c r="AU1886" i="3" s="1"/>
  <c r="I1886" i="3" s="1"/>
  <c r="B1887" i="3"/>
  <c r="BA1887" i="3" s="1"/>
  <c r="C1887" i="3"/>
  <c r="D1887" i="3" s="1"/>
  <c r="E1887" i="3"/>
  <c r="G1887" i="3"/>
  <c r="H1887" i="3"/>
  <c r="AU1887" i="3" s="1"/>
  <c r="I1887" i="3" s="1"/>
  <c r="B1888" i="3"/>
  <c r="BA1888" i="3" s="1"/>
  <c r="C1888" i="3"/>
  <c r="D1888" i="3" s="1"/>
  <c r="E1888" i="3"/>
  <c r="G1888" i="3"/>
  <c r="H1888" i="3"/>
  <c r="AU1888" i="3" s="1"/>
  <c r="I1888" i="3" s="1"/>
  <c r="B1889" i="3"/>
  <c r="BA1889" i="3" s="1"/>
  <c r="C1889" i="3"/>
  <c r="D1889" i="3" s="1"/>
  <c r="E1889" i="3"/>
  <c r="G1889" i="3"/>
  <c r="H1889" i="3"/>
  <c r="AU1889" i="3" s="1"/>
  <c r="I1889" i="3" s="1"/>
  <c r="B1890" i="3"/>
  <c r="BA1890" i="3" s="1"/>
  <c r="C1890" i="3"/>
  <c r="D1890" i="3" s="1"/>
  <c r="E1890" i="3"/>
  <c r="G1890" i="3"/>
  <c r="H1890" i="3"/>
  <c r="AU1890" i="3" s="1"/>
  <c r="I1890" i="3" s="1"/>
  <c r="B1891" i="3"/>
  <c r="BA1891" i="3" s="1"/>
  <c r="C1891" i="3"/>
  <c r="D1891" i="3" s="1"/>
  <c r="E1891" i="3"/>
  <c r="G1891" i="3"/>
  <c r="H1891" i="3"/>
  <c r="AU1891" i="3" s="1"/>
  <c r="I1891" i="3" s="1"/>
  <c r="B1892" i="3"/>
  <c r="BA1892" i="3" s="1"/>
  <c r="C1892" i="3"/>
  <c r="D1892" i="3" s="1"/>
  <c r="E1892" i="3"/>
  <c r="G1892" i="3"/>
  <c r="H1892" i="3"/>
  <c r="AU1892" i="3" s="1"/>
  <c r="I1892" i="3" s="1"/>
  <c r="B1893" i="3"/>
  <c r="BA1893" i="3" s="1"/>
  <c r="C1893" i="3"/>
  <c r="D1893" i="3" s="1"/>
  <c r="E1893" i="3"/>
  <c r="G1893" i="3"/>
  <c r="H1893" i="3"/>
  <c r="AU1893" i="3" s="1"/>
  <c r="I1893" i="3" s="1"/>
  <c r="B1894" i="3"/>
  <c r="BA1894" i="3" s="1"/>
  <c r="C1894" i="3"/>
  <c r="D1894" i="3" s="1"/>
  <c r="E1894" i="3"/>
  <c r="G1894" i="3"/>
  <c r="H1894" i="3"/>
  <c r="AU1894" i="3" s="1"/>
  <c r="I1894" i="3" s="1"/>
  <c r="B1895" i="3"/>
  <c r="BA1895" i="3" s="1"/>
  <c r="C1895" i="3"/>
  <c r="D1895" i="3" s="1"/>
  <c r="E1895" i="3"/>
  <c r="G1895" i="3"/>
  <c r="H1895" i="3"/>
  <c r="AU1895" i="3" s="1"/>
  <c r="I1895" i="3" s="1"/>
  <c r="B1896" i="3"/>
  <c r="BA1896" i="3" s="1"/>
  <c r="C1896" i="3"/>
  <c r="D1896" i="3" s="1"/>
  <c r="E1896" i="3"/>
  <c r="G1896" i="3"/>
  <c r="H1896" i="3"/>
  <c r="AU1896" i="3" s="1"/>
  <c r="I1896" i="3" s="1"/>
  <c r="B1897" i="3"/>
  <c r="BA1897" i="3" s="1"/>
  <c r="C1897" i="3"/>
  <c r="D1897" i="3" s="1"/>
  <c r="E1897" i="3"/>
  <c r="G1897" i="3"/>
  <c r="H1897" i="3"/>
  <c r="AU1897" i="3" s="1"/>
  <c r="I1897" i="3" s="1"/>
  <c r="B1898" i="3"/>
  <c r="BA1898" i="3" s="1"/>
  <c r="C1898" i="3"/>
  <c r="D1898" i="3" s="1"/>
  <c r="E1898" i="3"/>
  <c r="G1898" i="3"/>
  <c r="H1898" i="3"/>
  <c r="AU1898" i="3" s="1"/>
  <c r="I1898" i="3" s="1"/>
  <c r="B1899" i="3"/>
  <c r="BA1899" i="3" s="1"/>
  <c r="C1899" i="3"/>
  <c r="D1899" i="3" s="1"/>
  <c r="E1899" i="3"/>
  <c r="G1899" i="3"/>
  <c r="H1899" i="3"/>
  <c r="AU1899" i="3" s="1"/>
  <c r="I1899" i="3" s="1"/>
  <c r="B1900" i="3"/>
  <c r="BA1900" i="3" s="1"/>
  <c r="C1900" i="3"/>
  <c r="D1900" i="3" s="1"/>
  <c r="E1900" i="3"/>
  <c r="G1900" i="3"/>
  <c r="H1900" i="3"/>
  <c r="AU1900" i="3" s="1"/>
  <c r="I1900" i="3" s="1"/>
  <c r="B1901" i="3"/>
  <c r="BA1901" i="3" s="1"/>
  <c r="C1901" i="3"/>
  <c r="D1901" i="3" s="1"/>
  <c r="E1901" i="3"/>
  <c r="G1901" i="3"/>
  <c r="H1901" i="3"/>
  <c r="AU1901" i="3" s="1"/>
  <c r="I1901" i="3" s="1"/>
  <c r="B1902" i="3"/>
  <c r="BA1902" i="3" s="1"/>
  <c r="C1902" i="3"/>
  <c r="D1902" i="3" s="1"/>
  <c r="E1902" i="3"/>
  <c r="G1902" i="3"/>
  <c r="H1902" i="3"/>
  <c r="AU1902" i="3" s="1"/>
  <c r="I1902" i="3" s="1"/>
  <c r="B1903" i="3"/>
  <c r="BA1903" i="3" s="1"/>
  <c r="C1903" i="3"/>
  <c r="D1903" i="3" s="1"/>
  <c r="E1903" i="3"/>
  <c r="G1903" i="3"/>
  <c r="H1903" i="3"/>
  <c r="AU1903" i="3" s="1"/>
  <c r="I1903" i="3" s="1"/>
  <c r="B1904" i="3"/>
  <c r="BA1904" i="3" s="1"/>
  <c r="C1904" i="3"/>
  <c r="D1904" i="3" s="1"/>
  <c r="E1904" i="3"/>
  <c r="G1904" i="3"/>
  <c r="H1904" i="3"/>
  <c r="AU1904" i="3" s="1"/>
  <c r="I1904" i="3" s="1"/>
  <c r="B1905" i="3"/>
  <c r="BA1905" i="3" s="1"/>
  <c r="C1905" i="3"/>
  <c r="D1905" i="3" s="1"/>
  <c r="E1905" i="3"/>
  <c r="G1905" i="3"/>
  <c r="H1905" i="3"/>
  <c r="AU1905" i="3" s="1"/>
  <c r="I1905" i="3" s="1"/>
  <c r="B1906" i="3"/>
  <c r="BA1906" i="3" s="1"/>
  <c r="C1906" i="3"/>
  <c r="D1906" i="3" s="1"/>
  <c r="E1906" i="3"/>
  <c r="G1906" i="3"/>
  <c r="H1906" i="3"/>
  <c r="AU1906" i="3" s="1"/>
  <c r="I1906" i="3" s="1"/>
  <c r="B1907" i="3"/>
  <c r="BA1907" i="3" s="1"/>
  <c r="C1907" i="3"/>
  <c r="D1907" i="3" s="1"/>
  <c r="E1907" i="3"/>
  <c r="G1907" i="3"/>
  <c r="H1907" i="3"/>
  <c r="AU1907" i="3" s="1"/>
  <c r="I1907" i="3" s="1"/>
  <c r="B1908" i="3"/>
  <c r="BA1908" i="3" s="1"/>
  <c r="C1908" i="3"/>
  <c r="D1908" i="3" s="1"/>
  <c r="E1908" i="3"/>
  <c r="G1908" i="3"/>
  <c r="H1908" i="3"/>
  <c r="AU1908" i="3" s="1"/>
  <c r="I1908" i="3" s="1"/>
  <c r="B1909" i="3"/>
  <c r="BA1909" i="3" s="1"/>
  <c r="C1909" i="3"/>
  <c r="D1909" i="3" s="1"/>
  <c r="E1909" i="3"/>
  <c r="G1909" i="3"/>
  <c r="H1909" i="3"/>
  <c r="AU1909" i="3" s="1"/>
  <c r="I1909" i="3" s="1"/>
  <c r="B1910" i="3"/>
  <c r="BA1910" i="3" s="1"/>
  <c r="C1910" i="3"/>
  <c r="D1910" i="3" s="1"/>
  <c r="E1910" i="3"/>
  <c r="G1910" i="3"/>
  <c r="H1910" i="3"/>
  <c r="AU1910" i="3" s="1"/>
  <c r="I1910" i="3" s="1"/>
  <c r="B1911" i="3"/>
  <c r="BA1911" i="3" s="1"/>
  <c r="C1911" i="3"/>
  <c r="D1911" i="3" s="1"/>
  <c r="E1911" i="3"/>
  <c r="G1911" i="3"/>
  <c r="H1911" i="3"/>
  <c r="AU1911" i="3" s="1"/>
  <c r="I1911" i="3" s="1"/>
  <c r="B1912" i="3"/>
  <c r="BA1912" i="3" s="1"/>
  <c r="C1912" i="3"/>
  <c r="D1912" i="3" s="1"/>
  <c r="E1912" i="3"/>
  <c r="G1912" i="3"/>
  <c r="H1912" i="3"/>
  <c r="AU1912" i="3" s="1"/>
  <c r="I1912" i="3" s="1"/>
  <c r="B1913" i="3"/>
  <c r="BA1913" i="3" s="1"/>
  <c r="C1913" i="3"/>
  <c r="D1913" i="3" s="1"/>
  <c r="E1913" i="3"/>
  <c r="G1913" i="3"/>
  <c r="H1913" i="3"/>
  <c r="AU1913" i="3" s="1"/>
  <c r="I1913" i="3" s="1"/>
  <c r="B1914" i="3"/>
  <c r="BA1914" i="3" s="1"/>
  <c r="C1914" i="3"/>
  <c r="D1914" i="3" s="1"/>
  <c r="E1914" i="3"/>
  <c r="G1914" i="3"/>
  <c r="H1914" i="3"/>
  <c r="AU1914" i="3" s="1"/>
  <c r="I1914" i="3" s="1"/>
  <c r="B1915" i="3"/>
  <c r="BA1915" i="3" s="1"/>
  <c r="C1915" i="3"/>
  <c r="D1915" i="3" s="1"/>
  <c r="E1915" i="3"/>
  <c r="G1915" i="3"/>
  <c r="H1915" i="3"/>
  <c r="AU1915" i="3" s="1"/>
  <c r="I1915" i="3" s="1"/>
  <c r="B1916" i="3"/>
  <c r="BA1916" i="3" s="1"/>
  <c r="C1916" i="3"/>
  <c r="D1916" i="3" s="1"/>
  <c r="E1916" i="3"/>
  <c r="G1916" i="3"/>
  <c r="H1916" i="3"/>
  <c r="AU1916" i="3" s="1"/>
  <c r="I1916" i="3" s="1"/>
  <c r="B1917" i="3"/>
  <c r="BA1917" i="3" s="1"/>
  <c r="C1917" i="3"/>
  <c r="D1917" i="3" s="1"/>
  <c r="E1917" i="3"/>
  <c r="G1917" i="3"/>
  <c r="H1917" i="3"/>
  <c r="AU1917" i="3" s="1"/>
  <c r="I1917" i="3" s="1"/>
  <c r="B1918" i="3"/>
  <c r="BA1918" i="3" s="1"/>
  <c r="C1918" i="3"/>
  <c r="D1918" i="3" s="1"/>
  <c r="E1918" i="3"/>
  <c r="G1918" i="3"/>
  <c r="H1918" i="3"/>
  <c r="AU1918" i="3" s="1"/>
  <c r="I1918" i="3" s="1"/>
  <c r="B1919" i="3"/>
  <c r="BA1919" i="3" s="1"/>
  <c r="C1919" i="3"/>
  <c r="D1919" i="3" s="1"/>
  <c r="E1919" i="3"/>
  <c r="G1919" i="3"/>
  <c r="H1919" i="3"/>
  <c r="AU1919" i="3" s="1"/>
  <c r="I1919" i="3" s="1"/>
  <c r="B1920" i="3"/>
  <c r="BA1920" i="3" s="1"/>
  <c r="C1920" i="3"/>
  <c r="D1920" i="3" s="1"/>
  <c r="E1920" i="3"/>
  <c r="G1920" i="3"/>
  <c r="H1920" i="3"/>
  <c r="AU1920" i="3" s="1"/>
  <c r="I1920" i="3" s="1"/>
  <c r="B1921" i="3"/>
  <c r="BA1921" i="3" s="1"/>
  <c r="C1921" i="3"/>
  <c r="D1921" i="3" s="1"/>
  <c r="E1921" i="3"/>
  <c r="G1921" i="3"/>
  <c r="H1921" i="3"/>
  <c r="AU1921" i="3" s="1"/>
  <c r="I1921" i="3" s="1"/>
  <c r="B1922" i="3"/>
  <c r="BA1922" i="3" s="1"/>
  <c r="C1922" i="3"/>
  <c r="D1922" i="3" s="1"/>
  <c r="E1922" i="3"/>
  <c r="G1922" i="3"/>
  <c r="H1922" i="3"/>
  <c r="AU1922" i="3" s="1"/>
  <c r="I1922" i="3" s="1"/>
  <c r="B1923" i="3"/>
  <c r="BA1923" i="3" s="1"/>
  <c r="C1923" i="3"/>
  <c r="D1923" i="3" s="1"/>
  <c r="E1923" i="3"/>
  <c r="G1923" i="3"/>
  <c r="H1923" i="3"/>
  <c r="AU1923" i="3" s="1"/>
  <c r="I1923" i="3" s="1"/>
  <c r="B1924" i="3"/>
  <c r="BA1924" i="3" s="1"/>
  <c r="C1924" i="3"/>
  <c r="D1924" i="3" s="1"/>
  <c r="E1924" i="3"/>
  <c r="G1924" i="3"/>
  <c r="H1924" i="3"/>
  <c r="AU1924" i="3" s="1"/>
  <c r="I1924" i="3" s="1"/>
  <c r="B1925" i="3"/>
  <c r="BA1925" i="3" s="1"/>
  <c r="C1925" i="3"/>
  <c r="D1925" i="3" s="1"/>
  <c r="E1925" i="3"/>
  <c r="G1925" i="3"/>
  <c r="H1925" i="3"/>
  <c r="AU1925" i="3" s="1"/>
  <c r="I1925" i="3" s="1"/>
  <c r="B1926" i="3"/>
  <c r="BA1926" i="3" s="1"/>
  <c r="C1926" i="3"/>
  <c r="D1926" i="3" s="1"/>
  <c r="E1926" i="3"/>
  <c r="G1926" i="3"/>
  <c r="H1926" i="3"/>
  <c r="AU1926" i="3" s="1"/>
  <c r="I1926" i="3" s="1"/>
  <c r="B1927" i="3"/>
  <c r="BA1927" i="3" s="1"/>
  <c r="C1927" i="3"/>
  <c r="D1927" i="3" s="1"/>
  <c r="E1927" i="3"/>
  <c r="G1927" i="3"/>
  <c r="H1927" i="3"/>
  <c r="AU1927" i="3" s="1"/>
  <c r="I1927" i="3" s="1"/>
  <c r="B1928" i="3"/>
  <c r="BA1928" i="3" s="1"/>
  <c r="C1928" i="3"/>
  <c r="D1928" i="3" s="1"/>
  <c r="E1928" i="3"/>
  <c r="G1928" i="3"/>
  <c r="H1928" i="3"/>
  <c r="AU1928" i="3" s="1"/>
  <c r="I1928" i="3" s="1"/>
  <c r="B1929" i="3"/>
  <c r="BA1929" i="3" s="1"/>
  <c r="C1929" i="3"/>
  <c r="D1929" i="3" s="1"/>
  <c r="E1929" i="3"/>
  <c r="G1929" i="3"/>
  <c r="H1929" i="3"/>
  <c r="AU1929" i="3" s="1"/>
  <c r="I1929" i="3" s="1"/>
  <c r="B1930" i="3"/>
  <c r="BA1930" i="3" s="1"/>
  <c r="C1930" i="3"/>
  <c r="D1930" i="3" s="1"/>
  <c r="E1930" i="3"/>
  <c r="G1930" i="3"/>
  <c r="H1930" i="3"/>
  <c r="AU1930" i="3" s="1"/>
  <c r="I1930" i="3" s="1"/>
  <c r="B1931" i="3"/>
  <c r="BA1931" i="3" s="1"/>
  <c r="C1931" i="3"/>
  <c r="D1931" i="3" s="1"/>
  <c r="E1931" i="3"/>
  <c r="G1931" i="3"/>
  <c r="H1931" i="3"/>
  <c r="AU1931" i="3" s="1"/>
  <c r="I1931" i="3" s="1"/>
  <c r="B1932" i="3"/>
  <c r="BA1932" i="3" s="1"/>
  <c r="C1932" i="3"/>
  <c r="D1932" i="3" s="1"/>
  <c r="E1932" i="3"/>
  <c r="G1932" i="3"/>
  <c r="H1932" i="3"/>
  <c r="AU1932" i="3" s="1"/>
  <c r="I1932" i="3" s="1"/>
  <c r="B1933" i="3"/>
  <c r="BA1933" i="3" s="1"/>
  <c r="C1933" i="3"/>
  <c r="D1933" i="3" s="1"/>
  <c r="E1933" i="3"/>
  <c r="G1933" i="3"/>
  <c r="H1933" i="3"/>
  <c r="AU1933" i="3" s="1"/>
  <c r="I1933" i="3" s="1"/>
  <c r="B1934" i="3"/>
  <c r="BA1934" i="3" s="1"/>
  <c r="C1934" i="3"/>
  <c r="D1934" i="3" s="1"/>
  <c r="E1934" i="3"/>
  <c r="G1934" i="3"/>
  <c r="H1934" i="3"/>
  <c r="AU1934" i="3" s="1"/>
  <c r="I1934" i="3" s="1"/>
  <c r="B1935" i="3"/>
  <c r="BA1935" i="3" s="1"/>
  <c r="C1935" i="3"/>
  <c r="D1935" i="3" s="1"/>
  <c r="E1935" i="3"/>
  <c r="G1935" i="3"/>
  <c r="H1935" i="3"/>
  <c r="AU1935" i="3" s="1"/>
  <c r="I1935" i="3" s="1"/>
  <c r="B1936" i="3"/>
  <c r="BA1936" i="3" s="1"/>
  <c r="C1936" i="3"/>
  <c r="D1936" i="3" s="1"/>
  <c r="E1936" i="3"/>
  <c r="G1936" i="3"/>
  <c r="H1936" i="3"/>
  <c r="AU1936" i="3" s="1"/>
  <c r="I1936" i="3" s="1"/>
  <c r="B1937" i="3"/>
  <c r="BA1937" i="3" s="1"/>
  <c r="C1937" i="3"/>
  <c r="D1937" i="3" s="1"/>
  <c r="E1937" i="3"/>
  <c r="G1937" i="3"/>
  <c r="H1937" i="3"/>
  <c r="AU1937" i="3" s="1"/>
  <c r="I1937" i="3" s="1"/>
  <c r="B1938" i="3"/>
  <c r="BA1938" i="3" s="1"/>
  <c r="C1938" i="3"/>
  <c r="D1938" i="3" s="1"/>
  <c r="E1938" i="3"/>
  <c r="G1938" i="3"/>
  <c r="H1938" i="3"/>
  <c r="AU1938" i="3" s="1"/>
  <c r="I1938" i="3" s="1"/>
  <c r="B1939" i="3"/>
  <c r="BA1939" i="3" s="1"/>
  <c r="C1939" i="3"/>
  <c r="D1939" i="3" s="1"/>
  <c r="E1939" i="3"/>
  <c r="G1939" i="3"/>
  <c r="H1939" i="3"/>
  <c r="AU1939" i="3" s="1"/>
  <c r="I1939" i="3" s="1"/>
  <c r="B1940" i="3"/>
  <c r="BA1940" i="3" s="1"/>
  <c r="C1940" i="3"/>
  <c r="D1940" i="3" s="1"/>
  <c r="E1940" i="3"/>
  <c r="G1940" i="3"/>
  <c r="H1940" i="3"/>
  <c r="AU1940" i="3" s="1"/>
  <c r="I1940" i="3" s="1"/>
  <c r="B1941" i="3"/>
  <c r="BA1941" i="3" s="1"/>
  <c r="C1941" i="3"/>
  <c r="D1941" i="3" s="1"/>
  <c r="E1941" i="3"/>
  <c r="G1941" i="3"/>
  <c r="H1941" i="3"/>
  <c r="AU1941" i="3" s="1"/>
  <c r="I1941" i="3" s="1"/>
  <c r="B1942" i="3"/>
  <c r="BA1942" i="3" s="1"/>
  <c r="C1942" i="3"/>
  <c r="D1942" i="3" s="1"/>
  <c r="E1942" i="3"/>
  <c r="G1942" i="3"/>
  <c r="H1942" i="3"/>
  <c r="AU1942" i="3" s="1"/>
  <c r="I1942" i="3" s="1"/>
  <c r="B1943" i="3"/>
  <c r="BA1943" i="3" s="1"/>
  <c r="C1943" i="3"/>
  <c r="D1943" i="3" s="1"/>
  <c r="E1943" i="3"/>
  <c r="G1943" i="3"/>
  <c r="H1943" i="3"/>
  <c r="AU1943" i="3" s="1"/>
  <c r="I1943" i="3" s="1"/>
  <c r="B1944" i="3"/>
  <c r="BA1944" i="3" s="1"/>
  <c r="C1944" i="3"/>
  <c r="D1944" i="3" s="1"/>
  <c r="E1944" i="3"/>
  <c r="G1944" i="3"/>
  <c r="H1944" i="3"/>
  <c r="AU1944" i="3" s="1"/>
  <c r="I1944" i="3" s="1"/>
  <c r="B1945" i="3"/>
  <c r="BA1945" i="3" s="1"/>
  <c r="C1945" i="3"/>
  <c r="D1945" i="3" s="1"/>
  <c r="E1945" i="3"/>
  <c r="G1945" i="3"/>
  <c r="H1945" i="3"/>
  <c r="AU1945" i="3" s="1"/>
  <c r="I1945" i="3" s="1"/>
  <c r="B1946" i="3"/>
  <c r="BA1946" i="3" s="1"/>
  <c r="C1946" i="3"/>
  <c r="D1946" i="3" s="1"/>
  <c r="E1946" i="3"/>
  <c r="G1946" i="3"/>
  <c r="H1946" i="3"/>
  <c r="AU1946" i="3" s="1"/>
  <c r="I1946" i="3" s="1"/>
  <c r="B1947" i="3"/>
  <c r="BA1947" i="3" s="1"/>
  <c r="C1947" i="3"/>
  <c r="D1947" i="3" s="1"/>
  <c r="E1947" i="3"/>
  <c r="G1947" i="3"/>
  <c r="H1947" i="3"/>
  <c r="AU1947" i="3" s="1"/>
  <c r="I1947" i="3" s="1"/>
  <c r="B1948" i="3"/>
  <c r="BA1948" i="3" s="1"/>
  <c r="C1948" i="3"/>
  <c r="D1948" i="3" s="1"/>
  <c r="E1948" i="3"/>
  <c r="G1948" i="3"/>
  <c r="H1948" i="3"/>
  <c r="AU1948" i="3" s="1"/>
  <c r="I1948" i="3" s="1"/>
  <c r="B1949" i="3"/>
  <c r="BA1949" i="3" s="1"/>
  <c r="C1949" i="3"/>
  <c r="D1949" i="3" s="1"/>
  <c r="E1949" i="3"/>
  <c r="G1949" i="3"/>
  <c r="H1949" i="3"/>
  <c r="AU1949" i="3" s="1"/>
  <c r="I1949" i="3" s="1"/>
  <c r="B1950" i="3"/>
  <c r="BA1950" i="3" s="1"/>
  <c r="C1950" i="3"/>
  <c r="D1950" i="3" s="1"/>
  <c r="E1950" i="3"/>
  <c r="G1950" i="3"/>
  <c r="H1950" i="3"/>
  <c r="AU1950" i="3" s="1"/>
  <c r="I1950" i="3" s="1"/>
  <c r="B1951" i="3"/>
  <c r="BA1951" i="3" s="1"/>
  <c r="C1951" i="3"/>
  <c r="D1951" i="3" s="1"/>
  <c r="E1951" i="3"/>
  <c r="G1951" i="3"/>
  <c r="H1951" i="3"/>
  <c r="AU1951" i="3" s="1"/>
  <c r="I1951" i="3" s="1"/>
  <c r="B1952" i="3"/>
  <c r="BA1952" i="3" s="1"/>
  <c r="C1952" i="3"/>
  <c r="D1952" i="3" s="1"/>
  <c r="E1952" i="3"/>
  <c r="G1952" i="3"/>
  <c r="H1952" i="3"/>
  <c r="AU1952" i="3" s="1"/>
  <c r="I1952" i="3" s="1"/>
  <c r="B1953" i="3"/>
  <c r="BA1953" i="3" s="1"/>
  <c r="C1953" i="3"/>
  <c r="D1953" i="3" s="1"/>
  <c r="E1953" i="3"/>
  <c r="G1953" i="3"/>
  <c r="H1953" i="3"/>
  <c r="AU1953" i="3" s="1"/>
  <c r="I1953" i="3" s="1"/>
  <c r="B1954" i="3"/>
  <c r="BA1954" i="3" s="1"/>
  <c r="C1954" i="3"/>
  <c r="D1954" i="3" s="1"/>
  <c r="E1954" i="3"/>
  <c r="G1954" i="3"/>
  <c r="H1954" i="3"/>
  <c r="AU1954" i="3" s="1"/>
  <c r="I1954" i="3" s="1"/>
  <c r="B1955" i="3"/>
  <c r="BA1955" i="3" s="1"/>
  <c r="C1955" i="3"/>
  <c r="D1955" i="3" s="1"/>
  <c r="E1955" i="3"/>
  <c r="G1955" i="3"/>
  <c r="H1955" i="3"/>
  <c r="AU1955" i="3" s="1"/>
  <c r="I1955" i="3" s="1"/>
  <c r="B1956" i="3"/>
  <c r="BA1956" i="3" s="1"/>
  <c r="C1956" i="3"/>
  <c r="D1956" i="3" s="1"/>
  <c r="E1956" i="3"/>
  <c r="G1956" i="3"/>
  <c r="H1956" i="3"/>
  <c r="AU1956" i="3" s="1"/>
  <c r="I1956" i="3" s="1"/>
  <c r="B1957" i="3"/>
  <c r="BA1957" i="3" s="1"/>
  <c r="C1957" i="3"/>
  <c r="D1957" i="3" s="1"/>
  <c r="E1957" i="3"/>
  <c r="G1957" i="3"/>
  <c r="H1957" i="3"/>
  <c r="AU1957" i="3" s="1"/>
  <c r="I1957" i="3" s="1"/>
  <c r="B1958" i="3"/>
  <c r="BA1958" i="3" s="1"/>
  <c r="C1958" i="3"/>
  <c r="D1958" i="3" s="1"/>
  <c r="E1958" i="3"/>
  <c r="G1958" i="3"/>
  <c r="H1958" i="3"/>
  <c r="AU1958" i="3" s="1"/>
  <c r="I1958" i="3" s="1"/>
  <c r="B1959" i="3"/>
  <c r="BA1959" i="3" s="1"/>
  <c r="C1959" i="3"/>
  <c r="D1959" i="3" s="1"/>
  <c r="E1959" i="3"/>
  <c r="G1959" i="3"/>
  <c r="H1959" i="3"/>
  <c r="AU1959" i="3" s="1"/>
  <c r="I1959" i="3" s="1"/>
  <c r="B1960" i="3"/>
  <c r="BA1960" i="3" s="1"/>
  <c r="C1960" i="3"/>
  <c r="D1960" i="3" s="1"/>
  <c r="E1960" i="3"/>
  <c r="G1960" i="3"/>
  <c r="H1960" i="3"/>
  <c r="AU1960" i="3" s="1"/>
  <c r="I1960" i="3" s="1"/>
  <c r="B1961" i="3"/>
  <c r="BA1961" i="3" s="1"/>
  <c r="C1961" i="3"/>
  <c r="D1961" i="3" s="1"/>
  <c r="E1961" i="3"/>
  <c r="G1961" i="3"/>
  <c r="H1961" i="3"/>
  <c r="AU1961" i="3" s="1"/>
  <c r="I1961" i="3" s="1"/>
  <c r="B1962" i="3"/>
  <c r="BA1962" i="3" s="1"/>
  <c r="C1962" i="3"/>
  <c r="D1962" i="3" s="1"/>
  <c r="E1962" i="3"/>
  <c r="G1962" i="3"/>
  <c r="H1962" i="3"/>
  <c r="AU1962" i="3" s="1"/>
  <c r="I1962" i="3" s="1"/>
  <c r="B1963" i="3"/>
  <c r="BA1963" i="3" s="1"/>
  <c r="C1963" i="3"/>
  <c r="D1963" i="3" s="1"/>
  <c r="E1963" i="3"/>
  <c r="G1963" i="3"/>
  <c r="H1963" i="3"/>
  <c r="AU1963" i="3" s="1"/>
  <c r="I1963" i="3" s="1"/>
  <c r="B1964" i="3"/>
  <c r="BA1964" i="3" s="1"/>
  <c r="C1964" i="3"/>
  <c r="D1964" i="3" s="1"/>
  <c r="E1964" i="3"/>
  <c r="G1964" i="3"/>
  <c r="H1964" i="3"/>
  <c r="AU1964" i="3" s="1"/>
  <c r="I1964" i="3" s="1"/>
  <c r="B1965" i="3"/>
  <c r="BA1965" i="3" s="1"/>
  <c r="C1965" i="3"/>
  <c r="D1965" i="3" s="1"/>
  <c r="E1965" i="3"/>
  <c r="G1965" i="3"/>
  <c r="H1965" i="3"/>
  <c r="AU1965" i="3" s="1"/>
  <c r="I1965" i="3" s="1"/>
  <c r="B1966" i="3"/>
  <c r="BA1966" i="3" s="1"/>
  <c r="C1966" i="3"/>
  <c r="D1966" i="3" s="1"/>
  <c r="E1966" i="3"/>
  <c r="G1966" i="3"/>
  <c r="H1966" i="3"/>
  <c r="AU1966" i="3" s="1"/>
  <c r="I1966" i="3" s="1"/>
  <c r="B1967" i="3"/>
  <c r="BA1967" i="3" s="1"/>
  <c r="C1967" i="3"/>
  <c r="D1967" i="3" s="1"/>
  <c r="E1967" i="3"/>
  <c r="G1967" i="3"/>
  <c r="H1967" i="3"/>
  <c r="AU1967" i="3" s="1"/>
  <c r="I1967" i="3" s="1"/>
  <c r="B1968" i="3"/>
  <c r="BA1968" i="3" s="1"/>
  <c r="C1968" i="3"/>
  <c r="D1968" i="3" s="1"/>
  <c r="E1968" i="3"/>
  <c r="G1968" i="3"/>
  <c r="H1968" i="3"/>
  <c r="AU1968" i="3" s="1"/>
  <c r="I1968" i="3" s="1"/>
  <c r="B1969" i="3"/>
  <c r="BA1969" i="3" s="1"/>
  <c r="C1969" i="3"/>
  <c r="D1969" i="3" s="1"/>
  <c r="E1969" i="3"/>
  <c r="G1969" i="3"/>
  <c r="H1969" i="3"/>
  <c r="AU1969" i="3" s="1"/>
  <c r="I1969" i="3" s="1"/>
  <c r="B1970" i="3"/>
  <c r="BA1970" i="3" s="1"/>
  <c r="C1970" i="3"/>
  <c r="D1970" i="3" s="1"/>
  <c r="E1970" i="3"/>
  <c r="G1970" i="3"/>
  <c r="H1970" i="3"/>
  <c r="AU1970" i="3" s="1"/>
  <c r="I1970" i="3" s="1"/>
  <c r="B1971" i="3"/>
  <c r="BA1971" i="3" s="1"/>
  <c r="C1971" i="3"/>
  <c r="D1971" i="3" s="1"/>
  <c r="E1971" i="3"/>
  <c r="G1971" i="3"/>
  <c r="H1971" i="3"/>
  <c r="AU1971" i="3" s="1"/>
  <c r="I1971" i="3" s="1"/>
  <c r="B1972" i="3"/>
  <c r="BA1972" i="3" s="1"/>
  <c r="C1972" i="3"/>
  <c r="D1972" i="3" s="1"/>
  <c r="E1972" i="3"/>
  <c r="G1972" i="3"/>
  <c r="H1972" i="3"/>
  <c r="AU1972" i="3" s="1"/>
  <c r="I1972" i="3" s="1"/>
  <c r="B1973" i="3"/>
  <c r="BA1973" i="3" s="1"/>
  <c r="C1973" i="3"/>
  <c r="D1973" i="3" s="1"/>
  <c r="E1973" i="3"/>
  <c r="G1973" i="3"/>
  <c r="H1973" i="3"/>
  <c r="AU1973" i="3" s="1"/>
  <c r="I1973" i="3" s="1"/>
  <c r="B1974" i="3"/>
  <c r="BA1974" i="3" s="1"/>
  <c r="C1974" i="3"/>
  <c r="D1974" i="3" s="1"/>
  <c r="E1974" i="3"/>
  <c r="G1974" i="3"/>
  <c r="H1974" i="3"/>
  <c r="AU1974" i="3" s="1"/>
  <c r="I1974" i="3" s="1"/>
  <c r="B1975" i="3"/>
  <c r="BA1975" i="3" s="1"/>
  <c r="C1975" i="3"/>
  <c r="D1975" i="3" s="1"/>
  <c r="E1975" i="3"/>
  <c r="G1975" i="3"/>
  <c r="H1975" i="3"/>
  <c r="AU1975" i="3" s="1"/>
  <c r="I1975" i="3" s="1"/>
  <c r="B1976" i="3"/>
  <c r="BA1976" i="3" s="1"/>
  <c r="C1976" i="3"/>
  <c r="D1976" i="3" s="1"/>
  <c r="E1976" i="3"/>
  <c r="G1976" i="3"/>
  <c r="H1976" i="3"/>
  <c r="AU1976" i="3" s="1"/>
  <c r="I1976" i="3" s="1"/>
  <c r="B1977" i="3"/>
  <c r="BA1977" i="3" s="1"/>
  <c r="C1977" i="3"/>
  <c r="D1977" i="3" s="1"/>
  <c r="E1977" i="3"/>
  <c r="G1977" i="3"/>
  <c r="H1977" i="3"/>
  <c r="AU1977" i="3" s="1"/>
  <c r="I1977" i="3" s="1"/>
  <c r="B1978" i="3"/>
  <c r="BA1978" i="3" s="1"/>
  <c r="C1978" i="3"/>
  <c r="D1978" i="3" s="1"/>
  <c r="E1978" i="3"/>
  <c r="G1978" i="3"/>
  <c r="H1978" i="3"/>
  <c r="AU1978" i="3" s="1"/>
  <c r="I1978" i="3" s="1"/>
  <c r="B1979" i="3"/>
  <c r="BA1979" i="3" s="1"/>
  <c r="C1979" i="3"/>
  <c r="D1979" i="3" s="1"/>
  <c r="E1979" i="3"/>
  <c r="G1979" i="3"/>
  <c r="H1979" i="3"/>
  <c r="AU1979" i="3" s="1"/>
  <c r="I1979" i="3" s="1"/>
  <c r="B1980" i="3"/>
  <c r="BA1980" i="3" s="1"/>
  <c r="C1980" i="3"/>
  <c r="D1980" i="3" s="1"/>
  <c r="E1980" i="3"/>
  <c r="G1980" i="3"/>
  <c r="H1980" i="3"/>
  <c r="AU1980" i="3" s="1"/>
  <c r="I1980" i="3" s="1"/>
  <c r="B1981" i="3"/>
  <c r="BA1981" i="3" s="1"/>
  <c r="C1981" i="3"/>
  <c r="D1981" i="3" s="1"/>
  <c r="E1981" i="3"/>
  <c r="G1981" i="3"/>
  <c r="H1981" i="3"/>
  <c r="AU1981" i="3" s="1"/>
  <c r="I1981" i="3" s="1"/>
  <c r="B1982" i="3"/>
  <c r="BA1982" i="3" s="1"/>
  <c r="C1982" i="3"/>
  <c r="D1982" i="3" s="1"/>
  <c r="E1982" i="3"/>
  <c r="G1982" i="3"/>
  <c r="H1982" i="3"/>
  <c r="AU1982" i="3" s="1"/>
  <c r="I1982" i="3" s="1"/>
  <c r="B1983" i="3"/>
  <c r="BA1983" i="3" s="1"/>
  <c r="C1983" i="3"/>
  <c r="D1983" i="3" s="1"/>
  <c r="E1983" i="3"/>
  <c r="G1983" i="3"/>
  <c r="H1983" i="3"/>
  <c r="AU1983" i="3" s="1"/>
  <c r="I1983" i="3" s="1"/>
  <c r="B1984" i="3"/>
  <c r="BA1984" i="3" s="1"/>
  <c r="C1984" i="3"/>
  <c r="D1984" i="3" s="1"/>
  <c r="E1984" i="3"/>
  <c r="G1984" i="3"/>
  <c r="H1984" i="3"/>
  <c r="AU1984" i="3" s="1"/>
  <c r="I1984" i="3" s="1"/>
  <c r="B1985" i="3"/>
  <c r="BA1985" i="3" s="1"/>
  <c r="C1985" i="3"/>
  <c r="D1985" i="3" s="1"/>
  <c r="E1985" i="3"/>
  <c r="G1985" i="3"/>
  <c r="H1985" i="3"/>
  <c r="AU1985" i="3" s="1"/>
  <c r="I1985" i="3" s="1"/>
  <c r="B1986" i="3"/>
  <c r="BA1986" i="3" s="1"/>
  <c r="C1986" i="3"/>
  <c r="D1986" i="3" s="1"/>
  <c r="E1986" i="3"/>
  <c r="G1986" i="3"/>
  <c r="H1986" i="3"/>
  <c r="AU1986" i="3" s="1"/>
  <c r="I1986" i="3" s="1"/>
  <c r="B1987" i="3"/>
  <c r="BA1987" i="3" s="1"/>
  <c r="C1987" i="3"/>
  <c r="D1987" i="3" s="1"/>
  <c r="E1987" i="3"/>
  <c r="G1987" i="3"/>
  <c r="H1987" i="3"/>
  <c r="AU1987" i="3" s="1"/>
  <c r="I1987" i="3" s="1"/>
  <c r="B1988" i="3"/>
  <c r="BA1988" i="3" s="1"/>
  <c r="C1988" i="3"/>
  <c r="D1988" i="3" s="1"/>
  <c r="E1988" i="3"/>
  <c r="G1988" i="3"/>
  <c r="H1988" i="3"/>
  <c r="AU1988" i="3" s="1"/>
  <c r="I1988" i="3" s="1"/>
  <c r="B1989" i="3"/>
  <c r="BA1989" i="3" s="1"/>
  <c r="C1989" i="3"/>
  <c r="D1989" i="3" s="1"/>
  <c r="E1989" i="3"/>
  <c r="G1989" i="3"/>
  <c r="H1989" i="3"/>
  <c r="AU1989" i="3" s="1"/>
  <c r="I1989" i="3" s="1"/>
  <c r="B1990" i="3"/>
  <c r="BA1990" i="3" s="1"/>
  <c r="C1990" i="3"/>
  <c r="D1990" i="3" s="1"/>
  <c r="E1990" i="3"/>
  <c r="G1990" i="3"/>
  <c r="H1990" i="3"/>
  <c r="AU1990" i="3" s="1"/>
  <c r="I1990" i="3" s="1"/>
  <c r="B1991" i="3"/>
  <c r="BA1991" i="3" s="1"/>
  <c r="C1991" i="3"/>
  <c r="D1991" i="3" s="1"/>
  <c r="E1991" i="3"/>
  <c r="G1991" i="3"/>
  <c r="H1991" i="3"/>
  <c r="AU1991" i="3" s="1"/>
  <c r="I1991" i="3" s="1"/>
  <c r="B1992" i="3"/>
  <c r="BA1992" i="3" s="1"/>
  <c r="C1992" i="3"/>
  <c r="D1992" i="3" s="1"/>
  <c r="E1992" i="3"/>
  <c r="G1992" i="3"/>
  <c r="H1992" i="3"/>
  <c r="AU1992" i="3" s="1"/>
  <c r="I1992" i="3" s="1"/>
  <c r="B1993" i="3"/>
  <c r="BA1993" i="3" s="1"/>
  <c r="C1993" i="3"/>
  <c r="D1993" i="3" s="1"/>
  <c r="E1993" i="3"/>
  <c r="G1993" i="3"/>
  <c r="H1993" i="3"/>
  <c r="AU1993" i="3" s="1"/>
  <c r="I1993" i="3" s="1"/>
  <c r="B1994" i="3"/>
  <c r="BA1994" i="3" s="1"/>
  <c r="C1994" i="3"/>
  <c r="D1994" i="3" s="1"/>
  <c r="E1994" i="3"/>
  <c r="G1994" i="3"/>
  <c r="H1994" i="3"/>
  <c r="AU1994" i="3" s="1"/>
  <c r="I1994" i="3" s="1"/>
  <c r="B1995" i="3"/>
  <c r="BA1995" i="3" s="1"/>
  <c r="C1995" i="3"/>
  <c r="D1995" i="3" s="1"/>
  <c r="E1995" i="3"/>
  <c r="G1995" i="3"/>
  <c r="H1995" i="3"/>
  <c r="AU1995" i="3" s="1"/>
  <c r="I1995" i="3" s="1"/>
  <c r="B1996" i="3"/>
  <c r="BA1996" i="3" s="1"/>
  <c r="C1996" i="3"/>
  <c r="D1996" i="3" s="1"/>
  <c r="E1996" i="3"/>
  <c r="G1996" i="3"/>
  <c r="H1996" i="3"/>
  <c r="AU1996" i="3" s="1"/>
  <c r="I1996" i="3" s="1"/>
  <c r="B1997" i="3"/>
  <c r="BA1997" i="3" s="1"/>
  <c r="C1997" i="3"/>
  <c r="D1997" i="3" s="1"/>
  <c r="E1997" i="3"/>
  <c r="G1997" i="3"/>
  <c r="H1997" i="3"/>
  <c r="AU1997" i="3" s="1"/>
  <c r="I1997" i="3" s="1"/>
  <c r="B1998" i="3"/>
  <c r="BA1998" i="3" s="1"/>
  <c r="C1998" i="3"/>
  <c r="D1998" i="3" s="1"/>
  <c r="E1998" i="3"/>
  <c r="G1998" i="3"/>
  <c r="H1998" i="3"/>
  <c r="AU1998" i="3" s="1"/>
  <c r="I1998" i="3" s="1"/>
  <c r="B1999" i="3"/>
  <c r="BA1999" i="3" s="1"/>
  <c r="C1999" i="3"/>
  <c r="D1999" i="3" s="1"/>
  <c r="E1999" i="3"/>
  <c r="G1999" i="3"/>
  <c r="H1999" i="3"/>
  <c r="AU1999" i="3" s="1"/>
  <c r="I1999" i="3" s="1"/>
  <c r="B2000" i="3"/>
  <c r="BA2000" i="3" s="1"/>
  <c r="C2000" i="3"/>
  <c r="D2000" i="3" s="1"/>
  <c r="E2000" i="3"/>
  <c r="G2000" i="3"/>
  <c r="H2000" i="3"/>
  <c r="AU2000" i="3" s="1"/>
  <c r="I2000" i="3" s="1"/>
  <c r="AT1998" i="3" l="1"/>
  <c r="AT1994" i="3"/>
  <c r="AT1990" i="3"/>
  <c r="AT1986" i="3"/>
  <c r="AT1982" i="3"/>
  <c r="AT1978" i="3"/>
  <c r="AT1974" i="3"/>
  <c r="AT1970" i="3"/>
  <c r="AT1966" i="3"/>
  <c r="AT1962" i="3"/>
  <c r="AT1958" i="3"/>
  <c r="AT1954" i="3"/>
  <c r="AT1946" i="3"/>
  <c r="AT1942" i="3"/>
  <c r="AT1938" i="3"/>
  <c r="BA1402" i="3"/>
  <c r="BA1398" i="3"/>
  <c r="BA1393" i="3"/>
  <c r="BA1389" i="3"/>
  <c r="AT1273" i="3"/>
  <c r="AT1272" i="3"/>
  <c r="AT1268" i="3"/>
  <c r="AT1177" i="3"/>
  <c r="AT1176" i="3"/>
  <c r="AT1173" i="3"/>
  <c r="AT1172" i="3"/>
  <c r="AT1169" i="3"/>
  <c r="AT1168" i="3"/>
  <c r="AT1165" i="3"/>
  <c r="AT1164" i="3"/>
  <c r="AT1161" i="3"/>
  <c r="AT1160" i="3"/>
  <c r="AT1157" i="3"/>
  <c r="AT1156" i="3"/>
  <c r="AT1153" i="3"/>
  <c r="AT1152" i="3"/>
  <c r="AT1149" i="3"/>
  <c r="AT1148" i="3"/>
  <c r="AT1145" i="3"/>
  <c r="AT1144" i="3"/>
  <c r="AT1109" i="3"/>
  <c r="AT1108" i="3"/>
  <c r="AT988" i="3"/>
  <c r="AT1950" i="3"/>
  <c r="AT1609" i="3"/>
  <c r="AT1581" i="3"/>
  <c r="AT1545" i="3"/>
  <c r="AT1541" i="3"/>
  <c r="AT1489" i="3"/>
  <c r="AT1485" i="3"/>
  <c r="AT1473" i="3"/>
  <c r="AT1457" i="3"/>
  <c r="AT1405" i="3"/>
  <c r="AT1401" i="3"/>
  <c r="AT1397" i="3"/>
  <c r="AT1378" i="3"/>
  <c r="AT1377" i="3"/>
  <c r="AT1374" i="3"/>
  <c r="AT1373" i="3"/>
  <c r="AT1362" i="3"/>
  <c r="AT1361" i="3"/>
  <c r="AT1354" i="3"/>
  <c r="AT1310" i="3"/>
  <c r="AT1309" i="3"/>
  <c r="AT1306" i="3"/>
  <c r="AT1305" i="3"/>
  <c r="AT1265" i="3"/>
  <c r="AT1185" i="3"/>
  <c r="AT1182" i="3"/>
  <c r="AT1181" i="3"/>
  <c r="AT1137" i="3"/>
  <c r="AT1134" i="3"/>
  <c r="AT1133" i="3"/>
  <c r="AT1130" i="3"/>
  <c r="AT1129" i="3"/>
  <c r="AT1126" i="3"/>
  <c r="AT1125" i="3"/>
  <c r="AT1122" i="3"/>
  <c r="AT1121" i="3"/>
  <c r="AT1118" i="3"/>
  <c r="AT1117" i="3"/>
  <c r="AT1114" i="3"/>
  <c r="AT1113" i="3"/>
  <c r="AT1050" i="3"/>
  <c r="AT1049" i="3"/>
  <c r="AT1046" i="3"/>
  <c r="AT1045" i="3"/>
  <c r="AT1042" i="3"/>
  <c r="AT1041" i="3"/>
  <c r="AT1022" i="3"/>
  <c r="AT1021" i="3"/>
  <c r="AT1017" i="3"/>
  <c r="AT1014" i="3"/>
  <c r="AT1013" i="3"/>
  <c r="AT993" i="3"/>
  <c r="AT2000" i="3"/>
  <c r="AT1984" i="3"/>
  <c r="AT1996" i="3"/>
  <c r="AT1992" i="3"/>
  <c r="AT1976" i="3"/>
  <c r="AT1968" i="3"/>
  <c r="AT1960" i="3"/>
  <c r="AT1952" i="3"/>
  <c r="AT1944" i="3"/>
  <c r="AT1611" i="3"/>
  <c r="AT1607" i="3"/>
  <c r="AT1579" i="3"/>
  <c r="AT1543" i="3"/>
  <c r="AT1511" i="3"/>
  <c r="AT1491" i="3"/>
  <c r="AT1487" i="3"/>
  <c r="AT1471" i="3"/>
  <c r="AT1403" i="3"/>
  <c r="BA1400" i="3"/>
  <c r="AT1399" i="3"/>
  <c r="AT1323" i="3"/>
  <c r="AT1320" i="3"/>
  <c r="AT1319" i="3"/>
  <c r="AT1295" i="3"/>
  <c r="AT1291" i="3"/>
  <c r="AT1287" i="3"/>
  <c r="AT1275" i="3"/>
  <c r="AT1215" i="3"/>
  <c r="AT1212" i="3"/>
  <c r="AT1211" i="3"/>
  <c r="AT1208" i="3"/>
  <c r="AT1207" i="3"/>
  <c r="AT1204" i="3"/>
  <c r="AT1203" i="3"/>
  <c r="AT1200" i="3"/>
  <c r="AT1199" i="3"/>
  <c r="AT1104" i="3"/>
  <c r="AT1103" i="3"/>
  <c r="AT1988" i="3"/>
  <c r="AT1980" i="3"/>
  <c r="AT1972" i="3"/>
  <c r="AT1964" i="3"/>
  <c r="AT1956" i="3"/>
  <c r="AT1948" i="3"/>
  <c r="AT1940" i="3"/>
  <c r="AT1843" i="3"/>
  <c r="AT1839" i="3"/>
  <c r="AT1835" i="3"/>
  <c r="AT1831" i="3"/>
  <c r="AT1827" i="3"/>
  <c r="AT1823" i="3"/>
  <c r="AT1819" i="3"/>
  <c r="AT1815" i="3"/>
  <c r="AT1811" i="3"/>
  <c r="AT1807" i="3"/>
  <c r="AT1803" i="3"/>
  <c r="AT1799" i="3"/>
  <c r="AT1795" i="3"/>
  <c r="AT1791" i="3"/>
  <c r="AT1787" i="3"/>
  <c r="AT1783" i="3"/>
  <c r="AT1779" i="3"/>
  <c r="AT1775" i="3"/>
  <c r="AT1771" i="3"/>
  <c r="AT1767" i="3"/>
  <c r="AT1763" i="3"/>
  <c r="AT1759" i="3"/>
  <c r="AT1755" i="3"/>
  <c r="AT1751" i="3"/>
  <c r="AT1747" i="3"/>
  <c r="AT1743" i="3"/>
  <c r="AT1739" i="3"/>
  <c r="AT1735" i="3"/>
  <c r="AT1731" i="3"/>
  <c r="AT1727" i="3"/>
  <c r="AT1723" i="3"/>
  <c r="AT1719" i="3"/>
  <c r="AT1715" i="3"/>
  <c r="AT1711" i="3"/>
  <c r="AT1707" i="3"/>
  <c r="AT1703" i="3"/>
  <c r="AT1699" i="3"/>
  <c r="AT1695" i="3"/>
  <c r="AT1691" i="3"/>
  <c r="AT1687" i="3"/>
  <c r="AT1683" i="3"/>
  <c r="AT1679" i="3"/>
  <c r="AT1675" i="3"/>
  <c r="AT1671" i="3"/>
  <c r="AT1667" i="3"/>
  <c r="AT1663" i="3"/>
  <c r="AT1659" i="3"/>
  <c r="AT1655" i="3"/>
  <c r="AT1651" i="3"/>
  <c r="AT1647" i="3"/>
  <c r="AT1643" i="3"/>
  <c r="AT1639" i="3"/>
  <c r="AT1588" i="3"/>
  <c r="AT1572" i="3"/>
  <c r="AT1520" i="3"/>
  <c r="AT1504" i="3"/>
  <c r="AT1500" i="3"/>
  <c r="AT1464" i="3"/>
  <c r="AT1452" i="3"/>
  <c r="AT1448" i="3"/>
  <c r="AT1444" i="3"/>
  <c r="AT1440" i="3"/>
  <c r="AT1436" i="3"/>
  <c r="AT1432" i="3"/>
  <c r="AT1428" i="3"/>
  <c r="AT1424" i="3"/>
  <c r="AT1420" i="3"/>
  <c r="AT1416" i="3"/>
  <c r="AT1388" i="3"/>
  <c r="AT1369" i="3"/>
  <c r="AT1368" i="3"/>
  <c r="AT1365" i="3"/>
  <c r="AT1141" i="3"/>
  <c r="AT1140" i="3"/>
  <c r="AT1037" i="3"/>
  <c r="AT1036" i="3"/>
  <c r="AT1033" i="3"/>
  <c r="AT1032" i="3"/>
  <c r="AT1845" i="3"/>
  <c r="AT1841" i="3"/>
  <c r="AT1837" i="3"/>
  <c r="AT1833" i="3"/>
  <c r="AT1829" i="3"/>
  <c r="AT1825" i="3"/>
  <c r="AT1821" i="3"/>
  <c r="AT1817" i="3"/>
  <c r="AT1813" i="3"/>
  <c r="AT1809" i="3"/>
  <c r="AT1805" i="3"/>
  <c r="AT1801" i="3"/>
  <c r="AT1797" i="3"/>
  <c r="AT1793" i="3"/>
  <c r="AT1789" i="3"/>
  <c r="AT1785" i="3"/>
  <c r="AT1781" i="3"/>
  <c r="AT1777" i="3"/>
  <c r="AT1773" i="3"/>
  <c r="AT1769" i="3"/>
  <c r="AT1765" i="3"/>
  <c r="AT1761" i="3"/>
  <c r="AT1757" i="3"/>
  <c r="AT1753" i="3"/>
  <c r="AT1749" i="3"/>
  <c r="AT1745" i="3"/>
  <c r="AT1741" i="3"/>
  <c r="AT1737" i="3"/>
  <c r="AT1733" i="3"/>
  <c r="AT1729" i="3"/>
  <c r="AT1725" i="3"/>
  <c r="AT1721" i="3"/>
  <c r="AT1717" i="3"/>
  <c r="AT1713" i="3"/>
  <c r="AT1709" i="3"/>
  <c r="AT1705" i="3"/>
  <c r="AT1701" i="3"/>
  <c r="AT1697" i="3"/>
  <c r="AT1693" i="3"/>
  <c r="AT1689" i="3"/>
  <c r="AT1685" i="3"/>
  <c r="AT1681" i="3"/>
  <c r="AT1677" i="3"/>
  <c r="AT1673" i="3"/>
  <c r="AT1669" i="3"/>
  <c r="AT1665" i="3"/>
  <c r="AT1661" i="3"/>
  <c r="AT1657" i="3"/>
  <c r="AT1653" i="3"/>
  <c r="AT1649" i="3"/>
  <c r="AT1645" i="3"/>
  <c r="AT1641" i="3"/>
  <c r="AT1637" i="3"/>
  <c r="AT1586" i="3"/>
  <c r="AT1574" i="3"/>
  <c r="AT1570" i="3"/>
  <c r="AT1522" i="3"/>
  <c r="AT1518" i="3"/>
  <c r="AT1502" i="3"/>
  <c r="AT1498" i="3"/>
  <c r="AT1478" i="3"/>
  <c r="AT1450" i="3"/>
  <c r="AT1446" i="3"/>
  <c r="AT1442" i="3"/>
  <c r="AT1438" i="3"/>
  <c r="AT1434" i="3"/>
  <c r="AT1430" i="3"/>
  <c r="AT1426" i="3"/>
  <c r="AT1422" i="3"/>
  <c r="AT1418" i="3"/>
  <c r="AT1414" i="3"/>
  <c r="BA1387" i="3"/>
  <c r="AT1386" i="3"/>
  <c r="AT1383" i="3"/>
  <c r="AT1382" i="3"/>
  <c r="AT1358" i="3"/>
  <c r="AT1351" i="3"/>
  <c r="AT1350" i="3"/>
  <c r="AT1347" i="3"/>
  <c r="AT1346" i="3"/>
  <c r="AT1343" i="3"/>
  <c r="AT1342" i="3"/>
  <c r="AT1339" i="3"/>
  <c r="AT1338" i="3"/>
  <c r="AT1335" i="3"/>
  <c r="AT1334" i="3"/>
  <c r="AT1331" i="3"/>
  <c r="AT1330" i="3"/>
  <c r="AT1327" i="3"/>
  <c r="AT1326" i="3"/>
  <c r="AT1315" i="3"/>
  <c r="AT1314" i="3"/>
  <c r="AT1302" i="3"/>
  <c r="AT1282" i="3"/>
  <c r="AT1278" i="3"/>
  <c r="AT1262" i="3"/>
  <c r="AT1258" i="3"/>
  <c r="AT1254" i="3"/>
  <c r="AT1250" i="3"/>
  <c r="AT1246" i="3"/>
  <c r="AT1243" i="3"/>
  <c r="AT1242" i="3"/>
  <c r="AT1238" i="3"/>
  <c r="AT1234" i="3"/>
  <c r="AT1231" i="3"/>
  <c r="AT1230" i="3"/>
  <c r="AT1227" i="3"/>
  <c r="AT1226" i="3"/>
  <c r="AT1223" i="3"/>
  <c r="AT1222" i="3"/>
  <c r="AT1219" i="3"/>
  <c r="AT1218" i="3"/>
  <c r="AT1195" i="3"/>
  <c r="AT1194" i="3"/>
  <c r="AT1191" i="3"/>
  <c r="AT1190" i="3"/>
  <c r="AT1187" i="3"/>
  <c r="AT1099" i="3"/>
  <c r="AT1098" i="3"/>
  <c r="AT1095" i="3"/>
  <c r="AT1094" i="3"/>
  <c r="AT1091" i="3"/>
  <c r="AT1090" i="3"/>
  <c r="AT1087" i="3"/>
  <c r="AT1086" i="3"/>
  <c r="AT1083" i="3"/>
  <c r="AT1082" i="3"/>
  <c r="AT1079" i="3"/>
  <c r="AT1078" i="3"/>
  <c r="AT1075" i="3"/>
  <c r="AT1074" i="3"/>
  <c r="AT1071" i="3"/>
  <c r="AT1070" i="3"/>
  <c r="AT1067" i="3"/>
  <c r="AT1066" i="3"/>
  <c r="AT1063" i="3"/>
  <c r="AT1062" i="3"/>
  <c r="AT1059" i="3"/>
  <c r="AT1058" i="3"/>
  <c r="AT1055" i="3"/>
  <c r="AT1054" i="3"/>
  <c r="AT1027" i="3"/>
  <c r="AT1026" i="3"/>
  <c r="AT1010" i="3"/>
  <c r="AT1006" i="3"/>
  <c r="AT1002" i="3"/>
  <c r="AT998" i="3"/>
  <c r="AT1997" i="3"/>
  <c r="AT1993" i="3"/>
  <c r="AT1989" i="3"/>
  <c r="AT1979" i="3"/>
  <c r="AT1975" i="3"/>
  <c r="AT1971" i="3"/>
  <c r="AT1967" i="3"/>
  <c r="AT1963" i="3"/>
  <c r="AT1959" i="3"/>
  <c r="AT1953" i="3"/>
  <c r="AT1949" i="3"/>
  <c r="AT1945" i="3"/>
  <c r="AT1941" i="3"/>
  <c r="AT1937" i="3"/>
  <c r="AT1933" i="3"/>
  <c r="AT1929" i="3"/>
  <c r="AT1925" i="3"/>
  <c r="AT1921" i="3"/>
  <c r="AT1917" i="3"/>
  <c r="AT1913" i="3"/>
  <c r="AT1909" i="3"/>
  <c r="AT1903" i="3"/>
  <c r="AT1899" i="3"/>
  <c r="AT1895" i="3"/>
  <c r="AT1891" i="3"/>
  <c r="AT1887" i="3"/>
  <c r="AT1883" i="3"/>
  <c r="AT1879" i="3"/>
  <c r="AT1875" i="3"/>
  <c r="AT1871" i="3"/>
  <c r="AT1865" i="3"/>
  <c r="AT1861" i="3"/>
  <c r="AT1855" i="3"/>
  <c r="AT1851" i="3"/>
  <c r="AT1847" i="3"/>
  <c r="AT1635" i="3"/>
  <c r="AT1633" i="3"/>
  <c r="AT1631" i="3"/>
  <c r="AT1629" i="3"/>
  <c r="AT1627" i="3"/>
  <c r="AT1625" i="3"/>
  <c r="AT1623" i="3"/>
  <c r="AT1621" i="3"/>
  <c r="AT1619" i="3"/>
  <c r="AT1617" i="3"/>
  <c r="AT1615" i="3"/>
  <c r="AT1604" i="3"/>
  <c r="AT1602" i="3"/>
  <c r="AT1600" i="3"/>
  <c r="AT1598" i="3"/>
  <c r="AT1596" i="3"/>
  <c r="AT1594" i="3"/>
  <c r="AT1592" i="3"/>
  <c r="AT1567" i="3"/>
  <c r="AT1565" i="3"/>
  <c r="AT1563" i="3"/>
  <c r="AT1561" i="3"/>
  <c r="AT1559" i="3"/>
  <c r="AT1557" i="3"/>
  <c r="AT1555" i="3"/>
  <c r="AT1553" i="3"/>
  <c r="AT1551" i="3"/>
  <c r="AT1549" i="3"/>
  <c r="AT1547" i="3"/>
  <c r="AT1538" i="3"/>
  <c r="AT1536" i="3"/>
  <c r="AT1534" i="3"/>
  <c r="AT1532" i="3"/>
  <c r="AT1530" i="3"/>
  <c r="AT1528" i="3"/>
  <c r="AT1526" i="3"/>
  <c r="AT1524" i="3"/>
  <c r="AT1515" i="3"/>
  <c r="AT1513" i="3"/>
  <c r="AT1508" i="3"/>
  <c r="AT1506" i="3"/>
  <c r="AT1495" i="3"/>
  <c r="AT1493" i="3"/>
  <c r="AT1482" i="3"/>
  <c r="AT1475" i="3"/>
  <c r="AT1468" i="3"/>
  <c r="AT1466" i="3"/>
  <c r="AT1461" i="3"/>
  <c r="AT1454" i="3"/>
  <c r="AT1411" i="3"/>
  <c r="AT1409" i="3"/>
  <c r="AT1407" i="3"/>
  <c r="BA1403" i="3"/>
  <c r="BA1401" i="3"/>
  <c r="BA1399" i="3"/>
  <c r="BA1397" i="3"/>
  <c r="AT1394" i="3"/>
  <c r="AT1392" i="3"/>
  <c r="BA1388" i="3"/>
  <c r="AT1385" i="3"/>
  <c r="AT1381" i="3"/>
  <c r="AT1376" i="3"/>
  <c r="AT1372" i="3"/>
  <c r="AT1367" i="3"/>
  <c r="AT1364" i="3"/>
  <c r="AT1360" i="3"/>
  <c r="AT1356" i="3"/>
  <c r="AT1353" i="3"/>
  <c r="AT1349" i="3"/>
  <c r="AT1345" i="3"/>
  <c r="AT1341" i="3"/>
  <c r="AT1337" i="3"/>
  <c r="AT1333" i="3"/>
  <c r="AT1329" i="3"/>
  <c r="AT1325" i="3"/>
  <c r="AT1322" i="3"/>
  <c r="AT1318" i="3"/>
  <c r="AT1313" i="3"/>
  <c r="AT1308" i="3"/>
  <c r="AT1304" i="3"/>
  <c r="AT1301" i="3"/>
  <c r="AT1298" i="3"/>
  <c r="AT1294" i="3"/>
  <c r="AT1290" i="3"/>
  <c r="AT1286" i="3"/>
  <c r="AT1281" i="3"/>
  <c r="AT1277" i="3"/>
  <c r="AT1271" i="3"/>
  <c r="AT1267" i="3"/>
  <c r="AT1264" i="3"/>
  <c r="AT1261" i="3"/>
  <c r="AT1257" i="3"/>
  <c r="AT1253" i="3"/>
  <c r="AT1249" i="3"/>
  <c r="AT1245" i="3"/>
  <c r="AT1241" i="3"/>
  <c r="AT1237" i="3"/>
  <c r="AT1233" i="3"/>
  <c r="AT1229" i="3"/>
  <c r="AT1225" i="3"/>
  <c r="AT1221" i="3"/>
  <c r="AT1217" i="3"/>
  <c r="AT1214" i="3"/>
  <c r="AT1210" i="3"/>
  <c r="AT1206" i="3"/>
  <c r="AT1202" i="3"/>
  <c r="AT1198" i="3"/>
  <c r="AT1193" i="3"/>
  <c r="AT1189" i="3"/>
  <c r="AT1184" i="3"/>
  <c r="AT1179" i="3"/>
  <c r="AT1175" i="3"/>
  <c r="AT1171" i="3"/>
  <c r="AT1167" i="3"/>
  <c r="AT1163" i="3"/>
  <c r="AT1159" i="3"/>
  <c r="AT1155" i="3"/>
  <c r="AT1151" i="3"/>
  <c r="AT1147" i="3"/>
  <c r="AT1143" i="3"/>
  <c r="AT1139" i="3"/>
  <c r="AT1136" i="3"/>
  <c r="AT1132" i="3"/>
  <c r="AT1128" i="3"/>
  <c r="AT1124" i="3"/>
  <c r="AT1120" i="3"/>
  <c r="AT1116" i="3"/>
  <c r="AT1111" i="3"/>
  <c r="AT1107" i="3"/>
  <c r="AT1101" i="3"/>
  <c r="AT1097" i="3"/>
  <c r="AT1093" i="3"/>
  <c r="AT1089" i="3"/>
  <c r="AT1085" i="3"/>
  <c r="AT1081" i="3"/>
  <c r="AT1077" i="3"/>
  <c r="AT1073" i="3"/>
  <c r="AT1069" i="3"/>
  <c r="AT1065" i="3"/>
  <c r="AT1061" i="3"/>
  <c r="AT1057" i="3"/>
  <c r="AT1053" i="3"/>
  <c r="AT1048" i="3"/>
  <c r="AT1044" i="3"/>
  <c r="AT1040" i="3"/>
  <c r="AT1035" i="3"/>
  <c r="AT1030" i="3"/>
  <c r="AT1025" i="3"/>
  <c r="AT1020" i="3"/>
  <c r="AT1016" i="3"/>
  <c r="AT1012" i="3"/>
  <c r="AT1009" i="3"/>
  <c r="AT1005" i="3"/>
  <c r="AT1001" i="3"/>
  <c r="AT997" i="3"/>
  <c r="AT992" i="3"/>
  <c r="AT987" i="3"/>
  <c r="AT1999" i="3"/>
  <c r="AT1995" i="3"/>
  <c r="AT1991" i="3"/>
  <c r="AT1987" i="3"/>
  <c r="AT1985" i="3"/>
  <c r="AT1983" i="3"/>
  <c r="AT1981" i="3"/>
  <c r="AT1977" i="3"/>
  <c r="AT1973" i="3"/>
  <c r="AT1969" i="3"/>
  <c r="AT1965" i="3"/>
  <c r="AT1961" i="3"/>
  <c r="AT1957" i="3"/>
  <c r="AT1955" i="3"/>
  <c r="AT1951" i="3"/>
  <c r="AT1947" i="3"/>
  <c r="AT1943" i="3"/>
  <c r="AT1939" i="3"/>
  <c r="AT1935" i="3"/>
  <c r="AT1931" i="3"/>
  <c r="AT1927" i="3"/>
  <c r="AT1923" i="3"/>
  <c r="AT1919" i="3"/>
  <c r="AT1915" i="3"/>
  <c r="AT1911" i="3"/>
  <c r="AT1907" i="3"/>
  <c r="AT1905" i="3"/>
  <c r="AT1901" i="3"/>
  <c r="AT1897" i="3"/>
  <c r="AT1893" i="3"/>
  <c r="AT1889" i="3"/>
  <c r="AT1885" i="3"/>
  <c r="AT1881" i="3"/>
  <c r="AT1877" i="3"/>
  <c r="AT1873" i="3"/>
  <c r="AT1869" i="3"/>
  <c r="AT1867" i="3"/>
  <c r="AT1863" i="3"/>
  <c r="AT1859" i="3"/>
  <c r="AT1857" i="3"/>
  <c r="AT1853" i="3"/>
  <c r="AT1849" i="3"/>
  <c r="AT1612" i="3"/>
  <c r="AT1610" i="3"/>
  <c r="AT1608" i="3"/>
  <c r="AT1589" i="3"/>
  <c r="AT1587" i="3"/>
  <c r="AT1582" i="3"/>
  <c r="AT1580" i="3"/>
  <c r="AT1575" i="3"/>
  <c r="AT1573" i="3"/>
  <c r="AT1571" i="3"/>
  <c r="AT1544" i="3"/>
  <c r="AT1542" i="3"/>
  <c r="AT1540" i="3"/>
  <c r="AT1521" i="3"/>
  <c r="AT1519" i="3"/>
  <c r="AT1503" i="3"/>
  <c r="AT1501" i="3"/>
  <c r="AT1499" i="3"/>
  <c r="AT1490" i="3"/>
  <c r="AT1488" i="3"/>
  <c r="AT1486" i="3"/>
  <c r="AT1484" i="3"/>
  <c r="AT1479" i="3"/>
  <c r="AT1477" i="3"/>
  <c r="AT1472" i="3"/>
  <c r="AT1463" i="3"/>
  <c r="AT1458" i="3"/>
  <c r="AT1451" i="3"/>
  <c r="AT1449" i="3"/>
  <c r="AT1447" i="3"/>
  <c r="AT1445" i="3"/>
  <c r="AT1443" i="3"/>
  <c r="AT1441" i="3"/>
  <c r="AT1439" i="3"/>
  <c r="AT1437" i="3"/>
  <c r="AT1435" i="3"/>
  <c r="AT1433" i="3"/>
  <c r="AT1431" i="3"/>
  <c r="AT1429" i="3"/>
  <c r="AT1427" i="3"/>
  <c r="AT1425" i="3"/>
  <c r="AT1423" i="3"/>
  <c r="AT1421" i="3"/>
  <c r="AT1419" i="3"/>
  <c r="AT1417" i="3"/>
  <c r="AT1415" i="3"/>
  <c r="AT1413" i="3"/>
  <c r="AT1404" i="3"/>
  <c r="AT1402" i="3"/>
  <c r="AT1400" i="3"/>
  <c r="AT1398" i="3"/>
  <c r="BA1396" i="3"/>
  <c r="BA1394" i="3"/>
  <c r="BA1392" i="3"/>
  <c r="AT1389" i="3"/>
  <c r="AT1387" i="3"/>
  <c r="AT1384" i="3"/>
  <c r="AT1380" i="3"/>
  <c r="AT1375" i="3"/>
  <c r="AT1371" i="3"/>
  <c r="AT1366" i="3"/>
  <c r="AT1363" i="3"/>
  <c r="AT1355" i="3"/>
  <c r="AT1352" i="3"/>
  <c r="AT1348" i="3"/>
  <c r="AT1344" i="3"/>
  <c r="AT1340" i="3"/>
  <c r="AT1336" i="3"/>
  <c r="AT1332" i="3"/>
  <c r="AT1328" i="3"/>
  <c r="AT1321" i="3"/>
  <c r="AT1316" i="3"/>
  <c r="AT1312" i="3"/>
  <c r="AT1307" i="3"/>
  <c r="AT1300" i="3"/>
  <c r="AT1297" i="3"/>
  <c r="AT1293" i="3"/>
  <c r="AT1289" i="3"/>
  <c r="AT1285" i="3"/>
  <c r="AT1280" i="3"/>
  <c r="AT1276" i="3"/>
  <c r="AT1274" i="3"/>
  <c r="AT1270" i="3"/>
  <c r="AT1266" i="3"/>
  <c r="AT1263" i="3"/>
  <c r="AT1260" i="3"/>
  <c r="AT1256" i="3"/>
  <c r="AT1252" i="3"/>
  <c r="AT1248" i="3"/>
  <c r="AT1244" i="3"/>
  <c r="AT1240" i="3"/>
  <c r="AT1236" i="3"/>
  <c r="AT1232" i="3"/>
  <c r="AT1228" i="3"/>
  <c r="AT1224" i="3"/>
  <c r="AT1220" i="3"/>
  <c r="AT1216" i="3"/>
  <c r="AT1213" i="3"/>
  <c r="AT1209" i="3"/>
  <c r="AT1205" i="3"/>
  <c r="AT1201" i="3"/>
  <c r="AT1197" i="3"/>
  <c r="AT1192" i="3"/>
  <c r="AT1188" i="3"/>
  <c r="AT1183" i="3"/>
  <c r="AT1178" i="3"/>
  <c r="AT1174" i="3"/>
  <c r="AT1170" i="3"/>
  <c r="AT1166" i="3"/>
  <c r="AT1162" i="3"/>
  <c r="AT1158" i="3"/>
  <c r="AT1154" i="3"/>
  <c r="AT1150" i="3"/>
  <c r="AT1146" i="3"/>
  <c r="AT1142" i="3"/>
  <c r="AT1138" i="3"/>
  <c r="AT1135" i="3"/>
  <c r="AT1131" i="3"/>
  <c r="AT1127" i="3"/>
  <c r="AT1123" i="3"/>
  <c r="AT1119" i="3"/>
  <c r="AT1115" i="3"/>
  <c r="AT1110" i="3"/>
  <c r="AT1105" i="3"/>
  <c r="AT1100" i="3"/>
  <c r="AT1096" i="3"/>
  <c r="AT1092" i="3"/>
  <c r="AT1088" i="3"/>
  <c r="AT1084" i="3"/>
  <c r="AT1080" i="3"/>
  <c r="AT1076" i="3"/>
  <c r="AT1072" i="3"/>
  <c r="AT1068" i="3"/>
  <c r="AT1064" i="3"/>
  <c r="AT1060" i="3"/>
  <c r="AT1056" i="3"/>
  <c r="AT1052" i="3"/>
  <c r="AT1047" i="3"/>
  <c r="AT1043" i="3"/>
  <c r="AT1038" i="3"/>
  <c r="AT1034" i="3"/>
  <c r="AT1029" i="3"/>
  <c r="AT1023" i="3"/>
  <c r="AT1019" i="3"/>
  <c r="AT1015" i="3"/>
  <c r="AT1011" i="3"/>
  <c r="AT1008" i="3"/>
  <c r="AT1004" i="3"/>
  <c r="AT1000" i="3"/>
  <c r="AT996" i="3"/>
  <c r="AT991" i="3"/>
  <c r="AT986" i="3"/>
  <c r="AT1936" i="3"/>
  <c r="AT1934" i="3"/>
  <c r="AT1932" i="3"/>
  <c r="AT1930" i="3"/>
  <c r="AT1928" i="3"/>
  <c r="AT1926" i="3"/>
  <c r="AT1924" i="3"/>
  <c r="AT1922" i="3"/>
  <c r="AT1920" i="3"/>
  <c r="AT1918" i="3"/>
  <c r="AT1916" i="3"/>
  <c r="AT1914" i="3"/>
  <c r="AT1912" i="3"/>
  <c r="AT1910" i="3"/>
  <c r="AT1908" i="3"/>
  <c r="AT1906" i="3"/>
  <c r="AT1904" i="3"/>
  <c r="AT1902" i="3"/>
  <c r="AT1900" i="3"/>
  <c r="AT1898" i="3"/>
  <c r="AT1896" i="3"/>
  <c r="AT1894" i="3"/>
  <c r="AT1892" i="3"/>
  <c r="AT1890" i="3"/>
  <c r="AT1888" i="3"/>
  <c r="AT1886" i="3"/>
  <c r="AT1884" i="3"/>
  <c r="AT1882" i="3"/>
  <c r="AT1880" i="3"/>
  <c r="AT1878" i="3"/>
  <c r="AT1876" i="3"/>
  <c r="AT1874" i="3"/>
  <c r="AT1872" i="3"/>
  <c r="AT1870" i="3"/>
  <c r="AT1868" i="3"/>
  <c r="AT1866" i="3"/>
  <c r="AT1864" i="3"/>
  <c r="AT1862" i="3"/>
  <c r="AT1860" i="3"/>
  <c r="AT1858" i="3"/>
  <c r="AT1856" i="3"/>
  <c r="AT1854" i="3"/>
  <c r="AT1852" i="3"/>
  <c r="AT1850" i="3"/>
  <c r="AT1848" i="3"/>
  <c r="AT1846" i="3"/>
  <c r="AT1844" i="3"/>
  <c r="AT1842" i="3"/>
  <c r="AT1840" i="3"/>
  <c r="AT1838" i="3"/>
  <c r="AT1836" i="3"/>
  <c r="AT1834" i="3"/>
  <c r="AT1832" i="3"/>
  <c r="AT1830" i="3"/>
  <c r="AT1828" i="3"/>
  <c r="AT1826" i="3"/>
  <c r="AT1824" i="3"/>
  <c r="AT1822" i="3"/>
  <c r="AT1820" i="3"/>
  <c r="AT1818" i="3"/>
  <c r="AT1816" i="3"/>
  <c r="AT1814" i="3"/>
  <c r="AT1812" i="3"/>
  <c r="AT1810" i="3"/>
  <c r="AT1808" i="3"/>
  <c r="AT1806" i="3"/>
  <c r="AT1804" i="3"/>
  <c r="AT1802" i="3"/>
  <c r="AT1800" i="3"/>
  <c r="AT1798" i="3"/>
  <c r="AT1796" i="3"/>
  <c r="AT1794" i="3"/>
  <c r="AT1792" i="3"/>
  <c r="AT1790" i="3"/>
  <c r="AT1788" i="3"/>
  <c r="AT1786" i="3"/>
  <c r="AT1784" i="3"/>
  <c r="AT1782" i="3"/>
  <c r="AT1780" i="3"/>
  <c r="AT1778" i="3"/>
  <c r="AT1776" i="3"/>
  <c r="AT1774" i="3"/>
  <c r="AT1772" i="3"/>
  <c r="AT1770" i="3"/>
  <c r="AT1768" i="3"/>
  <c r="AT1766" i="3"/>
  <c r="AT1764" i="3"/>
  <c r="AT1762" i="3"/>
  <c r="AT1760" i="3"/>
  <c r="AT1758" i="3"/>
  <c r="AT1756" i="3"/>
  <c r="AT1754" i="3"/>
  <c r="AT1752" i="3"/>
  <c r="AT1750" i="3"/>
  <c r="AT1748" i="3"/>
  <c r="AT1746" i="3"/>
  <c r="AT1744" i="3"/>
  <c r="AT1742" i="3"/>
  <c r="AT1740" i="3"/>
  <c r="AT1738" i="3"/>
  <c r="AT1736" i="3"/>
  <c r="AT1734" i="3"/>
  <c r="AT1732" i="3"/>
  <c r="AT1730" i="3"/>
  <c r="AT1728" i="3"/>
  <c r="AT1726" i="3"/>
  <c r="AT1724" i="3"/>
  <c r="AT1722" i="3"/>
  <c r="AT1720" i="3"/>
  <c r="AT1718" i="3"/>
  <c r="AT1716" i="3"/>
  <c r="AT1714" i="3"/>
  <c r="AT1712" i="3"/>
  <c r="AT1710" i="3"/>
  <c r="AT1708" i="3"/>
  <c r="AT1706" i="3"/>
  <c r="AT1704" i="3"/>
  <c r="AT1702" i="3"/>
  <c r="AT1700" i="3"/>
  <c r="AT1698" i="3"/>
  <c r="AT1696" i="3"/>
  <c r="AT1694" i="3"/>
  <c r="AT1692" i="3"/>
  <c r="AT1690" i="3"/>
  <c r="AT1688" i="3"/>
  <c r="AT1686" i="3"/>
  <c r="AT1684" i="3"/>
  <c r="AT1682" i="3"/>
  <c r="AT1680" i="3"/>
  <c r="AT1678" i="3"/>
  <c r="AT1676" i="3"/>
  <c r="AT1674" i="3"/>
  <c r="AT1672" i="3"/>
  <c r="AT1670" i="3"/>
  <c r="AT1668" i="3"/>
  <c r="AT1666" i="3"/>
  <c r="AT1664" i="3"/>
  <c r="AT1662" i="3"/>
  <c r="AT1660" i="3"/>
  <c r="AT1658" i="3"/>
  <c r="AT1656" i="3"/>
  <c r="AT1654" i="3"/>
  <c r="AT1652" i="3"/>
  <c r="AT1650" i="3"/>
  <c r="AT1648" i="3"/>
  <c r="AT1646" i="3"/>
  <c r="AT1644" i="3"/>
  <c r="AT1642" i="3"/>
  <c r="AT1640" i="3"/>
  <c r="AT1638" i="3"/>
  <c r="AT1636" i="3"/>
  <c r="AT1634" i="3"/>
  <c r="AT1632" i="3"/>
  <c r="AT1630" i="3"/>
  <c r="AT1628" i="3"/>
  <c r="AT1626" i="3"/>
  <c r="AT1624" i="3"/>
  <c r="AT1622" i="3"/>
  <c r="AT1620" i="3"/>
  <c r="AT1618" i="3"/>
  <c r="AT1616" i="3"/>
  <c r="AT1614" i="3"/>
  <c r="AT1605" i="3"/>
  <c r="AT1603" i="3"/>
  <c r="AT1601" i="3"/>
  <c r="AT1599" i="3"/>
  <c r="AT1597" i="3"/>
  <c r="AT1595" i="3"/>
  <c r="AT1593" i="3"/>
  <c r="AT1591" i="3"/>
  <c r="AT1584" i="3"/>
  <c r="AT1577" i="3"/>
  <c r="AT1568" i="3"/>
  <c r="AT1566" i="3"/>
  <c r="AT1564" i="3"/>
  <c r="AT1562" i="3"/>
  <c r="AT1560" i="3"/>
  <c r="AT1558" i="3"/>
  <c r="AT1556" i="3"/>
  <c r="AT1554" i="3"/>
  <c r="AT1552" i="3"/>
  <c r="AT1550" i="3"/>
  <c r="AT1548" i="3"/>
  <c r="AT1537" i="3"/>
  <c r="AT1535" i="3"/>
  <c r="AT1533" i="3"/>
  <c r="AT1531" i="3"/>
  <c r="AT1529" i="3"/>
  <c r="AT1527" i="3"/>
  <c r="AT1525" i="3"/>
  <c r="AT1516" i="3"/>
  <c r="AT1514" i="3"/>
  <c r="AT1509" i="3"/>
  <c r="AT1507" i="3"/>
  <c r="AT1496" i="3"/>
  <c r="AT1494" i="3"/>
  <c r="AT1481" i="3"/>
  <c r="AT1469" i="3"/>
  <c r="AT1467" i="3"/>
  <c r="AT1460" i="3"/>
  <c r="AT1455" i="3"/>
  <c r="AT1410" i="3"/>
  <c r="AT1408" i="3"/>
  <c r="AT1395" i="3"/>
  <c r="AT1393" i="3"/>
  <c r="AT1391" i="3"/>
  <c r="AT1359" i="3"/>
  <c r="AT1324" i="3"/>
  <c r="AT1303" i="3"/>
  <c r="AT1299" i="3"/>
  <c r="AT1296" i="3"/>
  <c r="AT1292" i="3"/>
  <c r="AT1288" i="3"/>
  <c r="AT1284" i="3"/>
  <c r="AT1279" i="3"/>
  <c r="AT1269" i="3"/>
  <c r="AT1259" i="3"/>
  <c r="AT1255" i="3"/>
  <c r="AT1251" i="3"/>
  <c r="AT1247" i="3"/>
  <c r="AT1239" i="3"/>
  <c r="AT1235" i="3"/>
  <c r="AT1018" i="3"/>
  <c r="AT1007" i="3"/>
  <c r="AT1003" i="3"/>
  <c r="AT999" i="3"/>
  <c r="AT994" i="3"/>
  <c r="AT990" i="3"/>
  <c r="J2000" i="3"/>
  <c r="J1999" i="3"/>
  <c r="M2000" i="3"/>
  <c r="K2000" i="3"/>
  <c r="N2000" i="3"/>
  <c r="M1999" i="3"/>
  <c r="L1999" i="3"/>
  <c r="N1999" i="3"/>
  <c r="O2000" i="3"/>
  <c r="Q2000" i="3" s="1"/>
  <c r="L2000" i="3"/>
  <c r="K1999" i="3"/>
  <c r="O1999" i="3"/>
  <c r="Q1999" i="3" s="1"/>
  <c r="H1051" i="3"/>
  <c r="AU1051" i="3" s="1"/>
  <c r="I1051" i="3" s="1"/>
  <c r="AT1051" i="3" s="1"/>
  <c r="H1031" i="3"/>
  <c r="AU1031" i="3" s="1"/>
  <c r="I1031" i="3" s="1"/>
  <c r="AT1031" i="3" s="1"/>
  <c r="H1028" i="3"/>
  <c r="AU1028" i="3" s="1"/>
  <c r="I1028" i="3" s="1"/>
  <c r="AT1028" i="3" s="1"/>
  <c r="H1024" i="3"/>
  <c r="AU1024" i="3" s="1"/>
  <c r="I1024" i="3" s="1"/>
  <c r="AT1024" i="3" s="1"/>
  <c r="H984" i="3"/>
  <c r="AU984" i="3" s="1"/>
  <c r="I984" i="3" s="1"/>
  <c r="AT984" i="3" s="1"/>
  <c r="P1999" i="3" l="1"/>
  <c r="P2000" i="3"/>
  <c r="B980" i="3"/>
  <c r="C980" i="3"/>
  <c r="D980" i="3" s="1"/>
  <c r="G980" i="3"/>
  <c r="B981" i="3"/>
  <c r="C981" i="3"/>
  <c r="D981" i="3" s="1"/>
  <c r="G981" i="3"/>
  <c r="B982" i="3"/>
  <c r="C982" i="3"/>
  <c r="D982" i="3" s="1"/>
  <c r="G982" i="3"/>
  <c r="B6" i="3" l="1"/>
  <c r="C6" i="3"/>
  <c r="D6" i="3" s="1"/>
  <c r="G6" i="3"/>
  <c r="H6" i="3"/>
  <c r="AU6" i="3" s="1"/>
  <c r="I6" i="3" s="1"/>
  <c r="B7" i="3"/>
  <c r="C7" i="3"/>
  <c r="D7" i="3" s="1"/>
  <c r="G7" i="3"/>
  <c r="H7" i="3"/>
  <c r="AU7" i="3" s="1"/>
  <c r="I7" i="3" s="1"/>
  <c r="B8" i="3"/>
  <c r="C8" i="3"/>
  <c r="D8" i="3" s="1"/>
  <c r="G8" i="3"/>
  <c r="H8" i="3"/>
  <c r="AU8" i="3" s="1"/>
  <c r="I8" i="3" s="1"/>
  <c r="B9" i="3"/>
  <c r="C9" i="3"/>
  <c r="D9" i="3" s="1"/>
  <c r="G9" i="3"/>
  <c r="H9" i="3"/>
  <c r="AU9" i="3" s="1"/>
  <c r="I9" i="3" s="1"/>
  <c r="B10" i="3"/>
  <c r="C10" i="3"/>
  <c r="D10" i="3" s="1"/>
  <c r="G10" i="3"/>
  <c r="H10" i="3"/>
  <c r="AU10" i="3" s="1"/>
  <c r="I10" i="3" s="1"/>
  <c r="B11" i="3"/>
  <c r="C11" i="3"/>
  <c r="D11" i="3" s="1"/>
  <c r="G11" i="3"/>
  <c r="H11" i="3"/>
  <c r="AU11" i="3" s="1"/>
  <c r="I11" i="3" s="1"/>
  <c r="B12" i="3"/>
  <c r="C12" i="3"/>
  <c r="D12" i="3" s="1"/>
  <c r="G12" i="3"/>
  <c r="H12" i="3"/>
  <c r="AU12" i="3" s="1"/>
  <c r="I12" i="3" s="1"/>
  <c r="B13" i="3"/>
  <c r="C13" i="3"/>
  <c r="D13" i="3" s="1"/>
  <c r="G13" i="3"/>
  <c r="H13" i="3"/>
  <c r="AU13" i="3" s="1"/>
  <c r="I13" i="3" s="1"/>
  <c r="B14" i="3"/>
  <c r="C14" i="3"/>
  <c r="D14" i="3" s="1"/>
  <c r="G14" i="3"/>
  <c r="H14" i="3"/>
  <c r="AU14" i="3" s="1"/>
  <c r="I14" i="3" s="1"/>
  <c r="B15" i="3"/>
  <c r="C15" i="3"/>
  <c r="D15" i="3" s="1"/>
  <c r="G15" i="3"/>
  <c r="H15" i="3"/>
  <c r="AU15" i="3" s="1"/>
  <c r="I15" i="3" s="1"/>
  <c r="B16" i="3"/>
  <c r="C16" i="3"/>
  <c r="D16" i="3" s="1"/>
  <c r="G16" i="3"/>
  <c r="H16" i="3"/>
  <c r="AU16" i="3" s="1"/>
  <c r="I16" i="3" s="1"/>
  <c r="B17" i="3"/>
  <c r="C17" i="3"/>
  <c r="D17" i="3" s="1"/>
  <c r="G17" i="3"/>
  <c r="H17" i="3"/>
  <c r="AU17" i="3" s="1"/>
  <c r="I17" i="3" s="1"/>
  <c r="B18" i="3"/>
  <c r="C18" i="3"/>
  <c r="D18" i="3" s="1"/>
  <c r="G18" i="3"/>
  <c r="H18" i="3"/>
  <c r="AU18" i="3" s="1"/>
  <c r="I18" i="3" s="1"/>
  <c r="B19" i="3"/>
  <c r="C19" i="3"/>
  <c r="D19" i="3" s="1"/>
  <c r="G19" i="3"/>
  <c r="H19" i="3"/>
  <c r="AU19" i="3" s="1"/>
  <c r="I19" i="3" s="1"/>
  <c r="B20" i="3"/>
  <c r="C20" i="3"/>
  <c r="D20" i="3" s="1"/>
  <c r="G20" i="3"/>
  <c r="H20" i="3"/>
  <c r="AU20" i="3" s="1"/>
  <c r="I20" i="3" s="1"/>
  <c r="B21" i="3"/>
  <c r="C21" i="3"/>
  <c r="D21" i="3" s="1"/>
  <c r="G21" i="3"/>
  <c r="H21" i="3"/>
  <c r="AU21" i="3" s="1"/>
  <c r="I21" i="3" s="1"/>
  <c r="B22" i="3"/>
  <c r="C22" i="3"/>
  <c r="D22" i="3" s="1"/>
  <c r="G22" i="3"/>
  <c r="H22" i="3"/>
  <c r="AU22" i="3" s="1"/>
  <c r="I22" i="3" s="1"/>
  <c r="B23" i="3"/>
  <c r="C23" i="3"/>
  <c r="D23" i="3" s="1"/>
  <c r="G23" i="3"/>
  <c r="H23" i="3"/>
  <c r="AU23" i="3" s="1"/>
  <c r="I23" i="3" s="1"/>
  <c r="B24" i="3"/>
  <c r="C24" i="3"/>
  <c r="D24" i="3" s="1"/>
  <c r="G24" i="3"/>
  <c r="H24" i="3"/>
  <c r="AU24" i="3" s="1"/>
  <c r="I24" i="3" s="1"/>
  <c r="B25" i="3"/>
  <c r="C25" i="3"/>
  <c r="D25" i="3" s="1"/>
  <c r="G25" i="3"/>
  <c r="H25" i="3"/>
  <c r="AU25" i="3" s="1"/>
  <c r="I25" i="3" s="1"/>
  <c r="B26" i="3"/>
  <c r="C26" i="3"/>
  <c r="D26" i="3" s="1"/>
  <c r="G26" i="3"/>
  <c r="H26" i="3"/>
  <c r="AU26" i="3" s="1"/>
  <c r="I26" i="3" s="1"/>
  <c r="B27" i="3"/>
  <c r="C27" i="3"/>
  <c r="D27" i="3" s="1"/>
  <c r="G27" i="3"/>
  <c r="H27" i="3"/>
  <c r="AU27" i="3" s="1"/>
  <c r="I27" i="3" s="1"/>
  <c r="B28" i="3"/>
  <c r="C28" i="3"/>
  <c r="D28" i="3" s="1"/>
  <c r="G28" i="3"/>
  <c r="H28" i="3"/>
  <c r="AU28" i="3" s="1"/>
  <c r="I28" i="3" s="1"/>
  <c r="B29" i="3"/>
  <c r="C29" i="3"/>
  <c r="D29" i="3" s="1"/>
  <c r="G29" i="3"/>
  <c r="B30" i="3"/>
  <c r="C30" i="3"/>
  <c r="D30" i="3" s="1"/>
  <c r="G30" i="3"/>
  <c r="H30" i="3"/>
  <c r="AU30" i="3" s="1"/>
  <c r="I30" i="3" s="1"/>
  <c r="B31" i="3"/>
  <c r="C31" i="3"/>
  <c r="D31" i="3" s="1"/>
  <c r="G31" i="3"/>
  <c r="H31" i="3"/>
  <c r="AU31" i="3" s="1"/>
  <c r="I31" i="3" s="1"/>
  <c r="B32" i="3"/>
  <c r="C32" i="3"/>
  <c r="D32" i="3" s="1"/>
  <c r="G32" i="3"/>
  <c r="H32" i="3"/>
  <c r="AU32" i="3" s="1"/>
  <c r="I32" i="3" s="1"/>
  <c r="B33" i="3"/>
  <c r="C33" i="3"/>
  <c r="D33" i="3" s="1"/>
  <c r="G33" i="3"/>
  <c r="H33" i="3"/>
  <c r="AU33" i="3" s="1"/>
  <c r="I33" i="3" s="1"/>
  <c r="B34" i="3"/>
  <c r="C34" i="3"/>
  <c r="D34" i="3" s="1"/>
  <c r="G34" i="3"/>
  <c r="H34" i="3"/>
  <c r="AU34" i="3" s="1"/>
  <c r="I34" i="3" s="1"/>
  <c r="B35" i="3"/>
  <c r="C35" i="3"/>
  <c r="D35" i="3" s="1"/>
  <c r="G35" i="3"/>
  <c r="H35" i="3"/>
  <c r="AU35" i="3" s="1"/>
  <c r="I35" i="3" s="1"/>
  <c r="B36" i="3"/>
  <c r="C36" i="3"/>
  <c r="D36" i="3" s="1"/>
  <c r="G36" i="3"/>
  <c r="H36" i="3"/>
  <c r="AU36" i="3" s="1"/>
  <c r="I36" i="3" s="1"/>
  <c r="B37" i="3"/>
  <c r="C37" i="3"/>
  <c r="D37" i="3" s="1"/>
  <c r="G37" i="3"/>
  <c r="H37" i="3"/>
  <c r="AU37" i="3" s="1"/>
  <c r="I37" i="3" s="1"/>
  <c r="B38" i="3"/>
  <c r="C38" i="3"/>
  <c r="D38" i="3" s="1"/>
  <c r="G38" i="3"/>
  <c r="H38" i="3"/>
  <c r="AU38" i="3" s="1"/>
  <c r="I38" i="3" s="1"/>
  <c r="B39" i="3"/>
  <c r="C39" i="3"/>
  <c r="D39" i="3" s="1"/>
  <c r="G39" i="3"/>
  <c r="H39" i="3"/>
  <c r="AU39" i="3" s="1"/>
  <c r="I39" i="3" s="1"/>
  <c r="B40" i="3"/>
  <c r="C40" i="3"/>
  <c r="D40" i="3" s="1"/>
  <c r="G40" i="3"/>
  <c r="H40" i="3"/>
  <c r="AU40" i="3" s="1"/>
  <c r="I40" i="3" s="1"/>
  <c r="B41" i="3"/>
  <c r="C41" i="3"/>
  <c r="D41" i="3" s="1"/>
  <c r="G41" i="3"/>
  <c r="H41" i="3"/>
  <c r="AU41" i="3" s="1"/>
  <c r="I41" i="3" s="1"/>
  <c r="B42" i="3"/>
  <c r="C42" i="3"/>
  <c r="D42" i="3" s="1"/>
  <c r="G42" i="3"/>
  <c r="H42" i="3"/>
  <c r="AU42" i="3" s="1"/>
  <c r="I42" i="3" s="1"/>
  <c r="B43" i="3"/>
  <c r="C43" i="3"/>
  <c r="D43" i="3" s="1"/>
  <c r="G43" i="3"/>
  <c r="H43" i="3"/>
  <c r="AU43" i="3" s="1"/>
  <c r="I43" i="3" s="1"/>
  <c r="B44" i="3"/>
  <c r="C44" i="3"/>
  <c r="D44" i="3" s="1"/>
  <c r="G44" i="3"/>
  <c r="H44" i="3"/>
  <c r="AU44" i="3" s="1"/>
  <c r="I44" i="3" s="1"/>
  <c r="B45" i="3"/>
  <c r="C45" i="3"/>
  <c r="D45" i="3" s="1"/>
  <c r="G45" i="3"/>
  <c r="H45" i="3"/>
  <c r="AU45" i="3" s="1"/>
  <c r="I45" i="3" s="1"/>
  <c r="B46" i="3"/>
  <c r="C46" i="3"/>
  <c r="D46" i="3" s="1"/>
  <c r="G46" i="3"/>
  <c r="H46" i="3"/>
  <c r="AU46" i="3" s="1"/>
  <c r="I46" i="3" s="1"/>
  <c r="B47" i="3"/>
  <c r="C47" i="3"/>
  <c r="D47" i="3" s="1"/>
  <c r="G47" i="3"/>
  <c r="H47" i="3"/>
  <c r="AU47" i="3" s="1"/>
  <c r="I47" i="3" s="1"/>
  <c r="B48" i="3"/>
  <c r="C48" i="3"/>
  <c r="D48" i="3" s="1"/>
  <c r="G48" i="3"/>
  <c r="H48" i="3"/>
  <c r="AU48" i="3" s="1"/>
  <c r="I48" i="3" s="1"/>
  <c r="B49" i="3"/>
  <c r="C49" i="3"/>
  <c r="D49" i="3" s="1"/>
  <c r="G49" i="3"/>
  <c r="H49" i="3"/>
  <c r="AU49" i="3" s="1"/>
  <c r="I49" i="3" s="1"/>
  <c r="B50" i="3"/>
  <c r="C50" i="3"/>
  <c r="D50" i="3" s="1"/>
  <c r="G50" i="3"/>
  <c r="H50" i="3"/>
  <c r="AU50" i="3" s="1"/>
  <c r="I50" i="3" s="1"/>
  <c r="B51" i="3"/>
  <c r="C51" i="3"/>
  <c r="D51" i="3" s="1"/>
  <c r="G51" i="3"/>
  <c r="H51" i="3"/>
  <c r="AU51" i="3" s="1"/>
  <c r="I51" i="3" s="1"/>
  <c r="B52" i="3"/>
  <c r="C52" i="3"/>
  <c r="D52" i="3" s="1"/>
  <c r="G52" i="3"/>
  <c r="H52" i="3"/>
  <c r="AU52" i="3" s="1"/>
  <c r="I52" i="3" s="1"/>
  <c r="B53" i="3"/>
  <c r="C53" i="3"/>
  <c r="D53" i="3" s="1"/>
  <c r="G53" i="3"/>
  <c r="H53" i="3"/>
  <c r="AU53" i="3" s="1"/>
  <c r="I53" i="3" s="1"/>
  <c r="B54" i="3"/>
  <c r="C54" i="3"/>
  <c r="D54" i="3" s="1"/>
  <c r="G54" i="3"/>
  <c r="H54" i="3"/>
  <c r="AU54" i="3" s="1"/>
  <c r="I54" i="3" s="1"/>
  <c r="B55" i="3"/>
  <c r="C55" i="3"/>
  <c r="G55" i="3"/>
  <c r="H55" i="3"/>
  <c r="AU55" i="3" s="1"/>
  <c r="I55" i="3" s="1"/>
  <c r="B56" i="3"/>
  <c r="C56" i="3"/>
  <c r="G56" i="3"/>
  <c r="H56" i="3"/>
  <c r="AU56" i="3" s="1"/>
  <c r="I56" i="3" s="1"/>
  <c r="B57" i="3"/>
  <c r="C57" i="3"/>
  <c r="D57" i="3" s="1"/>
  <c r="G57" i="3"/>
  <c r="H57" i="3"/>
  <c r="AU57" i="3" s="1"/>
  <c r="I57" i="3" s="1"/>
  <c r="B58" i="3"/>
  <c r="C58" i="3"/>
  <c r="D58" i="3" s="1"/>
  <c r="G58" i="3"/>
  <c r="H58" i="3"/>
  <c r="AU58" i="3" s="1"/>
  <c r="I58" i="3" s="1"/>
  <c r="B59" i="3"/>
  <c r="C59" i="3"/>
  <c r="D59" i="3" s="1"/>
  <c r="G59" i="3"/>
  <c r="H59" i="3"/>
  <c r="AU59" i="3" s="1"/>
  <c r="I59" i="3" s="1"/>
  <c r="B60" i="3"/>
  <c r="C60" i="3"/>
  <c r="D60" i="3" s="1"/>
  <c r="G60" i="3"/>
  <c r="H60" i="3"/>
  <c r="AU60" i="3" s="1"/>
  <c r="I60" i="3" s="1"/>
  <c r="B61" i="3"/>
  <c r="C61" i="3"/>
  <c r="D61" i="3" s="1"/>
  <c r="G61" i="3"/>
  <c r="H61" i="3"/>
  <c r="AU61" i="3" s="1"/>
  <c r="I61" i="3" s="1"/>
  <c r="B62" i="3"/>
  <c r="C62" i="3"/>
  <c r="D62" i="3" s="1"/>
  <c r="G62" i="3"/>
  <c r="H62" i="3"/>
  <c r="AU62" i="3" s="1"/>
  <c r="I62" i="3" s="1"/>
  <c r="B63" i="3"/>
  <c r="C63" i="3"/>
  <c r="D63" i="3" s="1"/>
  <c r="G63" i="3"/>
  <c r="H63" i="3"/>
  <c r="AU63" i="3" s="1"/>
  <c r="I63" i="3" s="1"/>
  <c r="B64" i="3"/>
  <c r="C64" i="3"/>
  <c r="D64" i="3" s="1"/>
  <c r="G64" i="3"/>
  <c r="H64" i="3"/>
  <c r="AU64" i="3" s="1"/>
  <c r="I64" i="3" s="1"/>
  <c r="B65" i="3"/>
  <c r="C65" i="3"/>
  <c r="D65" i="3" s="1"/>
  <c r="G65" i="3"/>
  <c r="H65" i="3"/>
  <c r="AU65" i="3" s="1"/>
  <c r="I65" i="3" s="1"/>
  <c r="B66" i="3"/>
  <c r="C66" i="3"/>
  <c r="D66" i="3" s="1"/>
  <c r="G66" i="3"/>
  <c r="H66" i="3"/>
  <c r="AU66" i="3" s="1"/>
  <c r="I66" i="3" s="1"/>
  <c r="B67" i="3"/>
  <c r="C67" i="3"/>
  <c r="D67" i="3" s="1"/>
  <c r="G67" i="3"/>
  <c r="B68" i="3"/>
  <c r="C68" i="3"/>
  <c r="D68" i="3" s="1"/>
  <c r="G68" i="3"/>
  <c r="H68" i="3"/>
  <c r="AU68" i="3" s="1"/>
  <c r="I68" i="3" s="1"/>
  <c r="B69" i="3"/>
  <c r="C69" i="3"/>
  <c r="D69" i="3" s="1"/>
  <c r="G69" i="3"/>
  <c r="B70" i="3"/>
  <c r="C70" i="3"/>
  <c r="D70" i="3" s="1"/>
  <c r="G70" i="3"/>
  <c r="H70" i="3"/>
  <c r="AU70" i="3" s="1"/>
  <c r="I70" i="3" s="1"/>
  <c r="B71" i="3"/>
  <c r="C71" i="3"/>
  <c r="D71" i="3" s="1"/>
  <c r="G71" i="3"/>
  <c r="H71" i="3"/>
  <c r="AU71" i="3" s="1"/>
  <c r="I71" i="3" s="1"/>
  <c r="B72" i="3"/>
  <c r="C72" i="3"/>
  <c r="D72" i="3" s="1"/>
  <c r="G72" i="3"/>
  <c r="B73" i="3"/>
  <c r="C73" i="3"/>
  <c r="D73" i="3" s="1"/>
  <c r="G73" i="3"/>
  <c r="H73" i="3"/>
  <c r="AU73" i="3" s="1"/>
  <c r="I73" i="3" s="1"/>
  <c r="B74" i="3"/>
  <c r="C74" i="3"/>
  <c r="D74" i="3" s="1"/>
  <c r="G74" i="3"/>
  <c r="H74" i="3"/>
  <c r="AU74" i="3" s="1"/>
  <c r="I74" i="3" s="1"/>
  <c r="B75" i="3"/>
  <c r="C75" i="3"/>
  <c r="D75" i="3" s="1"/>
  <c r="G75" i="3"/>
  <c r="H75" i="3"/>
  <c r="AU75" i="3" s="1"/>
  <c r="I75" i="3" s="1"/>
  <c r="B76" i="3"/>
  <c r="C76" i="3"/>
  <c r="D76" i="3" s="1"/>
  <c r="G76" i="3"/>
  <c r="H76" i="3"/>
  <c r="AU76" i="3" s="1"/>
  <c r="I76" i="3" s="1"/>
  <c r="B77" i="3"/>
  <c r="C77" i="3"/>
  <c r="D77" i="3" s="1"/>
  <c r="G77" i="3"/>
  <c r="H77" i="3"/>
  <c r="AU77" i="3" s="1"/>
  <c r="I77" i="3" s="1"/>
  <c r="B78" i="3"/>
  <c r="C78" i="3"/>
  <c r="D78" i="3" s="1"/>
  <c r="G78" i="3"/>
  <c r="H78" i="3"/>
  <c r="AU78" i="3" s="1"/>
  <c r="I78" i="3" s="1"/>
  <c r="B79" i="3"/>
  <c r="C79" i="3"/>
  <c r="D79" i="3" s="1"/>
  <c r="G79" i="3"/>
  <c r="H79" i="3"/>
  <c r="AU79" i="3" s="1"/>
  <c r="I79" i="3" s="1"/>
  <c r="B80" i="3"/>
  <c r="C80" i="3"/>
  <c r="D80" i="3" s="1"/>
  <c r="G80" i="3"/>
  <c r="H80" i="3"/>
  <c r="AU80" i="3" s="1"/>
  <c r="I80" i="3" s="1"/>
  <c r="B81" i="3"/>
  <c r="C81" i="3"/>
  <c r="D81" i="3" s="1"/>
  <c r="G81" i="3"/>
  <c r="H81" i="3"/>
  <c r="AU81" i="3" s="1"/>
  <c r="I81" i="3" s="1"/>
  <c r="B82" i="3"/>
  <c r="C82" i="3"/>
  <c r="D82" i="3" s="1"/>
  <c r="G82" i="3"/>
  <c r="H82" i="3"/>
  <c r="AU82" i="3" s="1"/>
  <c r="I82" i="3" s="1"/>
  <c r="B83" i="3"/>
  <c r="C83" i="3"/>
  <c r="D83" i="3" s="1"/>
  <c r="G83" i="3"/>
  <c r="H83" i="3"/>
  <c r="AU83" i="3" s="1"/>
  <c r="I83" i="3" s="1"/>
  <c r="B84" i="3"/>
  <c r="C84" i="3"/>
  <c r="D84" i="3" s="1"/>
  <c r="G84" i="3"/>
  <c r="H84" i="3"/>
  <c r="AU84" i="3" s="1"/>
  <c r="I84" i="3" s="1"/>
  <c r="B85" i="3"/>
  <c r="C85" i="3"/>
  <c r="D85" i="3" s="1"/>
  <c r="G85" i="3"/>
  <c r="H85" i="3"/>
  <c r="AU85" i="3" s="1"/>
  <c r="I85" i="3" s="1"/>
  <c r="B86" i="3"/>
  <c r="C86" i="3"/>
  <c r="D86" i="3" s="1"/>
  <c r="G86" i="3"/>
  <c r="H86" i="3"/>
  <c r="AU86" i="3" s="1"/>
  <c r="I86" i="3" s="1"/>
  <c r="B87" i="3"/>
  <c r="C87" i="3"/>
  <c r="D87" i="3" s="1"/>
  <c r="G87" i="3"/>
  <c r="H87" i="3"/>
  <c r="AU87" i="3" s="1"/>
  <c r="I87" i="3" s="1"/>
  <c r="B88" i="3"/>
  <c r="C88" i="3"/>
  <c r="D88" i="3" s="1"/>
  <c r="G88" i="3"/>
  <c r="H88" i="3"/>
  <c r="AU88" i="3" s="1"/>
  <c r="I88" i="3" s="1"/>
  <c r="B89" i="3"/>
  <c r="C89" i="3"/>
  <c r="D89" i="3" s="1"/>
  <c r="G89" i="3"/>
  <c r="H89" i="3"/>
  <c r="AU89" i="3" s="1"/>
  <c r="I89" i="3" s="1"/>
  <c r="B90" i="3"/>
  <c r="C90" i="3"/>
  <c r="D90" i="3" s="1"/>
  <c r="G90" i="3"/>
  <c r="H90" i="3"/>
  <c r="AU90" i="3" s="1"/>
  <c r="I90" i="3" s="1"/>
  <c r="B91" i="3"/>
  <c r="C91" i="3"/>
  <c r="D91" i="3" s="1"/>
  <c r="G91" i="3"/>
  <c r="H91" i="3"/>
  <c r="AU91" i="3" s="1"/>
  <c r="I91" i="3" s="1"/>
  <c r="B92" i="3"/>
  <c r="C92" i="3"/>
  <c r="D92" i="3" s="1"/>
  <c r="G92" i="3"/>
  <c r="H92" i="3"/>
  <c r="AU92" i="3" s="1"/>
  <c r="I92" i="3" s="1"/>
  <c r="B93" i="3"/>
  <c r="C93" i="3"/>
  <c r="D93" i="3" s="1"/>
  <c r="G93" i="3"/>
  <c r="H93" i="3"/>
  <c r="AU93" i="3" s="1"/>
  <c r="I93" i="3" s="1"/>
  <c r="B94" i="3"/>
  <c r="C94" i="3"/>
  <c r="D94" i="3" s="1"/>
  <c r="G94" i="3"/>
  <c r="H94" i="3"/>
  <c r="AU94" i="3" s="1"/>
  <c r="I94" i="3" s="1"/>
  <c r="B95" i="3"/>
  <c r="C95" i="3"/>
  <c r="D95" i="3" s="1"/>
  <c r="G95" i="3"/>
  <c r="B96" i="3"/>
  <c r="C96" i="3"/>
  <c r="D96" i="3" s="1"/>
  <c r="G96" i="3"/>
  <c r="H96" i="3"/>
  <c r="AU96" i="3" s="1"/>
  <c r="I96" i="3" s="1"/>
  <c r="B97" i="3"/>
  <c r="C97" i="3"/>
  <c r="D97" i="3" s="1"/>
  <c r="G97" i="3"/>
  <c r="H97" i="3"/>
  <c r="AU97" i="3" s="1"/>
  <c r="I97" i="3" s="1"/>
  <c r="B98" i="3"/>
  <c r="C98" i="3"/>
  <c r="D98" i="3" s="1"/>
  <c r="G98" i="3"/>
  <c r="H98" i="3"/>
  <c r="AU98" i="3" s="1"/>
  <c r="I98" i="3" s="1"/>
  <c r="B99" i="3"/>
  <c r="C99" i="3"/>
  <c r="D99" i="3" s="1"/>
  <c r="G99" i="3"/>
  <c r="H99" i="3"/>
  <c r="AU99" i="3" s="1"/>
  <c r="I99" i="3" s="1"/>
  <c r="B100" i="3"/>
  <c r="C100" i="3"/>
  <c r="D100" i="3" s="1"/>
  <c r="G100" i="3"/>
  <c r="H100" i="3"/>
  <c r="AU100" i="3" s="1"/>
  <c r="I100" i="3" s="1"/>
  <c r="B101" i="3"/>
  <c r="C101" i="3"/>
  <c r="D101" i="3" s="1"/>
  <c r="G101" i="3"/>
  <c r="H101" i="3"/>
  <c r="AU101" i="3" s="1"/>
  <c r="I101" i="3" s="1"/>
  <c r="B102" i="3"/>
  <c r="C102" i="3"/>
  <c r="D102" i="3" s="1"/>
  <c r="G102" i="3"/>
  <c r="H102" i="3"/>
  <c r="AU102" i="3" s="1"/>
  <c r="I102" i="3" s="1"/>
  <c r="B103" i="3"/>
  <c r="C103" i="3"/>
  <c r="D103" i="3" s="1"/>
  <c r="G103" i="3"/>
  <c r="H103" i="3"/>
  <c r="AU103" i="3" s="1"/>
  <c r="I103" i="3" s="1"/>
  <c r="B104" i="3"/>
  <c r="C104" i="3"/>
  <c r="D104" i="3" s="1"/>
  <c r="G104" i="3"/>
  <c r="H104" i="3"/>
  <c r="AU104" i="3" s="1"/>
  <c r="I104" i="3" s="1"/>
  <c r="B105" i="3"/>
  <c r="C105" i="3"/>
  <c r="D105" i="3" s="1"/>
  <c r="G105" i="3"/>
  <c r="H105" i="3"/>
  <c r="AU105" i="3" s="1"/>
  <c r="I105" i="3" s="1"/>
  <c r="B106" i="3"/>
  <c r="C106" i="3"/>
  <c r="D106" i="3" s="1"/>
  <c r="G106" i="3"/>
  <c r="B107" i="3"/>
  <c r="C107" i="3"/>
  <c r="D107" i="3" s="1"/>
  <c r="G107" i="3"/>
  <c r="H107" i="3"/>
  <c r="AU107" i="3" s="1"/>
  <c r="I107" i="3" s="1"/>
  <c r="B108" i="3"/>
  <c r="C108" i="3"/>
  <c r="D108" i="3" s="1"/>
  <c r="G108" i="3"/>
  <c r="H108" i="3"/>
  <c r="AU108" i="3" s="1"/>
  <c r="I108" i="3" s="1"/>
  <c r="B109" i="3"/>
  <c r="C109" i="3"/>
  <c r="D109" i="3" s="1"/>
  <c r="G109" i="3"/>
  <c r="H109" i="3"/>
  <c r="AU109" i="3" s="1"/>
  <c r="I109" i="3" s="1"/>
  <c r="B110" i="3"/>
  <c r="C110" i="3"/>
  <c r="D110" i="3" s="1"/>
  <c r="G110" i="3"/>
  <c r="B111" i="3"/>
  <c r="C111" i="3"/>
  <c r="D111" i="3" s="1"/>
  <c r="G111" i="3"/>
  <c r="H111" i="3"/>
  <c r="AU111" i="3" s="1"/>
  <c r="I111" i="3" s="1"/>
  <c r="B112" i="3"/>
  <c r="C112" i="3"/>
  <c r="D112" i="3" s="1"/>
  <c r="G112" i="3"/>
  <c r="H112" i="3"/>
  <c r="AU112" i="3" s="1"/>
  <c r="I112" i="3" s="1"/>
  <c r="B113" i="3"/>
  <c r="C113" i="3"/>
  <c r="D113" i="3" s="1"/>
  <c r="G113" i="3"/>
  <c r="H113" i="3"/>
  <c r="AU113" i="3" s="1"/>
  <c r="I113" i="3" s="1"/>
  <c r="B114" i="3"/>
  <c r="C114" i="3"/>
  <c r="D114" i="3" s="1"/>
  <c r="G114" i="3"/>
  <c r="H114" i="3"/>
  <c r="AU114" i="3" s="1"/>
  <c r="I114" i="3" s="1"/>
  <c r="B115" i="3"/>
  <c r="C115" i="3"/>
  <c r="D115" i="3" s="1"/>
  <c r="G115" i="3"/>
  <c r="H115" i="3"/>
  <c r="AU115" i="3" s="1"/>
  <c r="I115" i="3" s="1"/>
  <c r="B116" i="3"/>
  <c r="C116" i="3"/>
  <c r="D116" i="3" s="1"/>
  <c r="G116" i="3"/>
  <c r="H116" i="3"/>
  <c r="AU116" i="3" s="1"/>
  <c r="I116" i="3" s="1"/>
  <c r="B117" i="3"/>
  <c r="C117" i="3"/>
  <c r="D117" i="3" s="1"/>
  <c r="G117" i="3"/>
  <c r="H117" i="3"/>
  <c r="AU117" i="3" s="1"/>
  <c r="I117" i="3" s="1"/>
  <c r="B118" i="3"/>
  <c r="C118" i="3"/>
  <c r="D118" i="3" s="1"/>
  <c r="G118" i="3"/>
  <c r="H118" i="3"/>
  <c r="AU118" i="3" s="1"/>
  <c r="I118" i="3" s="1"/>
  <c r="B119" i="3"/>
  <c r="C119" i="3"/>
  <c r="D119" i="3" s="1"/>
  <c r="G119" i="3"/>
  <c r="H119" i="3"/>
  <c r="AU119" i="3" s="1"/>
  <c r="I119" i="3" s="1"/>
  <c r="B120" i="3"/>
  <c r="C120" i="3"/>
  <c r="D120" i="3" s="1"/>
  <c r="G120" i="3"/>
  <c r="H120" i="3"/>
  <c r="AU120" i="3" s="1"/>
  <c r="I120" i="3" s="1"/>
  <c r="B121" i="3"/>
  <c r="C121" i="3"/>
  <c r="D121" i="3" s="1"/>
  <c r="G121" i="3"/>
  <c r="H121" i="3"/>
  <c r="AU121" i="3" s="1"/>
  <c r="I121" i="3" s="1"/>
  <c r="B122" i="3"/>
  <c r="C122" i="3"/>
  <c r="D122" i="3" s="1"/>
  <c r="G122" i="3"/>
  <c r="H122" i="3"/>
  <c r="AU122" i="3" s="1"/>
  <c r="I122" i="3" s="1"/>
  <c r="B123" i="3"/>
  <c r="C123" i="3"/>
  <c r="D123" i="3" s="1"/>
  <c r="G123" i="3"/>
  <c r="H123" i="3"/>
  <c r="AU123" i="3" s="1"/>
  <c r="I123" i="3" s="1"/>
  <c r="B124" i="3"/>
  <c r="C124" i="3"/>
  <c r="D124" i="3" s="1"/>
  <c r="G124" i="3"/>
  <c r="H124" i="3"/>
  <c r="AU124" i="3" s="1"/>
  <c r="I124" i="3" s="1"/>
  <c r="B125" i="3"/>
  <c r="C125" i="3"/>
  <c r="D125" i="3" s="1"/>
  <c r="G125" i="3"/>
  <c r="H125" i="3"/>
  <c r="AU125" i="3" s="1"/>
  <c r="I125" i="3" s="1"/>
  <c r="B126" i="3"/>
  <c r="C126" i="3"/>
  <c r="D126" i="3" s="1"/>
  <c r="G126" i="3"/>
  <c r="H126" i="3"/>
  <c r="AU126" i="3" s="1"/>
  <c r="I126" i="3" s="1"/>
  <c r="B127" i="3"/>
  <c r="C127" i="3"/>
  <c r="D127" i="3" s="1"/>
  <c r="G127" i="3"/>
  <c r="H127" i="3"/>
  <c r="AU127" i="3" s="1"/>
  <c r="I127" i="3" s="1"/>
  <c r="B128" i="3"/>
  <c r="C128" i="3"/>
  <c r="D128" i="3" s="1"/>
  <c r="G128" i="3"/>
  <c r="H128" i="3"/>
  <c r="AU128" i="3" s="1"/>
  <c r="I128" i="3" s="1"/>
  <c r="B129" i="3"/>
  <c r="C129" i="3"/>
  <c r="D129" i="3" s="1"/>
  <c r="G129" i="3"/>
  <c r="H129" i="3"/>
  <c r="AU129" i="3" s="1"/>
  <c r="I129" i="3" s="1"/>
  <c r="B130" i="3"/>
  <c r="C130" i="3"/>
  <c r="D130" i="3" s="1"/>
  <c r="G130" i="3"/>
  <c r="H130" i="3"/>
  <c r="AU130" i="3" s="1"/>
  <c r="I130" i="3" s="1"/>
  <c r="B131" i="3"/>
  <c r="C131" i="3"/>
  <c r="D131" i="3" s="1"/>
  <c r="G131" i="3"/>
  <c r="H131" i="3"/>
  <c r="AU131" i="3" s="1"/>
  <c r="I131" i="3" s="1"/>
  <c r="B132" i="3"/>
  <c r="C132" i="3"/>
  <c r="D132" i="3" s="1"/>
  <c r="G132" i="3"/>
  <c r="B133" i="3"/>
  <c r="C133" i="3"/>
  <c r="D133" i="3" s="1"/>
  <c r="G133" i="3"/>
  <c r="H133" i="3"/>
  <c r="AU133" i="3" s="1"/>
  <c r="I133" i="3" s="1"/>
  <c r="B134" i="3"/>
  <c r="C134" i="3"/>
  <c r="D134" i="3" s="1"/>
  <c r="G134" i="3"/>
  <c r="H134" i="3"/>
  <c r="AU134" i="3" s="1"/>
  <c r="I134" i="3" s="1"/>
  <c r="B135" i="3"/>
  <c r="C135" i="3"/>
  <c r="D135" i="3" s="1"/>
  <c r="G135" i="3"/>
  <c r="H135" i="3"/>
  <c r="AU135" i="3" s="1"/>
  <c r="I135" i="3" s="1"/>
  <c r="B136" i="3"/>
  <c r="C136" i="3"/>
  <c r="D136" i="3" s="1"/>
  <c r="G136" i="3"/>
  <c r="H136" i="3"/>
  <c r="AU136" i="3" s="1"/>
  <c r="I136" i="3" s="1"/>
  <c r="B137" i="3"/>
  <c r="C137" i="3"/>
  <c r="D137" i="3" s="1"/>
  <c r="G137" i="3"/>
  <c r="H137" i="3"/>
  <c r="AU137" i="3" s="1"/>
  <c r="I137" i="3" s="1"/>
  <c r="B138" i="3"/>
  <c r="C138" i="3"/>
  <c r="D138" i="3" s="1"/>
  <c r="G138" i="3"/>
  <c r="H138" i="3"/>
  <c r="AU138" i="3" s="1"/>
  <c r="I138" i="3" s="1"/>
  <c r="B139" i="3"/>
  <c r="C139" i="3"/>
  <c r="D139" i="3" s="1"/>
  <c r="G139" i="3"/>
  <c r="H139" i="3"/>
  <c r="AU139" i="3" s="1"/>
  <c r="I139" i="3" s="1"/>
  <c r="B140" i="3"/>
  <c r="C140" i="3"/>
  <c r="D140" i="3" s="1"/>
  <c r="G140" i="3"/>
  <c r="H140" i="3"/>
  <c r="AU140" i="3" s="1"/>
  <c r="I140" i="3" s="1"/>
  <c r="B141" i="3"/>
  <c r="C141" i="3"/>
  <c r="D141" i="3" s="1"/>
  <c r="G141" i="3"/>
  <c r="H141" i="3"/>
  <c r="AU141" i="3" s="1"/>
  <c r="I141" i="3" s="1"/>
  <c r="B142" i="3"/>
  <c r="C142" i="3"/>
  <c r="D142" i="3" s="1"/>
  <c r="G142" i="3"/>
  <c r="H142" i="3"/>
  <c r="AU142" i="3" s="1"/>
  <c r="I142" i="3" s="1"/>
  <c r="B143" i="3"/>
  <c r="C143" i="3"/>
  <c r="D143" i="3" s="1"/>
  <c r="G143" i="3"/>
  <c r="H143" i="3"/>
  <c r="AU143" i="3" s="1"/>
  <c r="I143" i="3" s="1"/>
  <c r="B144" i="3"/>
  <c r="C144" i="3"/>
  <c r="D144" i="3" s="1"/>
  <c r="G144" i="3"/>
  <c r="H144" i="3"/>
  <c r="AU144" i="3" s="1"/>
  <c r="I144" i="3" s="1"/>
  <c r="B145" i="3"/>
  <c r="C145" i="3"/>
  <c r="D145" i="3" s="1"/>
  <c r="G145" i="3"/>
  <c r="H145" i="3"/>
  <c r="AU145" i="3" s="1"/>
  <c r="I145" i="3" s="1"/>
  <c r="B146" i="3"/>
  <c r="C146" i="3"/>
  <c r="D146" i="3" s="1"/>
  <c r="G146" i="3"/>
  <c r="H146" i="3"/>
  <c r="AU146" i="3" s="1"/>
  <c r="I146" i="3" s="1"/>
  <c r="B147" i="3"/>
  <c r="C147" i="3"/>
  <c r="D147" i="3" s="1"/>
  <c r="G147" i="3"/>
  <c r="H147" i="3"/>
  <c r="AU147" i="3" s="1"/>
  <c r="I147" i="3" s="1"/>
  <c r="B148" i="3"/>
  <c r="C148" i="3"/>
  <c r="D148" i="3" s="1"/>
  <c r="G148" i="3"/>
  <c r="H148" i="3"/>
  <c r="AU148" i="3" s="1"/>
  <c r="I148" i="3" s="1"/>
  <c r="B149" i="3"/>
  <c r="C149" i="3"/>
  <c r="D149" i="3" s="1"/>
  <c r="G149" i="3"/>
  <c r="H149" i="3"/>
  <c r="AU149" i="3" s="1"/>
  <c r="I149" i="3" s="1"/>
  <c r="B150" i="3"/>
  <c r="C150" i="3"/>
  <c r="D150" i="3" s="1"/>
  <c r="G150" i="3"/>
  <c r="H150" i="3"/>
  <c r="AU150" i="3" s="1"/>
  <c r="I150" i="3" s="1"/>
  <c r="B151" i="3"/>
  <c r="C151" i="3"/>
  <c r="D151" i="3" s="1"/>
  <c r="G151" i="3"/>
  <c r="H151" i="3"/>
  <c r="AU151" i="3" s="1"/>
  <c r="I151" i="3" s="1"/>
  <c r="B152" i="3"/>
  <c r="C152" i="3"/>
  <c r="D152" i="3" s="1"/>
  <c r="G152" i="3"/>
  <c r="H152" i="3"/>
  <c r="AU152" i="3" s="1"/>
  <c r="I152" i="3" s="1"/>
  <c r="B153" i="3"/>
  <c r="C153" i="3"/>
  <c r="D153" i="3" s="1"/>
  <c r="G153" i="3"/>
  <c r="H153" i="3"/>
  <c r="AU153" i="3" s="1"/>
  <c r="I153" i="3" s="1"/>
  <c r="B154" i="3"/>
  <c r="C154" i="3"/>
  <c r="D154" i="3" s="1"/>
  <c r="G154" i="3"/>
  <c r="H154" i="3"/>
  <c r="AU154" i="3" s="1"/>
  <c r="I154" i="3" s="1"/>
  <c r="B155" i="3"/>
  <c r="C155" i="3"/>
  <c r="D155" i="3" s="1"/>
  <c r="G155" i="3"/>
  <c r="H155" i="3"/>
  <c r="AU155" i="3" s="1"/>
  <c r="I155" i="3" s="1"/>
  <c r="B156" i="3"/>
  <c r="C156" i="3"/>
  <c r="D156" i="3" s="1"/>
  <c r="G156" i="3"/>
  <c r="H156" i="3"/>
  <c r="AU156" i="3" s="1"/>
  <c r="I156" i="3" s="1"/>
  <c r="B157" i="3"/>
  <c r="C157" i="3"/>
  <c r="D157" i="3" s="1"/>
  <c r="G157" i="3"/>
  <c r="H157" i="3"/>
  <c r="AU157" i="3" s="1"/>
  <c r="I157" i="3" s="1"/>
  <c r="B158" i="3"/>
  <c r="C158" i="3"/>
  <c r="D158" i="3" s="1"/>
  <c r="G158" i="3"/>
  <c r="H158" i="3"/>
  <c r="AU158" i="3" s="1"/>
  <c r="I158" i="3" s="1"/>
  <c r="B159" i="3"/>
  <c r="C159" i="3"/>
  <c r="D159" i="3" s="1"/>
  <c r="G159" i="3"/>
  <c r="H159" i="3"/>
  <c r="AU159" i="3" s="1"/>
  <c r="I159" i="3" s="1"/>
  <c r="B160" i="3"/>
  <c r="C160" i="3"/>
  <c r="D160" i="3" s="1"/>
  <c r="G160" i="3"/>
  <c r="H160" i="3"/>
  <c r="AU160" i="3" s="1"/>
  <c r="I160" i="3" s="1"/>
  <c r="B161" i="3"/>
  <c r="C161" i="3"/>
  <c r="D161" i="3" s="1"/>
  <c r="G161" i="3"/>
  <c r="H161" i="3"/>
  <c r="AU161" i="3" s="1"/>
  <c r="I161" i="3" s="1"/>
  <c r="B162" i="3"/>
  <c r="C162" i="3"/>
  <c r="D162" i="3" s="1"/>
  <c r="G162" i="3"/>
  <c r="H162" i="3"/>
  <c r="AU162" i="3" s="1"/>
  <c r="I162" i="3" s="1"/>
  <c r="B163" i="3"/>
  <c r="C163" i="3"/>
  <c r="D163" i="3" s="1"/>
  <c r="G163" i="3"/>
  <c r="H163" i="3"/>
  <c r="AU163" i="3" s="1"/>
  <c r="I163" i="3" s="1"/>
  <c r="B164" i="3"/>
  <c r="C164" i="3"/>
  <c r="D164" i="3" s="1"/>
  <c r="G164" i="3"/>
  <c r="H164" i="3"/>
  <c r="AU164" i="3" s="1"/>
  <c r="I164" i="3" s="1"/>
  <c r="B165" i="3"/>
  <c r="C165" i="3"/>
  <c r="D165" i="3" s="1"/>
  <c r="G165" i="3"/>
  <c r="H165" i="3"/>
  <c r="AU165" i="3" s="1"/>
  <c r="I165" i="3" s="1"/>
  <c r="B166" i="3"/>
  <c r="C166" i="3"/>
  <c r="D166" i="3" s="1"/>
  <c r="G166" i="3"/>
  <c r="H166" i="3"/>
  <c r="AU166" i="3" s="1"/>
  <c r="I166" i="3" s="1"/>
  <c r="B167" i="3"/>
  <c r="C167" i="3"/>
  <c r="D167" i="3" s="1"/>
  <c r="G167" i="3"/>
  <c r="H167" i="3"/>
  <c r="AU167" i="3" s="1"/>
  <c r="I167" i="3" s="1"/>
  <c r="B168" i="3"/>
  <c r="C168" i="3"/>
  <c r="D168" i="3" s="1"/>
  <c r="G168" i="3"/>
  <c r="H168" i="3"/>
  <c r="AU168" i="3" s="1"/>
  <c r="I168" i="3" s="1"/>
  <c r="B169" i="3"/>
  <c r="C169" i="3"/>
  <c r="D169" i="3" s="1"/>
  <c r="G169" i="3"/>
  <c r="H169" i="3"/>
  <c r="AU169" i="3" s="1"/>
  <c r="I169" i="3" s="1"/>
  <c r="B170" i="3"/>
  <c r="C170" i="3"/>
  <c r="D170" i="3" s="1"/>
  <c r="G170" i="3"/>
  <c r="H170" i="3"/>
  <c r="AU170" i="3" s="1"/>
  <c r="I170" i="3" s="1"/>
  <c r="B171" i="3"/>
  <c r="C171" i="3"/>
  <c r="D171" i="3" s="1"/>
  <c r="G171" i="3"/>
  <c r="H171" i="3"/>
  <c r="AU171" i="3" s="1"/>
  <c r="I171" i="3" s="1"/>
  <c r="B172" i="3"/>
  <c r="C172" i="3"/>
  <c r="D172" i="3" s="1"/>
  <c r="G172" i="3"/>
  <c r="H172" i="3"/>
  <c r="AU172" i="3" s="1"/>
  <c r="I172" i="3" s="1"/>
  <c r="B173" i="3"/>
  <c r="C173" i="3"/>
  <c r="D173" i="3" s="1"/>
  <c r="G173" i="3"/>
  <c r="H173" i="3"/>
  <c r="AU173" i="3" s="1"/>
  <c r="I173" i="3" s="1"/>
  <c r="B174" i="3"/>
  <c r="C174" i="3"/>
  <c r="D174" i="3" s="1"/>
  <c r="G174" i="3"/>
  <c r="H174" i="3"/>
  <c r="AU174" i="3" s="1"/>
  <c r="I174" i="3" s="1"/>
  <c r="B175" i="3"/>
  <c r="C175" i="3"/>
  <c r="D175" i="3" s="1"/>
  <c r="G175" i="3"/>
  <c r="H175" i="3"/>
  <c r="AU175" i="3" s="1"/>
  <c r="I175" i="3" s="1"/>
  <c r="B176" i="3"/>
  <c r="C176" i="3"/>
  <c r="D176" i="3" s="1"/>
  <c r="G176" i="3"/>
  <c r="H176" i="3"/>
  <c r="AU176" i="3" s="1"/>
  <c r="I176" i="3" s="1"/>
  <c r="B177" i="3"/>
  <c r="C177" i="3"/>
  <c r="D177" i="3" s="1"/>
  <c r="G177" i="3"/>
  <c r="H177" i="3"/>
  <c r="AU177" i="3" s="1"/>
  <c r="I177" i="3" s="1"/>
  <c r="B178" i="3"/>
  <c r="C178" i="3"/>
  <c r="D178" i="3" s="1"/>
  <c r="G178" i="3"/>
  <c r="H178" i="3"/>
  <c r="AU178" i="3" s="1"/>
  <c r="I178" i="3" s="1"/>
  <c r="B179" i="3"/>
  <c r="C179" i="3"/>
  <c r="D179" i="3" s="1"/>
  <c r="G179" i="3"/>
  <c r="H179" i="3"/>
  <c r="AU179" i="3" s="1"/>
  <c r="I179" i="3" s="1"/>
  <c r="B180" i="3"/>
  <c r="C180" i="3"/>
  <c r="D180" i="3" s="1"/>
  <c r="G180" i="3"/>
  <c r="H180" i="3"/>
  <c r="AU180" i="3" s="1"/>
  <c r="I180" i="3" s="1"/>
  <c r="B181" i="3"/>
  <c r="C181" i="3"/>
  <c r="D181" i="3" s="1"/>
  <c r="G181" i="3"/>
  <c r="H181" i="3"/>
  <c r="AU181" i="3" s="1"/>
  <c r="I181" i="3" s="1"/>
  <c r="B182" i="3"/>
  <c r="C182" i="3"/>
  <c r="D182" i="3" s="1"/>
  <c r="G182" i="3"/>
  <c r="H182" i="3"/>
  <c r="AU182" i="3" s="1"/>
  <c r="I182" i="3" s="1"/>
  <c r="B183" i="3"/>
  <c r="C183" i="3"/>
  <c r="D183" i="3" s="1"/>
  <c r="G183" i="3"/>
  <c r="H183" i="3"/>
  <c r="AU183" i="3" s="1"/>
  <c r="I183" i="3" s="1"/>
  <c r="B184" i="3"/>
  <c r="C184" i="3"/>
  <c r="D184" i="3" s="1"/>
  <c r="G184" i="3"/>
  <c r="H184" i="3"/>
  <c r="AU184" i="3" s="1"/>
  <c r="I184" i="3" s="1"/>
  <c r="B185" i="3"/>
  <c r="C185" i="3"/>
  <c r="D185" i="3" s="1"/>
  <c r="G185" i="3"/>
  <c r="H185" i="3"/>
  <c r="AU185" i="3" s="1"/>
  <c r="I185" i="3" s="1"/>
  <c r="B186" i="3"/>
  <c r="C186" i="3"/>
  <c r="D186" i="3" s="1"/>
  <c r="G186" i="3"/>
  <c r="H186" i="3"/>
  <c r="AU186" i="3" s="1"/>
  <c r="I186" i="3" s="1"/>
  <c r="B187" i="3"/>
  <c r="C187" i="3"/>
  <c r="D187" i="3" s="1"/>
  <c r="G187" i="3"/>
  <c r="H187" i="3"/>
  <c r="AU187" i="3" s="1"/>
  <c r="I187" i="3" s="1"/>
  <c r="B188" i="3"/>
  <c r="C188" i="3"/>
  <c r="D188" i="3" s="1"/>
  <c r="G188" i="3"/>
  <c r="H188" i="3"/>
  <c r="AU188" i="3" s="1"/>
  <c r="I188" i="3" s="1"/>
  <c r="B189" i="3"/>
  <c r="C189" i="3"/>
  <c r="D189" i="3" s="1"/>
  <c r="G189" i="3"/>
  <c r="H189" i="3"/>
  <c r="AU189" i="3" s="1"/>
  <c r="I189" i="3" s="1"/>
  <c r="B190" i="3"/>
  <c r="C190" i="3"/>
  <c r="D190" i="3" s="1"/>
  <c r="G190" i="3"/>
  <c r="H190" i="3"/>
  <c r="AU190" i="3" s="1"/>
  <c r="I190" i="3" s="1"/>
  <c r="B191" i="3"/>
  <c r="C191" i="3"/>
  <c r="D191" i="3" s="1"/>
  <c r="G191" i="3"/>
  <c r="B192" i="3"/>
  <c r="C192" i="3"/>
  <c r="D192" i="3" s="1"/>
  <c r="G192" i="3"/>
  <c r="H192" i="3"/>
  <c r="AU192" i="3" s="1"/>
  <c r="I192" i="3" s="1"/>
  <c r="B193" i="3"/>
  <c r="C193" i="3"/>
  <c r="D193" i="3" s="1"/>
  <c r="G193" i="3"/>
  <c r="H193" i="3"/>
  <c r="AU193" i="3" s="1"/>
  <c r="I193" i="3" s="1"/>
  <c r="B194" i="3"/>
  <c r="C194" i="3"/>
  <c r="D194" i="3" s="1"/>
  <c r="G194" i="3"/>
  <c r="H194" i="3"/>
  <c r="AU194" i="3" s="1"/>
  <c r="I194" i="3" s="1"/>
  <c r="B195" i="3"/>
  <c r="C195" i="3"/>
  <c r="D195" i="3" s="1"/>
  <c r="G195" i="3"/>
  <c r="H195" i="3"/>
  <c r="AU195" i="3" s="1"/>
  <c r="I195" i="3" s="1"/>
  <c r="B196" i="3"/>
  <c r="C196" i="3"/>
  <c r="D196" i="3" s="1"/>
  <c r="G196" i="3"/>
  <c r="H196" i="3"/>
  <c r="AU196" i="3" s="1"/>
  <c r="I196" i="3" s="1"/>
  <c r="B197" i="3"/>
  <c r="C197" i="3"/>
  <c r="D197" i="3" s="1"/>
  <c r="G197" i="3"/>
  <c r="H197" i="3"/>
  <c r="AU197" i="3" s="1"/>
  <c r="I197" i="3" s="1"/>
  <c r="B198" i="3"/>
  <c r="C198" i="3"/>
  <c r="D198" i="3" s="1"/>
  <c r="G198" i="3"/>
  <c r="H198" i="3"/>
  <c r="AU198" i="3" s="1"/>
  <c r="I198" i="3" s="1"/>
  <c r="B199" i="3"/>
  <c r="C199" i="3"/>
  <c r="D199" i="3" s="1"/>
  <c r="G199" i="3"/>
  <c r="H199" i="3"/>
  <c r="AU199" i="3" s="1"/>
  <c r="I199" i="3" s="1"/>
  <c r="B200" i="3"/>
  <c r="C200" i="3"/>
  <c r="D200" i="3" s="1"/>
  <c r="G200" i="3"/>
  <c r="H200" i="3"/>
  <c r="AU200" i="3" s="1"/>
  <c r="I200" i="3" s="1"/>
  <c r="B201" i="3"/>
  <c r="C201" i="3"/>
  <c r="D201" i="3" s="1"/>
  <c r="G201" i="3"/>
  <c r="H201" i="3"/>
  <c r="AU201" i="3" s="1"/>
  <c r="I201" i="3" s="1"/>
  <c r="B202" i="3"/>
  <c r="C202" i="3"/>
  <c r="D202" i="3" s="1"/>
  <c r="G202" i="3"/>
  <c r="H202" i="3"/>
  <c r="AU202" i="3" s="1"/>
  <c r="I202" i="3" s="1"/>
  <c r="B203" i="3"/>
  <c r="C203" i="3"/>
  <c r="D203" i="3" s="1"/>
  <c r="G203" i="3"/>
  <c r="H203" i="3"/>
  <c r="AU203" i="3" s="1"/>
  <c r="I203" i="3" s="1"/>
  <c r="B204" i="3"/>
  <c r="C204" i="3"/>
  <c r="D204" i="3" s="1"/>
  <c r="G204" i="3"/>
  <c r="H204" i="3"/>
  <c r="AU204" i="3" s="1"/>
  <c r="I204" i="3" s="1"/>
  <c r="B205" i="3"/>
  <c r="C205" i="3"/>
  <c r="D205" i="3" s="1"/>
  <c r="G205" i="3"/>
  <c r="H205" i="3"/>
  <c r="AU205" i="3" s="1"/>
  <c r="I205" i="3" s="1"/>
  <c r="B206" i="3"/>
  <c r="C206" i="3"/>
  <c r="D206" i="3" s="1"/>
  <c r="G206" i="3"/>
  <c r="B207" i="3"/>
  <c r="C207" i="3"/>
  <c r="D207" i="3" s="1"/>
  <c r="G207" i="3"/>
  <c r="B208" i="3"/>
  <c r="C208" i="3"/>
  <c r="D208" i="3" s="1"/>
  <c r="G208" i="3"/>
  <c r="B209" i="3"/>
  <c r="C209" i="3"/>
  <c r="D209" i="3" s="1"/>
  <c r="G209" i="3"/>
  <c r="B210" i="3"/>
  <c r="C210" i="3"/>
  <c r="D210" i="3" s="1"/>
  <c r="G210" i="3"/>
  <c r="H210" i="3"/>
  <c r="AU210" i="3" s="1"/>
  <c r="I210" i="3" s="1"/>
  <c r="B211" i="3"/>
  <c r="C211" i="3"/>
  <c r="D211" i="3" s="1"/>
  <c r="G211" i="3"/>
  <c r="H211" i="3"/>
  <c r="AU211" i="3" s="1"/>
  <c r="I211" i="3" s="1"/>
  <c r="B212" i="3"/>
  <c r="C212" i="3"/>
  <c r="D212" i="3" s="1"/>
  <c r="G212" i="3"/>
  <c r="H212" i="3"/>
  <c r="AU212" i="3" s="1"/>
  <c r="I212" i="3" s="1"/>
  <c r="B213" i="3"/>
  <c r="C213" i="3"/>
  <c r="D213" i="3" s="1"/>
  <c r="G213" i="3"/>
  <c r="H213" i="3"/>
  <c r="AU213" i="3" s="1"/>
  <c r="I213" i="3" s="1"/>
  <c r="B214" i="3"/>
  <c r="C214" i="3"/>
  <c r="D214" i="3" s="1"/>
  <c r="G214" i="3"/>
  <c r="H214" i="3"/>
  <c r="AU214" i="3" s="1"/>
  <c r="I214" i="3" s="1"/>
  <c r="B215" i="3"/>
  <c r="C215" i="3"/>
  <c r="D215" i="3" s="1"/>
  <c r="G215" i="3"/>
  <c r="H215" i="3"/>
  <c r="AU215" i="3" s="1"/>
  <c r="I215" i="3" s="1"/>
  <c r="B216" i="3"/>
  <c r="C216" i="3"/>
  <c r="D216" i="3" s="1"/>
  <c r="G216" i="3"/>
  <c r="H216" i="3"/>
  <c r="AU216" i="3" s="1"/>
  <c r="I216" i="3" s="1"/>
  <c r="B217" i="3"/>
  <c r="C217" i="3"/>
  <c r="D217" i="3" s="1"/>
  <c r="G217" i="3"/>
  <c r="H217" i="3"/>
  <c r="AU217" i="3" s="1"/>
  <c r="I217" i="3" s="1"/>
  <c r="B218" i="3"/>
  <c r="C218" i="3"/>
  <c r="D218" i="3" s="1"/>
  <c r="G218" i="3"/>
  <c r="H218" i="3"/>
  <c r="AU218" i="3" s="1"/>
  <c r="I218" i="3" s="1"/>
  <c r="B219" i="3"/>
  <c r="C219" i="3"/>
  <c r="D219" i="3" s="1"/>
  <c r="G219" i="3"/>
  <c r="H219" i="3"/>
  <c r="AU219" i="3" s="1"/>
  <c r="I219" i="3" s="1"/>
  <c r="B220" i="3"/>
  <c r="C220" i="3"/>
  <c r="D220" i="3" s="1"/>
  <c r="G220" i="3"/>
  <c r="H220" i="3"/>
  <c r="AU220" i="3" s="1"/>
  <c r="I220" i="3" s="1"/>
  <c r="B221" i="3"/>
  <c r="C221" i="3"/>
  <c r="D221" i="3" s="1"/>
  <c r="G221" i="3"/>
  <c r="H221" i="3"/>
  <c r="AU221" i="3" s="1"/>
  <c r="I221" i="3" s="1"/>
  <c r="B222" i="3"/>
  <c r="C222" i="3"/>
  <c r="D222" i="3" s="1"/>
  <c r="G222" i="3"/>
  <c r="B223" i="3"/>
  <c r="C223" i="3"/>
  <c r="D223" i="3" s="1"/>
  <c r="G223" i="3"/>
  <c r="H223" i="3"/>
  <c r="AU223" i="3" s="1"/>
  <c r="I223" i="3" s="1"/>
  <c r="B224" i="3"/>
  <c r="C224" i="3"/>
  <c r="D224" i="3" s="1"/>
  <c r="G224" i="3"/>
  <c r="H224" i="3"/>
  <c r="AU224" i="3" s="1"/>
  <c r="I224" i="3" s="1"/>
  <c r="B225" i="3"/>
  <c r="C225" i="3"/>
  <c r="D225" i="3" s="1"/>
  <c r="G225" i="3"/>
  <c r="H225" i="3"/>
  <c r="AU225" i="3" s="1"/>
  <c r="I225" i="3" s="1"/>
  <c r="B226" i="3"/>
  <c r="C226" i="3"/>
  <c r="D226" i="3" s="1"/>
  <c r="G226" i="3"/>
  <c r="H226" i="3"/>
  <c r="AU226" i="3" s="1"/>
  <c r="I226" i="3" s="1"/>
  <c r="B227" i="3"/>
  <c r="C227" i="3"/>
  <c r="D227" i="3" s="1"/>
  <c r="G227" i="3"/>
  <c r="H227" i="3"/>
  <c r="AU227" i="3" s="1"/>
  <c r="I227" i="3" s="1"/>
  <c r="B228" i="3"/>
  <c r="C228" i="3"/>
  <c r="D228" i="3" s="1"/>
  <c r="G228" i="3"/>
  <c r="H228" i="3"/>
  <c r="AU228" i="3" s="1"/>
  <c r="I228" i="3" s="1"/>
  <c r="B229" i="3"/>
  <c r="C229" i="3"/>
  <c r="D229" i="3" s="1"/>
  <c r="G229" i="3"/>
  <c r="B230" i="3"/>
  <c r="C230" i="3"/>
  <c r="D230" i="3" s="1"/>
  <c r="G230" i="3"/>
  <c r="H230" i="3"/>
  <c r="AU230" i="3" s="1"/>
  <c r="I230" i="3" s="1"/>
  <c r="B231" i="3"/>
  <c r="C231" i="3"/>
  <c r="D231" i="3" s="1"/>
  <c r="G231" i="3"/>
  <c r="B232" i="3"/>
  <c r="C232" i="3"/>
  <c r="D232" i="3" s="1"/>
  <c r="G232" i="3"/>
  <c r="H232" i="3"/>
  <c r="AU232" i="3" s="1"/>
  <c r="I232" i="3" s="1"/>
  <c r="B233" i="3"/>
  <c r="C233" i="3"/>
  <c r="D233" i="3" s="1"/>
  <c r="G233" i="3"/>
  <c r="H233" i="3"/>
  <c r="AU233" i="3" s="1"/>
  <c r="I233" i="3" s="1"/>
  <c r="B234" i="3"/>
  <c r="C234" i="3"/>
  <c r="D234" i="3" s="1"/>
  <c r="G234" i="3"/>
  <c r="B235" i="3"/>
  <c r="C235" i="3"/>
  <c r="D235" i="3" s="1"/>
  <c r="G235" i="3"/>
  <c r="B236" i="3"/>
  <c r="C236" i="3"/>
  <c r="D236" i="3" s="1"/>
  <c r="G236" i="3"/>
  <c r="H236" i="3"/>
  <c r="AU236" i="3" s="1"/>
  <c r="I236" i="3" s="1"/>
  <c r="B237" i="3"/>
  <c r="C237" i="3"/>
  <c r="D237" i="3" s="1"/>
  <c r="G237" i="3"/>
  <c r="H237" i="3"/>
  <c r="AU237" i="3" s="1"/>
  <c r="I237" i="3" s="1"/>
  <c r="B238" i="3"/>
  <c r="C238" i="3"/>
  <c r="D238" i="3" s="1"/>
  <c r="G238" i="3"/>
  <c r="H238" i="3"/>
  <c r="AU238" i="3" s="1"/>
  <c r="I238" i="3" s="1"/>
  <c r="B239" i="3"/>
  <c r="C239" i="3"/>
  <c r="D239" i="3" s="1"/>
  <c r="G239" i="3"/>
  <c r="B240" i="3"/>
  <c r="C240" i="3"/>
  <c r="D240" i="3" s="1"/>
  <c r="G240" i="3"/>
  <c r="H240" i="3"/>
  <c r="AU240" i="3" s="1"/>
  <c r="I240" i="3" s="1"/>
  <c r="B241" i="3"/>
  <c r="C241" i="3"/>
  <c r="D241" i="3" s="1"/>
  <c r="G241" i="3"/>
  <c r="B242" i="3"/>
  <c r="C242" i="3"/>
  <c r="D242" i="3" s="1"/>
  <c r="G242" i="3"/>
  <c r="B243" i="3"/>
  <c r="C243" i="3"/>
  <c r="D243" i="3" s="1"/>
  <c r="G243" i="3"/>
  <c r="H243" i="3"/>
  <c r="AU243" i="3" s="1"/>
  <c r="I243" i="3" s="1"/>
  <c r="B244" i="3"/>
  <c r="C244" i="3"/>
  <c r="D244" i="3" s="1"/>
  <c r="G244" i="3"/>
  <c r="H244" i="3"/>
  <c r="AU244" i="3" s="1"/>
  <c r="I244" i="3" s="1"/>
  <c r="B245" i="3"/>
  <c r="C245" i="3"/>
  <c r="D245" i="3" s="1"/>
  <c r="G245" i="3"/>
  <c r="H245" i="3"/>
  <c r="AU245" i="3" s="1"/>
  <c r="I245" i="3" s="1"/>
  <c r="B246" i="3"/>
  <c r="C246" i="3"/>
  <c r="D246" i="3" s="1"/>
  <c r="G246" i="3"/>
  <c r="B247" i="3"/>
  <c r="C247" i="3"/>
  <c r="D247" i="3" s="1"/>
  <c r="G247" i="3"/>
  <c r="H247" i="3"/>
  <c r="AU247" i="3" s="1"/>
  <c r="I247" i="3" s="1"/>
  <c r="B248" i="3"/>
  <c r="C248" i="3"/>
  <c r="D248" i="3" s="1"/>
  <c r="G248" i="3"/>
  <c r="B249" i="3"/>
  <c r="C249" i="3"/>
  <c r="D249" i="3" s="1"/>
  <c r="G249" i="3"/>
  <c r="B250" i="3"/>
  <c r="C250" i="3"/>
  <c r="D250" i="3" s="1"/>
  <c r="G250" i="3"/>
  <c r="B251" i="3"/>
  <c r="C251" i="3"/>
  <c r="D251" i="3" s="1"/>
  <c r="G251" i="3"/>
  <c r="B252" i="3"/>
  <c r="C252" i="3"/>
  <c r="D252" i="3" s="1"/>
  <c r="G252" i="3"/>
  <c r="B253" i="3"/>
  <c r="C253" i="3"/>
  <c r="D253" i="3" s="1"/>
  <c r="G253" i="3"/>
  <c r="B254" i="3"/>
  <c r="C254" i="3"/>
  <c r="D254" i="3" s="1"/>
  <c r="G254" i="3"/>
  <c r="H254" i="3"/>
  <c r="AU254" i="3" s="1"/>
  <c r="I254" i="3" s="1"/>
  <c r="B255" i="3"/>
  <c r="C255" i="3"/>
  <c r="D255" i="3" s="1"/>
  <c r="G255" i="3"/>
  <c r="B256" i="3"/>
  <c r="C256" i="3"/>
  <c r="D256" i="3" s="1"/>
  <c r="G256" i="3"/>
  <c r="H256" i="3"/>
  <c r="AU256" i="3" s="1"/>
  <c r="I256" i="3" s="1"/>
  <c r="B257" i="3"/>
  <c r="C257" i="3"/>
  <c r="D257" i="3" s="1"/>
  <c r="G257" i="3"/>
  <c r="H257" i="3"/>
  <c r="AU257" i="3" s="1"/>
  <c r="I257" i="3" s="1"/>
  <c r="B258" i="3"/>
  <c r="C258" i="3"/>
  <c r="D258" i="3" s="1"/>
  <c r="G258" i="3"/>
  <c r="H258" i="3"/>
  <c r="AU258" i="3" s="1"/>
  <c r="I258" i="3" s="1"/>
  <c r="B259" i="3"/>
  <c r="C259" i="3"/>
  <c r="D259" i="3" s="1"/>
  <c r="G259" i="3"/>
  <c r="H259" i="3"/>
  <c r="AU259" i="3" s="1"/>
  <c r="I259" i="3" s="1"/>
  <c r="B260" i="3"/>
  <c r="C260" i="3"/>
  <c r="D260" i="3" s="1"/>
  <c r="G260" i="3"/>
  <c r="B261" i="3"/>
  <c r="C261" i="3"/>
  <c r="D261" i="3" s="1"/>
  <c r="G261" i="3"/>
  <c r="B262" i="3"/>
  <c r="C262" i="3"/>
  <c r="D262" i="3" s="1"/>
  <c r="G262" i="3"/>
  <c r="H262" i="3"/>
  <c r="AU262" i="3" s="1"/>
  <c r="I262" i="3" s="1"/>
  <c r="B263" i="3"/>
  <c r="C263" i="3"/>
  <c r="D263" i="3" s="1"/>
  <c r="G263" i="3"/>
  <c r="H263" i="3"/>
  <c r="AU263" i="3" s="1"/>
  <c r="I263" i="3" s="1"/>
  <c r="B264" i="3"/>
  <c r="C264" i="3"/>
  <c r="D264" i="3" s="1"/>
  <c r="G264" i="3"/>
  <c r="H264" i="3"/>
  <c r="AU264" i="3" s="1"/>
  <c r="I264" i="3" s="1"/>
  <c r="B265" i="3"/>
  <c r="C265" i="3"/>
  <c r="D265" i="3" s="1"/>
  <c r="G265" i="3"/>
  <c r="H265" i="3"/>
  <c r="AU265" i="3" s="1"/>
  <c r="I265" i="3" s="1"/>
  <c r="B266" i="3"/>
  <c r="C266" i="3"/>
  <c r="D266" i="3" s="1"/>
  <c r="G266" i="3"/>
  <c r="B267" i="3"/>
  <c r="C267" i="3"/>
  <c r="D267" i="3" s="1"/>
  <c r="G267" i="3"/>
  <c r="H267" i="3"/>
  <c r="AU267" i="3" s="1"/>
  <c r="I267" i="3" s="1"/>
  <c r="B268" i="3"/>
  <c r="C268" i="3"/>
  <c r="D268" i="3" s="1"/>
  <c r="G268" i="3"/>
  <c r="B269" i="3"/>
  <c r="C269" i="3"/>
  <c r="D269" i="3" s="1"/>
  <c r="G269" i="3"/>
  <c r="H269" i="3"/>
  <c r="AU269" i="3" s="1"/>
  <c r="I269" i="3" s="1"/>
  <c r="B270" i="3"/>
  <c r="C270" i="3"/>
  <c r="D270" i="3" s="1"/>
  <c r="G270" i="3"/>
  <c r="H270" i="3"/>
  <c r="AU270" i="3" s="1"/>
  <c r="I270" i="3" s="1"/>
  <c r="B271" i="3"/>
  <c r="C271" i="3"/>
  <c r="D271" i="3" s="1"/>
  <c r="G271" i="3"/>
  <c r="H271" i="3"/>
  <c r="AU271" i="3" s="1"/>
  <c r="I271" i="3" s="1"/>
  <c r="B272" i="3"/>
  <c r="C272" i="3"/>
  <c r="D272" i="3" s="1"/>
  <c r="G272" i="3"/>
  <c r="H272" i="3"/>
  <c r="AU272" i="3" s="1"/>
  <c r="I272" i="3" s="1"/>
  <c r="B273" i="3"/>
  <c r="C273" i="3"/>
  <c r="D273" i="3" s="1"/>
  <c r="G273" i="3"/>
  <c r="H273" i="3"/>
  <c r="AU273" i="3" s="1"/>
  <c r="I273" i="3" s="1"/>
  <c r="B274" i="3"/>
  <c r="C274" i="3"/>
  <c r="D274" i="3" s="1"/>
  <c r="G274" i="3"/>
  <c r="H274" i="3"/>
  <c r="AU274" i="3" s="1"/>
  <c r="I274" i="3" s="1"/>
  <c r="B275" i="3"/>
  <c r="C275" i="3"/>
  <c r="D275" i="3" s="1"/>
  <c r="G275" i="3"/>
  <c r="H275" i="3"/>
  <c r="AU275" i="3" s="1"/>
  <c r="I275" i="3" s="1"/>
  <c r="B276" i="3"/>
  <c r="C276" i="3"/>
  <c r="D276" i="3" s="1"/>
  <c r="G276" i="3"/>
  <c r="H276" i="3"/>
  <c r="AU276" i="3" s="1"/>
  <c r="I276" i="3" s="1"/>
  <c r="B277" i="3"/>
  <c r="C277" i="3"/>
  <c r="D277" i="3" s="1"/>
  <c r="G277" i="3"/>
  <c r="H277" i="3"/>
  <c r="AU277" i="3" s="1"/>
  <c r="I277" i="3" s="1"/>
  <c r="B278" i="3"/>
  <c r="C278" i="3"/>
  <c r="D278" i="3" s="1"/>
  <c r="G278" i="3"/>
  <c r="H278" i="3"/>
  <c r="AU278" i="3" s="1"/>
  <c r="I278" i="3" s="1"/>
  <c r="B279" i="3"/>
  <c r="C279" i="3"/>
  <c r="D279" i="3" s="1"/>
  <c r="G279" i="3"/>
  <c r="B280" i="3"/>
  <c r="C280" i="3"/>
  <c r="D280" i="3" s="1"/>
  <c r="G280" i="3"/>
  <c r="H280" i="3"/>
  <c r="AU280" i="3" s="1"/>
  <c r="I280" i="3" s="1"/>
  <c r="B281" i="3"/>
  <c r="C281" i="3"/>
  <c r="D281" i="3" s="1"/>
  <c r="G281" i="3"/>
  <c r="H281" i="3"/>
  <c r="AU281" i="3" s="1"/>
  <c r="I281" i="3" s="1"/>
  <c r="B282" i="3"/>
  <c r="C282" i="3"/>
  <c r="D282" i="3" s="1"/>
  <c r="G282" i="3"/>
  <c r="H282" i="3"/>
  <c r="AU282" i="3" s="1"/>
  <c r="I282" i="3" s="1"/>
  <c r="B283" i="3"/>
  <c r="C283" i="3"/>
  <c r="D283" i="3" s="1"/>
  <c r="G283" i="3"/>
  <c r="B284" i="3"/>
  <c r="C284" i="3"/>
  <c r="D284" i="3" s="1"/>
  <c r="G284" i="3"/>
  <c r="H284" i="3"/>
  <c r="AU284" i="3" s="1"/>
  <c r="I284" i="3" s="1"/>
  <c r="B285" i="3"/>
  <c r="C285" i="3"/>
  <c r="D285" i="3" s="1"/>
  <c r="G285" i="3"/>
  <c r="H285" i="3"/>
  <c r="AU285" i="3" s="1"/>
  <c r="I285" i="3" s="1"/>
  <c r="B286" i="3"/>
  <c r="C286" i="3"/>
  <c r="D286" i="3" s="1"/>
  <c r="G286" i="3"/>
  <c r="H286" i="3"/>
  <c r="AU286" i="3" s="1"/>
  <c r="I286" i="3" s="1"/>
  <c r="B287" i="3"/>
  <c r="C287" i="3"/>
  <c r="D287" i="3" s="1"/>
  <c r="G287" i="3"/>
  <c r="H287" i="3"/>
  <c r="AU287" i="3" s="1"/>
  <c r="I287" i="3" s="1"/>
  <c r="B288" i="3"/>
  <c r="C288" i="3"/>
  <c r="D288" i="3" s="1"/>
  <c r="G288" i="3"/>
  <c r="H288" i="3"/>
  <c r="AU288" i="3" s="1"/>
  <c r="I288" i="3" s="1"/>
  <c r="B289" i="3"/>
  <c r="C289" i="3"/>
  <c r="D289" i="3" s="1"/>
  <c r="G289" i="3"/>
  <c r="H289" i="3"/>
  <c r="AU289" i="3" s="1"/>
  <c r="I289" i="3" s="1"/>
  <c r="B290" i="3"/>
  <c r="C290" i="3"/>
  <c r="D290" i="3" s="1"/>
  <c r="G290" i="3"/>
  <c r="H290" i="3"/>
  <c r="AU290" i="3" s="1"/>
  <c r="I290" i="3" s="1"/>
  <c r="B291" i="3"/>
  <c r="C291" i="3"/>
  <c r="D291" i="3" s="1"/>
  <c r="G291" i="3"/>
  <c r="H291" i="3"/>
  <c r="AU291" i="3" s="1"/>
  <c r="I291" i="3" s="1"/>
  <c r="B292" i="3"/>
  <c r="C292" i="3"/>
  <c r="D292" i="3" s="1"/>
  <c r="G292" i="3"/>
  <c r="B293" i="3"/>
  <c r="C293" i="3"/>
  <c r="D293" i="3" s="1"/>
  <c r="G293" i="3"/>
  <c r="B294" i="3"/>
  <c r="C294" i="3"/>
  <c r="D294" i="3" s="1"/>
  <c r="G294" i="3"/>
  <c r="H294" i="3"/>
  <c r="AU294" i="3" s="1"/>
  <c r="I294" i="3" s="1"/>
  <c r="B295" i="3"/>
  <c r="C295" i="3"/>
  <c r="D295" i="3" s="1"/>
  <c r="G295" i="3"/>
  <c r="H295" i="3"/>
  <c r="AU295" i="3" s="1"/>
  <c r="I295" i="3" s="1"/>
  <c r="B296" i="3"/>
  <c r="C296" i="3"/>
  <c r="D296" i="3" s="1"/>
  <c r="G296" i="3"/>
  <c r="H296" i="3"/>
  <c r="AU296" i="3" s="1"/>
  <c r="I296" i="3" s="1"/>
  <c r="B297" i="3"/>
  <c r="C297" i="3"/>
  <c r="D297" i="3" s="1"/>
  <c r="G297" i="3"/>
  <c r="H297" i="3"/>
  <c r="AU297" i="3" s="1"/>
  <c r="I297" i="3" s="1"/>
  <c r="B298" i="3"/>
  <c r="C298" i="3"/>
  <c r="D298" i="3" s="1"/>
  <c r="G298" i="3"/>
  <c r="H298" i="3"/>
  <c r="AU298" i="3" s="1"/>
  <c r="I298" i="3" s="1"/>
  <c r="B299" i="3"/>
  <c r="C299" i="3"/>
  <c r="D299" i="3" s="1"/>
  <c r="G299" i="3"/>
  <c r="H299" i="3"/>
  <c r="AU299" i="3" s="1"/>
  <c r="I299" i="3" s="1"/>
  <c r="B300" i="3"/>
  <c r="C300" i="3"/>
  <c r="D300" i="3" s="1"/>
  <c r="G300" i="3"/>
  <c r="H300" i="3"/>
  <c r="AU300" i="3" s="1"/>
  <c r="I300" i="3" s="1"/>
  <c r="B301" i="3"/>
  <c r="C301" i="3"/>
  <c r="D301" i="3" s="1"/>
  <c r="G301" i="3"/>
  <c r="H301" i="3"/>
  <c r="AU301" i="3" s="1"/>
  <c r="I301" i="3" s="1"/>
  <c r="B302" i="3"/>
  <c r="C302" i="3"/>
  <c r="D302" i="3" s="1"/>
  <c r="G302" i="3"/>
  <c r="H302" i="3"/>
  <c r="AU302" i="3" s="1"/>
  <c r="I302" i="3" s="1"/>
  <c r="B303" i="3"/>
  <c r="C303" i="3"/>
  <c r="D303" i="3" s="1"/>
  <c r="G303" i="3"/>
  <c r="H303" i="3"/>
  <c r="AU303" i="3" s="1"/>
  <c r="I303" i="3" s="1"/>
  <c r="B304" i="3"/>
  <c r="C304" i="3"/>
  <c r="D304" i="3" s="1"/>
  <c r="G304" i="3"/>
  <c r="B305" i="3"/>
  <c r="C305" i="3"/>
  <c r="D305" i="3" s="1"/>
  <c r="G305" i="3"/>
  <c r="B306" i="3"/>
  <c r="C306" i="3"/>
  <c r="D306" i="3" s="1"/>
  <c r="G306" i="3"/>
  <c r="B307" i="3"/>
  <c r="C307" i="3"/>
  <c r="D307" i="3" s="1"/>
  <c r="G307" i="3"/>
  <c r="B308" i="3"/>
  <c r="C308" i="3"/>
  <c r="D308" i="3" s="1"/>
  <c r="G308" i="3"/>
  <c r="B309" i="3"/>
  <c r="C309" i="3"/>
  <c r="D309" i="3" s="1"/>
  <c r="G309" i="3"/>
  <c r="B310" i="3"/>
  <c r="C310" i="3"/>
  <c r="D310" i="3" s="1"/>
  <c r="G310" i="3"/>
  <c r="B311" i="3"/>
  <c r="C311" i="3"/>
  <c r="D311" i="3" s="1"/>
  <c r="G311" i="3"/>
  <c r="H311" i="3"/>
  <c r="AU311" i="3" s="1"/>
  <c r="I311" i="3" s="1"/>
  <c r="B312" i="3"/>
  <c r="C312" i="3"/>
  <c r="D312" i="3" s="1"/>
  <c r="G312" i="3"/>
  <c r="H312" i="3"/>
  <c r="AU312" i="3" s="1"/>
  <c r="I312" i="3" s="1"/>
  <c r="B313" i="3"/>
  <c r="C313" i="3"/>
  <c r="D313" i="3" s="1"/>
  <c r="G313" i="3"/>
  <c r="H313" i="3"/>
  <c r="AU313" i="3" s="1"/>
  <c r="I313" i="3" s="1"/>
  <c r="B314" i="3"/>
  <c r="C314" i="3"/>
  <c r="D314" i="3" s="1"/>
  <c r="G314" i="3"/>
  <c r="H314" i="3"/>
  <c r="AU314" i="3" s="1"/>
  <c r="I314" i="3" s="1"/>
  <c r="B315" i="3"/>
  <c r="C315" i="3"/>
  <c r="D315" i="3" s="1"/>
  <c r="G315" i="3"/>
  <c r="H315" i="3"/>
  <c r="AU315" i="3" s="1"/>
  <c r="I315" i="3" s="1"/>
  <c r="B316" i="3"/>
  <c r="C316" i="3"/>
  <c r="D316" i="3" s="1"/>
  <c r="G316" i="3"/>
  <c r="H316" i="3"/>
  <c r="AU316" i="3" s="1"/>
  <c r="I316" i="3" s="1"/>
  <c r="B317" i="3"/>
  <c r="C317" i="3"/>
  <c r="D317" i="3" s="1"/>
  <c r="G317" i="3"/>
  <c r="H317" i="3"/>
  <c r="AU317" i="3" s="1"/>
  <c r="I317" i="3" s="1"/>
  <c r="B318" i="3"/>
  <c r="C318" i="3"/>
  <c r="D318" i="3" s="1"/>
  <c r="G318" i="3"/>
  <c r="H318" i="3"/>
  <c r="AU318" i="3" s="1"/>
  <c r="I318" i="3" s="1"/>
  <c r="B319" i="3"/>
  <c r="C319" i="3"/>
  <c r="D319" i="3" s="1"/>
  <c r="G319" i="3"/>
  <c r="H319" i="3"/>
  <c r="AU319" i="3" s="1"/>
  <c r="I319" i="3" s="1"/>
  <c r="B320" i="3"/>
  <c r="C320" i="3"/>
  <c r="D320" i="3" s="1"/>
  <c r="G320" i="3"/>
  <c r="H320" i="3"/>
  <c r="AU320" i="3" s="1"/>
  <c r="I320" i="3" s="1"/>
  <c r="B321" i="3"/>
  <c r="C321" i="3"/>
  <c r="D321" i="3" s="1"/>
  <c r="G321" i="3"/>
  <c r="H321" i="3"/>
  <c r="AU321" i="3" s="1"/>
  <c r="I321" i="3" s="1"/>
  <c r="B322" i="3"/>
  <c r="C322" i="3"/>
  <c r="D322" i="3" s="1"/>
  <c r="G322" i="3"/>
  <c r="H322" i="3"/>
  <c r="AU322" i="3" s="1"/>
  <c r="I322" i="3" s="1"/>
  <c r="B323" i="3"/>
  <c r="C323" i="3"/>
  <c r="D323" i="3" s="1"/>
  <c r="G323" i="3"/>
  <c r="H323" i="3"/>
  <c r="AU323" i="3" s="1"/>
  <c r="I323" i="3" s="1"/>
  <c r="B324" i="3"/>
  <c r="C324" i="3"/>
  <c r="D324" i="3" s="1"/>
  <c r="G324" i="3"/>
  <c r="H324" i="3"/>
  <c r="AU324" i="3" s="1"/>
  <c r="I324" i="3" s="1"/>
  <c r="B325" i="3"/>
  <c r="C325" i="3"/>
  <c r="D325" i="3" s="1"/>
  <c r="G325" i="3"/>
  <c r="H325" i="3"/>
  <c r="AU325" i="3" s="1"/>
  <c r="I325" i="3" s="1"/>
  <c r="B326" i="3"/>
  <c r="C326" i="3"/>
  <c r="D326" i="3" s="1"/>
  <c r="G326" i="3"/>
  <c r="H326" i="3"/>
  <c r="AU326" i="3" s="1"/>
  <c r="I326" i="3" s="1"/>
  <c r="B327" i="3"/>
  <c r="C327" i="3"/>
  <c r="D327" i="3" s="1"/>
  <c r="G327" i="3"/>
  <c r="H327" i="3"/>
  <c r="AU327" i="3" s="1"/>
  <c r="I327" i="3" s="1"/>
  <c r="B328" i="3"/>
  <c r="C328" i="3"/>
  <c r="D328" i="3" s="1"/>
  <c r="G328" i="3"/>
  <c r="H328" i="3"/>
  <c r="AU328" i="3" s="1"/>
  <c r="I328" i="3" s="1"/>
  <c r="B329" i="3"/>
  <c r="C329" i="3"/>
  <c r="D329" i="3" s="1"/>
  <c r="G329" i="3"/>
  <c r="B330" i="3"/>
  <c r="C330" i="3"/>
  <c r="D330" i="3" s="1"/>
  <c r="G330" i="3"/>
  <c r="B331" i="3"/>
  <c r="C331" i="3"/>
  <c r="D331" i="3" s="1"/>
  <c r="G331" i="3"/>
  <c r="B332" i="3"/>
  <c r="C332" i="3"/>
  <c r="D332" i="3" s="1"/>
  <c r="G332" i="3"/>
  <c r="H332" i="3"/>
  <c r="AU332" i="3" s="1"/>
  <c r="I332" i="3" s="1"/>
  <c r="B333" i="3"/>
  <c r="C333" i="3"/>
  <c r="D333" i="3" s="1"/>
  <c r="G333" i="3"/>
  <c r="B334" i="3"/>
  <c r="C334" i="3"/>
  <c r="D334" i="3" s="1"/>
  <c r="G334" i="3"/>
  <c r="H334" i="3"/>
  <c r="AU334" i="3" s="1"/>
  <c r="I334" i="3" s="1"/>
  <c r="B335" i="3"/>
  <c r="C335" i="3"/>
  <c r="D335" i="3" s="1"/>
  <c r="G335" i="3"/>
  <c r="B336" i="3"/>
  <c r="C336" i="3"/>
  <c r="D336" i="3" s="1"/>
  <c r="G336" i="3"/>
  <c r="B337" i="3"/>
  <c r="C337" i="3"/>
  <c r="D337" i="3" s="1"/>
  <c r="G337" i="3"/>
  <c r="B338" i="3"/>
  <c r="C338" i="3"/>
  <c r="D338" i="3" s="1"/>
  <c r="G338" i="3"/>
  <c r="B339" i="3"/>
  <c r="C339" i="3"/>
  <c r="D339" i="3" s="1"/>
  <c r="G339" i="3"/>
  <c r="B340" i="3"/>
  <c r="C340" i="3"/>
  <c r="D340" i="3" s="1"/>
  <c r="G340" i="3"/>
  <c r="B341" i="3"/>
  <c r="C341" i="3"/>
  <c r="D341" i="3" s="1"/>
  <c r="G341" i="3"/>
  <c r="B342" i="3"/>
  <c r="C342" i="3"/>
  <c r="D342" i="3" s="1"/>
  <c r="G342" i="3"/>
  <c r="B343" i="3"/>
  <c r="C343" i="3"/>
  <c r="D343" i="3" s="1"/>
  <c r="G343" i="3"/>
  <c r="H343" i="3"/>
  <c r="AU343" i="3" s="1"/>
  <c r="I343" i="3" s="1"/>
  <c r="B344" i="3"/>
  <c r="C344" i="3"/>
  <c r="D344" i="3" s="1"/>
  <c r="G344" i="3"/>
  <c r="B345" i="3"/>
  <c r="C345" i="3"/>
  <c r="D345" i="3" s="1"/>
  <c r="G345" i="3"/>
  <c r="H345" i="3"/>
  <c r="AU345" i="3" s="1"/>
  <c r="I345" i="3" s="1"/>
  <c r="B346" i="3"/>
  <c r="C346" i="3"/>
  <c r="D346" i="3" s="1"/>
  <c r="G346" i="3"/>
  <c r="H346" i="3"/>
  <c r="AU346" i="3" s="1"/>
  <c r="I346" i="3" s="1"/>
  <c r="B347" i="3"/>
  <c r="C347" i="3"/>
  <c r="D347" i="3" s="1"/>
  <c r="G347" i="3"/>
  <c r="B348" i="3"/>
  <c r="C348" i="3"/>
  <c r="D348" i="3" s="1"/>
  <c r="G348" i="3"/>
  <c r="H348" i="3"/>
  <c r="AU348" i="3" s="1"/>
  <c r="I348" i="3" s="1"/>
  <c r="B349" i="3"/>
  <c r="C349" i="3"/>
  <c r="D349" i="3" s="1"/>
  <c r="G349" i="3"/>
  <c r="H349" i="3"/>
  <c r="AU349" i="3" s="1"/>
  <c r="I349" i="3" s="1"/>
  <c r="B350" i="3"/>
  <c r="C350" i="3"/>
  <c r="D350" i="3" s="1"/>
  <c r="G350" i="3"/>
  <c r="H350" i="3"/>
  <c r="AU350" i="3" s="1"/>
  <c r="I350" i="3" s="1"/>
  <c r="B351" i="3"/>
  <c r="C351" i="3"/>
  <c r="D351" i="3" s="1"/>
  <c r="G351" i="3"/>
  <c r="H351" i="3"/>
  <c r="AU351" i="3" s="1"/>
  <c r="I351" i="3" s="1"/>
  <c r="B352" i="3"/>
  <c r="C352" i="3"/>
  <c r="D352" i="3" s="1"/>
  <c r="G352" i="3"/>
  <c r="H352" i="3"/>
  <c r="AU352" i="3" s="1"/>
  <c r="I352" i="3" s="1"/>
  <c r="B353" i="3"/>
  <c r="C353" i="3"/>
  <c r="D353" i="3" s="1"/>
  <c r="G353" i="3"/>
  <c r="B354" i="3"/>
  <c r="C354" i="3"/>
  <c r="D354" i="3" s="1"/>
  <c r="G354" i="3"/>
  <c r="B355" i="3"/>
  <c r="C355" i="3"/>
  <c r="D355" i="3" s="1"/>
  <c r="G355" i="3"/>
  <c r="H355" i="3"/>
  <c r="AU355" i="3" s="1"/>
  <c r="I355" i="3" s="1"/>
  <c r="B356" i="3"/>
  <c r="C356" i="3"/>
  <c r="D356" i="3" s="1"/>
  <c r="G356" i="3"/>
  <c r="B357" i="3"/>
  <c r="C357" i="3"/>
  <c r="D357" i="3" s="1"/>
  <c r="G357" i="3"/>
  <c r="H357" i="3"/>
  <c r="AU357" i="3" s="1"/>
  <c r="I357" i="3" s="1"/>
  <c r="B358" i="3"/>
  <c r="C358" i="3"/>
  <c r="D358" i="3" s="1"/>
  <c r="G358" i="3"/>
  <c r="B359" i="3"/>
  <c r="C359" i="3"/>
  <c r="D359" i="3" s="1"/>
  <c r="G359" i="3"/>
  <c r="B360" i="3"/>
  <c r="C360" i="3"/>
  <c r="D360" i="3" s="1"/>
  <c r="G360" i="3"/>
  <c r="B361" i="3"/>
  <c r="C361" i="3"/>
  <c r="D361" i="3" s="1"/>
  <c r="G361" i="3"/>
  <c r="H361" i="3"/>
  <c r="AU361" i="3" s="1"/>
  <c r="I361" i="3" s="1"/>
  <c r="B362" i="3"/>
  <c r="C362" i="3"/>
  <c r="D362" i="3" s="1"/>
  <c r="G362" i="3"/>
  <c r="H362" i="3"/>
  <c r="AU362" i="3" s="1"/>
  <c r="I362" i="3" s="1"/>
  <c r="B363" i="3"/>
  <c r="C363" i="3"/>
  <c r="D363" i="3" s="1"/>
  <c r="G363" i="3"/>
  <c r="H363" i="3"/>
  <c r="AU363" i="3" s="1"/>
  <c r="I363" i="3" s="1"/>
  <c r="B364" i="3"/>
  <c r="C364" i="3"/>
  <c r="D364" i="3" s="1"/>
  <c r="G364" i="3"/>
  <c r="H364" i="3"/>
  <c r="AU364" i="3" s="1"/>
  <c r="I364" i="3" s="1"/>
  <c r="B365" i="3"/>
  <c r="C365" i="3"/>
  <c r="D365" i="3" s="1"/>
  <c r="G365" i="3"/>
  <c r="H365" i="3"/>
  <c r="AU365" i="3" s="1"/>
  <c r="I365" i="3" s="1"/>
  <c r="B366" i="3"/>
  <c r="C366" i="3"/>
  <c r="D366" i="3" s="1"/>
  <c r="G366" i="3"/>
  <c r="H366" i="3"/>
  <c r="AU366" i="3" s="1"/>
  <c r="I366" i="3" s="1"/>
  <c r="B367" i="3"/>
  <c r="C367" i="3"/>
  <c r="D367" i="3" s="1"/>
  <c r="G367" i="3"/>
  <c r="H367" i="3"/>
  <c r="AU367" i="3" s="1"/>
  <c r="I367" i="3" s="1"/>
  <c r="B368" i="3"/>
  <c r="C368" i="3"/>
  <c r="D368" i="3" s="1"/>
  <c r="G368" i="3"/>
  <c r="H368" i="3"/>
  <c r="AU368" i="3" s="1"/>
  <c r="I368" i="3" s="1"/>
  <c r="B369" i="3"/>
  <c r="C369" i="3"/>
  <c r="D369" i="3" s="1"/>
  <c r="G369" i="3"/>
  <c r="H369" i="3"/>
  <c r="AU369" i="3" s="1"/>
  <c r="I369" i="3" s="1"/>
  <c r="B370" i="3"/>
  <c r="C370" i="3"/>
  <c r="D370" i="3" s="1"/>
  <c r="G370" i="3"/>
  <c r="H370" i="3"/>
  <c r="AU370" i="3" s="1"/>
  <c r="I370" i="3" s="1"/>
  <c r="B371" i="3"/>
  <c r="C371" i="3"/>
  <c r="D371" i="3" s="1"/>
  <c r="G371" i="3"/>
  <c r="H371" i="3"/>
  <c r="AU371" i="3" s="1"/>
  <c r="I371" i="3" s="1"/>
  <c r="B372" i="3"/>
  <c r="C372" i="3"/>
  <c r="D372" i="3" s="1"/>
  <c r="G372" i="3"/>
  <c r="H372" i="3"/>
  <c r="AU372" i="3" s="1"/>
  <c r="I372" i="3" s="1"/>
  <c r="B373" i="3"/>
  <c r="C373" i="3"/>
  <c r="D373" i="3" s="1"/>
  <c r="G373" i="3"/>
  <c r="H373" i="3"/>
  <c r="AU373" i="3" s="1"/>
  <c r="I373" i="3" s="1"/>
  <c r="B374" i="3"/>
  <c r="C374" i="3"/>
  <c r="D374" i="3" s="1"/>
  <c r="G374" i="3"/>
  <c r="H374" i="3"/>
  <c r="AU374" i="3" s="1"/>
  <c r="I374" i="3" s="1"/>
  <c r="B375" i="3"/>
  <c r="C375" i="3"/>
  <c r="D375" i="3" s="1"/>
  <c r="G375" i="3"/>
  <c r="H375" i="3"/>
  <c r="AU375" i="3" s="1"/>
  <c r="I375" i="3" s="1"/>
  <c r="B376" i="3"/>
  <c r="C376" i="3"/>
  <c r="D376" i="3" s="1"/>
  <c r="G376" i="3"/>
  <c r="H376" i="3"/>
  <c r="AU376" i="3" s="1"/>
  <c r="I376" i="3" s="1"/>
  <c r="B377" i="3"/>
  <c r="C377" i="3"/>
  <c r="D377" i="3" s="1"/>
  <c r="G377" i="3"/>
  <c r="H377" i="3"/>
  <c r="AU377" i="3" s="1"/>
  <c r="I377" i="3" s="1"/>
  <c r="B378" i="3"/>
  <c r="C378" i="3"/>
  <c r="D378" i="3" s="1"/>
  <c r="G378" i="3"/>
  <c r="H378" i="3"/>
  <c r="AU378" i="3" s="1"/>
  <c r="I378" i="3" s="1"/>
  <c r="B379" i="3"/>
  <c r="C379" i="3"/>
  <c r="D379" i="3" s="1"/>
  <c r="G379" i="3"/>
  <c r="H379" i="3"/>
  <c r="AU379" i="3" s="1"/>
  <c r="I379" i="3" s="1"/>
  <c r="B380" i="3"/>
  <c r="C380" i="3"/>
  <c r="D380" i="3" s="1"/>
  <c r="G380" i="3"/>
  <c r="H380" i="3"/>
  <c r="AU380" i="3" s="1"/>
  <c r="I380" i="3" s="1"/>
  <c r="B381" i="3"/>
  <c r="C381" i="3"/>
  <c r="D381" i="3" s="1"/>
  <c r="G381" i="3"/>
  <c r="H381" i="3"/>
  <c r="AU381" i="3" s="1"/>
  <c r="I381" i="3" s="1"/>
  <c r="B382" i="3"/>
  <c r="C382" i="3"/>
  <c r="D382" i="3" s="1"/>
  <c r="G382" i="3"/>
  <c r="H382" i="3"/>
  <c r="AU382" i="3" s="1"/>
  <c r="I382" i="3" s="1"/>
  <c r="B383" i="3"/>
  <c r="C383" i="3"/>
  <c r="D383" i="3" s="1"/>
  <c r="G383" i="3"/>
  <c r="H383" i="3"/>
  <c r="AU383" i="3" s="1"/>
  <c r="I383" i="3" s="1"/>
  <c r="B384" i="3"/>
  <c r="C384" i="3"/>
  <c r="D384" i="3" s="1"/>
  <c r="G384" i="3"/>
  <c r="H384" i="3"/>
  <c r="AU384" i="3" s="1"/>
  <c r="I384" i="3" s="1"/>
  <c r="B385" i="3"/>
  <c r="C385" i="3"/>
  <c r="D385" i="3" s="1"/>
  <c r="G385" i="3"/>
  <c r="H385" i="3"/>
  <c r="AU385" i="3" s="1"/>
  <c r="I385" i="3" s="1"/>
  <c r="B386" i="3"/>
  <c r="C386" i="3"/>
  <c r="D386" i="3" s="1"/>
  <c r="G386" i="3"/>
  <c r="H386" i="3"/>
  <c r="AU386" i="3" s="1"/>
  <c r="I386" i="3" s="1"/>
  <c r="B387" i="3"/>
  <c r="C387" i="3"/>
  <c r="D387" i="3" s="1"/>
  <c r="G387" i="3"/>
  <c r="H387" i="3"/>
  <c r="AU387" i="3" s="1"/>
  <c r="I387" i="3" s="1"/>
  <c r="B388" i="3"/>
  <c r="C388" i="3"/>
  <c r="D388" i="3" s="1"/>
  <c r="G388" i="3"/>
  <c r="H388" i="3"/>
  <c r="AU388" i="3" s="1"/>
  <c r="I388" i="3" s="1"/>
  <c r="B389" i="3"/>
  <c r="C389" i="3"/>
  <c r="D389" i="3" s="1"/>
  <c r="G389" i="3"/>
  <c r="H389" i="3"/>
  <c r="AU389" i="3" s="1"/>
  <c r="I389" i="3" s="1"/>
  <c r="B390" i="3"/>
  <c r="C390" i="3"/>
  <c r="D390" i="3" s="1"/>
  <c r="G390" i="3"/>
  <c r="H390" i="3"/>
  <c r="AU390" i="3" s="1"/>
  <c r="I390" i="3" s="1"/>
  <c r="B391" i="3"/>
  <c r="C391" i="3"/>
  <c r="D391" i="3" s="1"/>
  <c r="G391" i="3"/>
  <c r="H391" i="3"/>
  <c r="AU391" i="3" s="1"/>
  <c r="I391" i="3" s="1"/>
  <c r="B392" i="3"/>
  <c r="C392" i="3"/>
  <c r="D392" i="3" s="1"/>
  <c r="G392" i="3"/>
  <c r="H392" i="3"/>
  <c r="AU392" i="3" s="1"/>
  <c r="I392" i="3" s="1"/>
  <c r="B393" i="3"/>
  <c r="C393" i="3"/>
  <c r="D393" i="3" s="1"/>
  <c r="G393" i="3"/>
  <c r="H393" i="3"/>
  <c r="AU393" i="3" s="1"/>
  <c r="I393" i="3" s="1"/>
  <c r="B394" i="3"/>
  <c r="C394" i="3"/>
  <c r="D394" i="3" s="1"/>
  <c r="G394" i="3"/>
  <c r="H394" i="3"/>
  <c r="AU394" i="3" s="1"/>
  <c r="I394" i="3" s="1"/>
  <c r="B395" i="3"/>
  <c r="C395" i="3"/>
  <c r="D395" i="3" s="1"/>
  <c r="G395" i="3"/>
  <c r="H395" i="3"/>
  <c r="AU395" i="3" s="1"/>
  <c r="I395" i="3" s="1"/>
  <c r="B396" i="3"/>
  <c r="C396" i="3"/>
  <c r="D396" i="3" s="1"/>
  <c r="G396" i="3"/>
  <c r="H396" i="3"/>
  <c r="AU396" i="3" s="1"/>
  <c r="I396" i="3" s="1"/>
  <c r="B397" i="3"/>
  <c r="C397" i="3"/>
  <c r="D397" i="3" s="1"/>
  <c r="G397" i="3"/>
  <c r="H397" i="3"/>
  <c r="AU397" i="3" s="1"/>
  <c r="I397" i="3" s="1"/>
  <c r="B398" i="3"/>
  <c r="C398" i="3"/>
  <c r="D398" i="3" s="1"/>
  <c r="G398" i="3"/>
  <c r="H398" i="3"/>
  <c r="AU398" i="3" s="1"/>
  <c r="I398" i="3" s="1"/>
  <c r="B399" i="3"/>
  <c r="C399" i="3"/>
  <c r="D399" i="3" s="1"/>
  <c r="G399" i="3"/>
  <c r="H399" i="3"/>
  <c r="AU399" i="3" s="1"/>
  <c r="I399" i="3" s="1"/>
  <c r="B400" i="3"/>
  <c r="C400" i="3"/>
  <c r="D400" i="3" s="1"/>
  <c r="G400" i="3"/>
  <c r="H400" i="3"/>
  <c r="AU400" i="3" s="1"/>
  <c r="I400" i="3" s="1"/>
  <c r="B401" i="3"/>
  <c r="C401" i="3"/>
  <c r="D401" i="3" s="1"/>
  <c r="G401" i="3"/>
  <c r="H401" i="3"/>
  <c r="AU401" i="3" s="1"/>
  <c r="I401" i="3" s="1"/>
  <c r="B402" i="3"/>
  <c r="C402" i="3"/>
  <c r="D402" i="3" s="1"/>
  <c r="G402" i="3"/>
  <c r="H402" i="3"/>
  <c r="AU402" i="3" s="1"/>
  <c r="I402" i="3" s="1"/>
  <c r="B403" i="3"/>
  <c r="C403" i="3"/>
  <c r="D403" i="3" s="1"/>
  <c r="G403" i="3"/>
  <c r="B404" i="3"/>
  <c r="C404" i="3"/>
  <c r="D404" i="3" s="1"/>
  <c r="G404" i="3"/>
  <c r="B405" i="3"/>
  <c r="C405" i="3"/>
  <c r="D405" i="3" s="1"/>
  <c r="G405" i="3"/>
  <c r="H405" i="3"/>
  <c r="AU405" i="3" s="1"/>
  <c r="I405" i="3" s="1"/>
  <c r="B406" i="3"/>
  <c r="C406" i="3"/>
  <c r="D406" i="3" s="1"/>
  <c r="G406" i="3"/>
  <c r="H406" i="3"/>
  <c r="AU406" i="3" s="1"/>
  <c r="I406" i="3" s="1"/>
  <c r="B407" i="3"/>
  <c r="C407" i="3"/>
  <c r="D407" i="3" s="1"/>
  <c r="G407" i="3"/>
  <c r="H407" i="3"/>
  <c r="AU407" i="3" s="1"/>
  <c r="I407" i="3" s="1"/>
  <c r="B408" i="3"/>
  <c r="C408" i="3"/>
  <c r="D408" i="3" s="1"/>
  <c r="G408" i="3"/>
  <c r="B409" i="3"/>
  <c r="C409" i="3"/>
  <c r="D409" i="3" s="1"/>
  <c r="G409" i="3"/>
  <c r="H409" i="3"/>
  <c r="AU409" i="3" s="1"/>
  <c r="I409" i="3" s="1"/>
  <c r="B410" i="3"/>
  <c r="C410" i="3"/>
  <c r="D410" i="3" s="1"/>
  <c r="G410" i="3"/>
  <c r="H410" i="3"/>
  <c r="AU410" i="3" s="1"/>
  <c r="I410" i="3" s="1"/>
  <c r="B411" i="3"/>
  <c r="C411" i="3"/>
  <c r="D411" i="3" s="1"/>
  <c r="G411" i="3"/>
  <c r="H411" i="3"/>
  <c r="AU411" i="3" s="1"/>
  <c r="I411" i="3" s="1"/>
  <c r="B412" i="3"/>
  <c r="C412" i="3"/>
  <c r="D412" i="3" s="1"/>
  <c r="G412" i="3"/>
  <c r="B413" i="3"/>
  <c r="C413" i="3"/>
  <c r="D413" i="3" s="1"/>
  <c r="G413" i="3"/>
  <c r="B414" i="3"/>
  <c r="C414" i="3"/>
  <c r="D414" i="3" s="1"/>
  <c r="G414" i="3"/>
  <c r="H414" i="3"/>
  <c r="AU414" i="3" s="1"/>
  <c r="I414" i="3" s="1"/>
  <c r="B415" i="3"/>
  <c r="C415" i="3"/>
  <c r="D415" i="3" s="1"/>
  <c r="G415" i="3"/>
  <c r="H415" i="3"/>
  <c r="AU415" i="3" s="1"/>
  <c r="I415" i="3" s="1"/>
  <c r="B416" i="3"/>
  <c r="C416" i="3"/>
  <c r="D416" i="3" s="1"/>
  <c r="G416" i="3"/>
  <c r="H416" i="3"/>
  <c r="AU416" i="3" s="1"/>
  <c r="I416" i="3" s="1"/>
  <c r="B417" i="3"/>
  <c r="C417" i="3"/>
  <c r="D417" i="3" s="1"/>
  <c r="G417" i="3"/>
  <c r="H417" i="3"/>
  <c r="AU417" i="3" s="1"/>
  <c r="I417" i="3" s="1"/>
  <c r="B418" i="3"/>
  <c r="C418" i="3"/>
  <c r="D418" i="3" s="1"/>
  <c r="G418" i="3"/>
  <c r="H418" i="3"/>
  <c r="AU418" i="3" s="1"/>
  <c r="I418" i="3" s="1"/>
  <c r="B419" i="3"/>
  <c r="C419" i="3"/>
  <c r="D419" i="3" s="1"/>
  <c r="G419" i="3"/>
  <c r="H419" i="3"/>
  <c r="AU419" i="3" s="1"/>
  <c r="I419" i="3" s="1"/>
  <c r="B420" i="3"/>
  <c r="C420" i="3"/>
  <c r="D420" i="3" s="1"/>
  <c r="G420" i="3"/>
  <c r="H420" i="3"/>
  <c r="AU420" i="3" s="1"/>
  <c r="I420" i="3" s="1"/>
  <c r="B421" i="3"/>
  <c r="C421" i="3"/>
  <c r="D421" i="3" s="1"/>
  <c r="G421" i="3"/>
  <c r="H421" i="3"/>
  <c r="AU421" i="3" s="1"/>
  <c r="I421" i="3" s="1"/>
  <c r="B422" i="3"/>
  <c r="C422" i="3"/>
  <c r="D422" i="3" s="1"/>
  <c r="G422" i="3"/>
  <c r="H422" i="3"/>
  <c r="AU422" i="3" s="1"/>
  <c r="I422" i="3" s="1"/>
  <c r="B423" i="3"/>
  <c r="C423" i="3"/>
  <c r="D423" i="3" s="1"/>
  <c r="G423" i="3"/>
  <c r="H423" i="3"/>
  <c r="AU423" i="3" s="1"/>
  <c r="I423" i="3" s="1"/>
  <c r="B424" i="3"/>
  <c r="C424" i="3"/>
  <c r="D424" i="3" s="1"/>
  <c r="G424" i="3"/>
  <c r="H424" i="3"/>
  <c r="AU424" i="3" s="1"/>
  <c r="I424" i="3" s="1"/>
  <c r="B425" i="3"/>
  <c r="C425" i="3"/>
  <c r="D425" i="3" s="1"/>
  <c r="G425" i="3"/>
  <c r="H425" i="3"/>
  <c r="AU425" i="3" s="1"/>
  <c r="I425" i="3" s="1"/>
  <c r="B426" i="3"/>
  <c r="C426" i="3"/>
  <c r="D426" i="3" s="1"/>
  <c r="G426" i="3"/>
  <c r="B427" i="3"/>
  <c r="C427" i="3"/>
  <c r="D427" i="3" s="1"/>
  <c r="G427" i="3"/>
  <c r="B428" i="3"/>
  <c r="C428" i="3"/>
  <c r="D428" i="3" s="1"/>
  <c r="G428" i="3"/>
  <c r="H428" i="3"/>
  <c r="AU428" i="3" s="1"/>
  <c r="I428" i="3" s="1"/>
  <c r="B429" i="3"/>
  <c r="C429" i="3"/>
  <c r="D429" i="3" s="1"/>
  <c r="G429" i="3"/>
  <c r="B430" i="3"/>
  <c r="C430" i="3"/>
  <c r="D430" i="3" s="1"/>
  <c r="G430" i="3"/>
  <c r="H430" i="3"/>
  <c r="AU430" i="3" s="1"/>
  <c r="I430" i="3" s="1"/>
  <c r="B431" i="3"/>
  <c r="C431" i="3"/>
  <c r="D431" i="3" s="1"/>
  <c r="G431" i="3"/>
  <c r="H431" i="3"/>
  <c r="AU431" i="3" s="1"/>
  <c r="I431" i="3" s="1"/>
  <c r="B432" i="3"/>
  <c r="C432" i="3"/>
  <c r="D432" i="3" s="1"/>
  <c r="G432" i="3"/>
  <c r="H432" i="3"/>
  <c r="AU432" i="3" s="1"/>
  <c r="I432" i="3" s="1"/>
  <c r="B433" i="3"/>
  <c r="C433" i="3"/>
  <c r="D433" i="3" s="1"/>
  <c r="G433" i="3"/>
  <c r="H433" i="3"/>
  <c r="AU433" i="3" s="1"/>
  <c r="I433" i="3" s="1"/>
  <c r="B434" i="3"/>
  <c r="C434" i="3"/>
  <c r="D434" i="3" s="1"/>
  <c r="G434" i="3"/>
  <c r="H434" i="3"/>
  <c r="AU434" i="3" s="1"/>
  <c r="I434" i="3" s="1"/>
  <c r="B435" i="3"/>
  <c r="C435" i="3"/>
  <c r="D435" i="3" s="1"/>
  <c r="G435" i="3"/>
  <c r="H435" i="3"/>
  <c r="AU435" i="3" s="1"/>
  <c r="I435" i="3" s="1"/>
  <c r="B436" i="3"/>
  <c r="C436" i="3"/>
  <c r="D436" i="3" s="1"/>
  <c r="G436" i="3"/>
  <c r="B437" i="3"/>
  <c r="C437" i="3"/>
  <c r="D437" i="3" s="1"/>
  <c r="G437" i="3"/>
  <c r="H437" i="3"/>
  <c r="AU437" i="3" s="1"/>
  <c r="I437" i="3" s="1"/>
  <c r="B438" i="3"/>
  <c r="C438" i="3"/>
  <c r="D438" i="3" s="1"/>
  <c r="G438" i="3"/>
  <c r="H438" i="3"/>
  <c r="AU438" i="3" s="1"/>
  <c r="I438" i="3" s="1"/>
  <c r="B439" i="3"/>
  <c r="C439" i="3"/>
  <c r="D439" i="3" s="1"/>
  <c r="G439" i="3"/>
  <c r="H439" i="3"/>
  <c r="AU439" i="3" s="1"/>
  <c r="I439" i="3" s="1"/>
  <c r="B440" i="3"/>
  <c r="C440" i="3"/>
  <c r="D440" i="3" s="1"/>
  <c r="G440" i="3"/>
  <c r="H440" i="3"/>
  <c r="AU440" i="3" s="1"/>
  <c r="I440" i="3" s="1"/>
  <c r="B441" i="3"/>
  <c r="C441" i="3"/>
  <c r="D441" i="3" s="1"/>
  <c r="G441" i="3"/>
  <c r="H441" i="3"/>
  <c r="AU441" i="3" s="1"/>
  <c r="I441" i="3" s="1"/>
  <c r="B442" i="3"/>
  <c r="C442" i="3"/>
  <c r="D442" i="3" s="1"/>
  <c r="G442" i="3"/>
  <c r="H442" i="3"/>
  <c r="AU442" i="3" s="1"/>
  <c r="I442" i="3" s="1"/>
  <c r="B443" i="3"/>
  <c r="C443" i="3"/>
  <c r="D443" i="3" s="1"/>
  <c r="G443" i="3"/>
  <c r="H443" i="3"/>
  <c r="AU443" i="3" s="1"/>
  <c r="I443" i="3" s="1"/>
  <c r="B444" i="3"/>
  <c r="C444" i="3"/>
  <c r="D444" i="3" s="1"/>
  <c r="G444" i="3"/>
  <c r="H444" i="3"/>
  <c r="AU444" i="3" s="1"/>
  <c r="I444" i="3" s="1"/>
  <c r="B445" i="3"/>
  <c r="C445" i="3"/>
  <c r="D445" i="3" s="1"/>
  <c r="G445" i="3"/>
  <c r="H445" i="3"/>
  <c r="AU445" i="3" s="1"/>
  <c r="I445" i="3" s="1"/>
  <c r="B446" i="3"/>
  <c r="C446" i="3"/>
  <c r="D446" i="3" s="1"/>
  <c r="G446" i="3"/>
  <c r="H446" i="3"/>
  <c r="AU446" i="3" s="1"/>
  <c r="I446" i="3" s="1"/>
  <c r="B447" i="3"/>
  <c r="C447" i="3"/>
  <c r="D447" i="3" s="1"/>
  <c r="G447" i="3"/>
  <c r="H447" i="3"/>
  <c r="AU447" i="3" s="1"/>
  <c r="I447" i="3" s="1"/>
  <c r="B448" i="3"/>
  <c r="C448" i="3"/>
  <c r="D448" i="3" s="1"/>
  <c r="G448" i="3"/>
  <c r="B449" i="3"/>
  <c r="C449" i="3"/>
  <c r="D449" i="3" s="1"/>
  <c r="G449" i="3"/>
  <c r="B450" i="3"/>
  <c r="C450" i="3"/>
  <c r="D450" i="3" s="1"/>
  <c r="G450" i="3"/>
  <c r="H450" i="3"/>
  <c r="AU450" i="3" s="1"/>
  <c r="I450" i="3" s="1"/>
  <c r="B451" i="3"/>
  <c r="C451" i="3"/>
  <c r="D451" i="3" s="1"/>
  <c r="G451" i="3"/>
  <c r="H451" i="3"/>
  <c r="AU451" i="3" s="1"/>
  <c r="I451" i="3" s="1"/>
  <c r="B452" i="3"/>
  <c r="C452" i="3"/>
  <c r="D452" i="3" s="1"/>
  <c r="G452" i="3"/>
  <c r="B453" i="3"/>
  <c r="C453" i="3"/>
  <c r="D453" i="3" s="1"/>
  <c r="G453" i="3"/>
  <c r="H453" i="3"/>
  <c r="AU453" i="3" s="1"/>
  <c r="I453" i="3" s="1"/>
  <c r="B454" i="3"/>
  <c r="C454" i="3"/>
  <c r="D454" i="3" s="1"/>
  <c r="G454" i="3"/>
  <c r="H454" i="3"/>
  <c r="AU454" i="3" s="1"/>
  <c r="I454" i="3" s="1"/>
  <c r="B455" i="3"/>
  <c r="C455" i="3"/>
  <c r="D455" i="3" s="1"/>
  <c r="G455" i="3"/>
  <c r="H455" i="3"/>
  <c r="AU455" i="3" s="1"/>
  <c r="I455" i="3" s="1"/>
  <c r="B456" i="3"/>
  <c r="C456" i="3"/>
  <c r="D456" i="3" s="1"/>
  <c r="G456" i="3"/>
  <c r="H456" i="3"/>
  <c r="AU456" i="3" s="1"/>
  <c r="I456" i="3" s="1"/>
  <c r="B457" i="3"/>
  <c r="C457" i="3"/>
  <c r="D457" i="3" s="1"/>
  <c r="G457" i="3"/>
  <c r="H457" i="3"/>
  <c r="AU457" i="3" s="1"/>
  <c r="I457" i="3" s="1"/>
  <c r="B458" i="3"/>
  <c r="C458" i="3"/>
  <c r="D458" i="3" s="1"/>
  <c r="G458" i="3"/>
  <c r="H458" i="3"/>
  <c r="AU458" i="3" s="1"/>
  <c r="I458" i="3" s="1"/>
  <c r="B459" i="3"/>
  <c r="C459" i="3"/>
  <c r="D459" i="3" s="1"/>
  <c r="G459" i="3"/>
  <c r="H459" i="3"/>
  <c r="AU459" i="3" s="1"/>
  <c r="I459" i="3" s="1"/>
  <c r="B460" i="3"/>
  <c r="C460" i="3"/>
  <c r="D460" i="3" s="1"/>
  <c r="G460" i="3"/>
  <c r="H460" i="3"/>
  <c r="AU460" i="3" s="1"/>
  <c r="I460" i="3" s="1"/>
  <c r="B461" i="3"/>
  <c r="C461" i="3"/>
  <c r="D461" i="3" s="1"/>
  <c r="G461" i="3"/>
  <c r="H461" i="3"/>
  <c r="AU461" i="3" s="1"/>
  <c r="I461" i="3" s="1"/>
  <c r="B462" i="3"/>
  <c r="C462" i="3"/>
  <c r="D462" i="3" s="1"/>
  <c r="G462" i="3"/>
  <c r="H462" i="3"/>
  <c r="AU462" i="3" s="1"/>
  <c r="I462" i="3" s="1"/>
  <c r="B463" i="3"/>
  <c r="C463" i="3"/>
  <c r="D463" i="3" s="1"/>
  <c r="G463" i="3"/>
  <c r="H463" i="3"/>
  <c r="AU463" i="3" s="1"/>
  <c r="I463" i="3" s="1"/>
  <c r="B464" i="3"/>
  <c r="C464" i="3"/>
  <c r="D464" i="3" s="1"/>
  <c r="G464" i="3"/>
  <c r="H464" i="3"/>
  <c r="AU464" i="3" s="1"/>
  <c r="I464" i="3" s="1"/>
  <c r="B465" i="3"/>
  <c r="C465" i="3"/>
  <c r="D465" i="3" s="1"/>
  <c r="G465" i="3"/>
  <c r="H465" i="3"/>
  <c r="AU465" i="3" s="1"/>
  <c r="I465" i="3" s="1"/>
  <c r="B466" i="3"/>
  <c r="C466" i="3"/>
  <c r="D466" i="3" s="1"/>
  <c r="G466" i="3"/>
  <c r="H466" i="3"/>
  <c r="AU466" i="3" s="1"/>
  <c r="I466" i="3" s="1"/>
  <c r="B467" i="3"/>
  <c r="C467" i="3"/>
  <c r="D467" i="3" s="1"/>
  <c r="G467" i="3"/>
  <c r="B468" i="3"/>
  <c r="C468" i="3"/>
  <c r="D468" i="3" s="1"/>
  <c r="G468" i="3"/>
  <c r="B469" i="3"/>
  <c r="C469" i="3"/>
  <c r="D469" i="3" s="1"/>
  <c r="G469" i="3"/>
  <c r="H469" i="3"/>
  <c r="AU469" i="3" s="1"/>
  <c r="I469" i="3" s="1"/>
  <c r="B470" i="3"/>
  <c r="C470" i="3"/>
  <c r="D470" i="3" s="1"/>
  <c r="G470" i="3"/>
  <c r="H470" i="3"/>
  <c r="AU470" i="3" s="1"/>
  <c r="I470" i="3" s="1"/>
  <c r="B471" i="3"/>
  <c r="C471" i="3"/>
  <c r="D471" i="3" s="1"/>
  <c r="G471" i="3"/>
  <c r="H471" i="3"/>
  <c r="AU471" i="3" s="1"/>
  <c r="I471" i="3" s="1"/>
  <c r="B472" i="3"/>
  <c r="C472" i="3"/>
  <c r="D472" i="3" s="1"/>
  <c r="G472" i="3"/>
  <c r="H472" i="3"/>
  <c r="AU472" i="3" s="1"/>
  <c r="I472" i="3" s="1"/>
  <c r="B473" i="3"/>
  <c r="C473" i="3"/>
  <c r="D473" i="3" s="1"/>
  <c r="G473" i="3"/>
  <c r="B474" i="3"/>
  <c r="C474" i="3"/>
  <c r="D474" i="3" s="1"/>
  <c r="G474" i="3"/>
  <c r="B475" i="3"/>
  <c r="C475" i="3"/>
  <c r="D475" i="3" s="1"/>
  <c r="G475" i="3"/>
  <c r="H475" i="3"/>
  <c r="AU475" i="3" s="1"/>
  <c r="I475" i="3" s="1"/>
  <c r="B476" i="3"/>
  <c r="C476" i="3"/>
  <c r="D476" i="3" s="1"/>
  <c r="G476" i="3"/>
  <c r="B477" i="3"/>
  <c r="C477" i="3"/>
  <c r="D477" i="3" s="1"/>
  <c r="G477" i="3"/>
  <c r="H477" i="3"/>
  <c r="AU477" i="3" s="1"/>
  <c r="I477" i="3" s="1"/>
  <c r="B478" i="3"/>
  <c r="C478" i="3"/>
  <c r="D478" i="3" s="1"/>
  <c r="G478" i="3"/>
  <c r="H478" i="3"/>
  <c r="AU478" i="3" s="1"/>
  <c r="I478" i="3" s="1"/>
  <c r="B479" i="3"/>
  <c r="C479" i="3"/>
  <c r="D479" i="3" s="1"/>
  <c r="G479" i="3"/>
  <c r="B480" i="3"/>
  <c r="C480" i="3"/>
  <c r="D480" i="3" s="1"/>
  <c r="G480" i="3"/>
  <c r="B481" i="3"/>
  <c r="C481" i="3"/>
  <c r="D481" i="3" s="1"/>
  <c r="G481" i="3"/>
  <c r="H481" i="3"/>
  <c r="AU481" i="3" s="1"/>
  <c r="I481" i="3" s="1"/>
  <c r="B482" i="3"/>
  <c r="C482" i="3"/>
  <c r="D482" i="3" s="1"/>
  <c r="G482" i="3"/>
  <c r="B483" i="3"/>
  <c r="C483" i="3"/>
  <c r="D483" i="3" s="1"/>
  <c r="G483" i="3"/>
  <c r="B484" i="3"/>
  <c r="C484" i="3"/>
  <c r="D484" i="3" s="1"/>
  <c r="G484" i="3"/>
  <c r="H484" i="3"/>
  <c r="AU484" i="3" s="1"/>
  <c r="I484" i="3" s="1"/>
  <c r="B485" i="3"/>
  <c r="C485" i="3"/>
  <c r="D485" i="3" s="1"/>
  <c r="G485" i="3"/>
  <c r="H485" i="3"/>
  <c r="AU485" i="3" s="1"/>
  <c r="I485" i="3" s="1"/>
  <c r="B486" i="3"/>
  <c r="C486" i="3"/>
  <c r="D486" i="3" s="1"/>
  <c r="G486" i="3"/>
  <c r="H486" i="3"/>
  <c r="AU486" i="3" s="1"/>
  <c r="I486" i="3" s="1"/>
  <c r="B487" i="3"/>
  <c r="C487" i="3"/>
  <c r="D487" i="3" s="1"/>
  <c r="G487" i="3"/>
  <c r="H487" i="3"/>
  <c r="AU487" i="3" s="1"/>
  <c r="I487" i="3" s="1"/>
  <c r="B488" i="3"/>
  <c r="C488" i="3"/>
  <c r="D488" i="3" s="1"/>
  <c r="G488" i="3"/>
  <c r="H488" i="3"/>
  <c r="AU488" i="3" s="1"/>
  <c r="I488" i="3" s="1"/>
  <c r="B489" i="3"/>
  <c r="C489" i="3"/>
  <c r="D489" i="3" s="1"/>
  <c r="G489" i="3"/>
  <c r="B490" i="3"/>
  <c r="C490" i="3"/>
  <c r="D490" i="3" s="1"/>
  <c r="G490" i="3"/>
  <c r="H490" i="3"/>
  <c r="AU490" i="3" s="1"/>
  <c r="I490" i="3" s="1"/>
  <c r="B491" i="3"/>
  <c r="C491" i="3"/>
  <c r="D491" i="3" s="1"/>
  <c r="G491" i="3"/>
  <c r="H491" i="3"/>
  <c r="AU491" i="3" s="1"/>
  <c r="I491" i="3" s="1"/>
  <c r="B492" i="3"/>
  <c r="C492" i="3"/>
  <c r="D492" i="3" s="1"/>
  <c r="G492" i="3"/>
  <c r="H492" i="3"/>
  <c r="AU492" i="3" s="1"/>
  <c r="I492" i="3" s="1"/>
  <c r="B493" i="3"/>
  <c r="C493" i="3"/>
  <c r="D493" i="3" s="1"/>
  <c r="G493" i="3"/>
  <c r="B494" i="3"/>
  <c r="C494" i="3"/>
  <c r="D494" i="3" s="1"/>
  <c r="G494" i="3"/>
  <c r="H494" i="3"/>
  <c r="AU494" i="3" s="1"/>
  <c r="I494" i="3" s="1"/>
  <c r="B495" i="3"/>
  <c r="C495" i="3"/>
  <c r="D495" i="3" s="1"/>
  <c r="G495" i="3"/>
  <c r="H495" i="3"/>
  <c r="AU495" i="3" s="1"/>
  <c r="I495" i="3" s="1"/>
  <c r="B496" i="3"/>
  <c r="C496" i="3"/>
  <c r="D496" i="3" s="1"/>
  <c r="G496" i="3"/>
  <c r="H496" i="3"/>
  <c r="AU496" i="3" s="1"/>
  <c r="I496" i="3" s="1"/>
  <c r="B497" i="3"/>
  <c r="C497" i="3"/>
  <c r="D497" i="3" s="1"/>
  <c r="G497" i="3"/>
  <c r="B498" i="3"/>
  <c r="C498" i="3"/>
  <c r="D498" i="3" s="1"/>
  <c r="G498" i="3"/>
  <c r="H498" i="3"/>
  <c r="AU498" i="3" s="1"/>
  <c r="I498" i="3" s="1"/>
  <c r="B499" i="3"/>
  <c r="C499" i="3"/>
  <c r="D499" i="3" s="1"/>
  <c r="G499" i="3"/>
  <c r="B500" i="3"/>
  <c r="C500" i="3"/>
  <c r="D500" i="3" s="1"/>
  <c r="G500" i="3"/>
  <c r="H500" i="3"/>
  <c r="AU500" i="3" s="1"/>
  <c r="I500" i="3" s="1"/>
  <c r="B501" i="3"/>
  <c r="C501" i="3"/>
  <c r="D501" i="3" s="1"/>
  <c r="G501" i="3"/>
  <c r="H501" i="3"/>
  <c r="AU501" i="3" s="1"/>
  <c r="I501" i="3" s="1"/>
  <c r="B502" i="3"/>
  <c r="C502" i="3"/>
  <c r="D502" i="3" s="1"/>
  <c r="G502" i="3"/>
  <c r="H502" i="3"/>
  <c r="AU502" i="3" s="1"/>
  <c r="I502" i="3" s="1"/>
  <c r="B503" i="3"/>
  <c r="C503" i="3"/>
  <c r="D503" i="3" s="1"/>
  <c r="G503" i="3"/>
  <c r="H503" i="3"/>
  <c r="AU503" i="3" s="1"/>
  <c r="I503" i="3" s="1"/>
  <c r="B504" i="3"/>
  <c r="C504" i="3"/>
  <c r="D504" i="3" s="1"/>
  <c r="G504" i="3"/>
  <c r="H504" i="3"/>
  <c r="AU504" i="3" s="1"/>
  <c r="I504" i="3" s="1"/>
  <c r="B505" i="3"/>
  <c r="C505" i="3"/>
  <c r="D505" i="3" s="1"/>
  <c r="G505" i="3"/>
  <c r="H505" i="3"/>
  <c r="AU505" i="3" s="1"/>
  <c r="I505" i="3" s="1"/>
  <c r="B506" i="3"/>
  <c r="C506" i="3"/>
  <c r="D506" i="3" s="1"/>
  <c r="G506" i="3"/>
  <c r="H506" i="3"/>
  <c r="AU506" i="3" s="1"/>
  <c r="I506" i="3" s="1"/>
  <c r="B507" i="3"/>
  <c r="C507" i="3"/>
  <c r="D507" i="3" s="1"/>
  <c r="G507" i="3"/>
  <c r="H507" i="3"/>
  <c r="AU507" i="3" s="1"/>
  <c r="I507" i="3" s="1"/>
  <c r="B508" i="3"/>
  <c r="C508" i="3"/>
  <c r="D508" i="3" s="1"/>
  <c r="G508" i="3"/>
  <c r="H508" i="3"/>
  <c r="AU508" i="3" s="1"/>
  <c r="I508" i="3" s="1"/>
  <c r="B509" i="3"/>
  <c r="C509" i="3"/>
  <c r="D509" i="3" s="1"/>
  <c r="G509" i="3"/>
  <c r="H509" i="3"/>
  <c r="AU509" i="3" s="1"/>
  <c r="I509" i="3" s="1"/>
  <c r="B510" i="3"/>
  <c r="C510" i="3"/>
  <c r="D510" i="3" s="1"/>
  <c r="G510" i="3"/>
  <c r="H510" i="3"/>
  <c r="AU510" i="3" s="1"/>
  <c r="I510" i="3" s="1"/>
  <c r="B511" i="3"/>
  <c r="C511" i="3"/>
  <c r="D511" i="3" s="1"/>
  <c r="G511" i="3"/>
  <c r="H511" i="3"/>
  <c r="AU511" i="3" s="1"/>
  <c r="I511" i="3" s="1"/>
  <c r="B512" i="3"/>
  <c r="C512" i="3"/>
  <c r="D512" i="3" s="1"/>
  <c r="G512" i="3"/>
  <c r="H512" i="3"/>
  <c r="AU512" i="3" s="1"/>
  <c r="I512" i="3" s="1"/>
  <c r="B513" i="3"/>
  <c r="C513" i="3"/>
  <c r="D513" i="3" s="1"/>
  <c r="G513" i="3"/>
  <c r="H513" i="3"/>
  <c r="AU513" i="3" s="1"/>
  <c r="I513" i="3" s="1"/>
  <c r="B514" i="3"/>
  <c r="C514" i="3"/>
  <c r="D514" i="3" s="1"/>
  <c r="G514" i="3"/>
  <c r="H514" i="3"/>
  <c r="AU514" i="3" s="1"/>
  <c r="I514" i="3" s="1"/>
  <c r="B515" i="3"/>
  <c r="C515" i="3"/>
  <c r="D515" i="3" s="1"/>
  <c r="G515" i="3"/>
  <c r="H515" i="3"/>
  <c r="AU515" i="3" s="1"/>
  <c r="I515" i="3" s="1"/>
  <c r="B516" i="3"/>
  <c r="C516" i="3"/>
  <c r="D516" i="3" s="1"/>
  <c r="G516" i="3"/>
  <c r="H516" i="3"/>
  <c r="AU516" i="3" s="1"/>
  <c r="I516" i="3" s="1"/>
  <c r="B517" i="3"/>
  <c r="C517" i="3"/>
  <c r="D517" i="3" s="1"/>
  <c r="G517" i="3"/>
  <c r="H517" i="3"/>
  <c r="AU517" i="3" s="1"/>
  <c r="I517" i="3" s="1"/>
  <c r="B518" i="3"/>
  <c r="C518" i="3"/>
  <c r="D518" i="3" s="1"/>
  <c r="G518" i="3"/>
  <c r="H518" i="3"/>
  <c r="AU518" i="3" s="1"/>
  <c r="I518" i="3" s="1"/>
  <c r="B519" i="3"/>
  <c r="C519" i="3"/>
  <c r="D519" i="3" s="1"/>
  <c r="G519" i="3"/>
  <c r="H519" i="3"/>
  <c r="AU519" i="3" s="1"/>
  <c r="I519" i="3" s="1"/>
  <c r="B520" i="3"/>
  <c r="C520" i="3"/>
  <c r="D520" i="3" s="1"/>
  <c r="G520" i="3"/>
  <c r="H520" i="3"/>
  <c r="AU520" i="3" s="1"/>
  <c r="I520" i="3" s="1"/>
  <c r="B521" i="3"/>
  <c r="C521" i="3"/>
  <c r="D521" i="3" s="1"/>
  <c r="G521" i="3"/>
  <c r="H521" i="3"/>
  <c r="AU521" i="3" s="1"/>
  <c r="I521" i="3" s="1"/>
  <c r="B522" i="3"/>
  <c r="C522" i="3"/>
  <c r="D522" i="3" s="1"/>
  <c r="G522" i="3"/>
  <c r="H522" i="3"/>
  <c r="AU522" i="3" s="1"/>
  <c r="I522" i="3" s="1"/>
  <c r="B523" i="3"/>
  <c r="C523" i="3"/>
  <c r="D523" i="3" s="1"/>
  <c r="G523" i="3"/>
  <c r="H523" i="3"/>
  <c r="AU523" i="3" s="1"/>
  <c r="I523" i="3" s="1"/>
  <c r="B524" i="3"/>
  <c r="C524" i="3"/>
  <c r="D524" i="3" s="1"/>
  <c r="G524" i="3"/>
  <c r="H524" i="3"/>
  <c r="AU524" i="3" s="1"/>
  <c r="I524" i="3" s="1"/>
  <c r="B525" i="3"/>
  <c r="C525" i="3"/>
  <c r="D525" i="3" s="1"/>
  <c r="G525" i="3"/>
  <c r="H525" i="3"/>
  <c r="AU525" i="3" s="1"/>
  <c r="I525" i="3" s="1"/>
  <c r="B526" i="3"/>
  <c r="C526" i="3"/>
  <c r="D526" i="3" s="1"/>
  <c r="G526" i="3"/>
  <c r="H526" i="3"/>
  <c r="AU526" i="3" s="1"/>
  <c r="I526" i="3" s="1"/>
  <c r="B527" i="3"/>
  <c r="C527" i="3"/>
  <c r="D527" i="3" s="1"/>
  <c r="G527" i="3"/>
  <c r="H527" i="3"/>
  <c r="AU527" i="3" s="1"/>
  <c r="I527" i="3" s="1"/>
  <c r="B528" i="3"/>
  <c r="C528" i="3"/>
  <c r="D528" i="3" s="1"/>
  <c r="G528" i="3"/>
  <c r="H528" i="3"/>
  <c r="AU528" i="3" s="1"/>
  <c r="I528" i="3" s="1"/>
  <c r="B529" i="3"/>
  <c r="C529" i="3"/>
  <c r="D529" i="3" s="1"/>
  <c r="G529" i="3"/>
  <c r="H529" i="3"/>
  <c r="AU529" i="3" s="1"/>
  <c r="I529" i="3" s="1"/>
  <c r="B530" i="3"/>
  <c r="C530" i="3"/>
  <c r="D530" i="3" s="1"/>
  <c r="G530" i="3"/>
  <c r="H530" i="3"/>
  <c r="AU530" i="3" s="1"/>
  <c r="I530" i="3" s="1"/>
  <c r="B531" i="3"/>
  <c r="C531" i="3"/>
  <c r="D531" i="3" s="1"/>
  <c r="G531" i="3"/>
  <c r="H531" i="3"/>
  <c r="AU531" i="3" s="1"/>
  <c r="I531" i="3" s="1"/>
  <c r="B532" i="3"/>
  <c r="C532" i="3"/>
  <c r="D532" i="3" s="1"/>
  <c r="G532" i="3"/>
  <c r="H532" i="3"/>
  <c r="AU532" i="3" s="1"/>
  <c r="I532" i="3" s="1"/>
  <c r="B533" i="3"/>
  <c r="C533" i="3"/>
  <c r="D533" i="3" s="1"/>
  <c r="G533" i="3"/>
  <c r="B534" i="3"/>
  <c r="C534" i="3"/>
  <c r="D534" i="3" s="1"/>
  <c r="G534" i="3"/>
  <c r="B535" i="3"/>
  <c r="C535" i="3"/>
  <c r="D535" i="3" s="1"/>
  <c r="G535" i="3"/>
  <c r="H535" i="3"/>
  <c r="AU535" i="3" s="1"/>
  <c r="I535" i="3" s="1"/>
  <c r="B536" i="3"/>
  <c r="C536" i="3"/>
  <c r="D536" i="3" s="1"/>
  <c r="G536" i="3"/>
  <c r="H536" i="3"/>
  <c r="AU536" i="3" s="1"/>
  <c r="I536" i="3" s="1"/>
  <c r="B537" i="3"/>
  <c r="C537" i="3"/>
  <c r="D537" i="3" s="1"/>
  <c r="G537" i="3"/>
  <c r="H537" i="3"/>
  <c r="AU537" i="3" s="1"/>
  <c r="I537" i="3" s="1"/>
  <c r="B538" i="3"/>
  <c r="C538" i="3"/>
  <c r="D538" i="3" s="1"/>
  <c r="G538" i="3"/>
  <c r="H538" i="3"/>
  <c r="AU538" i="3" s="1"/>
  <c r="I538" i="3" s="1"/>
  <c r="B539" i="3"/>
  <c r="C539" i="3"/>
  <c r="D539" i="3" s="1"/>
  <c r="G539" i="3"/>
  <c r="B540" i="3"/>
  <c r="C540" i="3"/>
  <c r="D540" i="3" s="1"/>
  <c r="G540" i="3"/>
  <c r="B541" i="3"/>
  <c r="C541" i="3"/>
  <c r="D541" i="3" s="1"/>
  <c r="G541" i="3"/>
  <c r="H541" i="3"/>
  <c r="AU541" i="3" s="1"/>
  <c r="I541" i="3" s="1"/>
  <c r="B542" i="3"/>
  <c r="C542" i="3"/>
  <c r="D542" i="3" s="1"/>
  <c r="G542" i="3"/>
  <c r="H542" i="3"/>
  <c r="AU542" i="3" s="1"/>
  <c r="I542" i="3" s="1"/>
  <c r="B543" i="3"/>
  <c r="C543" i="3"/>
  <c r="D543" i="3" s="1"/>
  <c r="G543" i="3"/>
  <c r="H543" i="3"/>
  <c r="AU543" i="3" s="1"/>
  <c r="I543" i="3" s="1"/>
  <c r="B544" i="3"/>
  <c r="C544" i="3"/>
  <c r="D544" i="3" s="1"/>
  <c r="G544" i="3"/>
  <c r="H544" i="3"/>
  <c r="AU544" i="3" s="1"/>
  <c r="I544" i="3" s="1"/>
  <c r="B545" i="3"/>
  <c r="C545" i="3"/>
  <c r="D545" i="3" s="1"/>
  <c r="G545" i="3"/>
  <c r="H545" i="3"/>
  <c r="AU545" i="3" s="1"/>
  <c r="I545" i="3" s="1"/>
  <c r="B546" i="3"/>
  <c r="C546" i="3"/>
  <c r="D546" i="3" s="1"/>
  <c r="G546" i="3"/>
  <c r="B547" i="3"/>
  <c r="C547" i="3"/>
  <c r="D547" i="3" s="1"/>
  <c r="G547" i="3"/>
  <c r="H547" i="3"/>
  <c r="AU547" i="3" s="1"/>
  <c r="I547" i="3" s="1"/>
  <c r="B548" i="3"/>
  <c r="C548" i="3"/>
  <c r="D548" i="3" s="1"/>
  <c r="G548" i="3"/>
  <c r="H548" i="3"/>
  <c r="AU548" i="3" s="1"/>
  <c r="I548" i="3" s="1"/>
  <c r="B549" i="3"/>
  <c r="C549" i="3"/>
  <c r="D549" i="3" s="1"/>
  <c r="G549" i="3"/>
  <c r="B550" i="3"/>
  <c r="C550" i="3"/>
  <c r="D550" i="3" s="1"/>
  <c r="G550" i="3"/>
  <c r="H550" i="3"/>
  <c r="AU550" i="3" s="1"/>
  <c r="I550" i="3" s="1"/>
  <c r="B551" i="3"/>
  <c r="C551" i="3"/>
  <c r="D551" i="3" s="1"/>
  <c r="G551" i="3"/>
  <c r="H551" i="3"/>
  <c r="AU551" i="3" s="1"/>
  <c r="I551" i="3" s="1"/>
  <c r="B552" i="3"/>
  <c r="C552" i="3"/>
  <c r="D552" i="3" s="1"/>
  <c r="G552" i="3"/>
  <c r="H552" i="3"/>
  <c r="AU552" i="3" s="1"/>
  <c r="I552" i="3" s="1"/>
  <c r="B553" i="3"/>
  <c r="C553" i="3"/>
  <c r="D553" i="3" s="1"/>
  <c r="G553" i="3"/>
  <c r="H553" i="3"/>
  <c r="AU553" i="3" s="1"/>
  <c r="I553" i="3" s="1"/>
  <c r="B554" i="3"/>
  <c r="C554" i="3"/>
  <c r="D554" i="3" s="1"/>
  <c r="G554" i="3"/>
  <c r="H554" i="3"/>
  <c r="AU554" i="3" s="1"/>
  <c r="I554" i="3" s="1"/>
  <c r="B555" i="3"/>
  <c r="C555" i="3"/>
  <c r="D555" i="3" s="1"/>
  <c r="G555" i="3"/>
  <c r="H555" i="3"/>
  <c r="AU555" i="3" s="1"/>
  <c r="I555" i="3" s="1"/>
  <c r="B556" i="3"/>
  <c r="C556" i="3"/>
  <c r="D556" i="3" s="1"/>
  <c r="G556" i="3"/>
  <c r="H556" i="3"/>
  <c r="AU556" i="3" s="1"/>
  <c r="I556" i="3" s="1"/>
  <c r="B557" i="3"/>
  <c r="C557" i="3"/>
  <c r="D557" i="3" s="1"/>
  <c r="G557" i="3"/>
  <c r="H557" i="3"/>
  <c r="AU557" i="3" s="1"/>
  <c r="I557" i="3" s="1"/>
  <c r="B558" i="3"/>
  <c r="C558" i="3"/>
  <c r="D558" i="3" s="1"/>
  <c r="G558" i="3"/>
  <c r="H558" i="3"/>
  <c r="AU558" i="3" s="1"/>
  <c r="I558" i="3" s="1"/>
  <c r="B559" i="3"/>
  <c r="C559" i="3"/>
  <c r="D559" i="3" s="1"/>
  <c r="G559" i="3"/>
  <c r="H559" i="3"/>
  <c r="AU559" i="3" s="1"/>
  <c r="I559" i="3" s="1"/>
  <c r="B560" i="3"/>
  <c r="C560" i="3"/>
  <c r="D560" i="3" s="1"/>
  <c r="G560" i="3"/>
  <c r="H560" i="3"/>
  <c r="AU560" i="3" s="1"/>
  <c r="I560" i="3" s="1"/>
  <c r="B561" i="3"/>
  <c r="C561" i="3"/>
  <c r="D561" i="3" s="1"/>
  <c r="G561" i="3"/>
  <c r="H561" i="3"/>
  <c r="AU561" i="3" s="1"/>
  <c r="I561" i="3" s="1"/>
  <c r="B562" i="3"/>
  <c r="C562" i="3"/>
  <c r="D562" i="3" s="1"/>
  <c r="G562" i="3"/>
  <c r="H562" i="3"/>
  <c r="AU562" i="3" s="1"/>
  <c r="I562" i="3" s="1"/>
  <c r="B563" i="3"/>
  <c r="C563" i="3"/>
  <c r="D563" i="3" s="1"/>
  <c r="G563" i="3"/>
  <c r="H563" i="3"/>
  <c r="AU563" i="3" s="1"/>
  <c r="I563" i="3" s="1"/>
  <c r="B564" i="3"/>
  <c r="C564" i="3"/>
  <c r="D564" i="3" s="1"/>
  <c r="G564" i="3"/>
  <c r="H564" i="3"/>
  <c r="AU564" i="3" s="1"/>
  <c r="I564" i="3" s="1"/>
  <c r="B565" i="3"/>
  <c r="C565" i="3"/>
  <c r="D565" i="3" s="1"/>
  <c r="G565" i="3"/>
  <c r="H565" i="3"/>
  <c r="AU565" i="3" s="1"/>
  <c r="I565" i="3" s="1"/>
  <c r="B566" i="3"/>
  <c r="C566" i="3"/>
  <c r="D566" i="3" s="1"/>
  <c r="G566" i="3"/>
  <c r="H566" i="3"/>
  <c r="AU566" i="3" s="1"/>
  <c r="I566" i="3" s="1"/>
  <c r="B567" i="3"/>
  <c r="C567" i="3"/>
  <c r="D567" i="3" s="1"/>
  <c r="G567" i="3"/>
  <c r="H567" i="3"/>
  <c r="AU567" i="3" s="1"/>
  <c r="I567" i="3" s="1"/>
  <c r="B568" i="3"/>
  <c r="C568" i="3"/>
  <c r="D568" i="3" s="1"/>
  <c r="G568" i="3"/>
  <c r="H568" i="3"/>
  <c r="AU568" i="3" s="1"/>
  <c r="I568" i="3" s="1"/>
  <c r="B569" i="3"/>
  <c r="C569" i="3"/>
  <c r="D569" i="3" s="1"/>
  <c r="G569" i="3"/>
  <c r="H569" i="3"/>
  <c r="AU569" i="3" s="1"/>
  <c r="I569" i="3" s="1"/>
  <c r="B570" i="3"/>
  <c r="C570" i="3"/>
  <c r="D570" i="3" s="1"/>
  <c r="G570" i="3"/>
  <c r="H570" i="3"/>
  <c r="AU570" i="3" s="1"/>
  <c r="I570" i="3" s="1"/>
  <c r="B571" i="3"/>
  <c r="C571" i="3"/>
  <c r="D571" i="3" s="1"/>
  <c r="G571" i="3"/>
  <c r="H571" i="3"/>
  <c r="AU571" i="3" s="1"/>
  <c r="I571" i="3" s="1"/>
  <c r="B572" i="3"/>
  <c r="C572" i="3"/>
  <c r="D572" i="3" s="1"/>
  <c r="G572" i="3"/>
  <c r="H572" i="3"/>
  <c r="AU572" i="3" s="1"/>
  <c r="I572" i="3" s="1"/>
  <c r="B573" i="3"/>
  <c r="C573" i="3"/>
  <c r="D573" i="3" s="1"/>
  <c r="G573" i="3"/>
  <c r="H573" i="3"/>
  <c r="AU573" i="3" s="1"/>
  <c r="I573" i="3" s="1"/>
  <c r="B574" i="3"/>
  <c r="C574" i="3"/>
  <c r="D574" i="3" s="1"/>
  <c r="G574" i="3"/>
  <c r="H574" i="3"/>
  <c r="AU574" i="3" s="1"/>
  <c r="I574" i="3" s="1"/>
  <c r="B575" i="3"/>
  <c r="C575" i="3"/>
  <c r="D575" i="3" s="1"/>
  <c r="G575" i="3"/>
  <c r="H575" i="3"/>
  <c r="AU575" i="3" s="1"/>
  <c r="I575" i="3" s="1"/>
  <c r="B576" i="3"/>
  <c r="C576" i="3"/>
  <c r="D576" i="3" s="1"/>
  <c r="G576" i="3"/>
  <c r="H576" i="3"/>
  <c r="AU576" i="3" s="1"/>
  <c r="I576" i="3" s="1"/>
  <c r="B577" i="3"/>
  <c r="C577" i="3"/>
  <c r="D577" i="3" s="1"/>
  <c r="G577" i="3"/>
  <c r="H577" i="3"/>
  <c r="AU577" i="3" s="1"/>
  <c r="I577" i="3" s="1"/>
  <c r="B578" i="3"/>
  <c r="C578" i="3"/>
  <c r="D578" i="3" s="1"/>
  <c r="G578" i="3"/>
  <c r="H578" i="3"/>
  <c r="AU578" i="3" s="1"/>
  <c r="I578" i="3" s="1"/>
  <c r="B579" i="3"/>
  <c r="C579" i="3"/>
  <c r="D579" i="3" s="1"/>
  <c r="G579" i="3"/>
  <c r="H579" i="3"/>
  <c r="AU579" i="3" s="1"/>
  <c r="I579" i="3" s="1"/>
  <c r="B580" i="3"/>
  <c r="C580" i="3"/>
  <c r="D580" i="3" s="1"/>
  <c r="G580" i="3"/>
  <c r="H580" i="3"/>
  <c r="AU580" i="3" s="1"/>
  <c r="I580" i="3" s="1"/>
  <c r="B581" i="3"/>
  <c r="C581" i="3"/>
  <c r="D581" i="3" s="1"/>
  <c r="G581" i="3"/>
  <c r="H581" i="3"/>
  <c r="AU581" i="3" s="1"/>
  <c r="I581" i="3" s="1"/>
  <c r="B582" i="3"/>
  <c r="C582" i="3"/>
  <c r="D582" i="3" s="1"/>
  <c r="G582" i="3"/>
  <c r="B583" i="3"/>
  <c r="C583" i="3"/>
  <c r="D583" i="3" s="1"/>
  <c r="G583" i="3"/>
  <c r="H583" i="3"/>
  <c r="AU583" i="3" s="1"/>
  <c r="I583" i="3" s="1"/>
  <c r="B584" i="3"/>
  <c r="C584" i="3"/>
  <c r="D584" i="3" s="1"/>
  <c r="G584" i="3"/>
  <c r="B585" i="3"/>
  <c r="C585" i="3"/>
  <c r="D585" i="3" s="1"/>
  <c r="G585" i="3"/>
  <c r="H585" i="3"/>
  <c r="AU585" i="3" s="1"/>
  <c r="I585" i="3" s="1"/>
  <c r="B586" i="3"/>
  <c r="C586" i="3"/>
  <c r="D586" i="3" s="1"/>
  <c r="G586" i="3"/>
  <c r="B587" i="3"/>
  <c r="C587" i="3"/>
  <c r="D587" i="3" s="1"/>
  <c r="G587" i="3"/>
  <c r="H587" i="3"/>
  <c r="AU587" i="3" s="1"/>
  <c r="I587" i="3" s="1"/>
  <c r="B588" i="3"/>
  <c r="C588" i="3"/>
  <c r="D588" i="3" s="1"/>
  <c r="G588" i="3"/>
  <c r="H588" i="3"/>
  <c r="AU588" i="3" s="1"/>
  <c r="I588" i="3" s="1"/>
  <c r="B589" i="3"/>
  <c r="C589" i="3"/>
  <c r="D589" i="3" s="1"/>
  <c r="G589" i="3"/>
  <c r="H589" i="3"/>
  <c r="AU589" i="3" s="1"/>
  <c r="I589" i="3" s="1"/>
  <c r="B590" i="3"/>
  <c r="C590" i="3"/>
  <c r="D590" i="3" s="1"/>
  <c r="G590" i="3"/>
  <c r="H590" i="3"/>
  <c r="AU590" i="3" s="1"/>
  <c r="I590" i="3" s="1"/>
  <c r="B591" i="3"/>
  <c r="C591" i="3"/>
  <c r="D591" i="3" s="1"/>
  <c r="G591" i="3"/>
  <c r="H591" i="3"/>
  <c r="AU591" i="3" s="1"/>
  <c r="I591" i="3" s="1"/>
  <c r="B592" i="3"/>
  <c r="C592" i="3"/>
  <c r="D592" i="3" s="1"/>
  <c r="G592" i="3"/>
  <c r="H592" i="3"/>
  <c r="AU592" i="3" s="1"/>
  <c r="I592" i="3" s="1"/>
  <c r="B593" i="3"/>
  <c r="C593" i="3"/>
  <c r="D593" i="3" s="1"/>
  <c r="G593" i="3"/>
  <c r="H593" i="3"/>
  <c r="AU593" i="3" s="1"/>
  <c r="I593" i="3" s="1"/>
  <c r="B594" i="3"/>
  <c r="C594" i="3"/>
  <c r="D594" i="3" s="1"/>
  <c r="G594" i="3"/>
  <c r="H594" i="3"/>
  <c r="AU594" i="3" s="1"/>
  <c r="I594" i="3" s="1"/>
  <c r="B595" i="3"/>
  <c r="C595" i="3"/>
  <c r="D595" i="3" s="1"/>
  <c r="G595" i="3"/>
  <c r="H595" i="3"/>
  <c r="AU595" i="3" s="1"/>
  <c r="I595" i="3" s="1"/>
  <c r="B596" i="3"/>
  <c r="C596" i="3"/>
  <c r="D596" i="3" s="1"/>
  <c r="G596" i="3"/>
  <c r="H596" i="3"/>
  <c r="AU596" i="3" s="1"/>
  <c r="I596" i="3" s="1"/>
  <c r="B597" i="3"/>
  <c r="C597" i="3"/>
  <c r="D597" i="3" s="1"/>
  <c r="G597" i="3"/>
  <c r="H597" i="3"/>
  <c r="AU597" i="3" s="1"/>
  <c r="I597" i="3" s="1"/>
  <c r="B598" i="3"/>
  <c r="C598" i="3"/>
  <c r="D598" i="3" s="1"/>
  <c r="G598" i="3"/>
  <c r="H598" i="3"/>
  <c r="AU598" i="3" s="1"/>
  <c r="I598" i="3" s="1"/>
  <c r="B599" i="3"/>
  <c r="C599" i="3"/>
  <c r="D599" i="3" s="1"/>
  <c r="G599" i="3"/>
  <c r="H599" i="3"/>
  <c r="AU599" i="3" s="1"/>
  <c r="I599" i="3" s="1"/>
  <c r="B600" i="3"/>
  <c r="C600" i="3"/>
  <c r="D600" i="3" s="1"/>
  <c r="G600" i="3"/>
  <c r="H600" i="3"/>
  <c r="AU600" i="3" s="1"/>
  <c r="I600" i="3" s="1"/>
  <c r="B601" i="3"/>
  <c r="C601" i="3"/>
  <c r="D601" i="3" s="1"/>
  <c r="G601" i="3"/>
  <c r="H601" i="3"/>
  <c r="AU601" i="3" s="1"/>
  <c r="I601" i="3" s="1"/>
  <c r="B602" i="3"/>
  <c r="C602" i="3"/>
  <c r="D602" i="3" s="1"/>
  <c r="G602" i="3"/>
  <c r="B603" i="3"/>
  <c r="C603" i="3"/>
  <c r="D603" i="3" s="1"/>
  <c r="G603" i="3"/>
  <c r="H603" i="3"/>
  <c r="AU603" i="3" s="1"/>
  <c r="I603" i="3" s="1"/>
  <c r="B604" i="3"/>
  <c r="C604" i="3"/>
  <c r="D604" i="3" s="1"/>
  <c r="G604" i="3"/>
  <c r="H604" i="3"/>
  <c r="AU604" i="3" s="1"/>
  <c r="I604" i="3" s="1"/>
  <c r="B605" i="3"/>
  <c r="C605" i="3"/>
  <c r="D605" i="3" s="1"/>
  <c r="G605" i="3"/>
  <c r="H605" i="3"/>
  <c r="AU605" i="3" s="1"/>
  <c r="I605" i="3" s="1"/>
  <c r="B606" i="3"/>
  <c r="C606" i="3"/>
  <c r="D606" i="3" s="1"/>
  <c r="G606" i="3"/>
  <c r="H606" i="3"/>
  <c r="AU606" i="3" s="1"/>
  <c r="I606" i="3" s="1"/>
  <c r="B607" i="3"/>
  <c r="C607" i="3"/>
  <c r="D607" i="3" s="1"/>
  <c r="G607" i="3"/>
  <c r="H607" i="3"/>
  <c r="AU607" i="3" s="1"/>
  <c r="I607" i="3" s="1"/>
  <c r="B608" i="3"/>
  <c r="C608" i="3"/>
  <c r="D608" i="3" s="1"/>
  <c r="G608" i="3"/>
  <c r="H608" i="3"/>
  <c r="AU608" i="3" s="1"/>
  <c r="I608" i="3" s="1"/>
  <c r="B609" i="3"/>
  <c r="C609" i="3"/>
  <c r="D609" i="3" s="1"/>
  <c r="G609" i="3"/>
  <c r="H609" i="3"/>
  <c r="AU609" i="3" s="1"/>
  <c r="I609" i="3" s="1"/>
  <c r="B610" i="3"/>
  <c r="C610" i="3"/>
  <c r="D610" i="3" s="1"/>
  <c r="G610" i="3"/>
  <c r="H610" i="3"/>
  <c r="AU610" i="3" s="1"/>
  <c r="I610" i="3" s="1"/>
  <c r="B611" i="3"/>
  <c r="C611" i="3"/>
  <c r="D611" i="3" s="1"/>
  <c r="G611" i="3"/>
  <c r="H611" i="3"/>
  <c r="AU611" i="3" s="1"/>
  <c r="I611" i="3" s="1"/>
  <c r="B612" i="3"/>
  <c r="C612" i="3"/>
  <c r="D612" i="3" s="1"/>
  <c r="G612" i="3"/>
  <c r="H612" i="3"/>
  <c r="AU612" i="3" s="1"/>
  <c r="I612" i="3" s="1"/>
  <c r="B613" i="3"/>
  <c r="C613" i="3"/>
  <c r="D613" i="3" s="1"/>
  <c r="G613" i="3"/>
  <c r="H613" i="3"/>
  <c r="AU613" i="3" s="1"/>
  <c r="I613" i="3" s="1"/>
  <c r="B614" i="3"/>
  <c r="C614" i="3"/>
  <c r="D614" i="3" s="1"/>
  <c r="G614" i="3"/>
  <c r="H614" i="3"/>
  <c r="AU614" i="3" s="1"/>
  <c r="I614" i="3" s="1"/>
  <c r="B615" i="3"/>
  <c r="C615" i="3"/>
  <c r="D615" i="3" s="1"/>
  <c r="G615" i="3"/>
  <c r="H615" i="3"/>
  <c r="AU615" i="3" s="1"/>
  <c r="I615" i="3" s="1"/>
  <c r="B616" i="3"/>
  <c r="C616" i="3"/>
  <c r="D616" i="3" s="1"/>
  <c r="G616" i="3"/>
  <c r="H616" i="3"/>
  <c r="AU616" i="3" s="1"/>
  <c r="I616" i="3" s="1"/>
  <c r="B617" i="3"/>
  <c r="C617" i="3"/>
  <c r="D617" i="3" s="1"/>
  <c r="G617" i="3"/>
  <c r="H617" i="3"/>
  <c r="AU617" i="3" s="1"/>
  <c r="I617" i="3" s="1"/>
  <c r="B618" i="3"/>
  <c r="C618" i="3"/>
  <c r="D618" i="3" s="1"/>
  <c r="G618" i="3"/>
  <c r="H618" i="3"/>
  <c r="AU618" i="3" s="1"/>
  <c r="I618" i="3" s="1"/>
  <c r="B619" i="3"/>
  <c r="C619" i="3"/>
  <c r="D619" i="3" s="1"/>
  <c r="G619" i="3"/>
  <c r="H619" i="3"/>
  <c r="AU619" i="3" s="1"/>
  <c r="I619" i="3" s="1"/>
  <c r="B620" i="3"/>
  <c r="C620" i="3"/>
  <c r="D620" i="3" s="1"/>
  <c r="G620" i="3"/>
  <c r="B621" i="3"/>
  <c r="C621" i="3"/>
  <c r="D621" i="3" s="1"/>
  <c r="G621" i="3"/>
  <c r="H621" i="3"/>
  <c r="AU621" i="3" s="1"/>
  <c r="I621" i="3" s="1"/>
  <c r="B622" i="3"/>
  <c r="C622" i="3"/>
  <c r="D622" i="3" s="1"/>
  <c r="G622" i="3"/>
  <c r="H622" i="3"/>
  <c r="AU622" i="3" s="1"/>
  <c r="I622" i="3" s="1"/>
  <c r="B623" i="3"/>
  <c r="C623" i="3"/>
  <c r="D623" i="3" s="1"/>
  <c r="G623" i="3"/>
  <c r="H623" i="3"/>
  <c r="AU623" i="3" s="1"/>
  <c r="I623" i="3" s="1"/>
  <c r="B624" i="3"/>
  <c r="C624" i="3"/>
  <c r="D624" i="3" s="1"/>
  <c r="G624" i="3"/>
  <c r="H624" i="3"/>
  <c r="AU624" i="3" s="1"/>
  <c r="I624" i="3" s="1"/>
  <c r="B625" i="3"/>
  <c r="C625" i="3"/>
  <c r="D625" i="3" s="1"/>
  <c r="G625" i="3"/>
  <c r="H625" i="3"/>
  <c r="AU625" i="3" s="1"/>
  <c r="I625" i="3" s="1"/>
  <c r="B626" i="3"/>
  <c r="C626" i="3"/>
  <c r="D626" i="3" s="1"/>
  <c r="G626" i="3"/>
  <c r="H626" i="3"/>
  <c r="AU626" i="3" s="1"/>
  <c r="I626" i="3" s="1"/>
  <c r="B627" i="3"/>
  <c r="C627" i="3"/>
  <c r="D627" i="3" s="1"/>
  <c r="G627" i="3"/>
  <c r="B628" i="3"/>
  <c r="C628" i="3"/>
  <c r="D628" i="3" s="1"/>
  <c r="G628" i="3"/>
  <c r="H628" i="3"/>
  <c r="AU628" i="3" s="1"/>
  <c r="I628" i="3" s="1"/>
  <c r="B629" i="3"/>
  <c r="C629" i="3"/>
  <c r="D629" i="3" s="1"/>
  <c r="G629" i="3"/>
  <c r="H629" i="3"/>
  <c r="AU629" i="3" s="1"/>
  <c r="I629" i="3" s="1"/>
  <c r="B630" i="3"/>
  <c r="C630" i="3"/>
  <c r="D630" i="3" s="1"/>
  <c r="G630" i="3"/>
  <c r="H630" i="3"/>
  <c r="AU630" i="3" s="1"/>
  <c r="I630" i="3" s="1"/>
  <c r="B631" i="3"/>
  <c r="C631" i="3"/>
  <c r="D631" i="3" s="1"/>
  <c r="G631" i="3"/>
  <c r="H631" i="3"/>
  <c r="AU631" i="3" s="1"/>
  <c r="I631" i="3" s="1"/>
  <c r="B632" i="3"/>
  <c r="C632" i="3"/>
  <c r="D632" i="3" s="1"/>
  <c r="G632" i="3"/>
  <c r="H632" i="3"/>
  <c r="AU632" i="3" s="1"/>
  <c r="I632" i="3" s="1"/>
  <c r="B633" i="3"/>
  <c r="C633" i="3"/>
  <c r="D633" i="3" s="1"/>
  <c r="G633" i="3"/>
  <c r="H633" i="3"/>
  <c r="AU633" i="3" s="1"/>
  <c r="I633" i="3" s="1"/>
  <c r="B634" i="3"/>
  <c r="C634" i="3"/>
  <c r="D634" i="3" s="1"/>
  <c r="G634" i="3"/>
  <c r="H634" i="3"/>
  <c r="AU634" i="3" s="1"/>
  <c r="I634" i="3" s="1"/>
  <c r="B635" i="3"/>
  <c r="C635" i="3"/>
  <c r="D635" i="3" s="1"/>
  <c r="G635" i="3"/>
  <c r="H635" i="3"/>
  <c r="AU635" i="3" s="1"/>
  <c r="I635" i="3" s="1"/>
  <c r="B636" i="3"/>
  <c r="C636" i="3"/>
  <c r="D636" i="3" s="1"/>
  <c r="G636" i="3"/>
  <c r="H636" i="3"/>
  <c r="AU636" i="3" s="1"/>
  <c r="I636" i="3" s="1"/>
  <c r="B637" i="3"/>
  <c r="C637" i="3"/>
  <c r="D637" i="3" s="1"/>
  <c r="G637" i="3"/>
  <c r="B638" i="3"/>
  <c r="C638" i="3"/>
  <c r="D638" i="3" s="1"/>
  <c r="G638" i="3"/>
  <c r="H638" i="3"/>
  <c r="AU638" i="3" s="1"/>
  <c r="I638" i="3" s="1"/>
  <c r="B639" i="3"/>
  <c r="C639" i="3"/>
  <c r="D639" i="3" s="1"/>
  <c r="G639" i="3"/>
  <c r="H639" i="3"/>
  <c r="AU639" i="3" s="1"/>
  <c r="I639" i="3" s="1"/>
  <c r="B640" i="3"/>
  <c r="C640" i="3"/>
  <c r="D640" i="3" s="1"/>
  <c r="G640" i="3"/>
  <c r="H640" i="3"/>
  <c r="AU640" i="3" s="1"/>
  <c r="I640" i="3" s="1"/>
  <c r="B641" i="3"/>
  <c r="C641" i="3"/>
  <c r="D641" i="3" s="1"/>
  <c r="G641" i="3"/>
  <c r="H641" i="3"/>
  <c r="AU641" i="3" s="1"/>
  <c r="I641" i="3" s="1"/>
  <c r="B642" i="3"/>
  <c r="C642" i="3"/>
  <c r="D642" i="3" s="1"/>
  <c r="G642" i="3"/>
  <c r="H642" i="3"/>
  <c r="AU642" i="3" s="1"/>
  <c r="I642" i="3" s="1"/>
  <c r="B643" i="3"/>
  <c r="C643" i="3"/>
  <c r="D643" i="3" s="1"/>
  <c r="G643" i="3"/>
  <c r="B644" i="3"/>
  <c r="C644" i="3"/>
  <c r="D644" i="3" s="1"/>
  <c r="G644" i="3"/>
  <c r="H644" i="3"/>
  <c r="AU644" i="3" s="1"/>
  <c r="I644" i="3" s="1"/>
  <c r="B645" i="3"/>
  <c r="C645" i="3"/>
  <c r="D645" i="3" s="1"/>
  <c r="G645" i="3"/>
  <c r="H645" i="3"/>
  <c r="AU645" i="3" s="1"/>
  <c r="I645" i="3" s="1"/>
  <c r="B646" i="3"/>
  <c r="C646" i="3"/>
  <c r="D646" i="3" s="1"/>
  <c r="G646" i="3"/>
  <c r="H646" i="3"/>
  <c r="AU646" i="3" s="1"/>
  <c r="I646" i="3" s="1"/>
  <c r="B647" i="3"/>
  <c r="C647" i="3"/>
  <c r="D647" i="3" s="1"/>
  <c r="G647" i="3"/>
  <c r="H647" i="3"/>
  <c r="AU647" i="3" s="1"/>
  <c r="I647" i="3" s="1"/>
  <c r="B648" i="3"/>
  <c r="C648" i="3"/>
  <c r="D648" i="3" s="1"/>
  <c r="G648" i="3"/>
  <c r="H648" i="3"/>
  <c r="AU648" i="3" s="1"/>
  <c r="I648" i="3" s="1"/>
  <c r="B649" i="3"/>
  <c r="C649" i="3"/>
  <c r="D649" i="3" s="1"/>
  <c r="G649" i="3"/>
  <c r="H649" i="3"/>
  <c r="AU649" i="3" s="1"/>
  <c r="I649" i="3" s="1"/>
  <c r="B650" i="3"/>
  <c r="C650" i="3"/>
  <c r="D650" i="3" s="1"/>
  <c r="G650" i="3"/>
  <c r="H650" i="3"/>
  <c r="AU650" i="3" s="1"/>
  <c r="I650" i="3" s="1"/>
  <c r="B651" i="3"/>
  <c r="C651" i="3"/>
  <c r="D651" i="3" s="1"/>
  <c r="G651" i="3"/>
  <c r="H651" i="3"/>
  <c r="AU651" i="3" s="1"/>
  <c r="I651" i="3" s="1"/>
  <c r="B652" i="3"/>
  <c r="C652" i="3"/>
  <c r="D652" i="3" s="1"/>
  <c r="G652" i="3"/>
  <c r="H652" i="3"/>
  <c r="AU652" i="3" s="1"/>
  <c r="I652" i="3" s="1"/>
  <c r="B653" i="3"/>
  <c r="C653" i="3"/>
  <c r="D653" i="3" s="1"/>
  <c r="G653" i="3"/>
  <c r="H653" i="3"/>
  <c r="AU653" i="3" s="1"/>
  <c r="I653" i="3" s="1"/>
  <c r="B654" i="3"/>
  <c r="C654" i="3"/>
  <c r="D654" i="3" s="1"/>
  <c r="G654" i="3"/>
  <c r="H654" i="3"/>
  <c r="AU654" i="3" s="1"/>
  <c r="I654" i="3" s="1"/>
  <c r="B655" i="3"/>
  <c r="C655" i="3"/>
  <c r="D655" i="3" s="1"/>
  <c r="G655" i="3"/>
  <c r="H655" i="3"/>
  <c r="AU655" i="3" s="1"/>
  <c r="I655" i="3" s="1"/>
  <c r="B656" i="3"/>
  <c r="C656" i="3"/>
  <c r="D656" i="3" s="1"/>
  <c r="G656" i="3"/>
  <c r="H656" i="3"/>
  <c r="AU656" i="3" s="1"/>
  <c r="I656" i="3" s="1"/>
  <c r="B657" i="3"/>
  <c r="C657" i="3"/>
  <c r="D657" i="3" s="1"/>
  <c r="G657" i="3"/>
  <c r="H657" i="3"/>
  <c r="AU657" i="3" s="1"/>
  <c r="I657" i="3" s="1"/>
  <c r="B658" i="3"/>
  <c r="C658" i="3"/>
  <c r="D658" i="3" s="1"/>
  <c r="G658" i="3"/>
  <c r="H658" i="3"/>
  <c r="AU658" i="3" s="1"/>
  <c r="I658" i="3" s="1"/>
  <c r="B659" i="3"/>
  <c r="C659" i="3"/>
  <c r="D659" i="3" s="1"/>
  <c r="G659" i="3"/>
  <c r="H659" i="3"/>
  <c r="AU659" i="3" s="1"/>
  <c r="I659" i="3" s="1"/>
  <c r="B660" i="3"/>
  <c r="C660" i="3"/>
  <c r="D660" i="3" s="1"/>
  <c r="G660" i="3"/>
  <c r="H660" i="3"/>
  <c r="AU660" i="3" s="1"/>
  <c r="I660" i="3" s="1"/>
  <c r="B661" i="3"/>
  <c r="C661" i="3"/>
  <c r="D661" i="3" s="1"/>
  <c r="G661" i="3"/>
  <c r="H661" i="3"/>
  <c r="AU661" i="3" s="1"/>
  <c r="I661" i="3" s="1"/>
  <c r="B662" i="3"/>
  <c r="C662" i="3"/>
  <c r="D662" i="3" s="1"/>
  <c r="G662" i="3"/>
  <c r="H662" i="3"/>
  <c r="AU662" i="3" s="1"/>
  <c r="I662" i="3" s="1"/>
  <c r="B663" i="3"/>
  <c r="C663" i="3"/>
  <c r="D663" i="3" s="1"/>
  <c r="G663" i="3"/>
  <c r="H663" i="3"/>
  <c r="AU663" i="3" s="1"/>
  <c r="I663" i="3" s="1"/>
  <c r="B664" i="3"/>
  <c r="C664" i="3"/>
  <c r="D664" i="3" s="1"/>
  <c r="G664" i="3"/>
  <c r="H664" i="3"/>
  <c r="AU664" i="3" s="1"/>
  <c r="I664" i="3" s="1"/>
  <c r="B665" i="3"/>
  <c r="C665" i="3"/>
  <c r="D665" i="3" s="1"/>
  <c r="G665" i="3"/>
  <c r="H665" i="3"/>
  <c r="AU665" i="3" s="1"/>
  <c r="I665" i="3" s="1"/>
  <c r="B666" i="3"/>
  <c r="C666" i="3"/>
  <c r="D666" i="3" s="1"/>
  <c r="G666" i="3"/>
  <c r="H666" i="3"/>
  <c r="AU666" i="3" s="1"/>
  <c r="I666" i="3" s="1"/>
  <c r="B667" i="3"/>
  <c r="C667" i="3"/>
  <c r="D667" i="3" s="1"/>
  <c r="G667" i="3"/>
  <c r="H667" i="3"/>
  <c r="AU667" i="3" s="1"/>
  <c r="I667" i="3" s="1"/>
  <c r="B668" i="3"/>
  <c r="C668" i="3"/>
  <c r="D668" i="3" s="1"/>
  <c r="G668" i="3"/>
  <c r="H668" i="3"/>
  <c r="AU668" i="3" s="1"/>
  <c r="I668" i="3" s="1"/>
  <c r="B669" i="3"/>
  <c r="C669" i="3"/>
  <c r="D669" i="3" s="1"/>
  <c r="G669" i="3"/>
  <c r="H669" i="3"/>
  <c r="AU669" i="3" s="1"/>
  <c r="I669" i="3" s="1"/>
  <c r="B670" i="3"/>
  <c r="C670" i="3"/>
  <c r="D670" i="3" s="1"/>
  <c r="G670" i="3"/>
  <c r="H670" i="3"/>
  <c r="AU670" i="3" s="1"/>
  <c r="I670" i="3" s="1"/>
  <c r="B671" i="3"/>
  <c r="C671" i="3"/>
  <c r="D671" i="3" s="1"/>
  <c r="G671" i="3"/>
  <c r="H671" i="3"/>
  <c r="AU671" i="3" s="1"/>
  <c r="I671" i="3" s="1"/>
  <c r="B672" i="3"/>
  <c r="C672" i="3"/>
  <c r="D672" i="3" s="1"/>
  <c r="G672" i="3"/>
  <c r="H672" i="3"/>
  <c r="AU672" i="3" s="1"/>
  <c r="I672" i="3" s="1"/>
  <c r="B673" i="3"/>
  <c r="C673" i="3"/>
  <c r="D673" i="3" s="1"/>
  <c r="G673" i="3"/>
  <c r="B674" i="3"/>
  <c r="C674" i="3"/>
  <c r="D674" i="3" s="1"/>
  <c r="G674" i="3"/>
  <c r="H674" i="3"/>
  <c r="AU674" i="3" s="1"/>
  <c r="I674" i="3" s="1"/>
  <c r="B675" i="3"/>
  <c r="C675" i="3"/>
  <c r="D675" i="3" s="1"/>
  <c r="G675" i="3"/>
  <c r="B676" i="3"/>
  <c r="C676" i="3"/>
  <c r="D676" i="3" s="1"/>
  <c r="G676" i="3"/>
  <c r="H676" i="3"/>
  <c r="AU676" i="3" s="1"/>
  <c r="I676" i="3" s="1"/>
  <c r="B677" i="3"/>
  <c r="C677" i="3"/>
  <c r="D677" i="3" s="1"/>
  <c r="G677" i="3"/>
  <c r="H677" i="3"/>
  <c r="AU677" i="3" s="1"/>
  <c r="I677" i="3" s="1"/>
  <c r="B678" i="3"/>
  <c r="C678" i="3"/>
  <c r="D678" i="3" s="1"/>
  <c r="G678" i="3"/>
  <c r="H678" i="3"/>
  <c r="AU678" i="3" s="1"/>
  <c r="I678" i="3" s="1"/>
  <c r="B679" i="3"/>
  <c r="C679" i="3"/>
  <c r="D679" i="3" s="1"/>
  <c r="G679" i="3"/>
  <c r="H679" i="3"/>
  <c r="AU679" i="3" s="1"/>
  <c r="I679" i="3" s="1"/>
  <c r="B680" i="3"/>
  <c r="C680" i="3"/>
  <c r="D680" i="3" s="1"/>
  <c r="G680" i="3"/>
  <c r="B681" i="3"/>
  <c r="C681" i="3"/>
  <c r="D681" i="3" s="1"/>
  <c r="G681" i="3"/>
  <c r="H681" i="3"/>
  <c r="AU681" i="3" s="1"/>
  <c r="I681" i="3" s="1"/>
  <c r="B682" i="3"/>
  <c r="C682" i="3"/>
  <c r="D682" i="3" s="1"/>
  <c r="G682" i="3"/>
  <c r="H682" i="3"/>
  <c r="AU682" i="3" s="1"/>
  <c r="I682" i="3" s="1"/>
  <c r="B683" i="3"/>
  <c r="C683" i="3"/>
  <c r="D683" i="3" s="1"/>
  <c r="G683" i="3"/>
  <c r="H683" i="3"/>
  <c r="AU683" i="3" s="1"/>
  <c r="I683" i="3" s="1"/>
  <c r="B684" i="3"/>
  <c r="C684" i="3"/>
  <c r="D684" i="3" s="1"/>
  <c r="G684" i="3"/>
  <c r="H684" i="3"/>
  <c r="AU684" i="3" s="1"/>
  <c r="I684" i="3" s="1"/>
  <c r="B685" i="3"/>
  <c r="C685" i="3"/>
  <c r="D685" i="3" s="1"/>
  <c r="G685" i="3"/>
  <c r="H685" i="3"/>
  <c r="AU685" i="3" s="1"/>
  <c r="I685" i="3" s="1"/>
  <c r="B686" i="3"/>
  <c r="C686" i="3"/>
  <c r="D686" i="3" s="1"/>
  <c r="G686" i="3"/>
  <c r="H686" i="3"/>
  <c r="AU686" i="3" s="1"/>
  <c r="I686" i="3" s="1"/>
  <c r="B687" i="3"/>
  <c r="C687" i="3"/>
  <c r="D687" i="3" s="1"/>
  <c r="G687" i="3"/>
  <c r="H687" i="3"/>
  <c r="AU687" i="3" s="1"/>
  <c r="I687" i="3" s="1"/>
  <c r="B688" i="3"/>
  <c r="C688" i="3"/>
  <c r="D688" i="3" s="1"/>
  <c r="G688" i="3"/>
  <c r="H688" i="3"/>
  <c r="AU688" i="3" s="1"/>
  <c r="I688" i="3" s="1"/>
  <c r="B689" i="3"/>
  <c r="C689" i="3"/>
  <c r="D689" i="3" s="1"/>
  <c r="G689" i="3"/>
  <c r="H689" i="3"/>
  <c r="AU689" i="3" s="1"/>
  <c r="I689" i="3" s="1"/>
  <c r="B690" i="3"/>
  <c r="C690" i="3"/>
  <c r="D690" i="3" s="1"/>
  <c r="G690" i="3"/>
  <c r="H690" i="3"/>
  <c r="AU690" i="3" s="1"/>
  <c r="I690" i="3" s="1"/>
  <c r="B691" i="3"/>
  <c r="C691" i="3"/>
  <c r="D691" i="3" s="1"/>
  <c r="G691" i="3"/>
  <c r="H691" i="3"/>
  <c r="AU691" i="3" s="1"/>
  <c r="I691" i="3" s="1"/>
  <c r="B692" i="3"/>
  <c r="C692" i="3"/>
  <c r="D692" i="3" s="1"/>
  <c r="G692" i="3"/>
  <c r="H692" i="3"/>
  <c r="AU692" i="3" s="1"/>
  <c r="I692" i="3" s="1"/>
  <c r="B693" i="3"/>
  <c r="C693" i="3"/>
  <c r="D693" i="3" s="1"/>
  <c r="G693" i="3"/>
  <c r="H693" i="3"/>
  <c r="AU693" i="3" s="1"/>
  <c r="I693" i="3" s="1"/>
  <c r="B694" i="3"/>
  <c r="C694" i="3"/>
  <c r="D694" i="3" s="1"/>
  <c r="G694" i="3"/>
  <c r="H694" i="3"/>
  <c r="AU694" i="3" s="1"/>
  <c r="I694" i="3" s="1"/>
  <c r="B695" i="3"/>
  <c r="C695" i="3"/>
  <c r="D695" i="3" s="1"/>
  <c r="G695" i="3"/>
  <c r="H695" i="3"/>
  <c r="AU695" i="3" s="1"/>
  <c r="I695" i="3" s="1"/>
  <c r="B696" i="3"/>
  <c r="C696" i="3"/>
  <c r="D696" i="3" s="1"/>
  <c r="G696" i="3"/>
  <c r="H696" i="3"/>
  <c r="AU696" i="3" s="1"/>
  <c r="I696" i="3" s="1"/>
  <c r="B697" i="3"/>
  <c r="C697" i="3"/>
  <c r="D697" i="3" s="1"/>
  <c r="G697" i="3"/>
  <c r="H697" i="3"/>
  <c r="AU697" i="3" s="1"/>
  <c r="I697" i="3" s="1"/>
  <c r="B698" i="3"/>
  <c r="C698" i="3"/>
  <c r="D698" i="3" s="1"/>
  <c r="G698" i="3"/>
  <c r="H698" i="3"/>
  <c r="AU698" i="3" s="1"/>
  <c r="I698" i="3" s="1"/>
  <c r="B699" i="3"/>
  <c r="C699" i="3"/>
  <c r="D699" i="3" s="1"/>
  <c r="G699" i="3"/>
  <c r="H699" i="3"/>
  <c r="AU699" i="3" s="1"/>
  <c r="I699" i="3" s="1"/>
  <c r="B700" i="3"/>
  <c r="C700" i="3"/>
  <c r="D700" i="3" s="1"/>
  <c r="G700" i="3"/>
  <c r="H700" i="3"/>
  <c r="AU700" i="3" s="1"/>
  <c r="I700" i="3" s="1"/>
  <c r="B701" i="3"/>
  <c r="C701" i="3"/>
  <c r="D701" i="3" s="1"/>
  <c r="G701" i="3"/>
  <c r="H701" i="3"/>
  <c r="AU701" i="3" s="1"/>
  <c r="I701" i="3" s="1"/>
  <c r="B702" i="3"/>
  <c r="C702" i="3"/>
  <c r="D702" i="3" s="1"/>
  <c r="G702" i="3"/>
  <c r="H702" i="3"/>
  <c r="AU702" i="3" s="1"/>
  <c r="I702" i="3" s="1"/>
  <c r="B703" i="3"/>
  <c r="C703" i="3"/>
  <c r="D703" i="3" s="1"/>
  <c r="G703" i="3"/>
  <c r="H703" i="3"/>
  <c r="AU703" i="3" s="1"/>
  <c r="I703" i="3" s="1"/>
  <c r="B704" i="3"/>
  <c r="C704" i="3"/>
  <c r="D704" i="3" s="1"/>
  <c r="G704" i="3"/>
  <c r="H704" i="3"/>
  <c r="AU704" i="3" s="1"/>
  <c r="I704" i="3" s="1"/>
  <c r="B705" i="3"/>
  <c r="C705" i="3"/>
  <c r="D705" i="3" s="1"/>
  <c r="G705" i="3"/>
  <c r="H705" i="3"/>
  <c r="AU705" i="3" s="1"/>
  <c r="I705" i="3" s="1"/>
  <c r="B706" i="3"/>
  <c r="C706" i="3"/>
  <c r="D706" i="3" s="1"/>
  <c r="G706" i="3"/>
  <c r="H706" i="3"/>
  <c r="AU706" i="3" s="1"/>
  <c r="I706" i="3" s="1"/>
  <c r="B707" i="3"/>
  <c r="C707" i="3"/>
  <c r="D707" i="3" s="1"/>
  <c r="G707" i="3"/>
  <c r="H707" i="3"/>
  <c r="AU707" i="3" s="1"/>
  <c r="I707" i="3" s="1"/>
  <c r="B708" i="3"/>
  <c r="C708" i="3"/>
  <c r="D708" i="3" s="1"/>
  <c r="G708" i="3"/>
  <c r="H708" i="3"/>
  <c r="AU708" i="3" s="1"/>
  <c r="I708" i="3" s="1"/>
  <c r="B709" i="3"/>
  <c r="C709" i="3"/>
  <c r="D709" i="3" s="1"/>
  <c r="G709" i="3"/>
  <c r="H709" i="3"/>
  <c r="AU709" i="3" s="1"/>
  <c r="I709" i="3" s="1"/>
  <c r="B710" i="3"/>
  <c r="C710" i="3"/>
  <c r="D710" i="3" s="1"/>
  <c r="G710" i="3"/>
  <c r="H710" i="3"/>
  <c r="AU710" i="3" s="1"/>
  <c r="I710" i="3" s="1"/>
  <c r="B711" i="3"/>
  <c r="C711" i="3"/>
  <c r="D711" i="3" s="1"/>
  <c r="G711" i="3"/>
  <c r="H711" i="3"/>
  <c r="AU711" i="3" s="1"/>
  <c r="I711" i="3" s="1"/>
  <c r="B712" i="3"/>
  <c r="C712" i="3"/>
  <c r="D712" i="3" s="1"/>
  <c r="G712" i="3"/>
  <c r="H712" i="3"/>
  <c r="AU712" i="3" s="1"/>
  <c r="I712" i="3" s="1"/>
  <c r="B713" i="3"/>
  <c r="C713" i="3"/>
  <c r="D713" i="3" s="1"/>
  <c r="G713" i="3"/>
  <c r="H713" i="3"/>
  <c r="AU713" i="3" s="1"/>
  <c r="I713" i="3" s="1"/>
  <c r="B714" i="3"/>
  <c r="C714" i="3"/>
  <c r="D714" i="3" s="1"/>
  <c r="G714" i="3"/>
  <c r="H714" i="3"/>
  <c r="AU714" i="3" s="1"/>
  <c r="I714" i="3" s="1"/>
  <c r="B715" i="3"/>
  <c r="C715" i="3"/>
  <c r="D715" i="3" s="1"/>
  <c r="G715" i="3"/>
  <c r="H715" i="3"/>
  <c r="AU715" i="3" s="1"/>
  <c r="I715" i="3" s="1"/>
  <c r="B716" i="3"/>
  <c r="C716" i="3"/>
  <c r="D716" i="3" s="1"/>
  <c r="G716" i="3"/>
  <c r="H716" i="3"/>
  <c r="AU716" i="3" s="1"/>
  <c r="I716" i="3" s="1"/>
  <c r="B717" i="3"/>
  <c r="C717" i="3"/>
  <c r="D717" i="3" s="1"/>
  <c r="G717" i="3"/>
  <c r="H717" i="3"/>
  <c r="AU717" i="3" s="1"/>
  <c r="I717" i="3" s="1"/>
  <c r="B718" i="3"/>
  <c r="C718" i="3"/>
  <c r="D718" i="3" s="1"/>
  <c r="G718" i="3"/>
  <c r="H718" i="3"/>
  <c r="AU718" i="3" s="1"/>
  <c r="I718" i="3" s="1"/>
  <c r="B719" i="3"/>
  <c r="C719" i="3"/>
  <c r="D719" i="3" s="1"/>
  <c r="G719" i="3"/>
  <c r="H719" i="3"/>
  <c r="AU719" i="3" s="1"/>
  <c r="I719" i="3" s="1"/>
  <c r="B720" i="3"/>
  <c r="C720" i="3"/>
  <c r="D720" i="3" s="1"/>
  <c r="G720" i="3"/>
  <c r="H720" i="3"/>
  <c r="AU720" i="3" s="1"/>
  <c r="I720" i="3" s="1"/>
  <c r="B721" i="3"/>
  <c r="C721" i="3"/>
  <c r="D721" i="3" s="1"/>
  <c r="G721" i="3"/>
  <c r="H721" i="3"/>
  <c r="AU721" i="3" s="1"/>
  <c r="I721" i="3" s="1"/>
  <c r="B722" i="3"/>
  <c r="C722" i="3"/>
  <c r="D722" i="3" s="1"/>
  <c r="G722" i="3"/>
  <c r="H722" i="3"/>
  <c r="AU722" i="3" s="1"/>
  <c r="I722" i="3" s="1"/>
  <c r="B723" i="3"/>
  <c r="C723" i="3"/>
  <c r="D723" i="3" s="1"/>
  <c r="G723" i="3"/>
  <c r="H723" i="3"/>
  <c r="AU723" i="3" s="1"/>
  <c r="I723" i="3" s="1"/>
  <c r="B724" i="3"/>
  <c r="C724" i="3"/>
  <c r="D724" i="3" s="1"/>
  <c r="G724" i="3"/>
  <c r="H724" i="3"/>
  <c r="AU724" i="3" s="1"/>
  <c r="I724" i="3" s="1"/>
  <c r="B725" i="3"/>
  <c r="C725" i="3"/>
  <c r="D725" i="3" s="1"/>
  <c r="G725" i="3"/>
  <c r="H725" i="3"/>
  <c r="AU725" i="3" s="1"/>
  <c r="I725" i="3" s="1"/>
  <c r="B726" i="3"/>
  <c r="C726" i="3"/>
  <c r="D726" i="3" s="1"/>
  <c r="G726" i="3"/>
  <c r="H726" i="3"/>
  <c r="AU726" i="3" s="1"/>
  <c r="I726" i="3" s="1"/>
  <c r="B727" i="3"/>
  <c r="C727" i="3"/>
  <c r="D727" i="3" s="1"/>
  <c r="G727" i="3"/>
  <c r="H727" i="3"/>
  <c r="AU727" i="3" s="1"/>
  <c r="I727" i="3" s="1"/>
  <c r="B728" i="3"/>
  <c r="C728" i="3"/>
  <c r="D728" i="3" s="1"/>
  <c r="G728" i="3"/>
  <c r="H728" i="3"/>
  <c r="AU728" i="3" s="1"/>
  <c r="I728" i="3" s="1"/>
  <c r="B729" i="3"/>
  <c r="C729" i="3"/>
  <c r="D729" i="3" s="1"/>
  <c r="G729" i="3"/>
  <c r="B730" i="3"/>
  <c r="C730" i="3"/>
  <c r="D730" i="3" s="1"/>
  <c r="G730" i="3"/>
  <c r="H730" i="3"/>
  <c r="AU730" i="3" s="1"/>
  <c r="I730" i="3" s="1"/>
  <c r="B731" i="3"/>
  <c r="C731" i="3"/>
  <c r="D731" i="3" s="1"/>
  <c r="G731" i="3"/>
  <c r="B732" i="3"/>
  <c r="C732" i="3"/>
  <c r="D732" i="3" s="1"/>
  <c r="G732" i="3"/>
  <c r="H732" i="3"/>
  <c r="AU732" i="3" s="1"/>
  <c r="I732" i="3" s="1"/>
  <c r="B733" i="3"/>
  <c r="C733" i="3"/>
  <c r="D733" i="3" s="1"/>
  <c r="G733" i="3"/>
  <c r="H733" i="3"/>
  <c r="AU733" i="3" s="1"/>
  <c r="I733" i="3" s="1"/>
  <c r="B734" i="3"/>
  <c r="C734" i="3"/>
  <c r="D734" i="3" s="1"/>
  <c r="G734" i="3"/>
  <c r="H734" i="3"/>
  <c r="AU734" i="3" s="1"/>
  <c r="I734" i="3" s="1"/>
  <c r="B735" i="3"/>
  <c r="C735" i="3"/>
  <c r="D735" i="3" s="1"/>
  <c r="G735" i="3"/>
  <c r="H735" i="3"/>
  <c r="AU735" i="3" s="1"/>
  <c r="I735" i="3" s="1"/>
  <c r="B736" i="3"/>
  <c r="C736" i="3"/>
  <c r="D736" i="3" s="1"/>
  <c r="G736" i="3"/>
  <c r="H736" i="3"/>
  <c r="AU736" i="3" s="1"/>
  <c r="I736" i="3" s="1"/>
  <c r="B737" i="3"/>
  <c r="C737" i="3"/>
  <c r="D737" i="3" s="1"/>
  <c r="G737" i="3"/>
  <c r="H737" i="3"/>
  <c r="AU737" i="3" s="1"/>
  <c r="I737" i="3" s="1"/>
  <c r="B738" i="3"/>
  <c r="C738" i="3"/>
  <c r="D738" i="3" s="1"/>
  <c r="G738" i="3"/>
  <c r="H738" i="3"/>
  <c r="AU738" i="3" s="1"/>
  <c r="I738" i="3" s="1"/>
  <c r="B739" i="3"/>
  <c r="C739" i="3"/>
  <c r="D739" i="3" s="1"/>
  <c r="G739" i="3"/>
  <c r="H739" i="3"/>
  <c r="AU739" i="3" s="1"/>
  <c r="I739" i="3" s="1"/>
  <c r="B740" i="3"/>
  <c r="C740" i="3"/>
  <c r="D740" i="3" s="1"/>
  <c r="G740" i="3"/>
  <c r="H740" i="3"/>
  <c r="AU740" i="3" s="1"/>
  <c r="I740" i="3" s="1"/>
  <c r="B741" i="3"/>
  <c r="C741" i="3"/>
  <c r="D741" i="3" s="1"/>
  <c r="G741" i="3"/>
  <c r="H741" i="3"/>
  <c r="AU741" i="3" s="1"/>
  <c r="I741" i="3" s="1"/>
  <c r="B742" i="3"/>
  <c r="C742" i="3"/>
  <c r="D742" i="3" s="1"/>
  <c r="G742" i="3"/>
  <c r="H742" i="3"/>
  <c r="AU742" i="3" s="1"/>
  <c r="I742" i="3" s="1"/>
  <c r="B743" i="3"/>
  <c r="C743" i="3"/>
  <c r="D743" i="3" s="1"/>
  <c r="G743" i="3"/>
  <c r="H743" i="3"/>
  <c r="AU743" i="3" s="1"/>
  <c r="I743" i="3" s="1"/>
  <c r="B744" i="3"/>
  <c r="C744" i="3"/>
  <c r="D744" i="3" s="1"/>
  <c r="G744" i="3"/>
  <c r="H744" i="3"/>
  <c r="AU744" i="3" s="1"/>
  <c r="I744" i="3" s="1"/>
  <c r="B745" i="3"/>
  <c r="C745" i="3"/>
  <c r="D745" i="3" s="1"/>
  <c r="G745" i="3"/>
  <c r="H745" i="3"/>
  <c r="AU745" i="3" s="1"/>
  <c r="I745" i="3" s="1"/>
  <c r="B746" i="3"/>
  <c r="C746" i="3"/>
  <c r="D746" i="3" s="1"/>
  <c r="G746" i="3"/>
  <c r="H746" i="3"/>
  <c r="AU746" i="3" s="1"/>
  <c r="I746" i="3" s="1"/>
  <c r="B747" i="3"/>
  <c r="C747" i="3"/>
  <c r="D747" i="3" s="1"/>
  <c r="G747" i="3"/>
  <c r="H747" i="3"/>
  <c r="AU747" i="3" s="1"/>
  <c r="I747" i="3" s="1"/>
  <c r="B748" i="3"/>
  <c r="C748" i="3"/>
  <c r="D748" i="3" s="1"/>
  <c r="G748" i="3"/>
  <c r="H748" i="3"/>
  <c r="AU748" i="3" s="1"/>
  <c r="I748" i="3" s="1"/>
  <c r="B749" i="3"/>
  <c r="C749" i="3"/>
  <c r="D749" i="3" s="1"/>
  <c r="G749" i="3"/>
  <c r="H749" i="3"/>
  <c r="AU749" i="3" s="1"/>
  <c r="I749" i="3" s="1"/>
  <c r="B750" i="3"/>
  <c r="C750" i="3"/>
  <c r="D750" i="3" s="1"/>
  <c r="G750" i="3"/>
  <c r="H750" i="3"/>
  <c r="AU750" i="3" s="1"/>
  <c r="I750" i="3" s="1"/>
  <c r="B751" i="3"/>
  <c r="C751" i="3"/>
  <c r="D751" i="3" s="1"/>
  <c r="G751" i="3"/>
  <c r="H751" i="3"/>
  <c r="AU751" i="3" s="1"/>
  <c r="I751" i="3" s="1"/>
  <c r="B752" i="3"/>
  <c r="C752" i="3"/>
  <c r="D752" i="3" s="1"/>
  <c r="G752" i="3"/>
  <c r="H752" i="3"/>
  <c r="AU752" i="3" s="1"/>
  <c r="I752" i="3" s="1"/>
  <c r="B753" i="3"/>
  <c r="C753" i="3"/>
  <c r="D753" i="3" s="1"/>
  <c r="G753" i="3"/>
  <c r="H753" i="3"/>
  <c r="AU753" i="3" s="1"/>
  <c r="I753" i="3" s="1"/>
  <c r="B754" i="3"/>
  <c r="C754" i="3"/>
  <c r="D754" i="3" s="1"/>
  <c r="G754" i="3"/>
  <c r="H754" i="3"/>
  <c r="AU754" i="3" s="1"/>
  <c r="I754" i="3" s="1"/>
  <c r="B755" i="3"/>
  <c r="C755" i="3"/>
  <c r="D755" i="3" s="1"/>
  <c r="G755" i="3"/>
  <c r="H755" i="3"/>
  <c r="AU755" i="3" s="1"/>
  <c r="I755" i="3" s="1"/>
  <c r="B756" i="3"/>
  <c r="C756" i="3"/>
  <c r="D756" i="3" s="1"/>
  <c r="G756" i="3"/>
  <c r="H756" i="3"/>
  <c r="AU756" i="3" s="1"/>
  <c r="I756" i="3" s="1"/>
  <c r="B757" i="3"/>
  <c r="C757" i="3"/>
  <c r="D757" i="3" s="1"/>
  <c r="G757" i="3"/>
  <c r="H757" i="3"/>
  <c r="AU757" i="3" s="1"/>
  <c r="I757" i="3" s="1"/>
  <c r="B758" i="3"/>
  <c r="C758" i="3"/>
  <c r="D758" i="3" s="1"/>
  <c r="G758" i="3"/>
  <c r="H758" i="3"/>
  <c r="AU758" i="3" s="1"/>
  <c r="I758" i="3" s="1"/>
  <c r="B759" i="3"/>
  <c r="C759" i="3"/>
  <c r="D759" i="3" s="1"/>
  <c r="G759" i="3"/>
  <c r="H759" i="3"/>
  <c r="AU759" i="3" s="1"/>
  <c r="I759" i="3" s="1"/>
  <c r="B760" i="3"/>
  <c r="C760" i="3"/>
  <c r="D760" i="3" s="1"/>
  <c r="G760" i="3"/>
  <c r="H760" i="3"/>
  <c r="AU760" i="3" s="1"/>
  <c r="I760" i="3" s="1"/>
  <c r="B761" i="3"/>
  <c r="C761" i="3"/>
  <c r="D761" i="3" s="1"/>
  <c r="G761" i="3"/>
  <c r="B762" i="3"/>
  <c r="C762" i="3"/>
  <c r="D762" i="3" s="1"/>
  <c r="G762" i="3"/>
  <c r="H762" i="3"/>
  <c r="AU762" i="3" s="1"/>
  <c r="I762" i="3" s="1"/>
  <c r="B763" i="3"/>
  <c r="C763" i="3"/>
  <c r="D763" i="3" s="1"/>
  <c r="G763" i="3"/>
  <c r="H763" i="3"/>
  <c r="AU763" i="3" s="1"/>
  <c r="I763" i="3" s="1"/>
  <c r="B764" i="3"/>
  <c r="C764" i="3"/>
  <c r="D764" i="3" s="1"/>
  <c r="G764" i="3"/>
  <c r="H764" i="3"/>
  <c r="AU764" i="3" s="1"/>
  <c r="I764" i="3" s="1"/>
  <c r="B765" i="3"/>
  <c r="C765" i="3"/>
  <c r="D765" i="3" s="1"/>
  <c r="G765" i="3"/>
  <c r="H765" i="3"/>
  <c r="AU765" i="3" s="1"/>
  <c r="I765" i="3" s="1"/>
  <c r="B766" i="3"/>
  <c r="C766" i="3"/>
  <c r="D766" i="3" s="1"/>
  <c r="G766" i="3"/>
  <c r="H766" i="3"/>
  <c r="AU766" i="3" s="1"/>
  <c r="I766" i="3" s="1"/>
  <c r="B767" i="3"/>
  <c r="C767" i="3"/>
  <c r="D767" i="3" s="1"/>
  <c r="G767" i="3"/>
  <c r="H767" i="3"/>
  <c r="AU767" i="3" s="1"/>
  <c r="I767" i="3" s="1"/>
  <c r="B768" i="3"/>
  <c r="C768" i="3"/>
  <c r="D768" i="3" s="1"/>
  <c r="G768" i="3"/>
  <c r="B769" i="3"/>
  <c r="C769" i="3"/>
  <c r="D769" i="3" s="1"/>
  <c r="G769" i="3"/>
  <c r="H769" i="3"/>
  <c r="AU769" i="3" s="1"/>
  <c r="I769" i="3" s="1"/>
  <c r="B770" i="3"/>
  <c r="C770" i="3"/>
  <c r="D770" i="3" s="1"/>
  <c r="G770" i="3"/>
  <c r="H770" i="3"/>
  <c r="AU770" i="3" s="1"/>
  <c r="I770" i="3" s="1"/>
  <c r="B771" i="3"/>
  <c r="C771" i="3"/>
  <c r="D771" i="3" s="1"/>
  <c r="G771" i="3"/>
  <c r="H771" i="3"/>
  <c r="AU771" i="3" s="1"/>
  <c r="I771" i="3" s="1"/>
  <c r="B772" i="3"/>
  <c r="C772" i="3"/>
  <c r="D772" i="3" s="1"/>
  <c r="G772" i="3"/>
  <c r="H772" i="3"/>
  <c r="AU772" i="3" s="1"/>
  <c r="I772" i="3" s="1"/>
  <c r="B773" i="3"/>
  <c r="C773" i="3"/>
  <c r="D773" i="3" s="1"/>
  <c r="G773" i="3"/>
  <c r="H773" i="3"/>
  <c r="AU773" i="3" s="1"/>
  <c r="I773" i="3" s="1"/>
  <c r="B774" i="3"/>
  <c r="C774" i="3"/>
  <c r="D774" i="3" s="1"/>
  <c r="G774" i="3"/>
  <c r="H774" i="3"/>
  <c r="AU774" i="3" s="1"/>
  <c r="I774" i="3" s="1"/>
  <c r="B775" i="3"/>
  <c r="C775" i="3"/>
  <c r="D775" i="3" s="1"/>
  <c r="G775" i="3"/>
  <c r="H775" i="3"/>
  <c r="AU775" i="3" s="1"/>
  <c r="I775" i="3" s="1"/>
  <c r="B776" i="3"/>
  <c r="C776" i="3"/>
  <c r="D776" i="3" s="1"/>
  <c r="G776" i="3"/>
  <c r="H776" i="3"/>
  <c r="AU776" i="3" s="1"/>
  <c r="I776" i="3" s="1"/>
  <c r="B777" i="3"/>
  <c r="C777" i="3"/>
  <c r="D777" i="3" s="1"/>
  <c r="G777" i="3"/>
  <c r="H777" i="3"/>
  <c r="AU777" i="3" s="1"/>
  <c r="I777" i="3" s="1"/>
  <c r="B778" i="3"/>
  <c r="C778" i="3"/>
  <c r="D778" i="3" s="1"/>
  <c r="G778" i="3"/>
  <c r="H778" i="3"/>
  <c r="AU778" i="3" s="1"/>
  <c r="I778" i="3" s="1"/>
  <c r="B779" i="3"/>
  <c r="C779" i="3"/>
  <c r="D779" i="3" s="1"/>
  <c r="G779" i="3"/>
  <c r="H779" i="3"/>
  <c r="AU779" i="3" s="1"/>
  <c r="I779" i="3" s="1"/>
  <c r="B780" i="3"/>
  <c r="C780" i="3"/>
  <c r="D780" i="3" s="1"/>
  <c r="G780" i="3"/>
  <c r="H780" i="3"/>
  <c r="AU780" i="3" s="1"/>
  <c r="I780" i="3" s="1"/>
  <c r="B781" i="3"/>
  <c r="C781" i="3"/>
  <c r="D781" i="3" s="1"/>
  <c r="G781" i="3"/>
  <c r="H781" i="3"/>
  <c r="AU781" i="3" s="1"/>
  <c r="I781" i="3" s="1"/>
  <c r="B782" i="3"/>
  <c r="C782" i="3"/>
  <c r="D782" i="3" s="1"/>
  <c r="G782" i="3"/>
  <c r="H782" i="3"/>
  <c r="AU782" i="3" s="1"/>
  <c r="I782" i="3" s="1"/>
  <c r="B783" i="3"/>
  <c r="C783" i="3"/>
  <c r="D783" i="3" s="1"/>
  <c r="G783" i="3"/>
  <c r="H783" i="3"/>
  <c r="AU783" i="3" s="1"/>
  <c r="I783" i="3" s="1"/>
  <c r="B784" i="3"/>
  <c r="C784" i="3"/>
  <c r="D784" i="3" s="1"/>
  <c r="G784" i="3"/>
  <c r="H784" i="3"/>
  <c r="AU784" i="3" s="1"/>
  <c r="I784" i="3" s="1"/>
  <c r="B785" i="3"/>
  <c r="C785" i="3"/>
  <c r="D785" i="3" s="1"/>
  <c r="G785" i="3"/>
  <c r="H785" i="3"/>
  <c r="AU785" i="3" s="1"/>
  <c r="I785" i="3" s="1"/>
  <c r="B786" i="3"/>
  <c r="C786" i="3"/>
  <c r="D786" i="3" s="1"/>
  <c r="G786" i="3"/>
  <c r="H786" i="3"/>
  <c r="AU786" i="3" s="1"/>
  <c r="I786" i="3" s="1"/>
  <c r="B787" i="3"/>
  <c r="C787" i="3"/>
  <c r="D787" i="3" s="1"/>
  <c r="G787" i="3"/>
  <c r="H787" i="3"/>
  <c r="AU787" i="3" s="1"/>
  <c r="I787" i="3" s="1"/>
  <c r="B788" i="3"/>
  <c r="C788" i="3"/>
  <c r="D788" i="3" s="1"/>
  <c r="G788" i="3"/>
  <c r="H788" i="3"/>
  <c r="AU788" i="3" s="1"/>
  <c r="I788" i="3" s="1"/>
  <c r="B789" i="3"/>
  <c r="C789" i="3"/>
  <c r="D789" i="3" s="1"/>
  <c r="G789" i="3"/>
  <c r="H789" i="3"/>
  <c r="AU789" i="3" s="1"/>
  <c r="I789" i="3" s="1"/>
  <c r="B790" i="3"/>
  <c r="C790" i="3"/>
  <c r="D790" i="3" s="1"/>
  <c r="G790" i="3"/>
  <c r="H790" i="3"/>
  <c r="AU790" i="3" s="1"/>
  <c r="I790" i="3" s="1"/>
  <c r="B791" i="3"/>
  <c r="C791" i="3"/>
  <c r="D791" i="3" s="1"/>
  <c r="G791" i="3"/>
  <c r="H791" i="3"/>
  <c r="AU791" i="3" s="1"/>
  <c r="I791" i="3" s="1"/>
  <c r="B792" i="3"/>
  <c r="C792" i="3"/>
  <c r="D792" i="3" s="1"/>
  <c r="G792" i="3"/>
  <c r="H792" i="3"/>
  <c r="AU792" i="3" s="1"/>
  <c r="I792" i="3" s="1"/>
  <c r="B793" i="3"/>
  <c r="C793" i="3"/>
  <c r="D793" i="3" s="1"/>
  <c r="G793" i="3"/>
  <c r="H793" i="3"/>
  <c r="AU793" i="3" s="1"/>
  <c r="I793" i="3" s="1"/>
  <c r="B794" i="3"/>
  <c r="C794" i="3"/>
  <c r="D794" i="3" s="1"/>
  <c r="G794" i="3"/>
  <c r="H794" i="3"/>
  <c r="AU794" i="3" s="1"/>
  <c r="I794" i="3" s="1"/>
  <c r="B795" i="3"/>
  <c r="C795" i="3"/>
  <c r="D795" i="3" s="1"/>
  <c r="G795" i="3"/>
  <c r="H795" i="3"/>
  <c r="AU795" i="3" s="1"/>
  <c r="I795" i="3" s="1"/>
  <c r="B796" i="3"/>
  <c r="C796" i="3"/>
  <c r="D796" i="3" s="1"/>
  <c r="G796" i="3"/>
  <c r="H796" i="3"/>
  <c r="AU796" i="3" s="1"/>
  <c r="I796" i="3" s="1"/>
  <c r="B797" i="3"/>
  <c r="C797" i="3"/>
  <c r="D797" i="3" s="1"/>
  <c r="G797" i="3"/>
  <c r="H797" i="3"/>
  <c r="AU797" i="3" s="1"/>
  <c r="I797" i="3" s="1"/>
  <c r="B798" i="3"/>
  <c r="C798" i="3"/>
  <c r="D798" i="3" s="1"/>
  <c r="G798" i="3"/>
  <c r="H798" i="3"/>
  <c r="AU798" i="3" s="1"/>
  <c r="I798" i="3" s="1"/>
  <c r="B799" i="3"/>
  <c r="C799" i="3"/>
  <c r="D799" i="3" s="1"/>
  <c r="G799" i="3"/>
  <c r="H799" i="3"/>
  <c r="AU799" i="3" s="1"/>
  <c r="I799" i="3" s="1"/>
  <c r="B800" i="3"/>
  <c r="C800" i="3"/>
  <c r="D800" i="3" s="1"/>
  <c r="G800" i="3"/>
  <c r="H800" i="3"/>
  <c r="AU800" i="3" s="1"/>
  <c r="I800" i="3" s="1"/>
  <c r="B801" i="3"/>
  <c r="C801" i="3"/>
  <c r="D801" i="3" s="1"/>
  <c r="G801" i="3"/>
  <c r="H801" i="3"/>
  <c r="AU801" i="3" s="1"/>
  <c r="I801" i="3" s="1"/>
  <c r="B802" i="3"/>
  <c r="C802" i="3"/>
  <c r="D802" i="3" s="1"/>
  <c r="G802" i="3"/>
  <c r="H802" i="3"/>
  <c r="AU802" i="3" s="1"/>
  <c r="I802" i="3" s="1"/>
  <c r="B803" i="3"/>
  <c r="C803" i="3"/>
  <c r="D803" i="3" s="1"/>
  <c r="G803" i="3"/>
  <c r="H803" i="3"/>
  <c r="AU803" i="3" s="1"/>
  <c r="I803" i="3" s="1"/>
  <c r="B804" i="3"/>
  <c r="C804" i="3"/>
  <c r="D804" i="3" s="1"/>
  <c r="G804" i="3"/>
  <c r="H804" i="3"/>
  <c r="AU804" i="3" s="1"/>
  <c r="I804" i="3" s="1"/>
  <c r="B805" i="3"/>
  <c r="C805" i="3"/>
  <c r="D805" i="3" s="1"/>
  <c r="G805" i="3"/>
  <c r="H805" i="3"/>
  <c r="AU805" i="3" s="1"/>
  <c r="I805" i="3" s="1"/>
  <c r="B806" i="3"/>
  <c r="C806" i="3"/>
  <c r="D806" i="3" s="1"/>
  <c r="G806" i="3"/>
  <c r="H806" i="3"/>
  <c r="AU806" i="3" s="1"/>
  <c r="I806" i="3" s="1"/>
  <c r="B807" i="3"/>
  <c r="C807" i="3"/>
  <c r="D807" i="3" s="1"/>
  <c r="G807" i="3"/>
  <c r="H807" i="3"/>
  <c r="AU807" i="3" s="1"/>
  <c r="I807" i="3" s="1"/>
  <c r="B808" i="3"/>
  <c r="C808" i="3"/>
  <c r="D808" i="3" s="1"/>
  <c r="G808" i="3"/>
  <c r="H808" i="3"/>
  <c r="AU808" i="3" s="1"/>
  <c r="I808" i="3" s="1"/>
  <c r="B809" i="3"/>
  <c r="C809" i="3"/>
  <c r="D809" i="3" s="1"/>
  <c r="G809" i="3"/>
  <c r="H809" i="3"/>
  <c r="AU809" i="3" s="1"/>
  <c r="I809" i="3" s="1"/>
  <c r="B810" i="3"/>
  <c r="C810" i="3"/>
  <c r="D810" i="3" s="1"/>
  <c r="G810" i="3"/>
  <c r="H810" i="3"/>
  <c r="AU810" i="3" s="1"/>
  <c r="I810" i="3" s="1"/>
  <c r="B811" i="3"/>
  <c r="C811" i="3"/>
  <c r="D811" i="3" s="1"/>
  <c r="G811" i="3"/>
  <c r="H811" i="3"/>
  <c r="AU811" i="3" s="1"/>
  <c r="I811" i="3" s="1"/>
  <c r="B812" i="3"/>
  <c r="C812" i="3"/>
  <c r="D812" i="3" s="1"/>
  <c r="G812" i="3"/>
  <c r="H812" i="3"/>
  <c r="AU812" i="3" s="1"/>
  <c r="I812" i="3" s="1"/>
  <c r="B813" i="3"/>
  <c r="C813" i="3"/>
  <c r="D813" i="3" s="1"/>
  <c r="G813" i="3"/>
  <c r="B814" i="3"/>
  <c r="C814" i="3"/>
  <c r="D814" i="3" s="1"/>
  <c r="G814" i="3"/>
  <c r="H814" i="3"/>
  <c r="AU814" i="3" s="1"/>
  <c r="I814" i="3" s="1"/>
  <c r="B815" i="3"/>
  <c r="C815" i="3"/>
  <c r="D815" i="3" s="1"/>
  <c r="G815" i="3"/>
  <c r="H815" i="3"/>
  <c r="AU815" i="3" s="1"/>
  <c r="I815" i="3" s="1"/>
  <c r="B816" i="3"/>
  <c r="C816" i="3"/>
  <c r="D816" i="3" s="1"/>
  <c r="G816" i="3"/>
  <c r="H816" i="3"/>
  <c r="AU816" i="3" s="1"/>
  <c r="I816" i="3" s="1"/>
  <c r="B817" i="3"/>
  <c r="C817" i="3"/>
  <c r="D817" i="3" s="1"/>
  <c r="G817" i="3"/>
  <c r="H817" i="3"/>
  <c r="AU817" i="3" s="1"/>
  <c r="I817" i="3" s="1"/>
  <c r="B818" i="3"/>
  <c r="C818" i="3"/>
  <c r="D818" i="3" s="1"/>
  <c r="G818" i="3"/>
  <c r="B819" i="3"/>
  <c r="C819" i="3"/>
  <c r="D819" i="3" s="1"/>
  <c r="G819" i="3"/>
  <c r="H819" i="3"/>
  <c r="AU819" i="3" s="1"/>
  <c r="I819" i="3" s="1"/>
  <c r="B820" i="3"/>
  <c r="C820" i="3"/>
  <c r="D820" i="3" s="1"/>
  <c r="G820" i="3"/>
  <c r="H820" i="3"/>
  <c r="AU820" i="3" s="1"/>
  <c r="I820" i="3" s="1"/>
  <c r="B821" i="3"/>
  <c r="C821" i="3"/>
  <c r="D821" i="3" s="1"/>
  <c r="G821" i="3"/>
  <c r="H821" i="3"/>
  <c r="AU821" i="3" s="1"/>
  <c r="I821" i="3" s="1"/>
  <c r="B822" i="3"/>
  <c r="C822" i="3"/>
  <c r="D822" i="3" s="1"/>
  <c r="G822" i="3"/>
  <c r="H822" i="3"/>
  <c r="AU822" i="3" s="1"/>
  <c r="I822" i="3" s="1"/>
  <c r="B823" i="3"/>
  <c r="C823" i="3"/>
  <c r="D823" i="3" s="1"/>
  <c r="G823" i="3"/>
  <c r="H823" i="3"/>
  <c r="AU823" i="3" s="1"/>
  <c r="I823" i="3" s="1"/>
  <c r="B824" i="3"/>
  <c r="C824" i="3"/>
  <c r="D824" i="3" s="1"/>
  <c r="G824" i="3"/>
  <c r="H824" i="3"/>
  <c r="AU824" i="3" s="1"/>
  <c r="I824" i="3" s="1"/>
  <c r="B825" i="3"/>
  <c r="C825" i="3"/>
  <c r="D825" i="3" s="1"/>
  <c r="G825" i="3"/>
  <c r="B826" i="3"/>
  <c r="C826" i="3"/>
  <c r="D826" i="3" s="1"/>
  <c r="G826" i="3"/>
  <c r="H826" i="3"/>
  <c r="AU826" i="3" s="1"/>
  <c r="I826" i="3" s="1"/>
  <c r="B827" i="3"/>
  <c r="C827" i="3"/>
  <c r="D827" i="3" s="1"/>
  <c r="G827" i="3"/>
  <c r="H827" i="3"/>
  <c r="AU827" i="3" s="1"/>
  <c r="I827" i="3" s="1"/>
  <c r="B828" i="3"/>
  <c r="C828" i="3"/>
  <c r="D828" i="3" s="1"/>
  <c r="G828" i="3"/>
  <c r="H828" i="3"/>
  <c r="AU828" i="3" s="1"/>
  <c r="I828" i="3" s="1"/>
  <c r="B829" i="3"/>
  <c r="C829" i="3"/>
  <c r="D829" i="3" s="1"/>
  <c r="G829" i="3"/>
  <c r="H829" i="3"/>
  <c r="AU829" i="3" s="1"/>
  <c r="I829" i="3" s="1"/>
  <c r="B830" i="3"/>
  <c r="C830" i="3"/>
  <c r="D830" i="3" s="1"/>
  <c r="G830" i="3"/>
  <c r="H830" i="3"/>
  <c r="AU830" i="3" s="1"/>
  <c r="I830" i="3" s="1"/>
  <c r="B831" i="3"/>
  <c r="C831" i="3"/>
  <c r="D831" i="3" s="1"/>
  <c r="G831" i="3"/>
  <c r="B832" i="3"/>
  <c r="C832" i="3"/>
  <c r="D832" i="3" s="1"/>
  <c r="G832" i="3"/>
  <c r="H832" i="3"/>
  <c r="AU832" i="3" s="1"/>
  <c r="I832" i="3" s="1"/>
  <c r="B833" i="3"/>
  <c r="C833" i="3"/>
  <c r="D833" i="3" s="1"/>
  <c r="G833" i="3"/>
  <c r="H833" i="3"/>
  <c r="AU833" i="3" s="1"/>
  <c r="I833" i="3" s="1"/>
  <c r="B834" i="3"/>
  <c r="C834" i="3"/>
  <c r="D834" i="3" s="1"/>
  <c r="G834" i="3"/>
  <c r="H834" i="3"/>
  <c r="AU834" i="3" s="1"/>
  <c r="I834" i="3" s="1"/>
  <c r="B835" i="3"/>
  <c r="C835" i="3"/>
  <c r="D835" i="3" s="1"/>
  <c r="G835" i="3"/>
  <c r="H835" i="3"/>
  <c r="AU835" i="3" s="1"/>
  <c r="I835" i="3" s="1"/>
  <c r="B836" i="3"/>
  <c r="C836" i="3"/>
  <c r="D836" i="3" s="1"/>
  <c r="G836" i="3"/>
  <c r="H836" i="3"/>
  <c r="AU836" i="3" s="1"/>
  <c r="I836" i="3" s="1"/>
  <c r="B837" i="3"/>
  <c r="C837" i="3"/>
  <c r="D837" i="3" s="1"/>
  <c r="G837" i="3"/>
  <c r="H837" i="3"/>
  <c r="AU837" i="3" s="1"/>
  <c r="I837" i="3" s="1"/>
  <c r="B838" i="3"/>
  <c r="C838" i="3"/>
  <c r="D838" i="3" s="1"/>
  <c r="G838" i="3"/>
  <c r="H838" i="3"/>
  <c r="AU838" i="3" s="1"/>
  <c r="I838" i="3" s="1"/>
  <c r="B839" i="3"/>
  <c r="C839" i="3"/>
  <c r="D839" i="3" s="1"/>
  <c r="G839" i="3"/>
  <c r="H839" i="3"/>
  <c r="AU839" i="3" s="1"/>
  <c r="I839" i="3" s="1"/>
  <c r="B840" i="3"/>
  <c r="C840" i="3"/>
  <c r="D840" i="3" s="1"/>
  <c r="G840" i="3"/>
  <c r="H840" i="3"/>
  <c r="AU840" i="3" s="1"/>
  <c r="I840" i="3" s="1"/>
  <c r="B841" i="3"/>
  <c r="C841" i="3"/>
  <c r="D841" i="3" s="1"/>
  <c r="G841" i="3"/>
  <c r="H841" i="3"/>
  <c r="AU841" i="3" s="1"/>
  <c r="I841" i="3" s="1"/>
  <c r="B842" i="3"/>
  <c r="C842" i="3"/>
  <c r="D842" i="3" s="1"/>
  <c r="G842" i="3"/>
  <c r="H842" i="3"/>
  <c r="AU842" i="3" s="1"/>
  <c r="I842" i="3" s="1"/>
  <c r="B843" i="3"/>
  <c r="C843" i="3"/>
  <c r="D843" i="3" s="1"/>
  <c r="G843" i="3"/>
  <c r="H843" i="3"/>
  <c r="AU843" i="3" s="1"/>
  <c r="I843" i="3" s="1"/>
  <c r="B844" i="3"/>
  <c r="C844" i="3"/>
  <c r="D844" i="3" s="1"/>
  <c r="G844" i="3"/>
  <c r="B845" i="3"/>
  <c r="C845" i="3"/>
  <c r="D845" i="3" s="1"/>
  <c r="G845" i="3"/>
  <c r="H845" i="3"/>
  <c r="AU845" i="3" s="1"/>
  <c r="I845" i="3" s="1"/>
  <c r="B846" i="3"/>
  <c r="C846" i="3"/>
  <c r="D846" i="3" s="1"/>
  <c r="G846" i="3"/>
  <c r="H846" i="3"/>
  <c r="AU846" i="3" s="1"/>
  <c r="I846" i="3" s="1"/>
  <c r="B847" i="3"/>
  <c r="C847" i="3"/>
  <c r="D847" i="3" s="1"/>
  <c r="G847" i="3"/>
  <c r="H847" i="3"/>
  <c r="AU847" i="3" s="1"/>
  <c r="I847" i="3" s="1"/>
  <c r="B848" i="3"/>
  <c r="C848" i="3"/>
  <c r="D848" i="3" s="1"/>
  <c r="G848" i="3"/>
  <c r="H848" i="3"/>
  <c r="AU848" i="3" s="1"/>
  <c r="I848" i="3" s="1"/>
  <c r="B849" i="3"/>
  <c r="C849" i="3"/>
  <c r="D849" i="3" s="1"/>
  <c r="G849" i="3"/>
  <c r="H849" i="3"/>
  <c r="AU849" i="3" s="1"/>
  <c r="I849" i="3" s="1"/>
  <c r="B850" i="3"/>
  <c r="C850" i="3"/>
  <c r="D850" i="3" s="1"/>
  <c r="G850" i="3"/>
  <c r="H850" i="3"/>
  <c r="AU850" i="3" s="1"/>
  <c r="I850" i="3" s="1"/>
  <c r="B851" i="3"/>
  <c r="C851" i="3"/>
  <c r="D851" i="3" s="1"/>
  <c r="G851" i="3"/>
  <c r="B852" i="3"/>
  <c r="C852" i="3"/>
  <c r="D852" i="3" s="1"/>
  <c r="G852" i="3"/>
  <c r="H852" i="3"/>
  <c r="AU852" i="3" s="1"/>
  <c r="I852" i="3" s="1"/>
  <c r="B853" i="3"/>
  <c r="C853" i="3"/>
  <c r="D853" i="3" s="1"/>
  <c r="G853" i="3"/>
  <c r="H853" i="3"/>
  <c r="AU853" i="3" s="1"/>
  <c r="I853" i="3" s="1"/>
  <c r="B854" i="3"/>
  <c r="C854" i="3"/>
  <c r="D854" i="3" s="1"/>
  <c r="G854" i="3"/>
  <c r="H854" i="3"/>
  <c r="AU854" i="3" s="1"/>
  <c r="I854" i="3" s="1"/>
  <c r="B855" i="3"/>
  <c r="C855" i="3"/>
  <c r="D855" i="3" s="1"/>
  <c r="G855" i="3"/>
  <c r="H855" i="3"/>
  <c r="AU855" i="3" s="1"/>
  <c r="I855" i="3" s="1"/>
  <c r="B856" i="3"/>
  <c r="C856" i="3"/>
  <c r="D856" i="3" s="1"/>
  <c r="G856" i="3"/>
  <c r="H856" i="3"/>
  <c r="AU856" i="3" s="1"/>
  <c r="I856" i="3" s="1"/>
  <c r="B857" i="3"/>
  <c r="C857" i="3"/>
  <c r="D857" i="3" s="1"/>
  <c r="G857" i="3"/>
  <c r="H857" i="3"/>
  <c r="AU857" i="3" s="1"/>
  <c r="I857" i="3" s="1"/>
  <c r="B858" i="3"/>
  <c r="C858" i="3"/>
  <c r="D858" i="3" s="1"/>
  <c r="G858" i="3"/>
  <c r="H858" i="3"/>
  <c r="AU858" i="3" s="1"/>
  <c r="I858" i="3" s="1"/>
  <c r="B859" i="3"/>
  <c r="C859" i="3"/>
  <c r="D859" i="3" s="1"/>
  <c r="G859" i="3"/>
  <c r="H859" i="3"/>
  <c r="AU859" i="3" s="1"/>
  <c r="I859" i="3" s="1"/>
  <c r="B860" i="3"/>
  <c r="C860" i="3"/>
  <c r="D860" i="3" s="1"/>
  <c r="G860" i="3"/>
  <c r="H860" i="3"/>
  <c r="AU860" i="3" s="1"/>
  <c r="I860" i="3" s="1"/>
  <c r="B861" i="3"/>
  <c r="C861" i="3"/>
  <c r="D861" i="3" s="1"/>
  <c r="G861" i="3"/>
  <c r="H861" i="3"/>
  <c r="AU861" i="3" s="1"/>
  <c r="I861" i="3" s="1"/>
  <c r="B862" i="3"/>
  <c r="C862" i="3"/>
  <c r="D862" i="3" s="1"/>
  <c r="G862" i="3"/>
  <c r="H862" i="3"/>
  <c r="AU862" i="3" s="1"/>
  <c r="I862" i="3" s="1"/>
  <c r="B863" i="3"/>
  <c r="C863" i="3"/>
  <c r="D863" i="3" s="1"/>
  <c r="G863" i="3"/>
  <c r="H863" i="3"/>
  <c r="AU863" i="3" s="1"/>
  <c r="I863" i="3" s="1"/>
  <c r="B864" i="3"/>
  <c r="C864" i="3"/>
  <c r="D864" i="3" s="1"/>
  <c r="G864" i="3"/>
  <c r="H864" i="3"/>
  <c r="AU864" i="3" s="1"/>
  <c r="I864" i="3" s="1"/>
  <c r="B865" i="3"/>
  <c r="C865" i="3"/>
  <c r="D865" i="3" s="1"/>
  <c r="G865" i="3"/>
  <c r="H865" i="3"/>
  <c r="AU865" i="3" s="1"/>
  <c r="I865" i="3" s="1"/>
  <c r="B866" i="3"/>
  <c r="C866" i="3"/>
  <c r="D866" i="3" s="1"/>
  <c r="G866" i="3"/>
  <c r="H866" i="3"/>
  <c r="AU866" i="3" s="1"/>
  <c r="I866" i="3" s="1"/>
  <c r="B867" i="3"/>
  <c r="C867" i="3"/>
  <c r="D867" i="3" s="1"/>
  <c r="G867" i="3"/>
  <c r="H867" i="3"/>
  <c r="AU867" i="3" s="1"/>
  <c r="I867" i="3" s="1"/>
  <c r="B868" i="3"/>
  <c r="C868" i="3"/>
  <c r="D868" i="3" s="1"/>
  <c r="G868" i="3"/>
  <c r="H868" i="3"/>
  <c r="AU868" i="3" s="1"/>
  <c r="I868" i="3" s="1"/>
  <c r="B869" i="3"/>
  <c r="C869" i="3"/>
  <c r="D869" i="3" s="1"/>
  <c r="G869" i="3"/>
  <c r="H869" i="3"/>
  <c r="AU869" i="3" s="1"/>
  <c r="I869" i="3" s="1"/>
  <c r="B870" i="3"/>
  <c r="C870" i="3"/>
  <c r="D870" i="3" s="1"/>
  <c r="G870" i="3"/>
  <c r="H870" i="3"/>
  <c r="AU870" i="3" s="1"/>
  <c r="I870" i="3" s="1"/>
  <c r="B871" i="3"/>
  <c r="C871" i="3"/>
  <c r="D871" i="3" s="1"/>
  <c r="G871" i="3"/>
  <c r="B872" i="3"/>
  <c r="C872" i="3"/>
  <c r="D872" i="3" s="1"/>
  <c r="G872" i="3"/>
  <c r="H872" i="3"/>
  <c r="AU872" i="3" s="1"/>
  <c r="I872" i="3" s="1"/>
  <c r="B873" i="3"/>
  <c r="C873" i="3"/>
  <c r="D873" i="3" s="1"/>
  <c r="G873" i="3"/>
  <c r="H873" i="3"/>
  <c r="AU873" i="3" s="1"/>
  <c r="I873" i="3" s="1"/>
  <c r="B874" i="3"/>
  <c r="C874" i="3"/>
  <c r="D874" i="3" s="1"/>
  <c r="G874" i="3"/>
  <c r="H874" i="3"/>
  <c r="AU874" i="3" s="1"/>
  <c r="I874" i="3" s="1"/>
  <c r="B875" i="3"/>
  <c r="C875" i="3"/>
  <c r="D875" i="3" s="1"/>
  <c r="G875" i="3"/>
  <c r="H875" i="3"/>
  <c r="AU875" i="3" s="1"/>
  <c r="I875" i="3" s="1"/>
  <c r="B876" i="3"/>
  <c r="C876" i="3"/>
  <c r="D876" i="3" s="1"/>
  <c r="G876" i="3"/>
  <c r="H876" i="3"/>
  <c r="AU876" i="3" s="1"/>
  <c r="I876" i="3" s="1"/>
  <c r="B877" i="3"/>
  <c r="C877" i="3"/>
  <c r="D877" i="3" s="1"/>
  <c r="G877" i="3"/>
  <c r="B878" i="3"/>
  <c r="C878" i="3"/>
  <c r="D878" i="3" s="1"/>
  <c r="G878" i="3"/>
  <c r="H878" i="3"/>
  <c r="AU878" i="3" s="1"/>
  <c r="I878" i="3" s="1"/>
  <c r="B879" i="3"/>
  <c r="C879" i="3"/>
  <c r="D879" i="3" s="1"/>
  <c r="G879" i="3"/>
  <c r="H879" i="3"/>
  <c r="AU879" i="3" s="1"/>
  <c r="I879" i="3" s="1"/>
  <c r="B880" i="3"/>
  <c r="C880" i="3"/>
  <c r="D880" i="3" s="1"/>
  <c r="G880" i="3"/>
  <c r="H880" i="3"/>
  <c r="AU880" i="3" s="1"/>
  <c r="I880" i="3" s="1"/>
  <c r="B881" i="3"/>
  <c r="C881" i="3"/>
  <c r="D881" i="3" s="1"/>
  <c r="G881" i="3"/>
  <c r="H881" i="3"/>
  <c r="AU881" i="3" s="1"/>
  <c r="I881" i="3" s="1"/>
  <c r="B882" i="3"/>
  <c r="C882" i="3"/>
  <c r="D882" i="3" s="1"/>
  <c r="G882" i="3"/>
  <c r="H882" i="3"/>
  <c r="AU882" i="3" s="1"/>
  <c r="I882" i="3" s="1"/>
  <c r="B883" i="3"/>
  <c r="C883" i="3"/>
  <c r="D883" i="3" s="1"/>
  <c r="G883" i="3"/>
  <c r="H883" i="3"/>
  <c r="AU883" i="3" s="1"/>
  <c r="I883" i="3" s="1"/>
  <c r="B884" i="3"/>
  <c r="C884" i="3"/>
  <c r="D884" i="3" s="1"/>
  <c r="G884" i="3"/>
  <c r="H884" i="3"/>
  <c r="AU884" i="3" s="1"/>
  <c r="I884" i="3" s="1"/>
  <c r="B885" i="3"/>
  <c r="C885" i="3"/>
  <c r="D885" i="3" s="1"/>
  <c r="G885" i="3"/>
  <c r="H885" i="3"/>
  <c r="AU885" i="3" s="1"/>
  <c r="I885" i="3" s="1"/>
  <c r="B886" i="3"/>
  <c r="C886" i="3"/>
  <c r="D886" i="3" s="1"/>
  <c r="G886" i="3"/>
  <c r="H886" i="3"/>
  <c r="AU886" i="3" s="1"/>
  <c r="I886" i="3" s="1"/>
  <c r="B887" i="3"/>
  <c r="C887" i="3"/>
  <c r="D887" i="3" s="1"/>
  <c r="G887" i="3"/>
  <c r="H887" i="3"/>
  <c r="AU887" i="3" s="1"/>
  <c r="I887" i="3" s="1"/>
  <c r="B888" i="3"/>
  <c r="C888" i="3"/>
  <c r="D888" i="3" s="1"/>
  <c r="G888" i="3"/>
  <c r="H888" i="3"/>
  <c r="AU888" i="3" s="1"/>
  <c r="I888" i="3" s="1"/>
  <c r="B889" i="3"/>
  <c r="C889" i="3"/>
  <c r="D889" i="3" s="1"/>
  <c r="G889" i="3"/>
  <c r="H889" i="3"/>
  <c r="AU889" i="3" s="1"/>
  <c r="I889" i="3" s="1"/>
  <c r="B890" i="3"/>
  <c r="C890" i="3"/>
  <c r="D890" i="3" s="1"/>
  <c r="G890" i="3"/>
  <c r="H890" i="3"/>
  <c r="AU890" i="3" s="1"/>
  <c r="I890" i="3" s="1"/>
  <c r="B891" i="3"/>
  <c r="C891" i="3"/>
  <c r="D891" i="3" s="1"/>
  <c r="G891" i="3"/>
  <c r="H891" i="3"/>
  <c r="AU891" i="3" s="1"/>
  <c r="I891" i="3" s="1"/>
  <c r="B892" i="3"/>
  <c r="C892" i="3"/>
  <c r="D892" i="3" s="1"/>
  <c r="G892" i="3"/>
  <c r="H892" i="3"/>
  <c r="AU892" i="3" s="1"/>
  <c r="I892" i="3" s="1"/>
  <c r="B893" i="3"/>
  <c r="C893" i="3"/>
  <c r="D893" i="3" s="1"/>
  <c r="G893" i="3"/>
  <c r="H893" i="3"/>
  <c r="AU893" i="3" s="1"/>
  <c r="I893" i="3" s="1"/>
  <c r="B894" i="3"/>
  <c r="C894" i="3"/>
  <c r="D894" i="3" s="1"/>
  <c r="G894" i="3"/>
  <c r="H894" i="3"/>
  <c r="AU894" i="3" s="1"/>
  <c r="I894" i="3" s="1"/>
  <c r="B895" i="3"/>
  <c r="C895" i="3"/>
  <c r="D895" i="3" s="1"/>
  <c r="G895" i="3"/>
  <c r="H895" i="3"/>
  <c r="AU895" i="3" s="1"/>
  <c r="I895" i="3" s="1"/>
  <c r="B896" i="3"/>
  <c r="C896" i="3"/>
  <c r="D896" i="3" s="1"/>
  <c r="G896" i="3"/>
  <c r="H896" i="3"/>
  <c r="AU896" i="3" s="1"/>
  <c r="I896" i="3" s="1"/>
  <c r="B897" i="3"/>
  <c r="C897" i="3"/>
  <c r="D897" i="3" s="1"/>
  <c r="G897" i="3"/>
  <c r="H897" i="3"/>
  <c r="AU897" i="3" s="1"/>
  <c r="I897" i="3" s="1"/>
  <c r="B898" i="3"/>
  <c r="C898" i="3"/>
  <c r="D898" i="3" s="1"/>
  <c r="G898" i="3"/>
  <c r="H898" i="3"/>
  <c r="AU898" i="3" s="1"/>
  <c r="I898" i="3" s="1"/>
  <c r="B899" i="3"/>
  <c r="C899" i="3"/>
  <c r="D899" i="3" s="1"/>
  <c r="G899" i="3"/>
  <c r="B900" i="3"/>
  <c r="C900" i="3"/>
  <c r="D900" i="3" s="1"/>
  <c r="G900" i="3"/>
  <c r="H900" i="3"/>
  <c r="AU900" i="3" s="1"/>
  <c r="I900" i="3" s="1"/>
  <c r="B901" i="3"/>
  <c r="C901" i="3"/>
  <c r="D901" i="3" s="1"/>
  <c r="G901" i="3"/>
  <c r="B902" i="3"/>
  <c r="C902" i="3"/>
  <c r="D902" i="3" s="1"/>
  <c r="G902" i="3"/>
  <c r="H902" i="3"/>
  <c r="AU902" i="3" s="1"/>
  <c r="I902" i="3" s="1"/>
  <c r="B903" i="3"/>
  <c r="C903" i="3"/>
  <c r="D903" i="3" s="1"/>
  <c r="G903" i="3"/>
  <c r="H903" i="3"/>
  <c r="AU903" i="3" s="1"/>
  <c r="I903" i="3" s="1"/>
  <c r="B904" i="3"/>
  <c r="C904" i="3"/>
  <c r="D904" i="3" s="1"/>
  <c r="G904" i="3"/>
  <c r="H904" i="3"/>
  <c r="AU904" i="3" s="1"/>
  <c r="I904" i="3" s="1"/>
  <c r="B905" i="3"/>
  <c r="C905" i="3"/>
  <c r="D905" i="3" s="1"/>
  <c r="G905" i="3"/>
  <c r="B906" i="3"/>
  <c r="C906" i="3"/>
  <c r="D906" i="3" s="1"/>
  <c r="G906" i="3"/>
  <c r="B907" i="3"/>
  <c r="C907" i="3"/>
  <c r="D907" i="3" s="1"/>
  <c r="G907" i="3"/>
  <c r="H907" i="3"/>
  <c r="AU907" i="3" s="1"/>
  <c r="I907" i="3" s="1"/>
  <c r="B908" i="3"/>
  <c r="C908" i="3"/>
  <c r="D908" i="3" s="1"/>
  <c r="G908" i="3"/>
  <c r="H908" i="3"/>
  <c r="AU908" i="3" s="1"/>
  <c r="I908" i="3" s="1"/>
  <c r="B909" i="3"/>
  <c r="C909" i="3"/>
  <c r="D909" i="3" s="1"/>
  <c r="G909" i="3"/>
  <c r="H909" i="3"/>
  <c r="AU909" i="3" s="1"/>
  <c r="I909" i="3" s="1"/>
  <c r="B910" i="3"/>
  <c r="C910" i="3"/>
  <c r="D910" i="3" s="1"/>
  <c r="G910" i="3"/>
  <c r="H910" i="3"/>
  <c r="AU910" i="3" s="1"/>
  <c r="I910" i="3" s="1"/>
  <c r="B911" i="3"/>
  <c r="C911" i="3"/>
  <c r="D911" i="3" s="1"/>
  <c r="G911" i="3"/>
  <c r="H911" i="3"/>
  <c r="AU911" i="3" s="1"/>
  <c r="I911" i="3" s="1"/>
  <c r="B912" i="3"/>
  <c r="C912" i="3"/>
  <c r="D912" i="3" s="1"/>
  <c r="G912" i="3"/>
  <c r="H912" i="3"/>
  <c r="AU912" i="3" s="1"/>
  <c r="I912" i="3" s="1"/>
  <c r="B913" i="3"/>
  <c r="C913" i="3"/>
  <c r="D913" i="3" s="1"/>
  <c r="G913" i="3"/>
  <c r="B914" i="3"/>
  <c r="C914" i="3"/>
  <c r="D914" i="3" s="1"/>
  <c r="G914" i="3"/>
  <c r="H914" i="3"/>
  <c r="AU914" i="3" s="1"/>
  <c r="I914" i="3" s="1"/>
  <c r="B915" i="3"/>
  <c r="C915" i="3"/>
  <c r="D915" i="3" s="1"/>
  <c r="G915" i="3"/>
  <c r="H915" i="3"/>
  <c r="AU915" i="3" s="1"/>
  <c r="I915" i="3" s="1"/>
  <c r="B916" i="3"/>
  <c r="C916" i="3"/>
  <c r="D916" i="3" s="1"/>
  <c r="G916" i="3"/>
  <c r="B917" i="3"/>
  <c r="C917" i="3"/>
  <c r="D917" i="3" s="1"/>
  <c r="G917" i="3"/>
  <c r="H917" i="3"/>
  <c r="AU917" i="3" s="1"/>
  <c r="I917" i="3" s="1"/>
  <c r="B918" i="3"/>
  <c r="C918" i="3"/>
  <c r="D918" i="3" s="1"/>
  <c r="G918" i="3"/>
  <c r="H918" i="3"/>
  <c r="AU918" i="3" s="1"/>
  <c r="I918" i="3" s="1"/>
  <c r="B919" i="3"/>
  <c r="C919" i="3"/>
  <c r="D919" i="3" s="1"/>
  <c r="G919" i="3"/>
  <c r="H919" i="3"/>
  <c r="AU919" i="3" s="1"/>
  <c r="I919" i="3" s="1"/>
  <c r="B920" i="3"/>
  <c r="C920" i="3"/>
  <c r="D920" i="3" s="1"/>
  <c r="G920" i="3"/>
  <c r="H920" i="3"/>
  <c r="AU920" i="3" s="1"/>
  <c r="I920" i="3" s="1"/>
  <c r="B921" i="3"/>
  <c r="C921" i="3"/>
  <c r="D921" i="3" s="1"/>
  <c r="G921" i="3"/>
  <c r="H921" i="3"/>
  <c r="AU921" i="3" s="1"/>
  <c r="I921" i="3" s="1"/>
  <c r="B922" i="3"/>
  <c r="C922" i="3"/>
  <c r="D922" i="3" s="1"/>
  <c r="G922" i="3"/>
  <c r="H922" i="3"/>
  <c r="AU922" i="3" s="1"/>
  <c r="I922" i="3" s="1"/>
  <c r="B923" i="3"/>
  <c r="C923" i="3"/>
  <c r="D923" i="3" s="1"/>
  <c r="G923" i="3"/>
  <c r="B924" i="3"/>
  <c r="C924" i="3"/>
  <c r="D924" i="3" s="1"/>
  <c r="G924" i="3"/>
  <c r="H924" i="3"/>
  <c r="AU924" i="3" s="1"/>
  <c r="I924" i="3" s="1"/>
  <c r="B925" i="3"/>
  <c r="C925" i="3"/>
  <c r="D925" i="3" s="1"/>
  <c r="G925" i="3"/>
  <c r="B926" i="3"/>
  <c r="C926" i="3"/>
  <c r="D926" i="3" s="1"/>
  <c r="G926" i="3"/>
  <c r="H926" i="3"/>
  <c r="AU926" i="3" s="1"/>
  <c r="I926" i="3" s="1"/>
  <c r="B927" i="3"/>
  <c r="C927" i="3"/>
  <c r="D927" i="3" s="1"/>
  <c r="G927" i="3"/>
  <c r="H927" i="3"/>
  <c r="AU927" i="3" s="1"/>
  <c r="I927" i="3" s="1"/>
  <c r="B928" i="3"/>
  <c r="C928" i="3"/>
  <c r="D928" i="3" s="1"/>
  <c r="G928" i="3"/>
  <c r="H928" i="3"/>
  <c r="AU928" i="3" s="1"/>
  <c r="I928" i="3" s="1"/>
  <c r="B929" i="3"/>
  <c r="C929" i="3"/>
  <c r="D929" i="3" s="1"/>
  <c r="G929" i="3"/>
  <c r="H929" i="3"/>
  <c r="AU929" i="3" s="1"/>
  <c r="I929" i="3" s="1"/>
  <c r="B930" i="3"/>
  <c r="C930" i="3"/>
  <c r="D930" i="3" s="1"/>
  <c r="G930" i="3"/>
  <c r="B931" i="3"/>
  <c r="C931" i="3"/>
  <c r="D931" i="3" s="1"/>
  <c r="G931" i="3"/>
  <c r="H931" i="3"/>
  <c r="AU931" i="3" s="1"/>
  <c r="I931" i="3" s="1"/>
  <c r="B932" i="3"/>
  <c r="C932" i="3"/>
  <c r="D932" i="3" s="1"/>
  <c r="G932" i="3"/>
  <c r="B933" i="3"/>
  <c r="C933" i="3"/>
  <c r="D933" i="3" s="1"/>
  <c r="G933" i="3"/>
  <c r="H933" i="3"/>
  <c r="AU933" i="3" s="1"/>
  <c r="I933" i="3" s="1"/>
  <c r="B934" i="3"/>
  <c r="C934" i="3"/>
  <c r="D934" i="3" s="1"/>
  <c r="G934" i="3"/>
  <c r="B935" i="3"/>
  <c r="C935" i="3"/>
  <c r="D935" i="3" s="1"/>
  <c r="G935" i="3"/>
  <c r="H935" i="3"/>
  <c r="AU935" i="3" s="1"/>
  <c r="I935" i="3" s="1"/>
  <c r="B936" i="3"/>
  <c r="C936" i="3"/>
  <c r="D936" i="3" s="1"/>
  <c r="G936" i="3"/>
  <c r="B937" i="3"/>
  <c r="C937" i="3"/>
  <c r="D937" i="3" s="1"/>
  <c r="G937" i="3"/>
  <c r="B938" i="3"/>
  <c r="C938" i="3"/>
  <c r="D938" i="3" s="1"/>
  <c r="G938" i="3"/>
  <c r="H938" i="3"/>
  <c r="AU938" i="3" s="1"/>
  <c r="I938" i="3" s="1"/>
  <c r="B939" i="3"/>
  <c r="C939" i="3"/>
  <c r="D939" i="3" s="1"/>
  <c r="G939" i="3"/>
  <c r="H939" i="3"/>
  <c r="AU939" i="3" s="1"/>
  <c r="I939" i="3" s="1"/>
  <c r="B940" i="3"/>
  <c r="C940" i="3"/>
  <c r="D940" i="3" s="1"/>
  <c r="G940" i="3"/>
  <c r="H940" i="3"/>
  <c r="AU940" i="3" s="1"/>
  <c r="I940" i="3" s="1"/>
  <c r="B941" i="3"/>
  <c r="C941" i="3"/>
  <c r="D941" i="3" s="1"/>
  <c r="G941" i="3"/>
  <c r="H941" i="3"/>
  <c r="AU941" i="3" s="1"/>
  <c r="I941" i="3" s="1"/>
  <c r="B942" i="3"/>
  <c r="C942" i="3"/>
  <c r="D942" i="3" s="1"/>
  <c r="G942" i="3"/>
  <c r="H942" i="3"/>
  <c r="AU942" i="3" s="1"/>
  <c r="I942" i="3" s="1"/>
  <c r="B943" i="3"/>
  <c r="C943" i="3"/>
  <c r="D943" i="3" s="1"/>
  <c r="G943" i="3"/>
  <c r="B944" i="3"/>
  <c r="C944" i="3"/>
  <c r="D944" i="3" s="1"/>
  <c r="G944" i="3"/>
  <c r="H944" i="3"/>
  <c r="AU944" i="3" s="1"/>
  <c r="I944" i="3" s="1"/>
  <c r="B945" i="3"/>
  <c r="C945" i="3"/>
  <c r="D945" i="3" s="1"/>
  <c r="G945" i="3"/>
  <c r="H945" i="3"/>
  <c r="AU945" i="3" s="1"/>
  <c r="I945" i="3" s="1"/>
  <c r="B946" i="3"/>
  <c r="C946" i="3"/>
  <c r="D946" i="3" s="1"/>
  <c r="G946" i="3"/>
  <c r="H946" i="3"/>
  <c r="AU946" i="3" s="1"/>
  <c r="I946" i="3" s="1"/>
  <c r="B947" i="3"/>
  <c r="C947" i="3"/>
  <c r="D947" i="3" s="1"/>
  <c r="G947" i="3"/>
  <c r="H947" i="3"/>
  <c r="AU947" i="3" s="1"/>
  <c r="I947" i="3" s="1"/>
  <c r="B948" i="3"/>
  <c r="C948" i="3"/>
  <c r="D948" i="3" s="1"/>
  <c r="G948" i="3"/>
  <c r="H948" i="3"/>
  <c r="AU948" i="3" s="1"/>
  <c r="I948" i="3" s="1"/>
  <c r="B949" i="3"/>
  <c r="C949" i="3"/>
  <c r="D949" i="3" s="1"/>
  <c r="G949" i="3"/>
  <c r="H949" i="3"/>
  <c r="AU949" i="3" s="1"/>
  <c r="I949" i="3" s="1"/>
  <c r="B950" i="3"/>
  <c r="C950" i="3"/>
  <c r="D950" i="3" s="1"/>
  <c r="G950" i="3"/>
  <c r="H950" i="3"/>
  <c r="AU950" i="3" s="1"/>
  <c r="I950" i="3" s="1"/>
  <c r="B951" i="3"/>
  <c r="C951" i="3"/>
  <c r="D951" i="3" s="1"/>
  <c r="G951" i="3"/>
  <c r="H951" i="3"/>
  <c r="AU951" i="3" s="1"/>
  <c r="I951" i="3" s="1"/>
  <c r="B952" i="3"/>
  <c r="C952" i="3"/>
  <c r="D952" i="3" s="1"/>
  <c r="G952" i="3"/>
  <c r="H952" i="3"/>
  <c r="AU952" i="3" s="1"/>
  <c r="I952" i="3" s="1"/>
  <c r="B953" i="3"/>
  <c r="C953" i="3"/>
  <c r="D953" i="3" s="1"/>
  <c r="G953" i="3"/>
  <c r="H953" i="3"/>
  <c r="AU953" i="3" s="1"/>
  <c r="I953" i="3" s="1"/>
  <c r="B954" i="3"/>
  <c r="C954" i="3"/>
  <c r="D954" i="3" s="1"/>
  <c r="G954" i="3"/>
  <c r="H954" i="3"/>
  <c r="AU954" i="3" s="1"/>
  <c r="I954" i="3" s="1"/>
  <c r="B955" i="3"/>
  <c r="C955" i="3"/>
  <c r="D955" i="3" s="1"/>
  <c r="G955" i="3"/>
  <c r="H955" i="3"/>
  <c r="AU955" i="3" s="1"/>
  <c r="I955" i="3" s="1"/>
  <c r="B956" i="3"/>
  <c r="C956" i="3"/>
  <c r="D956" i="3" s="1"/>
  <c r="G956" i="3"/>
  <c r="H956" i="3"/>
  <c r="AU956" i="3" s="1"/>
  <c r="I956" i="3" s="1"/>
  <c r="B957" i="3"/>
  <c r="C957" i="3"/>
  <c r="D957" i="3" s="1"/>
  <c r="G957" i="3"/>
  <c r="H957" i="3"/>
  <c r="AU957" i="3" s="1"/>
  <c r="I957" i="3" s="1"/>
  <c r="B958" i="3"/>
  <c r="C958" i="3"/>
  <c r="D958" i="3" s="1"/>
  <c r="G958" i="3"/>
  <c r="H958" i="3"/>
  <c r="AU958" i="3" s="1"/>
  <c r="I958" i="3" s="1"/>
  <c r="B959" i="3"/>
  <c r="C959" i="3"/>
  <c r="D959" i="3" s="1"/>
  <c r="G959" i="3"/>
  <c r="H959" i="3"/>
  <c r="AU959" i="3" s="1"/>
  <c r="I959" i="3" s="1"/>
  <c r="B960" i="3"/>
  <c r="C960" i="3"/>
  <c r="D960" i="3" s="1"/>
  <c r="G960" i="3"/>
  <c r="H960" i="3"/>
  <c r="AU960" i="3" s="1"/>
  <c r="I960" i="3" s="1"/>
  <c r="B961" i="3"/>
  <c r="C961" i="3"/>
  <c r="D961" i="3" s="1"/>
  <c r="G961" i="3"/>
  <c r="H961" i="3"/>
  <c r="AU961" i="3" s="1"/>
  <c r="I961" i="3" s="1"/>
  <c r="B962" i="3"/>
  <c r="C962" i="3"/>
  <c r="D962" i="3" s="1"/>
  <c r="G962" i="3"/>
  <c r="H962" i="3"/>
  <c r="AU962" i="3" s="1"/>
  <c r="I962" i="3" s="1"/>
  <c r="B963" i="3"/>
  <c r="C963" i="3"/>
  <c r="D963" i="3" s="1"/>
  <c r="G963" i="3"/>
  <c r="H963" i="3"/>
  <c r="AU963" i="3" s="1"/>
  <c r="I963" i="3" s="1"/>
  <c r="B964" i="3"/>
  <c r="C964" i="3"/>
  <c r="D964" i="3" s="1"/>
  <c r="G964" i="3"/>
  <c r="B965" i="3"/>
  <c r="C965" i="3"/>
  <c r="D965" i="3" s="1"/>
  <c r="G965" i="3"/>
  <c r="B966" i="3"/>
  <c r="C966" i="3"/>
  <c r="D966" i="3" s="1"/>
  <c r="G966" i="3"/>
  <c r="B967" i="3"/>
  <c r="C967" i="3"/>
  <c r="D967" i="3" s="1"/>
  <c r="G967" i="3"/>
  <c r="B968" i="3"/>
  <c r="C968" i="3"/>
  <c r="D968" i="3" s="1"/>
  <c r="G968" i="3"/>
  <c r="B969" i="3"/>
  <c r="C969" i="3"/>
  <c r="D969" i="3" s="1"/>
  <c r="G969" i="3"/>
  <c r="B970" i="3"/>
  <c r="C970" i="3"/>
  <c r="D970" i="3" s="1"/>
  <c r="G970" i="3"/>
  <c r="B971" i="3"/>
  <c r="C971" i="3"/>
  <c r="D971" i="3" s="1"/>
  <c r="G971" i="3"/>
  <c r="B972" i="3"/>
  <c r="C972" i="3"/>
  <c r="D972" i="3" s="1"/>
  <c r="G972" i="3"/>
  <c r="B973" i="3"/>
  <c r="C973" i="3"/>
  <c r="D973" i="3" s="1"/>
  <c r="G973" i="3"/>
  <c r="B974" i="3"/>
  <c r="C974" i="3"/>
  <c r="D974" i="3" s="1"/>
  <c r="G974" i="3"/>
  <c r="B975" i="3"/>
  <c r="C975" i="3"/>
  <c r="D975" i="3" s="1"/>
  <c r="G975" i="3"/>
  <c r="B976" i="3"/>
  <c r="C976" i="3"/>
  <c r="D976" i="3" s="1"/>
  <c r="G976" i="3"/>
  <c r="B977" i="3"/>
  <c r="C977" i="3"/>
  <c r="D977" i="3" s="1"/>
  <c r="G977" i="3"/>
  <c r="B978" i="3"/>
  <c r="C978" i="3"/>
  <c r="D978" i="3" s="1"/>
  <c r="G978" i="3"/>
  <c r="B979" i="3"/>
  <c r="C979" i="3"/>
  <c r="D979" i="3" s="1"/>
  <c r="G979" i="3"/>
  <c r="AT953" i="3" l="1"/>
  <c r="AT865" i="3"/>
  <c r="AT861" i="3"/>
  <c r="AT949" i="3"/>
  <c r="AT917" i="3"/>
  <c r="AT853" i="3"/>
  <c r="AT821" i="3"/>
  <c r="AT757" i="3"/>
  <c r="AT753" i="3"/>
  <c r="AT749" i="3"/>
  <c r="AT745" i="3"/>
  <c r="AT741" i="3"/>
  <c r="AT737" i="3"/>
  <c r="AT733" i="3"/>
  <c r="AT625" i="3"/>
  <c r="AT621" i="3"/>
  <c r="AT465" i="3"/>
  <c r="AT461" i="3"/>
  <c r="AT457" i="3"/>
  <c r="AT453" i="3"/>
  <c r="AT433" i="3"/>
  <c r="AT401" i="3"/>
  <c r="AT397" i="3"/>
  <c r="AT393" i="3"/>
  <c r="AT389" i="3"/>
  <c r="AT385" i="3"/>
  <c r="AT381" i="3"/>
  <c r="AT377" i="3"/>
  <c r="AT373" i="3"/>
  <c r="AT369" i="3"/>
  <c r="AT365" i="3"/>
  <c r="AT361" i="3"/>
  <c r="AT325" i="3"/>
  <c r="AT321" i="3"/>
  <c r="AT317" i="3"/>
  <c r="AT313" i="3"/>
  <c r="AT187" i="3"/>
  <c r="AT183" i="3"/>
  <c r="AT179" i="3"/>
  <c r="AT175" i="3"/>
  <c r="AT171" i="3"/>
  <c r="AT167" i="3"/>
  <c r="AT163" i="3"/>
  <c r="AT159" i="3"/>
  <c r="AT155" i="3"/>
  <c r="AT151" i="3"/>
  <c r="AT147" i="3"/>
  <c r="AT143" i="3"/>
  <c r="AT139" i="3"/>
  <c r="AT135" i="3"/>
  <c r="AT89" i="3"/>
  <c r="AT26" i="3"/>
  <c r="AT22" i="3"/>
  <c r="AT18" i="3"/>
  <c r="AT14" i="3"/>
  <c r="AT10" i="3"/>
  <c r="AT6" i="3"/>
  <c r="AT961" i="3"/>
  <c r="AT957" i="3"/>
  <c r="AT945" i="3"/>
  <c r="AT933" i="3"/>
  <c r="AT921" i="3"/>
  <c r="AT869" i="3"/>
  <c r="AT857" i="3"/>
  <c r="AT927" i="3"/>
  <c r="AT907" i="3"/>
  <c r="AT891" i="3"/>
  <c r="AT883" i="3"/>
  <c r="AT843" i="3"/>
  <c r="AT835" i="3"/>
  <c r="AT811" i="3"/>
  <c r="AT803" i="3"/>
  <c r="AT795" i="3"/>
  <c r="AT787" i="3"/>
  <c r="AT723" i="3"/>
  <c r="AT715" i="3"/>
  <c r="AT691" i="3"/>
  <c r="AT687" i="3"/>
  <c r="AT683" i="3"/>
  <c r="AT639" i="3"/>
  <c r="AT599" i="3"/>
  <c r="AT595" i="3"/>
  <c r="AT591" i="3"/>
  <c r="AT587" i="3"/>
  <c r="AT547" i="3"/>
  <c r="AT491" i="3"/>
  <c r="AT471" i="3"/>
  <c r="AT407" i="3"/>
  <c r="AT351" i="3"/>
  <c r="AT282" i="3"/>
  <c r="AT237" i="3"/>
  <c r="AT225" i="3"/>
  <c r="AT911" i="3"/>
  <c r="AT895" i="3"/>
  <c r="AT887" i="3"/>
  <c r="AT879" i="3"/>
  <c r="AT839" i="3"/>
  <c r="AT807" i="3"/>
  <c r="AT799" i="3"/>
  <c r="AT791" i="3"/>
  <c r="AT783" i="3"/>
  <c r="AT779" i="3"/>
  <c r="AT775" i="3"/>
  <c r="AT771" i="3"/>
  <c r="AT727" i="3"/>
  <c r="AT719" i="3"/>
  <c r="AT711" i="3"/>
  <c r="AT707" i="3"/>
  <c r="AT703" i="3"/>
  <c r="AT699" i="3"/>
  <c r="AT695" i="3"/>
  <c r="AT940" i="3"/>
  <c r="AT900" i="3"/>
  <c r="AT848" i="3"/>
  <c r="AT816" i="3"/>
  <c r="AT672" i="3"/>
  <c r="AT668" i="3"/>
  <c r="AT664" i="3"/>
  <c r="AT660" i="3"/>
  <c r="AT656" i="3"/>
  <c r="AT652" i="3"/>
  <c r="AT648" i="3"/>
  <c r="AT644" i="3"/>
  <c r="AT616" i="3"/>
  <c r="AT612" i="3"/>
  <c r="AT608" i="3"/>
  <c r="AT604" i="3"/>
  <c r="AT580" i="3"/>
  <c r="AT576" i="3"/>
  <c r="AT572" i="3"/>
  <c r="AT568" i="3"/>
  <c r="AT564" i="3"/>
  <c r="AT560" i="3"/>
  <c r="AT556" i="3"/>
  <c r="AT552" i="3"/>
  <c r="AT536" i="3"/>
  <c r="AT496" i="3"/>
  <c r="AT428" i="3"/>
  <c r="AT332" i="3"/>
  <c r="AT291" i="3"/>
  <c r="AT287" i="3"/>
  <c r="AT263" i="3"/>
  <c r="AT230" i="3"/>
  <c r="AT126" i="3"/>
  <c r="AT122" i="3"/>
  <c r="AT56" i="3"/>
  <c r="AT874" i="3"/>
  <c r="AT830" i="3"/>
  <c r="AT826" i="3"/>
  <c r="AT766" i="3"/>
  <c r="AT762" i="3"/>
  <c r="AT678" i="3"/>
  <c r="AT634" i="3"/>
  <c r="AT630" i="3"/>
  <c r="AT542" i="3"/>
  <c r="AT530" i="3"/>
  <c r="AT526" i="3"/>
  <c r="AT522" i="3"/>
  <c r="AT518" i="3"/>
  <c r="AT514" i="3"/>
  <c r="AT510" i="3"/>
  <c r="AT506" i="3"/>
  <c r="AT502" i="3"/>
  <c r="AT486" i="3"/>
  <c r="AT478" i="3"/>
  <c r="AT446" i="3"/>
  <c r="AT442" i="3"/>
  <c r="AT438" i="3"/>
  <c r="AT422" i="3"/>
  <c r="AT418" i="3"/>
  <c r="AT414" i="3"/>
  <c r="AT346" i="3"/>
  <c r="AT301" i="3"/>
  <c r="AT297" i="3"/>
  <c r="AT277" i="3"/>
  <c r="AT273" i="3"/>
  <c r="AT269" i="3"/>
  <c r="AT257" i="3"/>
  <c r="AT245" i="3"/>
  <c r="AT244" i="3"/>
  <c r="AT220" i="3"/>
  <c r="AT216" i="3"/>
  <c r="AT212" i="3"/>
  <c r="AT102" i="3"/>
  <c r="AT98" i="3"/>
  <c r="AT47" i="3"/>
  <c r="AT43" i="3"/>
  <c r="AT39" i="3"/>
  <c r="AT35" i="3"/>
  <c r="AT31" i="3"/>
  <c r="AT960" i="3"/>
  <c r="AT956" i="3"/>
  <c r="AT952" i="3"/>
  <c r="AT948" i="3"/>
  <c r="AT944" i="3"/>
  <c r="AT939" i="3"/>
  <c r="AT931" i="3"/>
  <c r="AT926" i="3"/>
  <c r="AT920" i="3"/>
  <c r="AT915" i="3"/>
  <c r="AT910" i="3"/>
  <c r="AT904" i="3"/>
  <c r="AT898" i="3"/>
  <c r="AT894" i="3"/>
  <c r="AT890" i="3"/>
  <c r="AT886" i="3"/>
  <c r="AT882" i="3"/>
  <c r="AT878" i="3"/>
  <c r="AT873" i="3"/>
  <c r="AT868" i="3"/>
  <c r="AT864" i="3"/>
  <c r="AT860" i="3"/>
  <c r="AT856" i="3"/>
  <c r="AT852" i="3"/>
  <c r="AT847" i="3"/>
  <c r="AT842" i="3"/>
  <c r="AT838" i="3"/>
  <c r="AT834" i="3"/>
  <c r="AT829" i="3"/>
  <c r="AT824" i="3"/>
  <c r="AT820" i="3"/>
  <c r="AT815" i="3"/>
  <c r="AT810" i="3"/>
  <c r="AT806" i="3"/>
  <c r="AT802" i="3"/>
  <c r="AT798" i="3"/>
  <c r="AT794" i="3"/>
  <c r="AT790" i="3"/>
  <c r="AT786" i="3"/>
  <c r="AT782" i="3"/>
  <c r="AT778" i="3"/>
  <c r="AT774" i="3"/>
  <c r="AT770" i="3"/>
  <c r="AT765" i="3"/>
  <c r="AT760" i="3"/>
  <c r="AT756" i="3"/>
  <c r="AT752" i="3"/>
  <c r="AT748" i="3"/>
  <c r="AT744" i="3"/>
  <c r="AT740" i="3"/>
  <c r="AT736" i="3"/>
  <c r="AT732" i="3"/>
  <c r="AT726" i="3"/>
  <c r="AT722" i="3"/>
  <c r="AT718" i="3"/>
  <c r="AT714" i="3"/>
  <c r="AT710" i="3"/>
  <c r="AT706" i="3"/>
  <c r="AT702" i="3"/>
  <c r="AT698" i="3"/>
  <c r="AT694" i="3"/>
  <c r="AT690" i="3"/>
  <c r="AT686" i="3"/>
  <c r="AT682" i="3"/>
  <c r="AT677" i="3"/>
  <c r="AT671" i="3"/>
  <c r="AT667" i="3"/>
  <c r="AT663" i="3"/>
  <c r="AT659" i="3"/>
  <c r="AT655" i="3"/>
  <c r="AT651" i="3"/>
  <c r="AT647" i="3"/>
  <c r="AT642" i="3"/>
  <c r="AT638" i="3"/>
  <c r="AT633" i="3"/>
  <c r="AT629" i="3"/>
  <c r="AT624" i="3"/>
  <c r="AT619" i="3"/>
  <c r="AT615" i="3"/>
  <c r="AT611" i="3"/>
  <c r="AT607" i="3"/>
  <c r="AT603" i="3"/>
  <c r="AT598" i="3"/>
  <c r="AT594" i="3"/>
  <c r="AT590" i="3"/>
  <c r="AT585" i="3"/>
  <c r="AT579" i="3"/>
  <c r="AT575" i="3"/>
  <c r="AT571" i="3"/>
  <c r="AT567" i="3"/>
  <c r="AT563" i="3"/>
  <c r="AT559" i="3"/>
  <c r="AT555" i="3"/>
  <c r="AT551" i="3"/>
  <c r="AT545" i="3"/>
  <c r="AT541" i="3"/>
  <c r="AT535" i="3"/>
  <c r="AT529" i="3"/>
  <c r="AT525" i="3"/>
  <c r="AT521" i="3"/>
  <c r="AT517" i="3"/>
  <c r="AT513" i="3"/>
  <c r="AT509" i="3"/>
  <c r="AT505" i="3"/>
  <c r="AT501" i="3"/>
  <c r="AT495" i="3"/>
  <c r="AT490" i="3"/>
  <c r="AT485" i="3"/>
  <c r="AT477" i="3"/>
  <c r="AT470" i="3"/>
  <c r="AT464" i="3"/>
  <c r="AT460" i="3"/>
  <c r="AT456" i="3"/>
  <c r="AT451" i="3"/>
  <c r="AT445" i="3"/>
  <c r="AT441" i="3"/>
  <c r="AT437" i="3"/>
  <c r="AT432" i="3"/>
  <c r="AT425" i="3"/>
  <c r="AT421" i="3"/>
  <c r="AT417" i="3"/>
  <c r="AT411" i="3"/>
  <c r="AT406" i="3"/>
  <c r="AT400" i="3"/>
  <c r="AT396" i="3"/>
  <c r="AT392" i="3"/>
  <c r="AT388" i="3"/>
  <c r="AT384" i="3"/>
  <c r="AT380" i="3"/>
  <c r="AT376" i="3"/>
  <c r="AT372" i="3"/>
  <c r="AT368" i="3"/>
  <c r="AT364" i="3"/>
  <c r="AT357" i="3"/>
  <c r="AT350" i="3"/>
  <c r="AT345" i="3"/>
  <c r="AT328" i="3"/>
  <c r="AT324" i="3"/>
  <c r="AT320" i="3"/>
  <c r="AT316" i="3"/>
  <c r="AT312" i="3"/>
  <c r="AT238" i="3"/>
  <c r="AT232" i="3"/>
  <c r="AT226" i="3"/>
  <c r="AT221" i="3"/>
  <c r="AT217" i="3"/>
  <c r="AT213" i="3"/>
  <c r="AT205" i="3"/>
  <c r="AT201" i="3"/>
  <c r="AT197" i="3"/>
  <c r="AT193" i="3"/>
  <c r="AT188" i="3"/>
  <c r="AT184" i="3"/>
  <c r="AT180" i="3"/>
  <c r="AT176" i="3"/>
  <c r="AT172" i="3"/>
  <c r="AT168" i="3"/>
  <c r="AT164" i="3"/>
  <c r="AT160" i="3"/>
  <c r="AT156" i="3"/>
  <c r="AT152" i="3"/>
  <c r="AT148" i="3"/>
  <c r="AT144" i="3"/>
  <c r="AT140" i="3"/>
  <c r="AT136" i="3"/>
  <c r="AT131" i="3"/>
  <c r="AT127" i="3"/>
  <c r="AT123" i="3"/>
  <c r="AT119" i="3"/>
  <c r="AT115" i="3"/>
  <c r="AT111" i="3"/>
  <c r="AT105" i="3"/>
  <c r="AT101" i="3"/>
  <c r="AT97" i="3"/>
  <c r="AT92" i="3"/>
  <c r="AT88" i="3"/>
  <c r="AT84" i="3"/>
  <c r="AT80" i="3"/>
  <c r="AT76" i="3"/>
  <c r="AT71" i="3"/>
  <c r="AT65" i="3"/>
  <c r="AT61" i="3"/>
  <c r="AT57" i="3"/>
  <c r="AT55" i="3"/>
  <c r="AT53" i="3"/>
  <c r="AT49" i="3"/>
  <c r="AT45" i="3"/>
  <c r="AT41" i="3"/>
  <c r="AT37" i="3"/>
  <c r="AT33" i="3"/>
  <c r="AT28" i="3"/>
  <c r="AT24" i="3"/>
  <c r="AT20" i="3"/>
  <c r="AT16" i="3"/>
  <c r="AT12" i="3"/>
  <c r="AT8" i="3"/>
  <c r="AT963" i="3"/>
  <c r="AT959" i="3"/>
  <c r="AT955" i="3"/>
  <c r="AT951" i="3"/>
  <c r="AT947" i="3"/>
  <c r="AT942" i="3"/>
  <c r="AT938" i="3"/>
  <c r="AT929" i="3"/>
  <c r="AT924" i="3"/>
  <c r="AT919" i="3"/>
  <c r="AT914" i="3"/>
  <c r="AT909" i="3"/>
  <c r="AT903" i="3"/>
  <c r="AT897" i="3"/>
  <c r="AT893" i="3"/>
  <c r="AT889" i="3"/>
  <c r="AT885" i="3"/>
  <c r="AT881" i="3"/>
  <c r="AT876" i="3"/>
  <c r="AT872" i="3"/>
  <c r="AT867" i="3"/>
  <c r="AT863" i="3"/>
  <c r="AT859" i="3"/>
  <c r="AT855" i="3"/>
  <c r="AT850" i="3"/>
  <c r="AT846" i="3"/>
  <c r="AT841" i="3"/>
  <c r="AT837" i="3"/>
  <c r="AT833" i="3"/>
  <c r="AT828" i="3"/>
  <c r="AT823" i="3"/>
  <c r="AT819" i="3"/>
  <c r="AT814" i="3"/>
  <c r="AT809" i="3"/>
  <c r="AT805" i="3"/>
  <c r="AT801" i="3"/>
  <c r="AT797" i="3"/>
  <c r="AT793" i="3"/>
  <c r="AT789" i="3"/>
  <c r="AT785" i="3"/>
  <c r="AT781" i="3"/>
  <c r="AT777" i="3"/>
  <c r="AT773" i="3"/>
  <c r="AT769" i="3"/>
  <c r="AT764" i="3"/>
  <c r="AT759" i="3"/>
  <c r="AT755" i="3"/>
  <c r="AT751" i="3"/>
  <c r="AT747" i="3"/>
  <c r="AT743" i="3"/>
  <c r="AT739" i="3"/>
  <c r="AT735" i="3"/>
  <c r="AT730" i="3"/>
  <c r="AT725" i="3"/>
  <c r="AT721" i="3"/>
  <c r="AT717" i="3"/>
  <c r="AT713" i="3"/>
  <c r="AT709" i="3"/>
  <c r="AT705" i="3"/>
  <c r="AT701" i="3"/>
  <c r="AT697" i="3"/>
  <c r="AT693" i="3"/>
  <c r="AT689" i="3"/>
  <c r="AT685" i="3"/>
  <c r="AT681" i="3"/>
  <c r="AT676" i="3"/>
  <c r="AT670" i="3"/>
  <c r="AT666" i="3"/>
  <c r="AT662" i="3"/>
  <c r="AT658" i="3"/>
  <c r="AT654" i="3"/>
  <c r="AT650" i="3"/>
  <c r="AT646" i="3"/>
  <c r="AT641" i="3"/>
  <c r="AT636" i="3"/>
  <c r="AT632" i="3"/>
  <c r="AT628" i="3"/>
  <c r="AT623" i="3"/>
  <c r="AT618" i="3"/>
  <c r="AT614" i="3"/>
  <c r="AT610" i="3"/>
  <c r="AT606" i="3"/>
  <c r="AT601" i="3"/>
  <c r="AT597" i="3"/>
  <c r="AT593" i="3"/>
  <c r="AT589" i="3"/>
  <c r="AT583" i="3"/>
  <c r="AT578" i="3"/>
  <c r="AT574" i="3"/>
  <c r="AT570" i="3"/>
  <c r="AT566" i="3"/>
  <c r="AT562" i="3"/>
  <c r="AT558" i="3"/>
  <c r="AT554" i="3"/>
  <c r="AT550" i="3"/>
  <c r="AT544" i="3"/>
  <c r="AT538" i="3"/>
  <c r="AT532" i="3"/>
  <c r="AT528" i="3"/>
  <c r="AT524" i="3"/>
  <c r="AT520" i="3"/>
  <c r="AT516" i="3"/>
  <c r="AT512" i="3"/>
  <c r="AT508" i="3"/>
  <c r="AT504" i="3"/>
  <c r="AT500" i="3"/>
  <c r="AT494" i="3"/>
  <c r="AT488" i="3"/>
  <c r="AT484" i="3"/>
  <c r="AT475" i="3"/>
  <c r="AT469" i="3"/>
  <c r="AT463" i="3"/>
  <c r="AT459" i="3"/>
  <c r="AT455" i="3"/>
  <c r="AT450" i="3"/>
  <c r="AT444" i="3"/>
  <c r="AT440" i="3"/>
  <c r="AT435" i="3"/>
  <c r="AT431" i="3"/>
  <c r="AT424" i="3"/>
  <c r="AT420" i="3"/>
  <c r="AT416" i="3"/>
  <c r="AT410" i="3"/>
  <c r="AT405" i="3"/>
  <c r="AT399" i="3"/>
  <c r="AT395" i="3"/>
  <c r="AT391" i="3"/>
  <c r="AT387" i="3"/>
  <c r="AT383" i="3"/>
  <c r="AT379" i="3"/>
  <c r="AT375" i="3"/>
  <c r="AT371" i="3"/>
  <c r="AT367" i="3"/>
  <c r="AT363" i="3"/>
  <c r="AT355" i="3"/>
  <c r="AT349" i="3"/>
  <c r="AT343" i="3"/>
  <c r="AT327" i="3"/>
  <c r="AT323" i="3"/>
  <c r="AT319" i="3"/>
  <c r="AT315" i="3"/>
  <c r="AT311" i="3"/>
  <c r="AT300" i="3"/>
  <c r="AT296" i="3"/>
  <c r="AT290" i="3"/>
  <c r="AT286" i="3"/>
  <c r="AT281" i="3"/>
  <c r="AT276" i="3"/>
  <c r="AT272" i="3"/>
  <c r="AT267" i="3"/>
  <c r="AT262" i="3"/>
  <c r="AT256" i="3"/>
  <c r="AT204" i="3"/>
  <c r="AT200" i="3"/>
  <c r="AT196" i="3"/>
  <c r="AT192" i="3"/>
  <c r="AT130" i="3"/>
  <c r="AT118" i="3"/>
  <c r="AT114" i="3"/>
  <c r="AT109" i="3"/>
  <c r="AT104" i="3"/>
  <c r="AT100" i="3"/>
  <c r="AT96" i="3"/>
  <c r="AT91" i="3"/>
  <c r="AT87" i="3"/>
  <c r="AT83" i="3"/>
  <c r="AT79" i="3"/>
  <c r="AT75" i="3"/>
  <c r="AT70" i="3"/>
  <c r="AT64" i="3"/>
  <c r="AT60" i="3"/>
  <c r="AT52" i="3"/>
  <c r="AT48" i="3"/>
  <c r="AT44" i="3"/>
  <c r="AT40" i="3"/>
  <c r="AT36" i="3"/>
  <c r="AT32" i="3"/>
  <c r="AT27" i="3"/>
  <c r="AT23" i="3"/>
  <c r="AT19" i="3"/>
  <c r="AT15" i="3"/>
  <c r="AT11" i="3"/>
  <c r="AT7" i="3"/>
  <c r="AT962" i="3"/>
  <c r="AT958" i="3"/>
  <c r="AT954" i="3"/>
  <c r="AT950" i="3"/>
  <c r="AT946" i="3"/>
  <c r="AT941" i="3"/>
  <c r="AT935" i="3"/>
  <c r="AT928" i="3"/>
  <c r="AT922" i="3"/>
  <c r="AT918" i="3"/>
  <c r="AT912" i="3"/>
  <c r="AT908" i="3"/>
  <c r="AT902" i="3"/>
  <c r="AT896" i="3"/>
  <c r="AT892" i="3"/>
  <c r="AT888" i="3"/>
  <c r="AT884" i="3"/>
  <c r="AT880" i="3"/>
  <c r="AT875" i="3"/>
  <c r="AT870" i="3"/>
  <c r="AT866" i="3"/>
  <c r="AT862" i="3"/>
  <c r="AT858" i="3"/>
  <c r="AT854" i="3"/>
  <c r="AT849" i="3"/>
  <c r="AT845" i="3"/>
  <c r="AT840" i="3"/>
  <c r="AT836" i="3"/>
  <c r="AT832" i="3"/>
  <c r="AT827" i="3"/>
  <c r="AT822" i="3"/>
  <c r="AT817" i="3"/>
  <c r="AT812" i="3"/>
  <c r="AT808" i="3"/>
  <c r="AT804" i="3"/>
  <c r="AT800" i="3"/>
  <c r="AT796" i="3"/>
  <c r="AT792" i="3"/>
  <c r="AT788" i="3"/>
  <c r="AT784" i="3"/>
  <c r="AT780" i="3"/>
  <c r="AT776" i="3"/>
  <c r="AT772" i="3"/>
  <c r="AT767" i="3"/>
  <c r="AT763" i="3"/>
  <c r="AT758" i="3"/>
  <c r="AT754" i="3"/>
  <c r="AT750" i="3"/>
  <c r="AT746" i="3"/>
  <c r="AT742" i="3"/>
  <c r="AT738" i="3"/>
  <c r="AT734" i="3"/>
  <c r="AT728" i="3"/>
  <c r="AT724" i="3"/>
  <c r="AT720" i="3"/>
  <c r="AT716" i="3"/>
  <c r="AT712" i="3"/>
  <c r="AT708" i="3"/>
  <c r="AT704" i="3"/>
  <c r="AT700" i="3"/>
  <c r="AT696" i="3"/>
  <c r="AT692" i="3"/>
  <c r="AT688" i="3"/>
  <c r="AT684" i="3"/>
  <c r="AT679" i="3"/>
  <c r="AT674" i="3"/>
  <c r="AT669" i="3"/>
  <c r="AT665" i="3"/>
  <c r="AT661" i="3"/>
  <c r="AT657" i="3"/>
  <c r="AT653" i="3"/>
  <c r="AT649" i="3"/>
  <c r="AT645" i="3"/>
  <c r="AT640" i="3"/>
  <c r="AT635" i="3"/>
  <c r="AT631" i="3"/>
  <c r="AT626" i="3"/>
  <c r="AT622" i="3"/>
  <c r="AT617" i="3"/>
  <c r="AT613" i="3"/>
  <c r="AT609" i="3"/>
  <c r="AT605" i="3"/>
  <c r="AT600" i="3"/>
  <c r="AT596" i="3"/>
  <c r="AT592" i="3"/>
  <c r="AT588" i="3"/>
  <c r="AT581" i="3"/>
  <c r="AT577" i="3"/>
  <c r="AT573" i="3"/>
  <c r="AT569" i="3"/>
  <c r="AT565" i="3"/>
  <c r="AT561" i="3"/>
  <c r="AT557" i="3"/>
  <c r="AT553" i="3"/>
  <c r="AT548" i="3"/>
  <c r="AT543" i="3"/>
  <c r="AT537" i="3"/>
  <c r="AT531" i="3"/>
  <c r="AT527" i="3"/>
  <c r="AT523" i="3"/>
  <c r="AT519" i="3"/>
  <c r="AT515" i="3"/>
  <c r="AT511" i="3"/>
  <c r="AT507" i="3"/>
  <c r="AT503" i="3"/>
  <c r="AT498" i="3"/>
  <c r="AT492" i="3"/>
  <c r="AT487" i="3"/>
  <c r="AT481" i="3"/>
  <c r="AT472" i="3"/>
  <c r="AT466" i="3"/>
  <c r="AT462" i="3"/>
  <c r="AT458" i="3"/>
  <c r="AT454" i="3"/>
  <c r="AT447" i="3"/>
  <c r="AT443" i="3"/>
  <c r="AT439" i="3"/>
  <c r="AT434" i="3"/>
  <c r="AT430" i="3"/>
  <c r="AT423" i="3"/>
  <c r="AT419" i="3"/>
  <c r="AT415" i="3"/>
  <c r="AT409" i="3"/>
  <c r="AT402" i="3"/>
  <c r="AT398" i="3"/>
  <c r="AT394" i="3"/>
  <c r="AT390" i="3"/>
  <c r="AT386" i="3"/>
  <c r="AT382" i="3"/>
  <c r="AT378" i="3"/>
  <c r="AT374" i="3"/>
  <c r="AT370" i="3"/>
  <c r="AT366" i="3"/>
  <c r="AT362" i="3"/>
  <c r="AT352" i="3"/>
  <c r="AT348" i="3"/>
  <c r="AT334" i="3"/>
  <c r="AT326" i="3"/>
  <c r="AT322" i="3"/>
  <c r="AT318" i="3"/>
  <c r="AT314" i="3"/>
  <c r="AT303" i="3"/>
  <c r="AT299" i="3"/>
  <c r="AT295" i="3"/>
  <c r="AT289" i="3"/>
  <c r="AT285" i="3"/>
  <c r="AT280" i="3"/>
  <c r="AT275" i="3"/>
  <c r="AT271" i="3"/>
  <c r="AT265" i="3"/>
  <c r="AT259" i="3"/>
  <c r="AT254" i="3"/>
  <c r="AT243" i="3"/>
  <c r="AT236" i="3"/>
  <c r="AT228" i="3"/>
  <c r="AT224" i="3"/>
  <c r="AT219" i="3"/>
  <c r="AT215" i="3"/>
  <c r="AT211" i="3"/>
  <c r="AT203" i="3"/>
  <c r="AT199" i="3"/>
  <c r="AT195" i="3"/>
  <c r="AT190" i="3"/>
  <c r="AT186" i="3"/>
  <c r="AT182" i="3"/>
  <c r="AT178" i="3"/>
  <c r="AT174" i="3"/>
  <c r="AT170" i="3"/>
  <c r="AT166" i="3"/>
  <c r="AT162" i="3"/>
  <c r="AT158" i="3"/>
  <c r="AT154" i="3"/>
  <c r="AT150" i="3"/>
  <c r="AT146" i="3"/>
  <c r="AT142" i="3"/>
  <c r="AT138" i="3"/>
  <c r="AT134" i="3"/>
  <c r="AT129" i="3"/>
  <c r="AT125" i="3"/>
  <c r="AT121" i="3"/>
  <c r="AT117" i="3"/>
  <c r="AT113" i="3"/>
  <c r="AT108" i="3"/>
  <c r="AT103" i="3"/>
  <c r="AT99" i="3"/>
  <c r="AT94" i="3"/>
  <c r="AT90" i="3"/>
  <c r="AT86" i="3"/>
  <c r="AT82" i="3"/>
  <c r="AT78" i="3"/>
  <c r="AT74" i="3"/>
  <c r="AT68" i="3"/>
  <c r="AT63" i="3"/>
  <c r="AT59" i="3"/>
  <c r="AT51" i="3"/>
  <c r="AT302" i="3"/>
  <c r="AT298" i="3"/>
  <c r="AT294" i="3"/>
  <c r="AT288" i="3"/>
  <c r="AT284" i="3"/>
  <c r="AT278" i="3"/>
  <c r="AT274" i="3"/>
  <c r="AT270" i="3"/>
  <c r="AT264" i="3"/>
  <c r="AT258" i="3"/>
  <c r="AT247" i="3"/>
  <c r="AT240" i="3"/>
  <c r="AT233" i="3"/>
  <c r="AT227" i="3"/>
  <c r="AT223" i="3"/>
  <c r="AT218" i="3"/>
  <c r="AT214" i="3"/>
  <c r="AT210" i="3"/>
  <c r="AT202" i="3"/>
  <c r="AT198" i="3"/>
  <c r="AT194" i="3"/>
  <c r="AT189" i="3"/>
  <c r="AT185" i="3"/>
  <c r="AT181" i="3"/>
  <c r="AT177" i="3"/>
  <c r="AT173" i="3"/>
  <c r="AT169" i="3"/>
  <c r="AT165" i="3"/>
  <c r="AT161" i="3"/>
  <c r="AT157" i="3"/>
  <c r="AT153" i="3"/>
  <c r="AT149" i="3"/>
  <c r="AT145" i="3"/>
  <c r="AT141" i="3"/>
  <c r="AT137" i="3"/>
  <c r="AT133" i="3"/>
  <c r="AT128" i="3"/>
  <c r="AT124" i="3"/>
  <c r="AT120" i="3"/>
  <c r="AT116" i="3"/>
  <c r="AT112" i="3"/>
  <c r="AT107" i="3"/>
  <c r="AT93" i="3"/>
  <c r="AT85" i="3"/>
  <c r="AT81" i="3"/>
  <c r="AT77" i="3"/>
  <c r="AT73" i="3"/>
  <c r="AT66" i="3"/>
  <c r="AT62" i="3"/>
  <c r="AT58" i="3"/>
  <c r="AT54" i="3"/>
  <c r="AT50" i="3"/>
  <c r="AT46" i="3"/>
  <c r="AT42" i="3"/>
  <c r="AT38" i="3"/>
  <c r="AT34" i="3"/>
  <c r="AT30" i="3"/>
  <c r="AT25" i="3"/>
  <c r="AT21" i="3"/>
  <c r="AT17" i="3"/>
  <c r="AT13" i="3"/>
  <c r="AT9" i="3"/>
  <c r="J1612" i="3"/>
  <c r="N1675" i="3" l="1"/>
  <c r="K1675" i="3"/>
  <c r="M1675" i="3"/>
  <c r="O1675" i="3"/>
  <c r="Q1675" i="3" s="1"/>
  <c r="J1675" i="3"/>
  <c r="L1675" i="3"/>
  <c r="L1463" i="3"/>
  <c r="N1463" i="3"/>
  <c r="O1463" i="3"/>
  <c r="Q1463" i="3" s="1"/>
  <c r="K1463" i="3"/>
  <c r="M1463" i="3"/>
  <c r="J1463" i="3"/>
  <c r="N1654" i="3"/>
  <c r="L1654" i="3"/>
  <c r="J1654" i="3"/>
  <c r="K1654" i="3"/>
  <c r="M1654" i="3"/>
  <c r="O1654" i="3"/>
  <c r="Q1654" i="3" s="1"/>
  <c r="M1559" i="3"/>
  <c r="P1559" i="3" s="1"/>
  <c r="O1559" i="3"/>
  <c r="Q1559" i="3" s="1"/>
  <c r="L1559" i="3"/>
  <c r="K1559" i="3"/>
  <c r="N1559" i="3"/>
  <c r="J1559" i="3"/>
  <c r="N1618" i="3"/>
  <c r="L1618" i="3"/>
  <c r="O1618" i="3"/>
  <c r="Q1618" i="3" s="1"/>
  <c r="J1618" i="3"/>
  <c r="K1618" i="3"/>
  <c r="M1618" i="3"/>
  <c r="N1770" i="3"/>
  <c r="M1770" i="3"/>
  <c r="J1770" i="3"/>
  <c r="K1770" i="3"/>
  <c r="O1770" i="3"/>
  <c r="Q1770" i="3" s="1"/>
  <c r="L1770" i="3"/>
  <c r="N1838" i="3"/>
  <c r="M1838" i="3"/>
  <c r="J1838" i="3"/>
  <c r="K1838" i="3"/>
  <c r="O1838" i="3"/>
  <c r="Q1838" i="3" s="1"/>
  <c r="L1838" i="3"/>
  <c r="N1915" i="3"/>
  <c r="J1915" i="3"/>
  <c r="L1915" i="3"/>
  <c r="O1915" i="3"/>
  <c r="Q1915" i="3" s="1"/>
  <c r="K1915" i="3"/>
  <c r="M1915" i="3"/>
  <c r="N1994" i="3"/>
  <c r="L1994" i="3"/>
  <c r="J1994" i="3"/>
  <c r="K1994" i="3"/>
  <c r="O1994" i="3"/>
  <c r="Q1994" i="3" s="1"/>
  <c r="M1994" i="3"/>
  <c r="N1572" i="3"/>
  <c r="L1572" i="3"/>
  <c r="J1572" i="3"/>
  <c r="K1572" i="3"/>
  <c r="M1572" i="3"/>
  <c r="O1572" i="3"/>
  <c r="Q1572" i="3" s="1"/>
  <c r="K1672" i="3"/>
  <c r="J1672" i="3"/>
  <c r="L1672" i="3"/>
  <c r="N1672" i="3"/>
  <c r="M1672" i="3"/>
  <c r="O1672" i="3"/>
  <c r="Q1672" i="3" s="1"/>
  <c r="M1759" i="3"/>
  <c r="N1759" i="3"/>
  <c r="K1759" i="3"/>
  <c r="J1759" i="3"/>
  <c r="O1759" i="3"/>
  <c r="Q1759" i="3" s="1"/>
  <c r="L1759" i="3"/>
  <c r="N1828" i="3"/>
  <c r="J1828" i="3"/>
  <c r="K1828" i="3"/>
  <c r="M1828" i="3"/>
  <c r="O1828" i="3"/>
  <c r="Q1828" i="3" s="1"/>
  <c r="L1828" i="3"/>
  <c r="M1857" i="3"/>
  <c r="N1857" i="3"/>
  <c r="J1857" i="3"/>
  <c r="L1857" i="3"/>
  <c r="K1857" i="3"/>
  <c r="O1857" i="3"/>
  <c r="Q1857" i="3" s="1"/>
  <c r="L1972" i="3"/>
  <c r="N1972" i="3"/>
  <c r="J1972" i="3"/>
  <c r="K1972" i="3"/>
  <c r="M1972" i="3"/>
  <c r="O1972" i="3"/>
  <c r="Q1972" i="3" s="1"/>
  <c r="N1525" i="3"/>
  <c r="K1525" i="3"/>
  <c r="O1525" i="3"/>
  <c r="Q1525" i="3" s="1"/>
  <c r="M1525" i="3"/>
  <c r="J1525" i="3"/>
  <c r="L1525" i="3"/>
  <c r="L1641" i="3"/>
  <c r="K1641" i="3"/>
  <c r="N1641" i="3"/>
  <c r="J1641" i="3"/>
  <c r="M1641" i="3"/>
  <c r="O1641" i="3"/>
  <c r="Q1641" i="3" s="1"/>
  <c r="N1707" i="3"/>
  <c r="M1707" i="3"/>
  <c r="L1707" i="3"/>
  <c r="O1707" i="3"/>
  <c r="Q1707" i="3" s="1"/>
  <c r="K1707" i="3"/>
  <c r="J1707" i="3"/>
  <c r="M1771" i="3"/>
  <c r="N1771" i="3"/>
  <c r="J1771" i="3"/>
  <c r="O1771" i="3"/>
  <c r="Q1771" i="3" s="1"/>
  <c r="L1771" i="3"/>
  <c r="K1771" i="3"/>
  <c r="N1798" i="3"/>
  <c r="J1798" i="3"/>
  <c r="M1798" i="3"/>
  <c r="K1798" i="3"/>
  <c r="O1798" i="3"/>
  <c r="Q1798" i="3" s="1"/>
  <c r="L1798" i="3"/>
  <c r="L1920" i="3"/>
  <c r="N1920" i="3"/>
  <c r="J1920" i="3"/>
  <c r="K1920" i="3"/>
  <c r="M1920" i="3"/>
  <c r="O1920" i="3"/>
  <c r="Q1920" i="3" s="1"/>
  <c r="M1937" i="3"/>
  <c r="N1937" i="3"/>
  <c r="J1937" i="3"/>
  <c r="L1937" i="3"/>
  <c r="K1937" i="3"/>
  <c r="O1937" i="3"/>
  <c r="Q1937" i="3" s="1"/>
  <c r="M1265" i="3"/>
  <c r="N1265" i="3"/>
  <c r="O1265" i="3"/>
  <c r="Q1265" i="3" s="1"/>
  <c r="L1265" i="3"/>
  <c r="J1265" i="3"/>
  <c r="K1265" i="3"/>
  <c r="N1395" i="3"/>
  <c r="O1395" i="3"/>
  <c r="Q1395" i="3" s="1"/>
  <c r="K1395" i="3"/>
  <c r="L1395" i="3"/>
  <c r="M1395" i="3"/>
  <c r="P1395" i="3" s="1"/>
  <c r="J1395" i="3"/>
  <c r="N1429" i="3"/>
  <c r="M1429" i="3"/>
  <c r="O1429" i="3"/>
  <c r="Q1429" i="3" s="1"/>
  <c r="K1429" i="3"/>
  <c r="J1429" i="3"/>
  <c r="L1429" i="3"/>
  <c r="N1493" i="3"/>
  <c r="K1493" i="3"/>
  <c r="O1493" i="3"/>
  <c r="Q1493" i="3" s="1"/>
  <c r="M1493" i="3"/>
  <c r="J1493" i="3"/>
  <c r="L1493" i="3"/>
  <c r="K1546" i="3"/>
  <c r="M1546" i="3"/>
  <c r="N1546" i="3"/>
  <c r="O1546" i="3"/>
  <c r="Q1546" i="3" s="1"/>
  <c r="L1546" i="3"/>
  <c r="J1546" i="3"/>
  <c r="N1754" i="3"/>
  <c r="M1754" i="3"/>
  <c r="J1754" i="3"/>
  <c r="K1754" i="3"/>
  <c r="O1754" i="3"/>
  <c r="Q1754" i="3" s="1"/>
  <c r="L1754" i="3"/>
  <c r="N1816" i="3"/>
  <c r="J1816" i="3"/>
  <c r="K1816" i="3"/>
  <c r="O1816" i="3"/>
  <c r="Q1816" i="3" s="1"/>
  <c r="L1816" i="3"/>
  <c r="M1816" i="3"/>
  <c r="J1913" i="3"/>
  <c r="M1913" i="3"/>
  <c r="N1913" i="3"/>
  <c r="K1913" i="3"/>
  <c r="L1913" i="3"/>
  <c r="O1913" i="3"/>
  <c r="Q1913" i="3" s="1"/>
  <c r="L1928" i="3"/>
  <c r="N1928" i="3"/>
  <c r="J1928" i="3"/>
  <c r="K1928" i="3"/>
  <c r="M1928" i="3"/>
  <c r="O1928" i="3"/>
  <c r="Q1928" i="3" s="1"/>
  <c r="L1960" i="3"/>
  <c r="N1960" i="3"/>
  <c r="J1960" i="3"/>
  <c r="K1960" i="3"/>
  <c r="M1960" i="3"/>
  <c r="O1960" i="3"/>
  <c r="Q1960" i="3" s="1"/>
  <c r="N1396" i="3"/>
  <c r="J1396" i="3"/>
  <c r="K1396" i="3"/>
  <c r="M1396" i="3"/>
  <c r="L1396" i="3"/>
  <c r="O1396" i="3"/>
  <c r="Q1396" i="3" s="1"/>
  <c r="L1471" i="3"/>
  <c r="J1471" i="3"/>
  <c r="N1471" i="3"/>
  <c r="M1471" i="3"/>
  <c r="K1471" i="3"/>
  <c r="O1471" i="3"/>
  <c r="Q1471" i="3" s="1"/>
  <c r="N1528" i="3"/>
  <c r="L1528" i="3"/>
  <c r="O1528" i="3"/>
  <c r="Q1528" i="3" s="1"/>
  <c r="K1528" i="3"/>
  <c r="M1528" i="3"/>
  <c r="J1528" i="3"/>
  <c r="K1594" i="3"/>
  <c r="L1594" i="3"/>
  <c r="M1594" i="3"/>
  <c r="O1594" i="3"/>
  <c r="Q1594" i="3" s="1"/>
  <c r="N1594" i="3"/>
  <c r="J1594" i="3"/>
  <c r="N1678" i="3"/>
  <c r="L1678" i="3"/>
  <c r="J1678" i="3"/>
  <c r="K1678" i="3"/>
  <c r="M1678" i="3"/>
  <c r="O1678" i="3"/>
  <c r="Q1678" i="3" s="1"/>
  <c r="N1728" i="3"/>
  <c r="J1728" i="3"/>
  <c r="K1728" i="3"/>
  <c r="O1728" i="3"/>
  <c r="Q1728" i="3" s="1"/>
  <c r="L1728" i="3"/>
  <c r="M1728" i="3"/>
  <c r="M1767" i="3"/>
  <c r="N1767" i="3"/>
  <c r="K1767" i="3"/>
  <c r="J1767" i="3"/>
  <c r="O1767" i="3"/>
  <c r="Q1767" i="3" s="1"/>
  <c r="L1767" i="3"/>
  <c r="N1824" i="3"/>
  <c r="J1824" i="3"/>
  <c r="K1824" i="3"/>
  <c r="L1824" i="3"/>
  <c r="M1824" i="3"/>
  <c r="O1824" i="3"/>
  <c r="Q1824" i="3" s="1"/>
  <c r="L1888" i="3"/>
  <c r="N1888" i="3"/>
  <c r="J1888" i="3"/>
  <c r="K1888" i="3"/>
  <c r="M1888" i="3"/>
  <c r="O1888" i="3"/>
  <c r="Q1888" i="3" s="1"/>
  <c r="N1954" i="3"/>
  <c r="M1954" i="3"/>
  <c r="J1954" i="3"/>
  <c r="K1954" i="3"/>
  <c r="O1954" i="3"/>
  <c r="Q1954" i="3" s="1"/>
  <c r="L1954" i="3"/>
  <c r="K1303" i="3"/>
  <c r="O1303" i="3"/>
  <c r="Q1303" i="3" s="1"/>
  <c r="M1303" i="3"/>
  <c r="J1303" i="3"/>
  <c r="L1303" i="3"/>
  <c r="N1303" i="3"/>
  <c r="K1422" i="3"/>
  <c r="N1422" i="3"/>
  <c r="O1422" i="3"/>
  <c r="Q1422" i="3" s="1"/>
  <c r="J1422" i="3"/>
  <c r="L1422" i="3"/>
  <c r="M1422" i="3"/>
  <c r="M1575" i="3"/>
  <c r="O1575" i="3"/>
  <c r="Q1575" i="3" s="1"/>
  <c r="N1575" i="3"/>
  <c r="K1575" i="3"/>
  <c r="L1575" i="3"/>
  <c r="J1575" i="3"/>
  <c r="N1630" i="3"/>
  <c r="L1630" i="3"/>
  <c r="J1630" i="3"/>
  <c r="K1630" i="3"/>
  <c r="M1630" i="3"/>
  <c r="O1630" i="3"/>
  <c r="Q1630" i="3" s="1"/>
  <c r="N1651" i="3"/>
  <c r="K1651" i="3"/>
  <c r="M1651" i="3"/>
  <c r="O1651" i="3"/>
  <c r="Q1651" i="3" s="1"/>
  <c r="J1651" i="3"/>
  <c r="L1651" i="3"/>
  <c r="N1708" i="3"/>
  <c r="K1708" i="3"/>
  <c r="J1708" i="3"/>
  <c r="L1708" i="3"/>
  <c r="M1708" i="3"/>
  <c r="O1708" i="3"/>
  <c r="Q1708" i="3" s="1"/>
  <c r="N1772" i="3"/>
  <c r="K1772" i="3"/>
  <c r="J1772" i="3"/>
  <c r="M1772" i="3"/>
  <c r="O1772" i="3"/>
  <c r="Q1772" i="3" s="1"/>
  <c r="L1772" i="3"/>
  <c r="N1836" i="3"/>
  <c r="J1836" i="3"/>
  <c r="K1836" i="3"/>
  <c r="L1836" i="3"/>
  <c r="M1836" i="3"/>
  <c r="O1836" i="3"/>
  <c r="Q1836" i="3" s="1"/>
  <c r="N1875" i="3"/>
  <c r="J1875" i="3"/>
  <c r="L1875" i="3"/>
  <c r="O1875" i="3"/>
  <c r="Q1875" i="3" s="1"/>
  <c r="M1875" i="3"/>
  <c r="K1875" i="3"/>
  <c r="N1934" i="3"/>
  <c r="M1934" i="3"/>
  <c r="J1934" i="3"/>
  <c r="K1934" i="3"/>
  <c r="O1934" i="3"/>
  <c r="Q1934" i="3" s="1"/>
  <c r="L1934" i="3"/>
  <c r="J1010" i="3"/>
  <c r="K1010" i="3"/>
  <c r="N1010" i="3"/>
  <c r="L1010" i="3"/>
  <c r="O1010" i="3"/>
  <c r="Q1010" i="3" s="1"/>
  <c r="M1010" i="3"/>
  <c r="M1353" i="3"/>
  <c r="N1353" i="3"/>
  <c r="J1353" i="3"/>
  <c r="L1353" i="3"/>
  <c r="O1353" i="3"/>
  <c r="Q1353" i="3" s="1"/>
  <c r="K1353" i="3"/>
  <c r="N1413" i="3"/>
  <c r="K1413" i="3"/>
  <c r="O1413" i="3"/>
  <c r="Q1413" i="3" s="1"/>
  <c r="M1413" i="3"/>
  <c r="J1413" i="3"/>
  <c r="L1413" i="3"/>
  <c r="N1477" i="3"/>
  <c r="M1477" i="3"/>
  <c r="O1477" i="3"/>
  <c r="Q1477" i="3" s="1"/>
  <c r="K1477" i="3"/>
  <c r="J1477" i="3"/>
  <c r="L1477" i="3"/>
  <c r="K1554" i="3"/>
  <c r="N1554" i="3"/>
  <c r="J1554" i="3"/>
  <c r="L1554" i="3"/>
  <c r="M1554" i="3"/>
  <c r="O1554" i="3"/>
  <c r="Q1554" i="3" s="1"/>
  <c r="M1567" i="3"/>
  <c r="O1567" i="3"/>
  <c r="Q1567" i="3" s="1"/>
  <c r="J1567" i="3"/>
  <c r="N1567" i="3"/>
  <c r="L1567" i="3"/>
  <c r="K1567" i="3"/>
  <c r="L1605" i="3"/>
  <c r="M1605" i="3"/>
  <c r="N1605" i="3"/>
  <c r="K1605" i="3"/>
  <c r="O1605" i="3"/>
  <c r="Q1605" i="3" s="1"/>
  <c r="J1605" i="3"/>
  <c r="N1631" i="3"/>
  <c r="M1631" i="3"/>
  <c r="O1631" i="3"/>
  <c r="Q1631" i="3" s="1"/>
  <c r="K1631" i="3"/>
  <c r="L1631" i="3"/>
  <c r="J1631" i="3"/>
  <c r="M1668" i="3"/>
  <c r="L1668" i="3"/>
  <c r="O1668" i="3"/>
  <c r="Q1668" i="3" s="1"/>
  <c r="N1668" i="3"/>
  <c r="K1668" i="3"/>
  <c r="J1668" i="3"/>
  <c r="N1709" i="3"/>
  <c r="K1709" i="3"/>
  <c r="O1709" i="3"/>
  <c r="Q1709" i="3" s="1"/>
  <c r="M1709" i="3"/>
  <c r="J1709" i="3"/>
  <c r="L1709" i="3"/>
  <c r="N1741" i="3"/>
  <c r="K1741" i="3"/>
  <c r="O1741" i="3"/>
  <c r="Q1741" i="3" s="1"/>
  <c r="M1741" i="3"/>
  <c r="J1741" i="3"/>
  <c r="L1741" i="3"/>
  <c r="M1773" i="3"/>
  <c r="J1773" i="3"/>
  <c r="K1773" i="3"/>
  <c r="N1773" i="3"/>
  <c r="O1773" i="3"/>
  <c r="Q1773" i="3" s="1"/>
  <c r="L1773" i="3"/>
  <c r="N1794" i="3"/>
  <c r="J1794" i="3"/>
  <c r="K1794" i="3"/>
  <c r="L1794" i="3"/>
  <c r="M1794" i="3"/>
  <c r="O1794" i="3"/>
  <c r="Q1794" i="3" s="1"/>
  <c r="N1826" i="3"/>
  <c r="M1826" i="3"/>
  <c r="J1826" i="3"/>
  <c r="K1826" i="3"/>
  <c r="O1826" i="3"/>
  <c r="Q1826" i="3" s="1"/>
  <c r="L1826" i="3"/>
  <c r="N1858" i="3"/>
  <c r="M1858" i="3"/>
  <c r="L1858" i="3"/>
  <c r="J1858" i="3"/>
  <c r="K1858" i="3"/>
  <c r="O1858" i="3"/>
  <c r="Q1858" i="3" s="1"/>
  <c r="N1886" i="3"/>
  <c r="M1886" i="3"/>
  <c r="J1886" i="3"/>
  <c r="K1886" i="3"/>
  <c r="O1886" i="3"/>
  <c r="Q1886" i="3" s="1"/>
  <c r="L1886" i="3"/>
  <c r="N1911" i="3"/>
  <c r="J1911" i="3"/>
  <c r="L1911" i="3"/>
  <c r="O1911" i="3"/>
  <c r="Q1911" i="3" s="1"/>
  <c r="M1911" i="3"/>
  <c r="P1911" i="3" s="1"/>
  <c r="K1911" i="3"/>
  <c r="J1949" i="3"/>
  <c r="M1949" i="3"/>
  <c r="N1949" i="3"/>
  <c r="K1949" i="3"/>
  <c r="L1949" i="3"/>
  <c r="O1949" i="3"/>
  <c r="Q1949" i="3" s="1"/>
  <c r="K1980" i="3"/>
  <c r="J1980" i="3"/>
  <c r="L1980" i="3"/>
  <c r="N1980" i="3"/>
  <c r="M1980" i="3"/>
  <c r="O1980" i="3"/>
  <c r="Q1980" i="3" s="1"/>
  <c r="L1519" i="3"/>
  <c r="N1519" i="3"/>
  <c r="J1519" i="3"/>
  <c r="M1519" i="3"/>
  <c r="P1519" i="3" s="1"/>
  <c r="K1519" i="3"/>
  <c r="O1519" i="3"/>
  <c r="Q1519" i="3" s="1"/>
  <c r="N1592" i="3"/>
  <c r="L1592" i="3"/>
  <c r="M1592" i="3"/>
  <c r="O1592" i="3"/>
  <c r="Q1592" i="3" s="1"/>
  <c r="J1592" i="3"/>
  <c r="K1592" i="3"/>
  <c r="N1907" i="3"/>
  <c r="J1907" i="3"/>
  <c r="L1907" i="3"/>
  <c r="M1907" i="3"/>
  <c r="O1907" i="3"/>
  <c r="Q1907" i="3" s="1"/>
  <c r="K1907" i="3"/>
  <c r="K1434" i="3"/>
  <c r="L1434" i="3"/>
  <c r="M1434" i="3"/>
  <c r="O1434" i="3"/>
  <c r="Q1434" i="3" s="1"/>
  <c r="J1434" i="3"/>
  <c r="N1434" i="3"/>
  <c r="N1557" i="3"/>
  <c r="M1557" i="3"/>
  <c r="O1557" i="3"/>
  <c r="Q1557" i="3" s="1"/>
  <c r="K1557" i="3"/>
  <c r="J1557" i="3"/>
  <c r="L1557" i="3"/>
  <c r="L1645" i="3"/>
  <c r="N1645" i="3"/>
  <c r="M1645" i="3"/>
  <c r="O1645" i="3"/>
  <c r="Q1645" i="3" s="1"/>
  <c r="K1645" i="3"/>
  <c r="J1645" i="3"/>
  <c r="N1682" i="3"/>
  <c r="L1682" i="3"/>
  <c r="O1682" i="3"/>
  <c r="Q1682" i="3" s="1"/>
  <c r="J1682" i="3"/>
  <c r="K1682" i="3"/>
  <c r="M1682" i="3"/>
  <c r="N1720" i="3"/>
  <c r="J1720" i="3"/>
  <c r="K1720" i="3"/>
  <c r="M1720" i="3"/>
  <c r="O1720" i="3"/>
  <c r="Q1720" i="3" s="1"/>
  <c r="L1720" i="3"/>
  <c r="M1769" i="3"/>
  <c r="L1769" i="3"/>
  <c r="J1769" i="3"/>
  <c r="K1769" i="3"/>
  <c r="N1769" i="3"/>
  <c r="O1769" i="3"/>
  <c r="Q1769" i="3" s="1"/>
  <c r="N1786" i="3"/>
  <c r="J1786" i="3"/>
  <c r="K1786" i="3"/>
  <c r="L1786" i="3"/>
  <c r="M1786" i="3"/>
  <c r="O1786" i="3"/>
  <c r="Q1786" i="3" s="1"/>
  <c r="M1801" i="3"/>
  <c r="N1801" i="3"/>
  <c r="J1801" i="3"/>
  <c r="O1801" i="3"/>
  <c r="Q1801" i="3" s="1"/>
  <c r="L1801" i="3"/>
  <c r="K1801" i="3"/>
  <c r="M1849" i="3"/>
  <c r="N1849" i="3"/>
  <c r="J1849" i="3"/>
  <c r="O1849" i="3"/>
  <c r="Q1849" i="3" s="1"/>
  <c r="L1849" i="3"/>
  <c r="K1849" i="3"/>
  <c r="J1881" i="3"/>
  <c r="M1881" i="3"/>
  <c r="N1881" i="3"/>
  <c r="K1881" i="3"/>
  <c r="L1881" i="3"/>
  <c r="O1881" i="3"/>
  <c r="Q1881" i="3" s="1"/>
  <c r="J1897" i="3"/>
  <c r="M1897" i="3"/>
  <c r="N1897" i="3"/>
  <c r="L1897" i="3"/>
  <c r="K1897" i="3"/>
  <c r="O1897" i="3"/>
  <c r="Q1897" i="3" s="1"/>
  <c r="L1653" i="3"/>
  <c r="N1653" i="3"/>
  <c r="M1653" i="3"/>
  <c r="O1653" i="3"/>
  <c r="Q1653" i="3" s="1"/>
  <c r="K1653" i="3"/>
  <c r="J1653" i="3"/>
  <c r="N1492" i="3"/>
  <c r="L1492" i="3"/>
  <c r="M1492" i="3"/>
  <c r="J1492" i="3"/>
  <c r="K1492" i="3"/>
  <c r="O1492" i="3"/>
  <c r="Q1492" i="3" s="1"/>
  <c r="J1987" i="3"/>
  <c r="L1987" i="3"/>
  <c r="N1987" i="3"/>
  <c r="K1987" i="3"/>
  <c r="O1987" i="3"/>
  <c r="Q1987" i="3" s="1"/>
  <c r="M1987" i="3"/>
  <c r="K1530" i="3"/>
  <c r="L1530" i="3"/>
  <c r="M1530" i="3"/>
  <c r="O1530" i="3"/>
  <c r="Q1530" i="3" s="1"/>
  <c r="N1530" i="3"/>
  <c r="J1530" i="3"/>
  <c r="N1862" i="3"/>
  <c r="M1862" i="3"/>
  <c r="L1862" i="3"/>
  <c r="J1862" i="3"/>
  <c r="K1862" i="3"/>
  <c r="O1862" i="3"/>
  <c r="Q1862" i="3" s="1"/>
  <c r="M1555" i="3"/>
  <c r="L1555" i="3"/>
  <c r="K1555" i="3"/>
  <c r="O1555" i="3"/>
  <c r="Q1555" i="3" s="1"/>
  <c r="J1555" i="3"/>
  <c r="N1555" i="3"/>
  <c r="N1758" i="3"/>
  <c r="M1758" i="3"/>
  <c r="J1758" i="3"/>
  <c r="K1758" i="3"/>
  <c r="O1758" i="3"/>
  <c r="Q1758" i="3" s="1"/>
  <c r="L1758" i="3"/>
  <c r="N1898" i="3"/>
  <c r="M1898" i="3"/>
  <c r="J1898" i="3"/>
  <c r="K1898" i="3"/>
  <c r="O1898" i="3"/>
  <c r="Q1898" i="3" s="1"/>
  <c r="L1898" i="3"/>
  <c r="N1958" i="3"/>
  <c r="M1958" i="3"/>
  <c r="J1958" i="3"/>
  <c r="K1958" i="3"/>
  <c r="O1958" i="3"/>
  <c r="Q1958" i="3" s="1"/>
  <c r="L1958" i="3"/>
  <c r="N1995" i="3"/>
  <c r="J1995" i="3"/>
  <c r="L1995" i="3"/>
  <c r="M1995" i="3"/>
  <c r="K1995" i="3"/>
  <c r="O1995" i="3"/>
  <c r="Q1995" i="3" s="1"/>
  <c r="N1561" i="3"/>
  <c r="K1561" i="3"/>
  <c r="O1561" i="3"/>
  <c r="Q1561" i="3" s="1"/>
  <c r="M1561" i="3"/>
  <c r="J1561" i="3"/>
  <c r="L1561" i="3"/>
  <c r="M1973" i="3"/>
  <c r="N1973" i="3"/>
  <c r="J1973" i="3"/>
  <c r="K1973" i="3"/>
  <c r="L1973" i="3"/>
  <c r="O1973" i="3"/>
  <c r="Q1973" i="3" s="1"/>
  <c r="L1669" i="3"/>
  <c r="N1669" i="3"/>
  <c r="M1669" i="3"/>
  <c r="O1669" i="3"/>
  <c r="Q1669" i="3" s="1"/>
  <c r="K1669" i="3"/>
  <c r="J1669" i="3"/>
  <c r="N1409" i="3"/>
  <c r="K1409" i="3"/>
  <c r="O1409" i="3"/>
  <c r="Q1409" i="3" s="1"/>
  <c r="M1409" i="3"/>
  <c r="J1409" i="3"/>
  <c r="L1409" i="3"/>
  <c r="N1424" i="3"/>
  <c r="L1424" i="3"/>
  <c r="M1424" i="3"/>
  <c r="K1424" i="3"/>
  <c r="O1424" i="3"/>
  <c r="Q1424" i="3" s="1"/>
  <c r="J1424" i="3"/>
  <c r="K1446" i="3"/>
  <c r="N1446" i="3"/>
  <c r="J1446" i="3"/>
  <c r="L1446" i="3"/>
  <c r="M1446" i="3"/>
  <c r="O1446" i="3"/>
  <c r="Q1446" i="3" s="1"/>
  <c r="J1539" i="3"/>
  <c r="N1539" i="3"/>
  <c r="L1539" i="3"/>
  <c r="M1539" i="3"/>
  <c r="P1539" i="3" s="1"/>
  <c r="K1539" i="3"/>
  <c r="O1539" i="3"/>
  <c r="Q1539" i="3" s="1"/>
  <c r="M1601" i="3"/>
  <c r="L1601" i="3"/>
  <c r="N1601" i="3"/>
  <c r="J1601" i="3"/>
  <c r="K1601" i="3"/>
  <c r="O1601" i="3"/>
  <c r="Q1601" i="3" s="1"/>
  <c r="N1697" i="3"/>
  <c r="M1697" i="3"/>
  <c r="K1697" i="3"/>
  <c r="O1697" i="3"/>
  <c r="Q1697" i="3" s="1"/>
  <c r="J1697" i="3"/>
  <c r="L1697" i="3"/>
  <c r="M1765" i="3"/>
  <c r="J1765" i="3"/>
  <c r="N1765" i="3"/>
  <c r="L1765" i="3"/>
  <c r="K1765" i="3"/>
  <c r="O1765" i="3"/>
  <c r="Q1765" i="3" s="1"/>
  <c r="L1872" i="3"/>
  <c r="N1872" i="3"/>
  <c r="J1872" i="3"/>
  <c r="K1872" i="3"/>
  <c r="M1872" i="3"/>
  <c r="O1872" i="3"/>
  <c r="Q1872" i="3" s="1"/>
  <c r="N1970" i="3"/>
  <c r="M1970" i="3"/>
  <c r="J1970" i="3"/>
  <c r="K1970" i="3"/>
  <c r="O1970" i="3"/>
  <c r="Q1970" i="3" s="1"/>
  <c r="L1970" i="3"/>
  <c r="N1416" i="3"/>
  <c r="L1416" i="3"/>
  <c r="M1416" i="3"/>
  <c r="K1416" i="3"/>
  <c r="O1416" i="3"/>
  <c r="Q1416" i="3" s="1"/>
  <c r="J1416" i="3"/>
  <c r="N1701" i="3"/>
  <c r="J1701" i="3"/>
  <c r="L1701" i="3"/>
  <c r="M1701" i="3"/>
  <c r="K1701" i="3"/>
  <c r="O1701" i="3"/>
  <c r="Q1701" i="3" s="1"/>
  <c r="N1441" i="3"/>
  <c r="K1441" i="3"/>
  <c r="O1441" i="3"/>
  <c r="Q1441" i="3" s="1"/>
  <c r="M1441" i="3"/>
  <c r="L1441" i="3"/>
  <c r="J1441" i="3"/>
  <c r="K1458" i="3"/>
  <c r="J1458" i="3"/>
  <c r="N1458" i="3"/>
  <c r="L1458" i="3"/>
  <c r="M1458" i="3"/>
  <c r="O1458" i="3"/>
  <c r="Q1458" i="3" s="1"/>
  <c r="N1712" i="3"/>
  <c r="J1712" i="3"/>
  <c r="K1712" i="3"/>
  <c r="O1712" i="3"/>
  <c r="Q1712" i="3" s="1"/>
  <c r="L1712" i="3"/>
  <c r="M1712" i="3"/>
  <c r="L1490" i="3"/>
  <c r="J1490" i="3"/>
  <c r="N1490" i="3"/>
  <c r="K1490" i="3"/>
  <c r="M1490" i="3"/>
  <c r="O1490" i="3"/>
  <c r="Q1490" i="3" s="1"/>
  <c r="L1522" i="3"/>
  <c r="N1522" i="3"/>
  <c r="K1522" i="3"/>
  <c r="O1522" i="3"/>
  <c r="Q1522" i="3" s="1"/>
  <c r="J1522" i="3"/>
  <c r="M1522" i="3"/>
  <c r="N1659" i="3"/>
  <c r="K1659" i="3"/>
  <c r="M1659" i="3"/>
  <c r="O1659" i="3"/>
  <c r="Q1659" i="3" s="1"/>
  <c r="J1659" i="3"/>
  <c r="L1659" i="3"/>
  <c r="M1783" i="3"/>
  <c r="N1783" i="3"/>
  <c r="J1783" i="3"/>
  <c r="O1783" i="3"/>
  <c r="Q1783" i="3" s="1"/>
  <c r="L1783" i="3"/>
  <c r="K1783" i="3"/>
  <c r="N1394" i="3"/>
  <c r="K1394" i="3"/>
  <c r="O1394" i="3"/>
  <c r="Q1394" i="3" s="1"/>
  <c r="L1394" i="3"/>
  <c r="J1394" i="3"/>
  <c r="M1394" i="3"/>
  <c r="K1494" i="3"/>
  <c r="J1494" i="3"/>
  <c r="L1494" i="3"/>
  <c r="N1494" i="3"/>
  <c r="O1494" i="3"/>
  <c r="Q1494" i="3" s="1"/>
  <c r="M1494" i="3"/>
  <c r="M1515" i="3"/>
  <c r="N1515" i="3"/>
  <c r="O1515" i="3"/>
  <c r="Q1515" i="3" s="1"/>
  <c r="L1515" i="3"/>
  <c r="K1515" i="3"/>
  <c r="J1515" i="3"/>
  <c r="O1665" i="3"/>
  <c r="Q1665" i="3" s="1"/>
  <c r="L1665" i="3"/>
  <c r="K1665" i="3"/>
  <c r="N1665" i="3"/>
  <c r="J1665" i="3"/>
  <c r="M1665" i="3"/>
  <c r="N1414" i="3"/>
  <c r="M1414" i="3"/>
  <c r="P1414" i="3" s="1"/>
  <c r="J1414" i="3"/>
  <c r="O1414" i="3"/>
  <c r="Q1414" i="3" s="1"/>
  <c r="K1414" i="3"/>
  <c r="L1414" i="3"/>
  <c r="K1558" i="3"/>
  <c r="L1558" i="3"/>
  <c r="J1558" i="3"/>
  <c r="N1558" i="3"/>
  <c r="M1558" i="3"/>
  <c r="O1558" i="3"/>
  <c r="Q1558" i="3" s="1"/>
  <c r="L1952" i="3"/>
  <c r="N1952" i="3"/>
  <c r="J1952" i="3"/>
  <c r="K1952" i="3"/>
  <c r="M1952" i="3"/>
  <c r="O1952" i="3"/>
  <c r="Q1952" i="3" s="1"/>
  <c r="N1437" i="3"/>
  <c r="M1437" i="3"/>
  <c r="O1437" i="3"/>
  <c r="Q1437" i="3" s="1"/>
  <c r="K1437" i="3"/>
  <c r="J1437" i="3"/>
  <c r="L1437" i="3"/>
  <c r="M1861" i="3"/>
  <c r="N1861" i="3"/>
  <c r="J1861" i="3"/>
  <c r="K1861" i="3"/>
  <c r="L1861" i="3"/>
  <c r="O1861" i="3"/>
  <c r="Q1861" i="3" s="1"/>
  <c r="M1415" i="3"/>
  <c r="N1415" i="3"/>
  <c r="L1415" i="3"/>
  <c r="J1415" i="3"/>
  <c r="K1415" i="3"/>
  <c r="O1415" i="3"/>
  <c r="Q1415" i="3" s="1"/>
  <c r="N1536" i="3"/>
  <c r="L1536" i="3"/>
  <c r="M1536" i="3"/>
  <c r="O1536" i="3"/>
  <c r="Q1536" i="3" s="1"/>
  <c r="J1536" i="3"/>
  <c r="K1536" i="3"/>
  <c r="N1432" i="3"/>
  <c r="L1432" i="3"/>
  <c r="M1432" i="3"/>
  <c r="O1432" i="3"/>
  <c r="Q1432" i="3" s="1"/>
  <c r="J1432" i="3"/>
  <c r="K1432" i="3"/>
  <c r="N1738" i="3"/>
  <c r="L1738" i="3"/>
  <c r="M1738" i="3"/>
  <c r="J1738" i="3"/>
  <c r="O1738" i="3"/>
  <c r="Q1738" i="3" s="1"/>
  <c r="K1738" i="3"/>
  <c r="N1521" i="3"/>
  <c r="M1521" i="3"/>
  <c r="K1521" i="3"/>
  <c r="O1521" i="3"/>
  <c r="Q1521" i="3" s="1"/>
  <c r="L1521" i="3"/>
  <c r="J1521" i="3"/>
  <c r="N1584" i="3"/>
  <c r="L1584" i="3"/>
  <c r="M1584" i="3"/>
  <c r="O1584" i="3"/>
  <c r="Q1584" i="3" s="1"/>
  <c r="J1584" i="3"/>
  <c r="K1584" i="3"/>
  <c r="N1691" i="3"/>
  <c r="M1691" i="3"/>
  <c r="K1691" i="3"/>
  <c r="L1691" i="3"/>
  <c r="O1691" i="3"/>
  <c r="Q1691" i="3" s="1"/>
  <c r="J1691" i="3"/>
  <c r="L1404" i="3"/>
  <c r="J1404" i="3"/>
  <c r="K1404" i="3"/>
  <c r="N1404" i="3"/>
  <c r="M1404" i="3"/>
  <c r="O1404" i="3"/>
  <c r="Q1404" i="3" s="1"/>
  <c r="N1420" i="3"/>
  <c r="L1420" i="3"/>
  <c r="M1420" i="3"/>
  <c r="J1420" i="3"/>
  <c r="K1420" i="3"/>
  <c r="O1420" i="3"/>
  <c r="Q1420" i="3" s="1"/>
  <c r="L1447" i="3"/>
  <c r="N1447" i="3"/>
  <c r="K1447" i="3"/>
  <c r="M1447" i="3"/>
  <c r="J1447" i="3"/>
  <c r="O1447" i="3"/>
  <c r="Q1447" i="3" s="1"/>
  <c r="N1468" i="3"/>
  <c r="L1468" i="3"/>
  <c r="M1468" i="3"/>
  <c r="K1468" i="3"/>
  <c r="O1468" i="3"/>
  <c r="Q1468" i="3" s="1"/>
  <c r="J1468" i="3"/>
  <c r="N1488" i="3"/>
  <c r="L1488" i="3"/>
  <c r="J1488" i="3"/>
  <c r="M1488" i="3"/>
  <c r="O1488" i="3"/>
  <c r="Q1488" i="3" s="1"/>
  <c r="K1488" i="3"/>
  <c r="N1511" i="3"/>
  <c r="L1511" i="3"/>
  <c r="K1511" i="3"/>
  <c r="O1511" i="3"/>
  <c r="Q1511" i="3" s="1"/>
  <c r="J1511" i="3"/>
  <c r="M1511" i="3"/>
  <c r="K1538" i="3"/>
  <c r="J1538" i="3"/>
  <c r="N1538" i="3"/>
  <c r="M1538" i="3"/>
  <c r="O1538" i="3"/>
  <c r="Q1538" i="3" s="1"/>
  <c r="L1538" i="3"/>
  <c r="N1670" i="3"/>
  <c r="L1670" i="3"/>
  <c r="J1670" i="3"/>
  <c r="K1670" i="3"/>
  <c r="M1670" i="3"/>
  <c r="O1670" i="3"/>
  <c r="Q1670" i="3" s="1"/>
  <c r="N1449" i="3"/>
  <c r="M1449" i="3"/>
  <c r="O1449" i="3"/>
  <c r="Q1449" i="3" s="1"/>
  <c r="K1449" i="3"/>
  <c r="J1449" i="3"/>
  <c r="L1449" i="3"/>
  <c r="M1535" i="3"/>
  <c r="O1535" i="3"/>
  <c r="Q1535" i="3" s="1"/>
  <c r="J1535" i="3"/>
  <c r="N1535" i="3"/>
  <c r="L1535" i="3"/>
  <c r="K1535" i="3"/>
  <c r="K1566" i="3"/>
  <c r="L1566" i="3"/>
  <c r="J1566" i="3"/>
  <c r="N1566" i="3"/>
  <c r="M1566" i="3"/>
  <c r="O1566" i="3"/>
  <c r="Q1566" i="3" s="1"/>
  <c r="N1580" i="3"/>
  <c r="L1580" i="3"/>
  <c r="J1580" i="3"/>
  <c r="K1580" i="3"/>
  <c r="M1580" i="3"/>
  <c r="O1580" i="3"/>
  <c r="Q1580" i="3" s="1"/>
  <c r="N1635" i="3"/>
  <c r="K1635" i="3"/>
  <c r="M1635" i="3"/>
  <c r="O1635" i="3"/>
  <c r="Q1635" i="3" s="1"/>
  <c r="J1635" i="3"/>
  <c r="L1635" i="3"/>
  <c r="N1674" i="3"/>
  <c r="L1674" i="3"/>
  <c r="O1674" i="3"/>
  <c r="Q1674" i="3" s="1"/>
  <c r="J1674" i="3"/>
  <c r="K1674" i="3"/>
  <c r="M1674" i="3"/>
  <c r="N1713" i="3"/>
  <c r="M1713" i="3"/>
  <c r="J1713" i="3"/>
  <c r="L1713" i="3"/>
  <c r="K1713" i="3"/>
  <c r="O1713" i="3"/>
  <c r="Q1713" i="3" s="1"/>
  <c r="N1745" i="3"/>
  <c r="M1745" i="3"/>
  <c r="J1745" i="3"/>
  <c r="L1745" i="3"/>
  <c r="K1745" i="3"/>
  <c r="O1745" i="3"/>
  <c r="Q1745" i="3" s="1"/>
  <c r="M1777" i="3"/>
  <c r="J1777" i="3"/>
  <c r="O1777" i="3"/>
  <c r="Q1777" i="3" s="1"/>
  <c r="L1777" i="3"/>
  <c r="K1777" i="3"/>
  <c r="N1777" i="3"/>
  <c r="N1802" i="3"/>
  <c r="M1802" i="3"/>
  <c r="J1802" i="3"/>
  <c r="K1802" i="3"/>
  <c r="O1802" i="3"/>
  <c r="Q1802" i="3" s="1"/>
  <c r="L1802" i="3"/>
  <c r="N1820" i="3"/>
  <c r="J1820" i="3"/>
  <c r="K1820" i="3"/>
  <c r="L1820" i="3"/>
  <c r="M1820" i="3"/>
  <c r="O1820" i="3"/>
  <c r="Q1820" i="3" s="1"/>
  <c r="M1841" i="3"/>
  <c r="N1841" i="3"/>
  <c r="J1841" i="3"/>
  <c r="L1841" i="3"/>
  <c r="O1841" i="3"/>
  <c r="Q1841" i="3" s="1"/>
  <c r="K1841" i="3"/>
  <c r="N1866" i="3"/>
  <c r="M1866" i="3"/>
  <c r="L1866" i="3"/>
  <c r="J1866" i="3"/>
  <c r="K1866" i="3"/>
  <c r="O1866" i="3"/>
  <c r="Q1866" i="3" s="1"/>
  <c r="L1884" i="3"/>
  <c r="N1884" i="3"/>
  <c r="J1884" i="3"/>
  <c r="K1884" i="3"/>
  <c r="M1884" i="3"/>
  <c r="O1884" i="3"/>
  <c r="Q1884" i="3" s="1"/>
  <c r="N1922" i="3"/>
  <c r="M1922" i="3"/>
  <c r="J1922" i="3"/>
  <c r="K1922" i="3"/>
  <c r="O1922" i="3"/>
  <c r="Q1922" i="3" s="1"/>
  <c r="L1922" i="3"/>
  <c r="L1964" i="3"/>
  <c r="N1964" i="3"/>
  <c r="J1964" i="3"/>
  <c r="K1964" i="3"/>
  <c r="M1964" i="3"/>
  <c r="O1964" i="3"/>
  <c r="Q1964" i="3" s="1"/>
  <c r="L1475" i="3"/>
  <c r="O1475" i="3"/>
  <c r="Q1475" i="3" s="1"/>
  <c r="M1475" i="3"/>
  <c r="N1475" i="3"/>
  <c r="K1475" i="3"/>
  <c r="J1475" i="3"/>
  <c r="K1514" i="3"/>
  <c r="N1514" i="3"/>
  <c r="L1514" i="3"/>
  <c r="J1514" i="3"/>
  <c r="M1514" i="3"/>
  <c r="O1514" i="3"/>
  <c r="Q1514" i="3" s="1"/>
  <c r="M1543" i="3"/>
  <c r="O1543" i="3"/>
  <c r="Q1543" i="3" s="1"/>
  <c r="N1543" i="3"/>
  <c r="K1543" i="3"/>
  <c r="L1543" i="3"/>
  <c r="J1543" i="3"/>
  <c r="K1578" i="3"/>
  <c r="M1578" i="3"/>
  <c r="N1578" i="3"/>
  <c r="O1578" i="3"/>
  <c r="Q1578" i="3" s="1"/>
  <c r="L1578" i="3"/>
  <c r="J1578" i="3"/>
  <c r="N1608" i="3"/>
  <c r="K1608" i="3"/>
  <c r="J1608" i="3"/>
  <c r="L1608" i="3"/>
  <c r="M1608" i="3"/>
  <c r="O1608" i="3"/>
  <c r="Q1608" i="3" s="1"/>
  <c r="K1676" i="3"/>
  <c r="J1676" i="3"/>
  <c r="M1676" i="3"/>
  <c r="L1676" i="3"/>
  <c r="O1676" i="3"/>
  <c r="Q1676" i="3" s="1"/>
  <c r="N1676" i="3"/>
  <c r="N1711" i="3"/>
  <c r="M1711" i="3"/>
  <c r="K1711" i="3"/>
  <c r="L1711" i="3"/>
  <c r="J1711" i="3"/>
  <c r="O1711" i="3"/>
  <c r="Q1711" i="3" s="1"/>
  <c r="N1732" i="3"/>
  <c r="K1732" i="3"/>
  <c r="J1732" i="3"/>
  <c r="M1732" i="3"/>
  <c r="P1732" i="3" s="1"/>
  <c r="L1732" i="3"/>
  <c r="O1732" i="3"/>
  <c r="Q1732" i="3" s="1"/>
  <c r="M1761" i="3"/>
  <c r="J1761" i="3"/>
  <c r="L1761" i="3"/>
  <c r="K1761" i="3"/>
  <c r="O1761" i="3"/>
  <c r="Q1761" i="3" s="1"/>
  <c r="N1761" i="3"/>
  <c r="K1791" i="3"/>
  <c r="M1791" i="3"/>
  <c r="N1791" i="3"/>
  <c r="O1791" i="3"/>
  <c r="Q1791" i="3" s="1"/>
  <c r="J1791" i="3"/>
  <c r="L1791" i="3"/>
  <c r="N1812" i="3"/>
  <c r="J1812" i="3"/>
  <c r="K1812" i="3"/>
  <c r="M1812" i="3"/>
  <c r="O1812" i="3"/>
  <c r="Q1812" i="3" s="1"/>
  <c r="L1812" i="3"/>
  <c r="N1839" i="3"/>
  <c r="M1839" i="3"/>
  <c r="O1839" i="3"/>
  <c r="Q1839" i="3" s="1"/>
  <c r="J1839" i="3"/>
  <c r="K1839" i="3"/>
  <c r="L1839" i="3"/>
  <c r="L1860" i="3"/>
  <c r="N1860" i="3"/>
  <c r="J1860" i="3"/>
  <c r="K1860" i="3"/>
  <c r="M1860" i="3"/>
  <c r="O1860" i="3"/>
  <c r="Q1860" i="3" s="1"/>
  <c r="M1889" i="3"/>
  <c r="N1889" i="3"/>
  <c r="J1889" i="3"/>
  <c r="K1889" i="3"/>
  <c r="L1889" i="3"/>
  <c r="O1889" i="3"/>
  <c r="Q1889" i="3" s="1"/>
  <c r="J1925" i="3"/>
  <c r="M1925" i="3"/>
  <c r="N1925" i="3"/>
  <c r="L1925" i="3"/>
  <c r="K1925" i="3"/>
  <c r="O1925" i="3"/>
  <c r="Q1925" i="3" s="1"/>
  <c r="N1951" i="3"/>
  <c r="J1951" i="3"/>
  <c r="M1951" i="3"/>
  <c r="L1951" i="3"/>
  <c r="O1951" i="3"/>
  <c r="Q1951" i="3" s="1"/>
  <c r="K1951" i="3"/>
  <c r="N1978" i="3"/>
  <c r="L1978" i="3"/>
  <c r="J1978" i="3"/>
  <c r="M1978" i="3"/>
  <c r="K1978" i="3"/>
  <c r="O1978" i="3"/>
  <c r="Q1978" i="3" s="1"/>
  <c r="N1402" i="3"/>
  <c r="K1402" i="3"/>
  <c r="O1402" i="3"/>
  <c r="Q1402" i="3" s="1"/>
  <c r="J1402" i="3"/>
  <c r="L1402" i="3"/>
  <c r="M1402" i="3"/>
  <c r="M1466" i="3"/>
  <c r="J1466" i="3"/>
  <c r="O1466" i="3"/>
  <c r="Q1466" i="3" s="1"/>
  <c r="K1466" i="3"/>
  <c r="L1466" i="3"/>
  <c r="N1466" i="3"/>
  <c r="N1548" i="3"/>
  <c r="L1548" i="3"/>
  <c r="J1548" i="3"/>
  <c r="K1548" i="3"/>
  <c r="M1548" i="3"/>
  <c r="O1548" i="3"/>
  <c r="Q1548" i="3" s="1"/>
  <c r="M1612" i="3"/>
  <c r="L1612" i="3"/>
  <c r="O1612" i="3"/>
  <c r="Q1612" i="3" s="1"/>
  <c r="N1612" i="3"/>
  <c r="K1612" i="3"/>
  <c r="L1677" i="3"/>
  <c r="N1677" i="3"/>
  <c r="M1677" i="3"/>
  <c r="O1677" i="3"/>
  <c r="Q1677" i="3" s="1"/>
  <c r="K1677" i="3"/>
  <c r="J1677" i="3"/>
  <c r="N1750" i="3"/>
  <c r="M1750" i="3"/>
  <c r="J1750" i="3"/>
  <c r="K1750" i="3"/>
  <c r="O1750" i="3"/>
  <c r="Q1750" i="3" s="1"/>
  <c r="L1750" i="3"/>
  <c r="M1921" i="3"/>
  <c r="N1921" i="3"/>
  <c r="J1921" i="3"/>
  <c r="L1921" i="3"/>
  <c r="K1921" i="3"/>
  <c r="O1921" i="3"/>
  <c r="Q1921" i="3" s="1"/>
  <c r="N1947" i="3"/>
  <c r="J1947" i="3"/>
  <c r="L1947" i="3"/>
  <c r="O1947" i="3"/>
  <c r="Q1947" i="3" s="1"/>
  <c r="K1947" i="3"/>
  <c r="M1947" i="3"/>
  <c r="N1963" i="3"/>
  <c r="J1963" i="3"/>
  <c r="L1963" i="3"/>
  <c r="M1963" i="3"/>
  <c r="O1963" i="3"/>
  <c r="Q1963" i="3" s="1"/>
  <c r="K1963" i="3"/>
  <c r="N1406" i="3"/>
  <c r="K1406" i="3"/>
  <c r="O1406" i="3"/>
  <c r="Q1406" i="3" s="1"/>
  <c r="M1406" i="3"/>
  <c r="L1406" i="3"/>
  <c r="J1406" i="3"/>
  <c r="N1433" i="3"/>
  <c r="K1433" i="3"/>
  <c r="M1433" i="3"/>
  <c r="O1433" i="3"/>
  <c r="Q1433" i="3" s="1"/>
  <c r="J1433" i="3"/>
  <c r="L1433" i="3"/>
  <c r="N1497" i="3"/>
  <c r="O1497" i="3"/>
  <c r="Q1497" i="3" s="1"/>
  <c r="K1497" i="3"/>
  <c r="M1497" i="3"/>
  <c r="J1497" i="3"/>
  <c r="L1497" i="3"/>
  <c r="N1581" i="3"/>
  <c r="M1581" i="3"/>
  <c r="O1581" i="3"/>
  <c r="Q1581" i="3" s="1"/>
  <c r="K1581" i="3"/>
  <c r="J1581" i="3"/>
  <c r="L1581" i="3"/>
  <c r="K1684" i="3"/>
  <c r="J1684" i="3"/>
  <c r="M1684" i="3"/>
  <c r="L1684" i="3"/>
  <c r="O1684" i="3"/>
  <c r="Q1684" i="3" s="1"/>
  <c r="N1684" i="3"/>
  <c r="M1817" i="3"/>
  <c r="N1817" i="3"/>
  <c r="J1817" i="3"/>
  <c r="O1817" i="3"/>
  <c r="Q1817" i="3" s="1"/>
  <c r="L1817" i="3"/>
  <c r="K1817" i="3"/>
  <c r="N1832" i="3"/>
  <c r="J1832" i="3"/>
  <c r="K1832" i="3"/>
  <c r="O1832" i="3"/>
  <c r="Q1832" i="3" s="1"/>
  <c r="L1832" i="3"/>
  <c r="M1832" i="3"/>
  <c r="N1850" i="3"/>
  <c r="M1850" i="3"/>
  <c r="J1850" i="3"/>
  <c r="K1850" i="3"/>
  <c r="O1850" i="3"/>
  <c r="Q1850" i="3" s="1"/>
  <c r="L1850" i="3"/>
  <c r="N1918" i="3"/>
  <c r="M1918" i="3"/>
  <c r="J1918" i="3"/>
  <c r="K1918" i="3"/>
  <c r="O1918" i="3"/>
  <c r="Q1918" i="3" s="1"/>
  <c r="L1918" i="3"/>
  <c r="L1400" i="3"/>
  <c r="N1400" i="3"/>
  <c r="M1400" i="3"/>
  <c r="O1400" i="3"/>
  <c r="Q1400" i="3" s="1"/>
  <c r="J1400" i="3"/>
  <c r="K1400" i="3"/>
  <c r="N1453" i="3"/>
  <c r="K1453" i="3"/>
  <c r="O1453" i="3"/>
  <c r="Q1453" i="3" s="1"/>
  <c r="M1453" i="3"/>
  <c r="J1453" i="3"/>
  <c r="L1453" i="3"/>
  <c r="N1485" i="3"/>
  <c r="M1485" i="3"/>
  <c r="O1485" i="3"/>
  <c r="Q1485" i="3" s="1"/>
  <c r="K1485" i="3"/>
  <c r="J1485" i="3"/>
  <c r="L1485" i="3"/>
  <c r="N1556" i="3"/>
  <c r="L1556" i="3"/>
  <c r="J1556" i="3"/>
  <c r="K1556" i="3"/>
  <c r="M1556" i="3"/>
  <c r="O1556" i="3"/>
  <c r="Q1556" i="3" s="1"/>
  <c r="N1639" i="3"/>
  <c r="M1639" i="3"/>
  <c r="O1639" i="3"/>
  <c r="Q1639" i="3" s="1"/>
  <c r="K1639" i="3"/>
  <c r="J1639" i="3"/>
  <c r="L1639" i="3"/>
  <c r="L1685" i="3"/>
  <c r="N1685" i="3"/>
  <c r="M1685" i="3"/>
  <c r="O1685" i="3"/>
  <c r="Q1685" i="3" s="1"/>
  <c r="K1685" i="3"/>
  <c r="J1685" i="3"/>
  <c r="N1735" i="3"/>
  <c r="M1735" i="3"/>
  <c r="L1735" i="3"/>
  <c r="K1735" i="3"/>
  <c r="J1735" i="3"/>
  <c r="O1735" i="3"/>
  <c r="Q1735" i="3" s="1"/>
  <c r="N1774" i="3"/>
  <c r="M1774" i="3"/>
  <c r="J1774" i="3"/>
  <c r="K1774" i="3"/>
  <c r="O1774" i="3"/>
  <c r="Q1774" i="3" s="1"/>
  <c r="L1774" i="3"/>
  <c r="N1831" i="3"/>
  <c r="J1831" i="3"/>
  <c r="M1831" i="3"/>
  <c r="K1831" i="3"/>
  <c r="L1831" i="3"/>
  <c r="O1831" i="3"/>
  <c r="Q1831" i="3" s="1"/>
  <c r="N1926" i="3"/>
  <c r="M1926" i="3"/>
  <c r="J1926" i="3"/>
  <c r="K1926" i="3"/>
  <c r="O1926" i="3"/>
  <c r="Q1926" i="3" s="1"/>
  <c r="L1926" i="3"/>
  <c r="M1961" i="3"/>
  <c r="N1961" i="3"/>
  <c r="J1961" i="3"/>
  <c r="K1961" i="3"/>
  <c r="L1961" i="3"/>
  <c r="O1961" i="3"/>
  <c r="Q1961" i="3" s="1"/>
  <c r="N1465" i="3"/>
  <c r="K1465" i="3"/>
  <c r="O1465" i="3"/>
  <c r="Q1465" i="3" s="1"/>
  <c r="M1465" i="3"/>
  <c r="J1465" i="3"/>
  <c r="L1465" i="3"/>
  <c r="L1596" i="3"/>
  <c r="O1596" i="3"/>
  <c r="Q1596" i="3" s="1"/>
  <c r="J1596" i="3"/>
  <c r="K1596" i="3"/>
  <c r="M1596" i="3"/>
  <c r="N1596" i="3"/>
  <c r="N1634" i="3"/>
  <c r="L1634" i="3"/>
  <c r="O1634" i="3"/>
  <c r="Q1634" i="3" s="1"/>
  <c r="J1634" i="3"/>
  <c r="K1634" i="3"/>
  <c r="M1634" i="3"/>
  <c r="N1658" i="3"/>
  <c r="L1658" i="3"/>
  <c r="O1658" i="3"/>
  <c r="Q1658" i="3" s="1"/>
  <c r="J1658" i="3"/>
  <c r="K1658" i="3"/>
  <c r="M1658" i="3"/>
  <c r="N1715" i="3"/>
  <c r="M1715" i="3"/>
  <c r="L1715" i="3"/>
  <c r="K1715" i="3"/>
  <c r="O1715" i="3"/>
  <c r="Q1715" i="3" s="1"/>
  <c r="J1715" i="3"/>
  <c r="N1804" i="3"/>
  <c r="J1804" i="3"/>
  <c r="K1804" i="3"/>
  <c r="L1804" i="3"/>
  <c r="M1804" i="3"/>
  <c r="O1804" i="3"/>
  <c r="Q1804" i="3" s="1"/>
  <c r="N1843" i="3"/>
  <c r="O1843" i="3"/>
  <c r="Q1843" i="3" s="1"/>
  <c r="J1843" i="3"/>
  <c r="K1843" i="3"/>
  <c r="L1843" i="3"/>
  <c r="M1843" i="3"/>
  <c r="P1843" i="3" s="1"/>
  <c r="L1896" i="3"/>
  <c r="N1896" i="3"/>
  <c r="J1896" i="3"/>
  <c r="K1896" i="3"/>
  <c r="M1896" i="3"/>
  <c r="O1896" i="3"/>
  <c r="Q1896" i="3" s="1"/>
  <c r="L1948" i="3"/>
  <c r="N1948" i="3"/>
  <c r="J1948" i="3"/>
  <c r="K1948" i="3"/>
  <c r="M1948" i="3"/>
  <c r="O1948" i="3"/>
  <c r="Q1948" i="3" s="1"/>
  <c r="M1443" i="3"/>
  <c r="O1443" i="3"/>
  <c r="Q1443" i="3" s="1"/>
  <c r="L1443" i="3"/>
  <c r="N1443" i="3"/>
  <c r="J1443" i="3"/>
  <c r="K1443" i="3"/>
  <c r="K1482" i="3"/>
  <c r="N1482" i="3"/>
  <c r="L1482" i="3"/>
  <c r="J1482" i="3"/>
  <c r="O1482" i="3"/>
  <c r="Q1482" i="3" s="1"/>
  <c r="M1482" i="3"/>
  <c r="P1482" i="3" s="1"/>
  <c r="K1518" i="3"/>
  <c r="L1518" i="3"/>
  <c r="J1518" i="3"/>
  <c r="N1518" i="3"/>
  <c r="M1518" i="3"/>
  <c r="O1518" i="3"/>
  <c r="Q1518" i="3" s="1"/>
  <c r="N1569" i="3"/>
  <c r="K1569" i="3"/>
  <c r="O1569" i="3"/>
  <c r="Q1569" i="3" s="1"/>
  <c r="M1569" i="3"/>
  <c r="L1569" i="3"/>
  <c r="J1569" i="3"/>
  <c r="O1633" i="3"/>
  <c r="Q1633" i="3" s="1"/>
  <c r="L1633" i="3"/>
  <c r="K1633" i="3"/>
  <c r="N1633" i="3"/>
  <c r="J1633" i="3"/>
  <c r="M1633" i="3"/>
  <c r="N1714" i="3"/>
  <c r="L1714" i="3"/>
  <c r="M1714" i="3"/>
  <c r="J1714" i="3"/>
  <c r="O1714" i="3"/>
  <c r="Q1714" i="3" s="1"/>
  <c r="K1714" i="3"/>
  <c r="N1746" i="3"/>
  <c r="L1746" i="3"/>
  <c r="M1746" i="3"/>
  <c r="J1746" i="3"/>
  <c r="O1746" i="3"/>
  <c r="Q1746" i="3" s="1"/>
  <c r="K1746" i="3"/>
  <c r="N1778" i="3"/>
  <c r="M1778" i="3"/>
  <c r="J1778" i="3"/>
  <c r="L1778" i="3"/>
  <c r="K1778" i="3"/>
  <c r="O1778" i="3"/>
  <c r="Q1778" i="3" s="1"/>
  <c r="M1805" i="3"/>
  <c r="N1805" i="3"/>
  <c r="J1805" i="3"/>
  <c r="K1805" i="3"/>
  <c r="L1805" i="3"/>
  <c r="O1805" i="3"/>
  <c r="Q1805" i="3" s="1"/>
  <c r="M1837" i="3"/>
  <c r="N1837" i="3"/>
  <c r="J1837" i="3"/>
  <c r="K1837" i="3"/>
  <c r="L1837" i="3"/>
  <c r="O1837" i="3"/>
  <c r="Q1837" i="3" s="1"/>
  <c r="J1869" i="3"/>
  <c r="M1869" i="3"/>
  <c r="N1869" i="3"/>
  <c r="K1869" i="3"/>
  <c r="L1869" i="3"/>
  <c r="O1869" i="3"/>
  <c r="Q1869" i="3" s="1"/>
  <c r="N1890" i="3"/>
  <c r="M1890" i="3"/>
  <c r="J1890" i="3"/>
  <c r="K1890" i="3"/>
  <c r="O1890" i="3"/>
  <c r="Q1890" i="3" s="1"/>
  <c r="L1890" i="3"/>
  <c r="L1916" i="3"/>
  <c r="N1916" i="3"/>
  <c r="J1916" i="3"/>
  <c r="K1916" i="3"/>
  <c r="M1916" i="3"/>
  <c r="O1916" i="3"/>
  <c r="Q1916" i="3" s="1"/>
  <c r="M1965" i="3"/>
  <c r="N1965" i="3"/>
  <c r="J1965" i="3"/>
  <c r="L1965" i="3"/>
  <c r="K1965" i="3"/>
  <c r="O1965" i="3"/>
  <c r="Q1965" i="3" s="1"/>
  <c r="N1986" i="3"/>
  <c r="K1986" i="3"/>
  <c r="J1986" i="3"/>
  <c r="O1986" i="3"/>
  <c r="Q1986" i="3" s="1"/>
  <c r="L1986" i="3"/>
  <c r="M1986" i="3"/>
  <c r="N1455" i="3"/>
  <c r="L1455" i="3"/>
  <c r="O1455" i="3"/>
  <c r="Q1455" i="3" s="1"/>
  <c r="J1455" i="3"/>
  <c r="M1455" i="3"/>
  <c r="K1455" i="3"/>
  <c r="M1551" i="3"/>
  <c r="O1551" i="3"/>
  <c r="Q1551" i="3" s="1"/>
  <c r="J1551" i="3"/>
  <c r="L1551" i="3"/>
  <c r="N1551" i="3"/>
  <c r="K1551" i="3"/>
  <c r="K1620" i="3"/>
  <c r="J1620" i="3"/>
  <c r="M1620" i="3"/>
  <c r="L1620" i="3"/>
  <c r="O1620" i="3"/>
  <c r="Q1620" i="3" s="1"/>
  <c r="N1620" i="3"/>
  <c r="M1945" i="3"/>
  <c r="N1945" i="3"/>
  <c r="J1945" i="3"/>
  <c r="K1945" i="3"/>
  <c r="L1945" i="3"/>
  <c r="O1945" i="3"/>
  <c r="Q1945" i="3" s="1"/>
  <c r="N1610" i="3"/>
  <c r="L1610" i="3"/>
  <c r="O1610" i="3"/>
  <c r="Q1610" i="3" s="1"/>
  <c r="J1610" i="3"/>
  <c r="K1610" i="3"/>
  <c r="M1610" i="3"/>
  <c r="K1656" i="3"/>
  <c r="J1656" i="3"/>
  <c r="L1656" i="3"/>
  <c r="N1656" i="3"/>
  <c r="M1656" i="3"/>
  <c r="O1656" i="3"/>
  <c r="Q1656" i="3" s="1"/>
  <c r="N1704" i="3"/>
  <c r="J1704" i="3"/>
  <c r="K1704" i="3"/>
  <c r="M1704" i="3"/>
  <c r="O1704" i="3"/>
  <c r="Q1704" i="3" s="1"/>
  <c r="L1704" i="3"/>
  <c r="N1721" i="3"/>
  <c r="M1721" i="3"/>
  <c r="K1721" i="3"/>
  <c r="O1721" i="3"/>
  <c r="Q1721" i="3" s="1"/>
  <c r="J1721" i="3"/>
  <c r="L1721" i="3"/>
  <c r="L1864" i="3"/>
  <c r="N1864" i="3"/>
  <c r="J1864" i="3"/>
  <c r="K1864" i="3"/>
  <c r="M1864" i="3"/>
  <c r="O1864" i="3"/>
  <c r="Q1864" i="3" s="1"/>
  <c r="N1882" i="3"/>
  <c r="M1882" i="3"/>
  <c r="J1882" i="3"/>
  <c r="K1882" i="3"/>
  <c r="O1882" i="3"/>
  <c r="Q1882" i="3" s="1"/>
  <c r="L1882" i="3"/>
  <c r="N1962" i="3"/>
  <c r="M1962" i="3"/>
  <c r="J1962" i="3"/>
  <c r="K1962" i="3"/>
  <c r="O1962" i="3"/>
  <c r="Q1962" i="3" s="1"/>
  <c r="L1962" i="3"/>
  <c r="K1992" i="3"/>
  <c r="J1992" i="3"/>
  <c r="L1992" i="3"/>
  <c r="M1992" i="3"/>
  <c r="O1992" i="3"/>
  <c r="Q1992" i="3" s="1"/>
  <c r="N1992" i="3"/>
  <c r="K1625" i="3"/>
  <c r="N1625" i="3"/>
  <c r="J1625" i="3"/>
  <c r="M1625" i="3"/>
  <c r="O1625" i="3"/>
  <c r="Q1625" i="3" s="1"/>
  <c r="L1625" i="3"/>
  <c r="N1942" i="3"/>
  <c r="M1942" i="3"/>
  <c r="J1942" i="3"/>
  <c r="K1942" i="3"/>
  <c r="O1942" i="3"/>
  <c r="Q1942" i="3" s="1"/>
  <c r="L1942" i="3"/>
  <c r="N1298" i="3"/>
  <c r="K1298" i="3"/>
  <c r="O1298" i="3"/>
  <c r="Q1298" i="3" s="1"/>
  <c r="J1298" i="3"/>
  <c r="M1298" i="3"/>
  <c r="L1298" i="3"/>
  <c r="N1710" i="3"/>
  <c r="L1710" i="3"/>
  <c r="M1710" i="3"/>
  <c r="J1710" i="3"/>
  <c r="K1710" i="3"/>
  <c r="O1710" i="3"/>
  <c r="Q1710" i="3" s="1"/>
  <c r="N1814" i="3"/>
  <c r="M1814" i="3"/>
  <c r="J1814" i="3"/>
  <c r="K1814" i="3"/>
  <c r="O1814" i="3"/>
  <c r="Q1814" i="3" s="1"/>
  <c r="L1814" i="3"/>
  <c r="N1919" i="3"/>
  <c r="J1919" i="3"/>
  <c r="M1919" i="3"/>
  <c r="L1919" i="3"/>
  <c r="O1919" i="3"/>
  <c r="Q1919" i="3" s="1"/>
  <c r="K1919" i="3"/>
  <c r="N1959" i="3"/>
  <c r="J1959" i="3"/>
  <c r="L1959" i="3"/>
  <c r="O1959" i="3"/>
  <c r="Q1959" i="3" s="1"/>
  <c r="M1959" i="3"/>
  <c r="K1959" i="3"/>
  <c r="N1599" i="3"/>
  <c r="M1599" i="3"/>
  <c r="K1599" i="3"/>
  <c r="O1599" i="3"/>
  <c r="Q1599" i="3" s="1"/>
  <c r="J1599" i="3"/>
  <c r="L1599" i="3"/>
  <c r="N1491" i="3"/>
  <c r="L1491" i="3"/>
  <c r="M1491" i="3"/>
  <c r="O1491" i="3"/>
  <c r="Q1491" i="3" s="1"/>
  <c r="K1491" i="3"/>
  <c r="J1491" i="3"/>
  <c r="O1797" i="3"/>
  <c r="Q1797" i="3" s="1"/>
  <c r="J1797" i="3"/>
  <c r="M1797" i="3"/>
  <c r="N1797" i="3"/>
  <c r="L1797" i="3"/>
  <c r="K1797" i="3"/>
  <c r="K1526" i="3"/>
  <c r="J1526" i="3"/>
  <c r="L1526" i="3"/>
  <c r="N1526" i="3"/>
  <c r="O1526" i="3"/>
  <c r="Q1526" i="3" s="1"/>
  <c r="M1526" i="3"/>
  <c r="N1603" i="3"/>
  <c r="M1603" i="3"/>
  <c r="K1603" i="3"/>
  <c r="O1603" i="3"/>
  <c r="Q1603" i="3" s="1"/>
  <c r="J1603" i="3"/>
  <c r="L1603" i="3"/>
  <c r="K1632" i="3"/>
  <c r="J1632" i="3"/>
  <c r="L1632" i="3"/>
  <c r="N1632" i="3"/>
  <c r="O1632" i="3"/>
  <c r="Q1632" i="3" s="1"/>
  <c r="M1632" i="3"/>
  <c r="N1840" i="3"/>
  <c r="J1840" i="3"/>
  <c r="K1840" i="3"/>
  <c r="L1840" i="3"/>
  <c r="M1840" i="3"/>
  <c r="O1840" i="3"/>
  <c r="Q1840" i="3" s="1"/>
  <c r="N1931" i="3"/>
  <c r="J1931" i="3"/>
  <c r="L1931" i="3"/>
  <c r="O1931" i="3"/>
  <c r="Q1931" i="3" s="1"/>
  <c r="K1931" i="3"/>
  <c r="M1931" i="3"/>
  <c r="K1442" i="3"/>
  <c r="J1442" i="3"/>
  <c r="L1442" i="3"/>
  <c r="N1442" i="3"/>
  <c r="M1442" i="3"/>
  <c r="O1442" i="3"/>
  <c r="Q1442" i="3" s="1"/>
  <c r="N1512" i="3"/>
  <c r="L1512" i="3"/>
  <c r="K1512" i="3"/>
  <c r="J1512" i="3"/>
  <c r="M1512" i="3"/>
  <c r="O1512" i="3"/>
  <c r="Q1512" i="3" s="1"/>
  <c r="N1622" i="3"/>
  <c r="L1622" i="3"/>
  <c r="J1622" i="3"/>
  <c r="K1622" i="3"/>
  <c r="M1622" i="3"/>
  <c r="O1622" i="3"/>
  <c r="Q1622" i="3" s="1"/>
  <c r="L1900" i="3"/>
  <c r="N1900" i="3"/>
  <c r="J1900" i="3"/>
  <c r="K1900" i="3"/>
  <c r="M1900" i="3"/>
  <c r="O1900" i="3"/>
  <c r="Q1900" i="3" s="1"/>
  <c r="N1425" i="3"/>
  <c r="K1425" i="3"/>
  <c r="M1425" i="3"/>
  <c r="O1425" i="3"/>
  <c r="Q1425" i="3" s="1"/>
  <c r="L1425" i="3"/>
  <c r="J1425" i="3"/>
  <c r="N1448" i="3"/>
  <c r="L1448" i="3"/>
  <c r="M1448" i="3"/>
  <c r="O1448" i="3"/>
  <c r="Q1448" i="3" s="1"/>
  <c r="K1448" i="3"/>
  <c r="J1448" i="3"/>
  <c r="K1478" i="3"/>
  <c r="N1478" i="3"/>
  <c r="L1478" i="3"/>
  <c r="J1478" i="3"/>
  <c r="O1478" i="3"/>
  <c r="Q1478" i="3" s="1"/>
  <c r="M1478" i="3"/>
  <c r="K1510" i="3"/>
  <c r="N1510" i="3"/>
  <c r="L1510" i="3"/>
  <c r="J1510" i="3"/>
  <c r="O1510" i="3"/>
  <c r="Q1510" i="3" s="1"/>
  <c r="M1510" i="3"/>
  <c r="P1510" i="3" s="1"/>
  <c r="N1552" i="3"/>
  <c r="L1552" i="3"/>
  <c r="M1552" i="3"/>
  <c r="O1552" i="3"/>
  <c r="Q1552" i="3" s="1"/>
  <c r="J1552" i="3"/>
  <c r="K1552" i="3"/>
  <c r="N1387" i="3"/>
  <c r="K1387" i="3"/>
  <c r="O1387" i="3"/>
  <c r="Q1387" i="3" s="1"/>
  <c r="L1387" i="3"/>
  <c r="M1387" i="3"/>
  <c r="J1387" i="3"/>
  <c r="M1435" i="3"/>
  <c r="O1435" i="3"/>
  <c r="Q1435" i="3" s="1"/>
  <c r="L1435" i="3"/>
  <c r="N1435" i="3"/>
  <c r="K1435" i="3"/>
  <c r="J1435" i="3"/>
  <c r="L1506" i="3"/>
  <c r="J1506" i="3"/>
  <c r="M1506" i="3"/>
  <c r="K1506" i="3"/>
  <c r="O1506" i="3"/>
  <c r="Q1506" i="3" s="1"/>
  <c r="N1506" i="3"/>
  <c r="N1733" i="3"/>
  <c r="J1733" i="3"/>
  <c r="L1733" i="3"/>
  <c r="M1733" i="3"/>
  <c r="K1733" i="3"/>
  <c r="O1733" i="3"/>
  <c r="Q1733" i="3" s="1"/>
  <c r="K1430" i="3"/>
  <c r="L1430" i="3"/>
  <c r="N1430" i="3"/>
  <c r="J1430" i="3"/>
  <c r="M1430" i="3"/>
  <c r="O1430" i="3"/>
  <c r="Q1430" i="3" s="1"/>
  <c r="N1606" i="3"/>
  <c r="L1606" i="3"/>
  <c r="M1606" i="3"/>
  <c r="J1606" i="3"/>
  <c r="K1606" i="3"/>
  <c r="O1606" i="3"/>
  <c r="Q1606" i="3" s="1"/>
  <c r="N1974" i="3"/>
  <c r="M1974" i="3"/>
  <c r="J1974" i="3"/>
  <c r="K1974" i="3"/>
  <c r="O1974" i="3"/>
  <c r="Q1974" i="3" s="1"/>
  <c r="L1974" i="3"/>
  <c r="N1894" i="3"/>
  <c r="M1894" i="3"/>
  <c r="J1894" i="3"/>
  <c r="K1894" i="3"/>
  <c r="O1894" i="3"/>
  <c r="Q1894" i="3" s="1"/>
  <c r="L1894" i="3"/>
  <c r="J1893" i="3"/>
  <c r="M1893" i="3"/>
  <c r="N1893" i="3"/>
  <c r="K1893" i="3"/>
  <c r="L1893" i="3"/>
  <c r="O1893" i="3"/>
  <c r="Q1893" i="3" s="1"/>
  <c r="N1847" i="3"/>
  <c r="J1847" i="3"/>
  <c r="M1847" i="3"/>
  <c r="K1847" i="3"/>
  <c r="L1847" i="3"/>
  <c r="O1847" i="3"/>
  <c r="Q1847" i="3" s="1"/>
  <c r="K1275" i="3"/>
  <c r="N1275" i="3"/>
  <c r="O1275" i="3"/>
  <c r="Q1275" i="3" s="1"/>
  <c r="L1275" i="3"/>
  <c r="M1275" i="3"/>
  <c r="J1275" i="3"/>
  <c r="K1542" i="3"/>
  <c r="L1542" i="3"/>
  <c r="J1542" i="3"/>
  <c r="N1542" i="3"/>
  <c r="M1542" i="3"/>
  <c r="O1542" i="3"/>
  <c r="Q1542" i="3" s="1"/>
  <c r="N1215" i="3"/>
  <c r="J1215" i="3"/>
  <c r="K1215" i="3"/>
  <c r="O1215" i="3"/>
  <c r="Q1215" i="3" s="1"/>
  <c r="L1215" i="3"/>
  <c r="M1215" i="3"/>
  <c r="N1505" i="3"/>
  <c r="K1505" i="3"/>
  <c r="O1505" i="3"/>
  <c r="Q1505" i="3" s="1"/>
  <c r="M1505" i="3"/>
  <c r="L1505" i="3"/>
  <c r="J1505" i="3"/>
  <c r="N1324" i="3"/>
  <c r="O1324" i="3"/>
  <c r="Q1324" i="3" s="1"/>
  <c r="L1324" i="3"/>
  <c r="J1324" i="3"/>
  <c r="K1324" i="3"/>
  <c r="M1324" i="3"/>
  <c r="N1440" i="3"/>
  <c r="L1440" i="3"/>
  <c r="M1440" i="3"/>
  <c r="O1440" i="3"/>
  <c r="Q1440" i="3" s="1"/>
  <c r="J1440" i="3"/>
  <c r="K1440" i="3"/>
  <c r="N1504" i="3"/>
  <c r="L1504" i="3"/>
  <c r="K1504" i="3"/>
  <c r="O1504" i="3"/>
  <c r="Q1504" i="3" s="1"/>
  <c r="M1504" i="3"/>
  <c r="J1504" i="3"/>
  <c r="N1524" i="3"/>
  <c r="L1524" i="3"/>
  <c r="M1524" i="3"/>
  <c r="J1524" i="3"/>
  <c r="K1524" i="3"/>
  <c r="O1524" i="3"/>
  <c r="Q1524" i="3" s="1"/>
  <c r="N1667" i="3"/>
  <c r="K1667" i="3"/>
  <c r="M1667" i="3"/>
  <c r="O1667" i="3"/>
  <c r="Q1667" i="3" s="1"/>
  <c r="J1667" i="3"/>
  <c r="L1667" i="3"/>
  <c r="K1795" i="3"/>
  <c r="M1795" i="3"/>
  <c r="N1795" i="3"/>
  <c r="O1795" i="3"/>
  <c r="Q1795" i="3" s="1"/>
  <c r="L1795" i="3"/>
  <c r="J1795" i="3"/>
  <c r="N1859" i="3"/>
  <c r="J1859" i="3"/>
  <c r="L1859" i="3"/>
  <c r="O1859" i="3"/>
  <c r="Q1859" i="3" s="1"/>
  <c r="M1859" i="3"/>
  <c r="K1859" i="3"/>
  <c r="N1509" i="3"/>
  <c r="M1509" i="3"/>
  <c r="O1509" i="3"/>
  <c r="Q1509" i="3" s="1"/>
  <c r="K1509" i="3"/>
  <c r="J1509" i="3"/>
  <c r="L1509" i="3"/>
  <c r="J1636" i="3"/>
  <c r="M1636" i="3"/>
  <c r="L1636" i="3"/>
  <c r="K1636" i="3"/>
  <c r="O1636" i="3"/>
  <c r="Q1636" i="3" s="1"/>
  <c r="N1636" i="3"/>
  <c r="N1780" i="3"/>
  <c r="K1780" i="3"/>
  <c r="J1780" i="3"/>
  <c r="M1780" i="3"/>
  <c r="L1780" i="3"/>
  <c r="O1780" i="3"/>
  <c r="Q1780" i="3" s="1"/>
  <c r="N1887" i="3"/>
  <c r="J1887" i="3"/>
  <c r="L1887" i="3"/>
  <c r="O1887" i="3"/>
  <c r="Q1887" i="3" s="1"/>
  <c r="M1887" i="3"/>
  <c r="K1887" i="3"/>
  <c r="M1941" i="3"/>
  <c r="N1941" i="3"/>
  <c r="J1941" i="3"/>
  <c r="L1941" i="3"/>
  <c r="K1941" i="3"/>
  <c r="O1941" i="3"/>
  <c r="Q1941" i="3" s="1"/>
  <c r="N1461" i="3"/>
  <c r="K1461" i="3"/>
  <c r="O1461" i="3"/>
  <c r="Q1461" i="3" s="1"/>
  <c r="M1461" i="3"/>
  <c r="J1461" i="3"/>
  <c r="L1461" i="3"/>
  <c r="M1755" i="3"/>
  <c r="N1755" i="3"/>
  <c r="K1755" i="3"/>
  <c r="J1755" i="3"/>
  <c r="O1755" i="3"/>
  <c r="Q1755" i="3" s="1"/>
  <c r="L1755" i="3"/>
  <c r="L1912" i="3"/>
  <c r="N1912" i="3"/>
  <c r="J1912" i="3"/>
  <c r="K1912" i="3"/>
  <c r="M1912" i="3"/>
  <c r="O1912" i="3"/>
  <c r="Q1912" i="3" s="1"/>
  <c r="M1527" i="3"/>
  <c r="N1527" i="3"/>
  <c r="K1527" i="3"/>
  <c r="O1527" i="3"/>
  <c r="Q1527" i="3" s="1"/>
  <c r="J1527" i="3"/>
  <c r="L1527" i="3"/>
  <c r="K1617" i="3"/>
  <c r="N1617" i="3"/>
  <c r="J1617" i="3"/>
  <c r="M1617" i="3"/>
  <c r="O1617" i="3"/>
  <c r="Q1617" i="3" s="1"/>
  <c r="L1617" i="3"/>
  <c r="N1408" i="3"/>
  <c r="L1408" i="3"/>
  <c r="M1408" i="3"/>
  <c r="K1408" i="3"/>
  <c r="O1408" i="3"/>
  <c r="Q1408" i="3" s="1"/>
  <c r="J1408" i="3"/>
  <c r="K1431" i="3"/>
  <c r="O1431" i="3"/>
  <c r="Q1431" i="3" s="1"/>
  <c r="N1431" i="3"/>
  <c r="J1431" i="3"/>
  <c r="M1431" i="3"/>
  <c r="L1431" i="3"/>
  <c r="N1452" i="3"/>
  <c r="L1452" i="3"/>
  <c r="M1452" i="3"/>
  <c r="J1452" i="3"/>
  <c r="O1452" i="3"/>
  <c r="Q1452" i="3" s="1"/>
  <c r="K1452" i="3"/>
  <c r="N1472" i="3"/>
  <c r="L1472" i="3"/>
  <c r="K1472" i="3"/>
  <c r="J1472" i="3"/>
  <c r="O1472" i="3"/>
  <c r="Q1472" i="3" s="1"/>
  <c r="M1472" i="3"/>
  <c r="J1495" i="3"/>
  <c r="L1495" i="3"/>
  <c r="M1495" i="3"/>
  <c r="N1495" i="3"/>
  <c r="K1495" i="3"/>
  <c r="O1495" i="3"/>
  <c r="Q1495" i="3" s="1"/>
  <c r="N1516" i="3"/>
  <c r="L1516" i="3"/>
  <c r="M1516" i="3"/>
  <c r="J1516" i="3"/>
  <c r="O1516" i="3"/>
  <c r="Q1516" i="3" s="1"/>
  <c r="K1516" i="3"/>
  <c r="K1590" i="3"/>
  <c r="L1590" i="3"/>
  <c r="J1590" i="3"/>
  <c r="N1590" i="3"/>
  <c r="M1590" i="3"/>
  <c r="O1590" i="3"/>
  <c r="Q1590" i="3" s="1"/>
  <c r="N1686" i="3"/>
  <c r="L1686" i="3"/>
  <c r="J1686" i="3"/>
  <c r="K1686" i="3"/>
  <c r="M1686" i="3"/>
  <c r="O1686" i="3"/>
  <c r="Q1686" i="3" s="1"/>
  <c r="N1481" i="3"/>
  <c r="K1481" i="3"/>
  <c r="O1481" i="3"/>
  <c r="Q1481" i="3" s="1"/>
  <c r="M1481" i="3"/>
  <c r="J1481" i="3"/>
  <c r="L1481" i="3"/>
  <c r="N1545" i="3"/>
  <c r="K1545" i="3"/>
  <c r="O1545" i="3"/>
  <c r="Q1545" i="3" s="1"/>
  <c r="M1545" i="3"/>
  <c r="J1545" i="3"/>
  <c r="L1545" i="3"/>
  <c r="K1570" i="3"/>
  <c r="J1570" i="3"/>
  <c r="N1570" i="3"/>
  <c r="M1570" i="3"/>
  <c r="L1570" i="3"/>
  <c r="O1570" i="3"/>
  <c r="Q1570" i="3" s="1"/>
  <c r="M1597" i="3"/>
  <c r="J1597" i="3"/>
  <c r="L1597" i="3"/>
  <c r="N1597" i="3"/>
  <c r="K1597" i="3"/>
  <c r="O1597" i="3"/>
  <c r="Q1597" i="3" s="1"/>
  <c r="N1642" i="3"/>
  <c r="L1642" i="3"/>
  <c r="O1642" i="3"/>
  <c r="Q1642" i="3" s="1"/>
  <c r="J1642" i="3"/>
  <c r="K1642" i="3"/>
  <c r="M1642" i="3"/>
  <c r="N1692" i="3"/>
  <c r="K1692" i="3"/>
  <c r="J1692" i="3"/>
  <c r="L1692" i="3"/>
  <c r="M1692" i="3"/>
  <c r="O1692" i="3"/>
  <c r="Q1692" i="3" s="1"/>
  <c r="N1724" i="3"/>
  <c r="K1724" i="3"/>
  <c r="J1724" i="3"/>
  <c r="L1724" i="3"/>
  <c r="M1724" i="3"/>
  <c r="O1724" i="3"/>
  <c r="Q1724" i="3" s="1"/>
  <c r="N1756" i="3"/>
  <c r="K1756" i="3"/>
  <c r="J1756" i="3"/>
  <c r="M1756" i="3"/>
  <c r="O1756" i="3"/>
  <c r="Q1756" i="3" s="1"/>
  <c r="L1756" i="3"/>
  <c r="M1781" i="3"/>
  <c r="J1781" i="3"/>
  <c r="N1781" i="3"/>
  <c r="L1781" i="3"/>
  <c r="K1781" i="3"/>
  <c r="O1781" i="3"/>
  <c r="Q1781" i="3" s="1"/>
  <c r="N1806" i="3"/>
  <c r="M1806" i="3"/>
  <c r="J1806" i="3"/>
  <c r="K1806" i="3"/>
  <c r="O1806" i="3"/>
  <c r="Q1806" i="3" s="1"/>
  <c r="L1806" i="3"/>
  <c r="N1827" i="3"/>
  <c r="O1827" i="3"/>
  <c r="Q1827" i="3" s="1"/>
  <c r="J1827" i="3"/>
  <c r="K1827" i="3"/>
  <c r="L1827" i="3"/>
  <c r="M1827" i="3"/>
  <c r="P1827" i="3" s="1"/>
  <c r="M1845" i="3"/>
  <c r="N1845" i="3"/>
  <c r="J1845" i="3"/>
  <c r="K1845" i="3"/>
  <c r="O1845" i="3"/>
  <c r="Q1845" i="3" s="1"/>
  <c r="L1845" i="3"/>
  <c r="N1870" i="3"/>
  <c r="M1870" i="3"/>
  <c r="J1870" i="3"/>
  <c r="K1870" i="3"/>
  <c r="O1870" i="3"/>
  <c r="Q1870" i="3" s="1"/>
  <c r="L1870" i="3"/>
  <c r="N1891" i="3"/>
  <c r="J1891" i="3"/>
  <c r="L1891" i="3"/>
  <c r="O1891" i="3"/>
  <c r="Q1891" i="3" s="1"/>
  <c r="K1891" i="3"/>
  <c r="M1891" i="3"/>
  <c r="M1929" i="3"/>
  <c r="N1929" i="3"/>
  <c r="J1929" i="3"/>
  <c r="K1929" i="3"/>
  <c r="L1929" i="3"/>
  <c r="O1929" i="3"/>
  <c r="Q1929" i="3" s="1"/>
  <c r="K1988" i="3"/>
  <c r="M1988" i="3"/>
  <c r="O1988" i="3"/>
  <c r="Q1988" i="3" s="1"/>
  <c r="N1988" i="3"/>
  <c r="J1988" i="3"/>
  <c r="L1988" i="3"/>
  <c r="O1411" i="3"/>
  <c r="Q1411" i="3" s="1"/>
  <c r="M1411" i="3"/>
  <c r="N1411" i="3"/>
  <c r="L1411" i="3"/>
  <c r="K1411" i="3"/>
  <c r="J1411" i="3"/>
  <c r="K1450" i="3"/>
  <c r="J1450" i="3"/>
  <c r="N1450" i="3"/>
  <c r="L1450" i="3"/>
  <c r="M1450" i="3"/>
  <c r="O1450" i="3"/>
  <c r="Q1450" i="3" s="1"/>
  <c r="N1544" i="3"/>
  <c r="L1544" i="3"/>
  <c r="M1544" i="3"/>
  <c r="O1544" i="3"/>
  <c r="Q1544" i="3" s="1"/>
  <c r="J1544" i="3"/>
  <c r="K1544" i="3"/>
  <c r="N1623" i="3"/>
  <c r="M1623" i="3"/>
  <c r="O1623" i="3"/>
  <c r="Q1623" i="3" s="1"/>
  <c r="K1623" i="3"/>
  <c r="J1623" i="3"/>
  <c r="L1623" i="3"/>
  <c r="L1661" i="3"/>
  <c r="N1661" i="3"/>
  <c r="O1661" i="3"/>
  <c r="Q1661" i="3" s="1"/>
  <c r="M1661" i="3"/>
  <c r="K1661" i="3"/>
  <c r="J1661" i="3"/>
  <c r="N1689" i="3"/>
  <c r="M1689" i="3"/>
  <c r="K1689" i="3"/>
  <c r="O1689" i="3"/>
  <c r="Q1689" i="3" s="1"/>
  <c r="J1689" i="3"/>
  <c r="L1689" i="3"/>
  <c r="N1716" i="3"/>
  <c r="K1716" i="3"/>
  <c r="J1716" i="3"/>
  <c r="M1716" i="3"/>
  <c r="L1716" i="3"/>
  <c r="O1716" i="3"/>
  <c r="Q1716" i="3" s="1"/>
  <c r="N1743" i="3"/>
  <c r="M1743" i="3"/>
  <c r="K1743" i="3"/>
  <c r="L1743" i="3"/>
  <c r="J1743" i="3"/>
  <c r="O1743" i="3"/>
  <c r="Q1743" i="3" s="1"/>
  <c r="N1764" i="3"/>
  <c r="K1764" i="3"/>
  <c r="J1764" i="3"/>
  <c r="M1764" i="3"/>
  <c r="L1764" i="3"/>
  <c r="O1764" i="3"/>
  <c r="Q1764" i="3" s="1"/>
  <c r="O1793" i="3"/>
  <c r="Q1793" i="3" s="1"/>
  <c r="J1793" i="3"/>
  <c r="M1793" i="3"/>
  <c r="P1793" i="3" s="1"/>
  <c r="N1793" i="3"/>
  <c r="K1793" i="3"/>
  <c r="L1793" i="3"/>
  <c r="N1823" i="3"/>
  <c r="M1823" i="3"/>
  <c r="O1823" i="3"/>
  <c r="Q1823" i="3" s="1"/>
  <c r="J1823" i="3"/>
  <c r="K1823" i="3"/>
  <c r="L1823" i="3"/>
  <c r="N1844" i="3"/>
  <c r="J1844" i="3"/>
  <c r="K1844" i="3"/>
  <c r="M1844" i="3"/>
  <c r="O1844" i="3"/>
  <c r="Q1844" i="3" s="1"/>
  <c r="L1844" i="3"/>
  <c r="N1871" i="3"/>
  <c r="J1871" i="3"/>
  <c r="M1871" i="3"/>
  <c r="L1871" i="3"/>
  <c r="O1871" i="3"/>
  <c r="Q1871" i="3" s="1"/>
  <c r="K1871" i="3"/>
  <c r="L1892" i="3"/>
  <c r="N1892" i="3"/>
  <c r="J1892" i="3"/>
  <c r="K1892" i="3"/>
  <c r="M1892" i="3"/>
  <c r="O1892" i="3"/>
  <c r="Q1892" i="3" s="1"/>
  <c r="N1930" i="3"/>
  <c r="M1930" i="3"/>
  <c r="J1930" i="3"/>
  <c r="K1930" i="3"/>
  <c r="O1930" i="3"/>
  <c r="Q1930" i="3" s="1"/>
  <c r="L1930" i="3"/>
  <c r="J1957" i="3"/>
  <c r="M1957" i="3"/>
  <c r="N1957" i="3"/>
  <c r="L1957" i="3"/>
  <c r="K1957" i="3"/>
  <c r="O1957" i="3"/>
  <c r="Q1957" i="3" s="1"/>
  <c r="N1979" i="3"/>
  <c r="J1979" i="3"/>
  <c r="L1979" i="3"/>
  <c r="K1979" i="3"/>
  <c r="M1979" i="3"/>
  <c r="O1979" i="3"/>
  <c r="Q1979" i="3" s="1"/>
  <c r="M1427" i="3"/>
  <c r="O1427" i="3"/>
  <c r="Q1427" i="3" s="1"/>
  <c r="L1427" i="3"/>
  <c r="N1427" i="3"/>
  <c r="J1427" i="3"/>
  <c r="K1427" i="3"/>
  <c r="K1550" i="3"/>
  <c r="L1550" i="3"/>
  <c r="J1550" i="3"/>
  <c r="N1550" i="3"/>
  <c r="O1550" i="3"/>
  <c r="Q1550" i="3" s="1"/>
  <c r="M1550" i="3"/>
  <c r="N1560" i="3"/>
  <c r="L1560" i="3"/>
  <c r="M1560" i="3"/>
  <c r="O1560" i="3"/>
  <c r="Q1560" i="3" s="1"/>
  <c r="J1560" i="3"/>
  <c r="K1560" i="3"/>
  <c r="K1586" i="3"/>
  <c r="N1586" i="3"/>
  <c r="J1586" i="3"/>
  <c r="L1586" i="3"/>
  <c r="M1586" i="3"/>
  <c r="O1586" i="3"/>
  <c r="Q1586" i="3" s="1"/>
  <c r="N1614" i="3"/>
  <c r="L1614" i="3"/>
  <c r="J1614" i="3"/>
  <c r="K1614" i="3"/>
  <c r="M1614" i="3"/>
  <c r="O1614" i="3"/>
  <c r="Q1614" i="3" s="1"/>
  <c r="K1624" i="3"/>
  <c r="J1624" i="3"/>
  <c r="L1624" i="3"/>
  <c r="N1624" i="3"/>
  <c r="M1624" i="3"/>
  <c r="O1624" i="3"/>
  <c r="Q1624" i="3" s="1"/>
  <c r="N1650" i="3"/>
  <c r="L1650" i="3"/>
  <c r="O1650" i="3"/>
  <c r="Q1650" i="3" s="1"/>
  <c r="J1650" i="3"/>
  <c r="K1650" i="3"/>
  <c r="M1650" i="3"/>
  <c r="N1679" i="3"/>
  <c r="M1679" i="3"/>
  <c r="O1679" i="3"/>
  <c r="Q1679" i="3" s="1"/>
  <c r="K1679" i="3"/>
  <c r="L1679" i="3"/>
  <c r="J1679" i="3"/>
  <c r="N1688" i="3"/>
  <c r="J1688" i="3"/>
  <c r="K1688" i="3"/>
  <c r="M1688" i="3"/>
  <c r="O1688" i="3"/>
  <c r="Q1688" i="3" s="1"/>
  <c r="L1688" i="3"/>
  <c r="N1723" i="3"/>
  <c r="M1723" i="3"/>
  <c r="K1723" i="3"/>
  <c r="L1723" i="3"/>
  <c r="O1723" i="3"/>
  <c r="Q1723" i="3" s="1"/>
  <c r="J1723" i="3"/>
  <c r="N1739" i="3"/>
  <c r="M1739" i="3"/>
  <c r="L1739" i="3"/>
  <c r="O1739" i="3"/>
  <c r="Q1739" i="3" s="1"/>
  <c r="K1739" i="3"/>
  <c r="J1739" i="3"/>
  <c r="N1766" i="3"/>
  <c r="M1766" i="3"/>
  <c r="J1766" i="3"/>
  <c r="K1766" i="3"/>
  <c r="O1766" i="3"/>
  <c r="Q1766" i="3" s="1"/>
  <c r="L1766" i="3"/>
  <c r="K1787" i="3"/>
  <c r="M1787" i="3"/>
  <c r="N1787" i="3"/>
  <c r="O1787" i="3"/>
  <c r="Q1787" i="3" s="1"/>
  <c r="L1787" i="3"/>
  <c r="J1787" i="3"/>
  <c r="N1803" i="3"/>
  <c r="L1803" i="3"/>
  <c r="M1803" i="3"/>
  <c r="O1803" i="3"/>
  <c r="Q1803" i="3" s="1"/>
  <c r="J1803" i="3"/>
  <c r="K1803" i="3"/>
  <c r="N1835" i="3"/>
  <c r="L1835" i="3"/>
  <c r="M1835" i="3"/>
  <c r="O1835" i="3"/>
  <c r="Q1835" i="3" s="1"/>
  <c r="J1835" i="3"/>
  <c r="K1835" i="3"/>
  <c r="N1867" i="3"/>
  <c r="J1867" i="3"/>
  <c r="L1867" i="3"/>
  <c r="O1867" i="3"/>
  <c r="Q1867" i="3" s="1"/>
  <c r="M1867" i="3"/>
  <c r="K1867" i="3"/>
  <c r="N1899" i="3"/>
  <c r="J1899" i="3"/>
  <c r="L1899" i="3"/>
  <c r="M1899" i="3"/>
  <c r="O1899" i="3"/>
  <c r="Q1899" i="3" s="1"/>
  <c r="K1899" i="3"/>
  <c r="J1953" i="3"/>
  <c r="M1953" i="3"/>
  <c r="N1953" i="3"/>
  <c r="L1953" i="3"/>
  <c r="K1953" i="3"/>
  <c r="O1953" i="3"/>
  <c r="Q1953" i="3" s="1"/>
  <c r="M1969" i="3"/>
  <c r="N1969" i="3"/>
  <c r="J1969" i="3"/>
  <c r="L1969" i="3"/>
  <c r="K1969" i="3"/>
  <c r="O1969" i="3"/>
  <c r="Q1969" i="3" s="1"/>
  <c r="N1359" i="3"/>
  <c r="K1359" i="3"/>
  <c r="O1359" i="3"/>
  <c r="Q1359" i="3" s="1"/>
  <c r="J1359" i="3"/>
  <c r="M1359" i="3"/>
  <c r="L1359" i="3"/>
  <c r="N1417" i="3"/>
  <c r="K1417" i="3"/>
  <c r="O1417" i="3"/>
  <c r="Q1417" i="3" s="1"/>
  <c r="M1417" i="3"/>
  <c r="L1417" i="3"/>
  <c r="J1417" i="3"/>
  <c r="M1459" i="3"/>
  <c r="O1459" i="3"/>
  <c r="Q1459" i="3" s="1"/>
  <c r="N1459" i="3"/>
  <c r="L1459" i="3"/>
  <c r="K1459" i="3"/>
  <c r="J1459" i="3"/>
  <c r="M1591" i="3"/>
  <c r="O1591" i="3"/>
  <c r="Q1591" i="3" s="1"/>
  <c r="L1591" i="3"/>
  <c r="K1591" i="3"/>
  <c r="N1591" i="3"/>
  <c r="J1591" i="3"/>
  <c r="N1736" i="3"/>
  <c r="J1736" i="3"/>
  <c r="K1736" i="3"/>
  <c r="M1736" i="3"/>
  <c r="O1736" i="3"/>
  <c r="Q1736" i="3" s="1"/>
  <c r="L1736" i="3"/>
  <c r="N1752" i="3"/>
  <c r="J1752" i="3"/>
  <c r="K1752" i="3"/>
  <c r="M1752" i="3"/>
  <c r="O1752" i="3"/>
  <c r="Q1752" i="3" s="1"/>
  <c r="L1752" i="3"/>
  <c r="N1768" i="3"/>
  <c r="J1768" i="3"/>
  <c r="K1768" i="3"/>
  <c r="M1768" i="3"/>
  <c r="O1768" i="3"/>
  <c r="Q1768" i="3" s="1"/>
  <c r="L1768" i="3"/>
  <c r="N1818" i="3"/>
  <c r="M1818" i="3"/>
  <c r="J1818" i="3"/>
  <c r="K1818" i="3"/>
  <c r="O1818" i="3"/>
  <c r="Q1818" i="3" s="1"/>
  <c r="L1818" i="3"/>
  <c r="M1833" i="3"/>
  <c r="N1833" i="3"/>
  <c r="J1833" i="3"/>
  <c r="O1833" i="3"/>
  <c r="Q1833" i="3" s="1"/>
  <c r="L1833" i="3"/>
  <c r="K1833" i="3"/>
  <c r="N1902" i="3"/>
  <c r="M1902" i="3"/>
  <c r="J1902" i="3"/>
  <c r="K1902" i="3"/>
  <c r="O1902" i="3"/>
  <c r="Q1902" i="3" s="1"/>
  <c r="L1902" i="3"/>
  <c r="L1944" i="3"/>
  <c r="N1944" i="3"/>
  <c r="J1944" i="3"/>
  <c r="K1944" i="3"/>
  <c r="M1944" i="3"/>
  <c r="O1944" i="3"/>
  <c r="Q1944" i="3" s="1"/>
  <c r="N1137" i="3"/>
  <c r="M1137" i="3"/>
  <c r="J1137" i="3"/>
  <c r="O1137" i="3"/>
  <c r="Q1137" i="3" s="1"/>
  <c r="K1137" i="3"/>
  <c r="L1137" i="3"/>
  <c r="O1407" i="3"/>
  <c r="Q1407" i="3" s="1"/>
  <c r="M1407" i="3"/>
  <c r="N1407" i="3"/>
  <c r="L1407" i="3"/>
  <c r="K1407" i="3"/>
  <c r="J1407" i="3"/>
  <c r="N1460" i="3"/>
  <c r="L1460" i="3"/>
  <c r="M1460" i="3"/>
  <c r="P1460" i="3" s="1"/>
  <c r="K1460" i="3"/>
  <c r="O1460" i="3"/>
  <c r="Q1460" i="3" s="1"/>
  <c r="J1460" i="3"/>
  <c r="N1496" i="3"/>
  <c r="L1496" i="3"/>
  <c r="O1496" i="3"/>
  <c r="Q1496" i="3" s="1"/>
  <c r="K1496" i="3"/>
  <c r="M1496" i="3"/>
  <c r="J1496" i="3"/>
  <c r="M1563" i="3"/>
  <c r="K1563" i="3"/>
  <c r="O1563" i="3"/>
  <c r="Q1563" i="3" s="1"/>
  <c r="L1563" i="3"/>
  <c r="J1563" i="3"/>
  <c r="N1563" i="3"/>
  <c r="N1646" i="3"/>
  <c r="L1646" i="3"/>
  <c r="J1646" i="3"/>
  <c r="K1646" i="3"/>
  <c r="M1646" i="3"/>
  <c r="O1646" i="3"/>
  <c r="Q1646" i="3" s="1"/>
  <c r="N1703" i="3"/>
  <c r="M1703" i="3"/>
  <c r="L1703" i="3"/>
  <c r="K1703" i="3"/>
  <c r="J1703" i="3"/>
  <c r="O1703" i="3"/>
  <c r="Q1703" i="3" s="1"/>
  <c r="N1742" i="3"/>
  <c r="L1742" i="3"/>
  <c r="M1742" i="3"/>
  <c r="J1742" i="3"/>
  <c r="K1742" i="3"/>
  <c r="O1742" i="3"/>
  <c r="Q1742" i="3" s="1"/>
  <c r="N1792" i="3"/>
  <c r="J1792" i="3"/>
  <c r="L1792" i="3"/>
  <c r="K1792" i="3"/>
  <c r="M1792" i="3"/>
  <c r="O1792" i="3"/>
  <c r="Q1792" i="3" s="1"/>
  <c r="L1856" i="3"/>
  <c r="N1856" i="3"/>
  <c r="J1856" i="3"/>
  <c r="K1856" i="3"/>
  <c r="M1856" i="3"/>
  <c r="O1856" i="3"/>
  <c r="Q1856" i="3" s="1"/>
  <c r="N1943" i="3"/>
  <c r="J1943" i="3"/>
  <c r="L1943" i="3"/>
  <c r="O1943" i="3"/>
  <c r="Q1943" i="3" s="1"/>
  <c r="M1943" i="3"/>
  <c r="K1943" i="3"/>
  <c r="L1968" i="3"/>
  <c r="N1968" i="3"/>
  <c r="J1968" i="3"/>
  <c r="K1968" i="3"/>
  <c r="M1968" i="3"/>
  <c r="O1968" i="3"/>
  <c r="Q1968" i="3" s="1"/>
  <c r="M1405" i="3"/>
  <c r="N1405" i="3"/>
  <c r="L1405" i="3"/>
  <c r="O1405" i="3"/>
  <c r="Q1405" i="3" s="1"/>
  <c r="J1405" i="3"/>
  <c r="K1405" i="3"/>
  <c r="N1540" i="3"/>
  <c r="L1540" i="3"/>
  <c r="J1540" i="3"/>
  <c r="K1540" i="3"/>
  <c r="M1540" i="3"/>
  <c r="O1540" i="3"/>
  <c r="Q1540" i="3" s="1"/>
  <c r="O1609" i="3"/>
  <c r="Q1609" i="3" s="1"/>
  <c r="L1609" i="3"/>
  <c r="K1609" i="3"/>
  <c r="N1609" i="3"/>
  <c r="J1609" i="3"/>
  <c r="M1609" i="3"/>
  <c r="P1609" i="3" s="1"/>
  <c r="K1640" i="3"/>
  <c r="J1640" i="3"/>
  <c r="L1640" i="3"/>
  <c r="N1640" i="3"/>
  <c r="M1640" i="3"/>
  <c r="O1640" i="3"/>
  <c r="Q1640" i="3" s="1"/>
  <c r="N1683" i="3"/>
  <c r="K1683" i="3"/>
  <c r="M1683" i="3"/>
  <c r="O1683" i="3"/>
  <c r="Q1683" i="3" s="1"/>
  <c r="J1683" i="3"/>
  <c r="L1683" i="3"/>
  <c r="N1722" i="3"/>
  <c r="L1722" i="3"/>
  <c r="M1722" i="3"/>
  <c r="J1722" i="3"/>
  <c r="O1722" i="3"/>
  <c r="Q1722" i="3" s="1"/>
  <c r="K1722" i="3"/>
  <c r="N1811" i="3"/>
  <c r="O1811" i="3"/>
  <c r="Q1811" i="3" s="1"/>
  <c r="J1811" i="3"/>
  <c r="K1811" i="3"/>
  <c r="L1811" i="3"/>
  <c r="M1811" i="3"/>
  <c r="P1811" i="3" s="1"/>
  <c r="N1854" i="3"/>
  <c r="M1854" i="3"/>
  <c r="J1854" i="3"/>
  <c r="K1854" i="3"/>
  <c r="O1854" i="3"/>
  <c r="Q1854" i="3" s="1"/>
  <c r="L1854" i="3"/>
  <c r="N1910" i="3"/>
  <c r="M1910" i="3"/>
  <c r="J1910" i="3"/>
  <c r="K1910" i="3"/>
  <c r="O1910" i="3"/>
  <c r="Q1910" i="3" s="1"/>
  <c r="L1910" i="3"/>
  <c r="K1976" i="3"/>
  <c r="J1976" i="3"/>
  <c r="N1976" i="3"/>
  <c r="L1976" i="3"/>
  <c r="M1976" i="3"/>
  <c r="O1976" i="3"/>
  <c r="Q1976" i="3" s="1"/>
  <c r="N1390" i="3"/>
  <c r="K1390" i="3"/>
  <c r="O1390" i="3"/>
  <c r="Q1390" i="3" s="1"/>
  <c r="L1390" i="3"/>
  <c r="J1390" i="3"/>
  <c r="M1390" i="3"/>
  <c r="K1418" i="3"/>
  <c r="L1418" i="3"/>
  <c r="M1418" i="3"/>
  <c r="J1418" i="3"/>
  <c r="O1418" i="3"/>
  <c r="Q1418" i="3" s="1"/>
  <c r="N1418" i="3"/>
  <c r="N1529" i="3"/>
  <c r="K1529" i="3"/>
  <c r="O1529" i="3"/>
  <c r="Q1529" i="3" s="1"/>
  <c r="M1529" i="3"/>
  <c r="J1529" i="3"/>
  <c r="L1529" i="3"/>
  <c r="N1564" i="3"/>
  <c r="L1564" i="3"/>
  <c r="J1564" i="3"/>
  <c r="K1564" i="3"/>
  <c r="M1564" i="3"/>
  <c r="O1564" i="3"/>
  <c r="Q1564" i="3" s="1"/>
  <c r="N1593" i="3"/>
  <c r="K1593" i="3"/>
  <c r="O1593" i="3"/>
  <c r="Q1593" i="3" s="1"/>
  <c r="M1593" i="3"/>
  <c r="J1593" i="3"/>
  <c r="L1593" i="3"/>
  <c r="K1628" i="3"/>
  <c r="J1628" i="3"/>
  <c r="M1628" i="3"/>
  <c r="L1628" i="3"/>
  <c r="O1628" i="3"/>
  <c r="Q1628" i="3" s="1"/>
  <c r="N1628" i="3"/>
  <c r="L1657" i="3"/>
  <c r="K1657" i="3"/>
  <c r="N1657" i="3"/>
  <c r="J1657" i="3"/>
  <c r="M1657" i="3"/>
  <c r="O1657" i="3"/>
  <c r="Q1657" i="3" s="1"/>
  <c r="N1693" i="3"/>
  <c r="K1693" i="3"/>
  <c r="O1693" i="3"/>
  <c r="Q1693" i="3" s="1"/>
  <c r="J1693" i="3"/>
  <c r="L1693" i="3"/>
  <c r="M1693" i="3"/>
  <c r="N1725" i="3"/>
  <c r="K1725" i="3"/>
  <c r="O1725" i="3"/>
  <c r="Q1725" i="3" s="1"/>
  <c r="J1725" i="3"/>
  <c r="L1725" i="3"/>
  <c r="M1725" i="3"/>
  <c r="M1757" i="3"/>
  <c r="J1757" i="3"/>
  <c r="O1757" i="3"/>
  <c r="Q1757" i="3" s="1"/>
  <c r="L1757" i="3"/>
  <c r="K1757" i="3"/>
  <c r="N1757" i="3"/>
  <c r="O1789" i="3"/>
  <c r="Q1789" i="3" s="1"/>
  <c r="J1789" i="3"/>
  <c r="M1789" i="3"/>
  <c r="P1789" i="3" s="1"/>
  <c r="N1789" i="3"/>
  <c r="K1789" i="3"/>
  <c r="L1789" i="3"/>
  <c r="N1810" i="3"/>
  <c r="M1810" i="3"/>
  <c r="J1810" i="3"/>
  <c r="K1810" i="3"/>
  <c r="O1810" i="3"/>
  <c r="Q1810" i="3" s="1"/>
  <c r="L1810" i="3"/>
  <c r="N1842" i="3"/>
  <c r="M1842" i="3"/>
  <c r="J1842" i="3"/>
  <c r="K1842" i="3"/>
  <c r="O1842" i="3"/>
  <c r="Q1842" i="3" s="1"/>
  <c r="L1842" i="3"/>
  <c r="N1874" i="3"/>
  <c r="M1874" i="3"/>
  <c r="J1874" i="3"/>
  <c r="K1874" i="3"/>
  <c r="O1874" i="3"/>
  <c r="Q1874" i="3" s="1"/>
  <c r="L1874" i="3"/>
  <c r="N1895" i="3"/>
  <c r="J1895" i="3"/>
  <c r="M1895" i="3"/>
  <c r="P1895" i="3" s="1"/>
  <c r="L1895" i="3"/>
  <c r="O1895" i="3"/>
  <c r="Q1895" i="3" s="1"/>
  <c r="K1895" i="3"/>
  <c r="L1932" i="3"/>
  <c r="N1932" i="3"/>
  <c r="J1932" i="3"/>
  <c r="K1932" i="3"/>
  <c r="M1932" i="3"/>
  <c r="O1932" i="3"/>
  <c r="Q1932" i="3" s="1"/>
  <c r="N1971" i="3"/>
  <c r="J1971" i="3"/>
  <c r="L1971" i="3"/>
  <c r="O1971" i="3"/>
  <c r="Q1971" i="3" s="1"/>
  <c r="K1971" i="3"/>
  <c r="M1971" i="3"/>
  <c r="N1997" i="3"/>
  <c r="M1997" i="3"/>
  <c r="O1997" i="3"/>
  <c r="Q1997" i="3" s="1"/>
  <c r="K1997" i="3"/>
  <c r="J1997" i="3"/>
  <c r="L1997" i="3"/>
  <c r="N1476" i="3"/>
  <c r="L1476" i="3"/>
  <c r="M1476" i="3"/>
  <c r="P1476" i="3" s="1"/>
  <c r="K1476" i="3"/>
  <c r="O1476" i="3"/>
  <c r="Q1476" i="3" s="1"/>
  <c r="J1476" i="3"/>
  <c r="K1582" i="3"/>
  <c r="L1582" i="3"/>
  <c r="J1582" i="3"/>
  <c r="N1582" i="3"/>
  <c r="O1582" i="3"/>
  <c r="Q1582" i="3" s="1"/>
  <c r="M1582" i="3"/>
  <c r="N1655" i="3"/>
  <c r="M1655" i="3"/>
  <c r="O1655" i="3"/>
  <c r="Q1655" i="3" s="1"/>
  <c r="K1655" i="3"/>
  <c r="J1655" i="3"/>
  <c r="L1655" i="3"/>
  <c r="N1966" i="3"/>
  <c r="M1966" i="3"/>
  <c r="J1966" i="3"/>
  <c r="K1966" i="3"/>
  <c r="O1966" i="3"/>
  <c r="Q1966" i="3" s="1"/>
  <c r="L1966" i="3"/>
  <c r="K1470" i="3"/>
  <c r="N1470" i="3"/>
  <c r="J1470" i="3"/>
  <c r="L1470" i="3"/>
  <c r="M1470" i="3"/>
  <c r="O1470" i="3"/>
  <c r="Q1470" i="3" s="1"/>
  <c r="M1583" i="3"/>
  <c r="O1583" i="3"/>
  <c r="Q1583" i="3" s="1"/>
  <c r="J1583" i="3"/>
  <c r="L1583" i="3"/>
  <c r="N1583" i="3"/>
  <c r="K1583" i="3"/>
  <c r="L1621" i="3"/>
  <c r="N1621" i="3"/>
  <c r="M1621" i="3"/>
  <c r="O1621" i="3"/>
  <c r="Q1621" i="3" s="1"/>
  <c r="K1621" i="3"/>
  <c r="J1621" i="3"/>
  <c r="N1705" i="3"/>
  <c r="M1705" i="3"/>
  <c r="K1705" i="3"/>
  <c r="O1705" i="3"/>
  <c r="Q1705" i="3" s="1"/>
  <c r="J1705" i="3"/>
  <c r="L1705" i="3"/>
  <c r="N1784" i="3"/>
  <c r="J1784" i="3"/>
  <c r="L1784" i="3"/>
  <c r="K1784" i="3"/>
  <c r="M1784" i="3"/>
  <c r="O1784" i="3"/>
  <c r="Q1784" i="3" s="1"/>
  <c r="M1865" i="3"/>
  <c r="N1865" i="3"/>
  <c r="J1865" i="3"/>
  <c r="L1865" i="3"/>
  <c r="K1865" i="3"/>
  <c r="O1865" i="3"/>
  <c r="Q1865" i="3" s="1"/>
  <c r="N1977" i="3"/>
  <c r="M1977" i="3"/>
  <c r="O1977" i="3"/>
  <c r="Q1977" i="3" s="1"/>
  <c r="K1977" i="3"/>
  <c r="J1977" i="3"/>
  <c r="L1977" i="3"/>
  <c r="M1905" i="3"/>
  <c r="N1905" i="3"/>
  <c r="J1905" i="3"/>
  <c r="K1905" i="3"/>
  <c r="L1905" i="3"/>
  <c r="O1905" i="3"/>
  <c r="Q1905" i="3" s="1"/>
  <c r="N1726" i="3"/>
  <c r="L1726" i="3"/>
  <c r="M1726" i="3"/>
  <c r="J1726" i="3"/>
  <c r="K1726" i="3"/>
  <c r="O1726" i="3"/>
  <c r="Q1726" i="3" s="1"/>
  <c r="N1846" i="3"/>
  <c r="M1846" i="3"/>
  <c r="J1846" i="3"/>
  <c r="K1846" i="3"/>
  <c r="O1846" i="3"/>
  <c r="Q1846" i="3" s="1"/>
  <c r="L1846" i="3"/>
  <c r="N1938" i="3"/>
  <c r="M1938" i="3"/>
  <c r="J1938" i="3"/>
  <c r="K1938" i="3"/>
  <c r="O1938" i="3"/>
  <c r="Q1938" i="3" s="1"/>
  <c r="L1938" i="3"/>
  <c r="N1985" i="3"/>
  <c r="M1985" i="3"/>
  <c r="O1985" i="3"/>
  <c r="Q1985" i="3" s="1"/>
  <c r="K1985" i="3"/>
  <c r="L1985" i="3"/>
  <c r="J1985" i="3"/>
  <c r="L1503" i="3"/>
  <c r="J1503" i="3"/>
  <c r="N1503" i="3"/>
  <c r="M1503" i="3"/>
  <c r="K1503" i="3"/>
  <c r="O1503" i="3"/>
  <c r="Q1503" i="3" s="1"/>
  <c r="N1747" i="3"/>
  <c r="M1747" i="3"/>
  <c r="L1747" i="3"/>
  <c r="K1747" i="3"/>
  <c r="O1747" i="3"/>
  <c r="Q1747" i="3" s="1"/>
  <c r="J1747" i="3"/>
  <c r="N1619" i="3"/>
  <c r="K1619" i="3"/>
  <c r="M1619" i="3"/>
  <c r="O1619" i="3"/>
  <c r="Q1619" i="3" s="1"/>
  <c r="J1619" i="3"/>
  <c r="L1619" i="3"/>
  <c r="M1829" i="3"/>
  <c r="N1829" i="3"/>
  <c r="J1829" i="3"/>
  <c r="K1829" i="3"/>
  <c r="O1829" i="3"/>
  <c r="Q1829" i="3" s="1"/>
  <c r="L1829" i="3"/>
  <c r="N1499" i="3"/>
  <c r="L1499" i="3"/>
  <c r="O1499" i="3"/>
  <c r="Q1499" i="3" s="1"/>
  <c r="M1499" i="3"/>
  <c r="K1499" i="3"/>
  <c r="J1499" i="3"/>
  <c r="M1531" i="3"/>
  <c r="K1531" i="3"/>
  <c r="O1531" i="3"/>
  <c r="Q1531" i="3" s="1"/>
  <c r="L1531" i="3"/>
  <c r="J1531" i="3"/>
  <c r="N1531" i="3"/>
  <c r="K1547" i="3"/>
  <c r="O1547" i="3"/>
  <c r="Q1547" i="3" s="1"/>
  <c r="J1547" i="3"/>
  <c r="N1547" i="3"/>
  <c r="L1547" i="3"/>
  <c r="M1547" i="3"/>
  <c r="P1547" i="3" s="1"/>
  <c r="N1808" i="3"/>
  <c r="J1808" i="3"/>
  <c r="K1808" i="3"/>
  <c r="L1808" i="3"/>
  <c r="M1808" i="3"/>
  <c r="O1808" i="3"/>
  <c r="Q1808" i="3" s="1"/>
  <c r="L1956" i="3"/>
  <c r="N1956" i="3"/>
  <c r="K1956" i="3"/>
  <c r="J1956" i="3"/>
  <c r="M1956" i="3"/>
  <c r="O1956" i="3"/>
  <c r="Q1956" i="3" s="1"/>
  <c r="N1473" i="3"/>
  <c r="K1473" i="3"/>
  <c r="O1473" i="3"/>
  <c r="Q1473" i="3" s="1"/>
  <c r="M1473" i="3"/>
  <c r="L1473" i="3"/>
  <c r="J1473" i="3"/>
  <c r="M1483" i="3"/>
  <c r="N1483" i="3"/>
  <c r="O1483" i="3"/>
  <c r="Q1483" i="3" s="1"/>
  <c r="L1483" i="3"/>
  <c r="K1483" i="3"/>
  <c r="J1483" i="3"/>
  <c r="N1532" i="3"/>
  <c r="L1532" i="3"/>
  <c r="J1532" i="3"/>
  <c r="K1532" i="3"/>
  <c r="M1532" i="3"/>
  <c r="O1532" i="3"/>
  <c r="Q1532" i="3" s="1"/>
  <c r="N1990" i="3"/>
  <c r="M1990" i="3"/>
  <c r="J1990" i="3"/>
  <c r="O1990" i="3"/>
  <c r="Q1990" i="3" s="1"/>
  <c r="K1990" i="3"/>
  <c r="L1990" i="3"/>
  <c r="M1451" i="3"/>
  <c r="O1451" i="3"/>
  <c r="Q1451" i="3" s="1"/>
  <c r="N1451" i="3"/>
  <c r="L1451" i="3"/>
  <c r="K1451" i="3"/>
  <c r="J1451" i="3"/>
  <c r="O1681" i="3"/>
  <c r="Q1681" i="3" s="1"/>
  <c r="L1681" i="3"/>
  <c r="K1681" i="3"/>
  <c r="N1681" i="3"/>
  <c r="J1681" i="3"/>
  <c r="M1681" i="3"/>
  <c r="K1403" i="3"/>
  <c r="L1403" i="3"/>
  <c r="N1403" i="3"/>
  <c r="M1403" i="3"/>
  <c r="J1403" i="3"/>
  <c r="O1403" i="3"/>
  <c r="Q1403" i="3" s="1"/>
  <c r="K1426" i="3"/>
  <c r="N1426" i="3"/>
  <c r="L1426" i="3"/>
  <c r="J1426" i="3"/>
  <c r="M1426" i="3"/>
  <c r="O1426" i="3"/>
  <c r="Q1426" i="3" s="1"/>
  <c r="K1579" i="3"/>
  <c r="O1579" i="3"/>
  <c r="Q1579" i="3" s="1"/>
  <c r="J1579" i="3"/>
  <c r="N1579" i="3"/>
  <c r="L1579" i="3"/>
  <c r="M1579" i="3"/>
  <c r="P1579" i="3" s="1"/>
  <c r="N1585" i="3"/>
  <c r="K1585" i="3"/>
  <c r="O1585" i="3"/>
  <c r="Q1585" i="3" s="1"/>
  <c r="M1585" i="3"/>
  <c r="L1585" i="3"/>
  <c r="J1585" i="3"/>
  <c r="K1616" i="3"/>
  <c r="J1616" i="3"/>
  <c r="L1616" i="3"/>
  <c r="N1616" i="3"/>
  <c r="O1616" i="3"/>
  <c r="Q1616" i="3" s="1"/>
  <c r="M1616" i="3"/>
  <c r="M1751" i="3"/>
  <c r="N1751" i="3"/>
  <c r="K1751" i="3"/>
  <c r="J1751" i="3"/>
  <c r="O1751" i="3"/>
  <c r="Q1751" i="3" s="1"/>
  <c r="L1751" i="3"/>
  <c r="N1939" i="3"/>
  <c r="J1939" i="3"/>
  <c r="L1939" i="3"/>
  <c r="M1939" i="3"/>
  <c r="O1939" i="3"/>
  <c r="Q1939" i="3" s="1"/>
  <c r="K1939" i="3"/>
  <c r="L1364" i="3"/>
  <c r="N1364" i="3"/>
  <c r="K1364" i="3"/>
  <c r="M1364" i="3"/>
  <c r="O1364" i="3"/>
  <c r="Q1364" i="3" s="1"/>
  <c r="J1364" i="3"/>
  <c r="N1391" i="3"/>
  <c r="K1391" i="3"/>
  <c r="O1391" i="3"/>
  <c r="Q1391" i="3" s="1"/>
  <c r="L1391" i="3"/>
  <c r="M1391" i="3"/>
  <c r="J1391" i="3"/>
  <c r="K1462" i="3"/>
  <c r="L1462" i="3"/>
  <c r="J1462" i="3"/>
  <c r="N1462" i="3"/>
  <c r="M1462" i="3"/>
  <c r="O1462" i="3"/>
  <c r="Q1462" i="3" s="1"/>
  <c r="N1662" i="3"/>
  <c r="L1662" i="3"/>
  <c r="J1662" i="3"/>
  <c r="K1662" i="3"/>
  <c r="M1662" i="3"/>
  <c r="O1662" i="3"/>
  <c r="Q1662" i="3" s="1"/>
  <c r="N1480" i="3"/>
  <c r="L1480" i="3"/>
  <c r="K1480" i="3"/>
  <c r="J1480" i="3"/>
  <c r="M1480" i="3"/>
  <c r="O1480" i="3"/>
  <c r="Q1480" i="3" s="1"/>
  <c r="N1627" i="3"/>
  <c r="K1627" i="3"/>
  <c r="M1627" i="3"/>
  <c r="O1627" i="3"/>
  <c r="Q1627" i="3" s="1"/>
  <c r="J1627" i="3"/>
  <c r="L1627" i="3"/>
  <c r="N1983" i="3"/>
  <c r="J1983" i="3"/>
  <c r="L1983" i="3"/>
  <c r="K1983" i="3"/>
  <c r="M1983" i="3"/>
  <c r="O1983" i="3"/>
  <c r="Q1983" i="3" s="1"/>
  <c r="N1694" i="3"/>
  <c r="L1694" i="3"/>
  <c r="M1694" i="3"/>
  <c r="J1694" i="3"/>
  <c r="K1694" i="3"/>
  <c r="O1694" i="3"/>
  <c r="Q1694" i="3" s="1"/>
  <c r="N1955" i="3"/>
  <c r="J1955" i="3"/>
  <c r="L1955" i="3"/>
  <c r="M1955" i="3"/>
  <c r="O1955" i="3"/>
  <c r="Q1955" i="3" s="1"/>
  <c r="K1955" i="3"/>
  <c r="N1879" i="3"/>
  <c r="J1879" i="3"/>
  <c r="L1879" i="3"/>
  <c r="O1879" i="3"/>
  <c r="Q1879" i="3" s="1"/>
  <c r="M1879" i="3"/>
  <c r="K1879" i="3"/>
  <c r="K1574" i="3"/>
  <c r="L1574" i="3"/>
  <c r="J1574" i="3"/>
  <c r="N1574" i="3"/>
  <c r="M1574" i="3"/>
  <c r="O1574" i="3"/>
  <c r="Q1574" i="3" s="1"/>
  <c r="K1399" i="3"/>
  <c r="N1399" i="3"/>
  <c r="M1399" i="3"/>
  <c r="J1399" i="3"/>
  <c r="O1399" i="3"/>
  <c r="Q1399" i="3" s="1"/>
  <c r="L1399" i="3"/>
  <c r="N1484" i="3"/>
  <c r="L1484" i="3"/>
  <c r="M1484" i="3"/>
  <c r="J1484" i="3"/>
  <c r="O1484" i="3"/>
  <c r="Q1484" i="3" s="1"/>
  <c r="K1484" i="3"/>
  <c r="N1576" i="3"/>
  <c r="L1576" i="3"/>
  <c r="M1576" i="3"/>
  <c r="O1576" i="3"/>
  <c r="Q1576" i="3" s="1"/>
  <c r="J1576" i="3"/>
  <c r="K1576" i="3"/>
  <c r="N1706" i="3"/>
  <c r="L1706" i="3"/>
  <c r="M1706" i="3"/>
  <c r="J1706" i="3"/>
  <c r="O1706" i="3"/>
  <c r="Q1706" i="3" s="1"/>
  <c r="K1706" i="3"/>
  <c r="M1813" i="3"/>
  <c r="N1813" i="3"/>
  <c r="J1813" i="3"/>
  <c r="K1813" i="3"/>
  <c r="O1813" i="3"/>
  <c r="Q1813" i="3" s="1"/>
  <c r="L1813" i="3"/>
  <c r="J1877" i="3"/>
  <c r="M1877" i="3"/>
  <c r="N1877" i="3"/>
  <c r="K1877" i="3"/>
  <c r="L1877" i="3"/>
  <c r="O1877" i="3"/>
  <c r="Q1877" i="3" s="1"/>
  <c r="N1946" i="3"/>
  <c r="M1946" i="3"/>
  <c r="J1946" i="3"/>
  <c r="K1946" i="3"/>
  <c r="O1946" i="3"/>
  <c r="Q1946" i="3" s="1"/>
  <c r="L1946" i="3"/>
  <c r="N1445" i="3"/>
  <c r="M1445" i="3"/>
  <c r="O1445" i="3"/>
  <c r="Q1445" i="3" s="1"/>
  <c r="K1445" i="3"/>
  <c r="J1445" i="3"/>
  <c r="L1445" i="3"/>
  <c r="N1607" i="3"/>
  <c r="K1607" i="3"/>
  <c r="O1607" i="3"/>
  <c r="Q1607" i="3" s="1"/>
  <c r="M1607" i="3"/>
  <c r="J1607" i="3"/>
  <c r="L1607" i="3"/>
  <c r="N1700" i="3"/>
  <c r="K1700" i="3"/>
  <c r="J1700" i="3"/>
  <c r="M1700" i="3"/>
  <c r="L1700" i="3"/>
  <c r="O1700" i="3"/>
  <c r="Q1700" i="3" s="1"/>
  <c r="N1729" i="3"/>
  <c r="M1729" i="3"/>
  <c r="K1729" i="3"/>
  <c r="O1729" i="3"/>
  <c r="Q1729" i="3" s="1"/>
  <c r="J1729" i="3"/>
  <c r="L1729" i="3"/>
  <c r="N1807" i="3"/>
  <c r="M1807" i="3"/>
  <c r="O1807" i="3"/>
  <c r="Q1807" i="3" s="1"/>
  <c r="J1807" i="3"/>
  <c r="K1807" i="3"/>
  <c r="L1807" i="3"/>
  <c r="N1914" i="3"/>
  <c r="M1914" i="3"/>
  <c r="J1914" i="3"/>
  <c r="K1914" i="3"/>
  <c r="O1914" i="3"/>
  <c r="Q1914" i="3" s="1"/>
  <c r="L1914" i="3"/>
  <c r="M1397" i="3"/>
  <c r="N1397" i="3"/>
  <c r="J1397" i="3"/>
  <c r="O1397" i="3"/>
  <c r="Q1397" i="3" s="1"/>
  <c r="L1397" i="3"/>
  <c r="K1397" i="3"/>
  <c r="N1577" i="3"/>
  <c r="K1577" i="3"/>
  <c r="O1577" i="3"/>
  <c r="Q1577" i="3" s="1"/>
  <c r="M1577" i="3"/>
  <c r="J1577" i="3"/>
  <c r="L1577" i="3"/>
  <c r="N1734" i="3"/>
  <c r="L1734" i="3"/>
  <c r="M1734" i="3"/>
  <c r="J1734" i="3"/>
  <c r="K1734" i="3"/>
  <c r="O1734" i="3"/>
  <c r="Q1734" i="3" s="1"/>
  <c r="M1393" i="3"/>
  <c r="N1393" i="3"/>
  <c r="J1393" i="3"/>
  <c r="O1393" i="3"/>
  <c r="Q1393" i="3" s="1"/>
  <c r="L1393" i="3"/>
  <c r="K1393" i="3"/>
  <c r="N1489" i="3"/>
  <c r="M1489" i="3"/>
  <c r="K1489" i="3"/>
  <c r="O1489" i="3"/>
  <c r="Q1489" i="3" s="1"/>
  <c r="L1489" i="3"/>
  <c r="J1489" i="3"/>
  <c r="N1553" i="3"/>
  <c r="K1553" i="3"/>
  <c r="O1553" i="3"/>
  <c r="Q1553" i="3" s="1"/>
  <c r="M1553" i="3"/>
  <c r="L1553" i="3"/>
  <c r="J1553" i="3"/>
  <c r="N1638" i="3"/>
  <c r="L1638" i="3"/>
  <c r="J1638" i="3"/>
  <c r="K1638" i="3"/>
  <c r="M1638" i="3"/>
  <c r="O1638" i="3"/>
  <c r="Q1638" i="3" s="1"/>
  <c r="L1388" i="3"/>
  <c r="N1388" i="3"/>
  <c r="J1388" i="3"/>
  <c r="K1388" i="3"/>
  <c r="M1388" i="3"/>
  <c r="O1388" i="3"/>
  <c r="Q1388" i="3" s="1"/>
  <c r="N1410" i="3"/>
  <c r="M1410" i="3"/>
  <c r="J1410" i="3"/>
  <c r="O1410" i="3"/>
  <c r="Q1410" i="3" s="1"/>
  <c r="K1410" i="3"/>
  <c r="L1410" i="3"/>
  <c r="N1436" i="3"/>
  <c r="L1436" i="3"/>
  <c r="J1436" i="3"/>
  <c r="K1436" i="3"/>
  <c r="M1436" i="3"/>
  <c r="O1436" i="3"/>
  <c r="Q1436" i="3" s="1"/>
  <c r="N1456" i="3"/>
  <c r="L1456" i="3"/>
  <c r="M1456" i="3"/>
  <c r="K1456" i="3"/>
  <c r="J1456" i="3"/>
  <c r="O1456" i="3"/>
  <c r="Q1456" i="3" s="1"/>
  <c r="N1479" i="3"/>
  <c r="L1479" i="3"/>
  <c r="J1479" i="3"/>
  <c r="M1479" i="3"/>
  <c r="K1479" i="3"/>
  <c r="O1479" i="3"/>
  <c r="Q1479" i="3" s="1"/>
  <c r="N1500" i="3"/>
  <c r="L1500" i="3"/>
  <c r="M1500" i="3"/>
  <c r="K1500" i="3"/>
  <c r="O1500" i="3"/>
  <c r="Q1500" i="3" s="1"/>
  <c r="J1500" i="3"/>
  <c r="N1520" i="3"/>
  <c r="L1520" i="3"/>
  <c r="J1520" i="3"/>
  <c r="M1520" i="3"/>
  <c r="O1520" i="3"/>
  <c r="Q1520" i="3" s="1"/>
  <c r="K1520" i="3"/>
  <c r="K1600" i="3"/>
  <c r="J1600" i="3"/>
  <c r="N1600" i="3"/>
  <c r="L1600" i="3"/>
  <c r="M1600" i="3"/>
  <c r="O1600" i="3"/>
  <c r="Q1600" i="3" s="1"/>
  <c r="N1702" i="3"/>
  <c r="L1702" i="3"/>
  <c r="M1702" i="3"/>
  <c r="J1702" i="3"/>
  <c r="K1702" i="3"/>
  <c r="O1702" i="3"/>
  <c r="Q1702" i="3" s="1"/>
  <c r="N1513" i="3"/>
  <c r="K1513" i="3"/>
  <c r="O1513" i="3"/>
  <c r="Q1513" i="3" s="1"/>
  <c r="M1513" i="3"/>
  <c r="J1513" i="3"/>
  <c r="L1513" i="3"/>
  <c r="N1549" i="3"/>
  <c r="M1549" i="3"/>
  <c r="O1549" i="3"/>
  <c r="Q1549" i="3" s="1"/>
  <c r="K1549" i="3"/>
  <c r="J1549" i="3"/>
  <c r="L1549" i="3"/>
  <c r="N1573" i="3"/>
  <c r="M1573" i="3"/>
  <c r="O1573" i="3"/>
  <c r="Q1573" i="3" s="1"/>
  <c r="K1573" i="3"/>
  <c r="J1573" i="3"/>
  <c r="L1573" i="3"/>
  <c r="J1604" i="3"/>
  <c r="M1604" i="3"/>
  <c r="O1604" i="3"/>
  <c r="Q1604" i="3" s="1"/>
  <c r="N1604" i="3"/>
  <c r="L1604" i="3"/>
  <c r="K1604" i="3"/>
  <c r="M1660" i="3"/>
  <c r="L1660" i="3"/>
  <c r="K1660" i="3"/>
  <c r="O1660" i="3"/>
  <c r="Q1660" i="3" s="1"/>
  <c r="N1660" i="3"/>
  <c r="J1660" i="3"/>
  <c r="N1699" i="3"/>
  <c r="M1699" i="3"/>
  <c r="L1699" i="3"/>
  <c r="O1699" i="3"/>
  <c r="Q1699" i="3" s="1"/>
  <c r="J1699" i="3"/>
  <c r="K1699" i="3"/>
  <c r="N1731" i="3"/>
  <c r="M1731" i="3"/>
  <c r="L1731" i="3"/>
  <c r="O1731" i="3"/>
  <c r="Q1731" i="3" s="1"/>
  <c r="J1731" i="3"/>
  <c r="K1731" i="3"/>
  <c r="M1763" i="3"/>
  <c r="N1763" i="3"/>
  <c r="K1763" i="3"/>
  <c r="J1763" i="3"/>
  <c r="O1763" i="3"/>
  <c r="Q1763" i="3" s="1"/>
  <c r="L1763" i="3"/>
  <c r="N1788" i="3"/>
  <c r="J1788" i="3"/>
  <c r="L1788" i="3"/>
  <c r="K1788" i="3"/>
  <c r="M1788" i="3"/>
  <c r="O1788" i="3"/>
  <c r="Q1788" i="3" s="1"/>
  <c r="M1809" i="3"/>
  <c r="N1809" i="3"/>
  <c r="J1809" i="3"/>
  <c r="L1809" i="3"/>
  <c r="O1809" i="3"/>
  <c r="Q1809" i="3" s="1"/>
  <c r="K1809" i="3"/>
  <c r="N1834" i="3"/>
  <c r="M1834" i="3"/>
  <c r="J1834" i="3"/>
  <c r="K1834" i="3"/>
  <c r="O1834" i="3"/>
  <c r="Q1834" i="3" s="1"/>
  <c r="L1834" i="3"/>
  <c r="N1852" i="3"/>
  <c r="J1852" i="3"/>
  <c r="K1852" i="3"/>
  <c r="L1852" i="3"/>
  <c r="M1852" i="3"/>
  <c r="O1852" i="3"/>
  <c r="Q1852" i="3" s="1"/>
  <c r="J1873" i="3"/>
  <c r="M1873" i="3"/>
  <c r="N1873" i="3"/>
  <c r="L1873" i="3"/>
  <c r="K1873" i="3"/>
  <c r="O1873" i="3"/>
  <c r="Q1873" i="3" s="1"/>
  <c r="J1901" i="3"/>
  <c r="M1901" i="3"/>
  <c r="N1901" i="3"/>
  <c r="L1901" i="3"/>
  <c r="K1901" i="3"/>
  <c r="O1901" i="3"/>
  <c r="Q1901" i="3" s="1"/>
  <c r="L1936" i="3"/>
  <c r="N1936" i="3"/>
  <c r="J1936" i="3"/>
  <c r="K1936" i="3"/>
  <c r="M1936" i="3"/>
  <c r="O1936" i="3"/>
  <c r="Q1936" i="3" s="1"/>
  <c r="N1991" i="3"/>
  <c r="J1991" i="3"/>
  <c r="L1991" i="3"/>
  <c r="K1991" i="3"/>
  <c r="O1991" i="3"/>
  <c r="Q1991" i="3" s="1"/>
  <c r="M1991" i="3"/>
  <c r="N1274" i="3"/>
  <c r="K1274" i="3"/>
  <c r="O1274" i="3"/>
  <c r="Q1274" i="3" s="1"/>
  <c r="M1274" i="3"/>
  <c r="J1274" i="3"/>
  <c r="L1274" i="3"/>
  <c r="N1386" i="3"/>
  <c r="K1386" i="3"/>
  <c r="O1386" i="3"/>
  <c r="Q1386" i="3" s="1"/>
  <c r="L1386" i="3"/>
  <c r="J1386" i="3"/>
  <c r="M1386" i="3"/>
  <c r="K1486" i="3"/>
  <c r="L1486" i="3"/>
  <c r="J1486" i="3"/>
  <c r="N1486" i="3"/>
  <c r="M1486" i="3"/>
  <c r="O1486" i="3"/>
  <c r="Q1486" i="3" s="1"/>
  <c r="K1562" i="3"/>
  <c r="L1562" i="3"/>
  <c r="M1562" i="3"/>
  <c r="O1562" i="3"/>
  <c r="Q1562" i="3" s="1"/>
  <c r="J1562" i="3"/>
  <c r="N1562" i="3"/>
  <c r="N1598" i="3"/>
  <c r="L1598" i="3"/>
  <c r="M1598" i="3"/>
  <c r="K1598" i="3"/>
  <c r="O1598" i="3"/>
  <c r="Q1598" i="3" s="1"/>
  <c r="J1598" i="3"/>
  <c r="N1626" i="3"/>
  <c r="L1626" i="3"/>
  <c r="O1626" i="3"/>
  <c r="Q1626" i="3" s="1"/>
  <c r="J1626" i="3"/>
  <c r="K1626" i="3"/>
  <c r="M1626" i="3"/>
  <c r="N1663" i="3"/>
  <c r="M1663" i="3"/>
  <c r="O1663" i="3"/>
  <c r="Q1663" i="3" s="1"/>
  <c r="K1663" i="3"/>
  <c r="L1663" i="3"/>
  <c r="J1663" i="3"/>
  <c r="N1698" i="3"/>
  <c r="L1698" i="3"/>
  <c r="M1698" i="3"/>
  <c r="J1698" i="3"/>
  <c r="O1698" i="3"/>
  <c r="Q1698" i="3" s="1"/>
  <c r="K1698" i="3"/>
  <c r="N1727" i="3"/>
  <c r="M1727" i="3"/>
  <c r="L1727" i="3"/>
  <c r="K1727" i="3"/>
  <c r="J1727" i="3"/>
  <c r="O1727" i="3"/>
  <c r="Q1727" i="3" s="1"/>
  <c r="N1748" i="3"/>
  <c r="K1748" i="3"/>
  <c r="J1748" i="3"/>
  <c r="M1748" i="3"/>
  <c r="L1748" i="3"/>
  <c r="O1748" i="3"/>
  <c r="Q1748" i="3" s="1"/>
  <c r="M1775" i="3"/>
  <c r="N1775" i="3"/>
  <c r="K1775" i="3"/>
  <c r="J1775" i="3"/>
  <c r="O1775" i="3"/>
  <c r="Q1775" i="3" s="1"/>
  <c r="L1775" i="3"/>
  <c r="N1796" i="3"/>
  <c r="J1796" i="3"/>
  <c r="L1796" i="3"/>
  <c r="K1796" i="3"/>
  <c r="M1796" i="3"/>
  <c r="O1796" i="3"/>
  <c r="Q1796" i="3" s="1"/>
  <c r="M1825" i="3"/>
  <c r="N1825" i="3"/>
  <c r="J1825" i="3"/>
  <c r="L1825" i="3"/>
  <c r="O1825" i="3"/>
  <c r="Q1825" i="3" s="1"/>
  <c r="K1825" i="3"/>
  <c r="N1855" i="3"/>
  <c r="M1855" i="3"/>
  <c r="O1855" i="3"/>
  <c r="Q1855" i="3" s="1"/>
  <c r="J1855" i="3"/>
  <c r="K1855" i="3"/>
  <c r="L1855" i="3"/>
  <c r="L1876" i="3"/>
  <c r="N1876" i="3"/>
  <c r="J1876" i="3"/>
  <c r="K1876" i="3"/>
  <c r="M1876" i="3"/>
  <c r="O1876" i="3"/>
  <c r="Q1876" i="3" s="1"/>
  <c r="L1908" i="3"/>
  <c r="N1908" i="3"/>
  <c r="J1908" i="3"/>
  <c r="K1908" i="3"/>
  <c r="M1908" i="3"/>
  <c r="O1908" i="3"/>
  <c r="Q1908" i="3" s="1"/>
  <c r="N1935" i="3"/>
  <c r="J1935" i="3"/>
  <c r="M1935" i="3"/>
  <c r="L1935" i="3"/>
  <c r="O1935" i="3"/>
  <c r="Q1935" i="3" s="1"/>
  <c r="K1935" i="3"/>
  <c r="N1967" i="3"/>
  <c r="J1967" i="3"/>
  <c r="M1967" i="3"/>
  <c r="L1967" i="3"/>
  <c r="O1967" i="3"/>
  <c r="Q1967" i="3" s="1"/>
  <c r="K1967" i="3"/>
  <c r="N1989" i="3"/>
  <c r="K1989" i="3"/>
  <c r="M1989" i="3"/>
  <c r="O1989" i="3"/>
  <c r="Q1989" i="3" s="1"/>
  <c r="J1989" i="3"/>
  <c r="L1989" i="3"/>
  <c r="K1438" i="3"/>
  <c r="L1438" i="3"/>
  <c r="N1438" i="3"/>
  <c r="J1438" i="3"/>
  <c r="M1438" i="3"/>
  <c r="O1438" i="3"/>
  <c r="Q1438" i="3" s="1"/>
  <c r="K1502" i="3"/>
  <c r="N1502" i="3"/>
  <c r="J1502" i="3"/>
  <c r="L1502" i="3"/>
  <c r="M1502" i="3"/>
  <c r="O1502" i="3"/>
  <c r="Q1502" i="3" s="1"/>
  <c r="N1588" i="3"/>
  <c r="L1588" i="3"/>
  <c r="J1588" i="3"/>
  <c r="K1588" i="3"/>
  <c r="M1588" i="3"/>
  <c r="O1588" i="3"/>
  <c r="Q1588" i="3" s="1"/>
  <c r="K1652" i="3"/>
  <c r="M1652" i="3"/>
  <c r="L1652" i="3"/>
  <c r="O1652" i="3"/>
  <c r="Q1652" i="3" s="1"/>
  <c r="N1652" i="3"/>
  <c r="J1652" i="3"/>
  <c r="N1718" i="3"/>
  <c r="L1718" i="3"/>
  <c r="M1718" i="3"/>
  <c r="J1718" i="3"/>
  <c r="K1718" i="3"/>
  <c r="O1718" i="3"/>
  <c r="Q1718" i="3" s="1"/>
  <c r="N1782" i="3"/>
  <c r="M1782" i="3"/>
  <c r="J1782" i="3"/>
  <c r="K1782" i="3"/>
  <c r="O1782" i="3"/>
  <c r="Q1782" i="3" s="1"/>
  <c r="L1782" i="3"/>
  <c r="N1819" i="3"/>
  <c r="L1819" i="3"/>
  <c r="M1819" i="3"/>
  <c r="O1819" i="3"/>
  <c r="Q1819" i="3" s="1"/>
  <c r="J1819" i="3"/>
  <c r="K1819" i="3"/>
  <c r="N1851" i="3"/>
  <c r="L1851" i="3"/>
  <c r="M1851" i="3"/>
  <c r="O1851" i="3"/>
  <c r="Q1851" i="3" s="1"/>
  <c r="J1851" i="3"/>
  <c r="K1851" i="3"/>
  <c r="N1883" i="3"/>
  <c r="J1883" i="3"/>
  <c r="L1883" i="3"/>
  <c r="M1883" i="3"/>
  <c r="O1883" i="3"/>
  <c r="Q1883" i="3" s="1"/>
  <c r="K1883" i="3"/>
  <c r="L1904" i="3"/>
  <c r="N1904" i="3"/>
  <c r="J1904" i="3"/>
  <c r="K1904" i="3"/>
  <c r="M1904" i="3"/>
  <c r="O1904" i="3"/>
  <c r="Q1904" i="3" s="1"/>
  <c r="K1984" i="3"/>
  <c r="J1984" i="3"/>
  <c r="L1984" i="3"/>
  <c r="N1984" i="3"/>
  <c r="M1984" i="3"/>
  <c r="O1984" i="3"/>
  <c r="Q1984" i="3" s="1"/>
  <c r="M1423" i="3"/>
  <c r="L1423" i="3"/>
  <c r="K1423" i="3"/>
  <c r="O1423" i="3"/>
  <c r="Q1423" i="3" s="1"/>
  <c r="J1423" i="3"/>
  <c r="N1423" i="3"/>
  <c r="K1534" i="3"/>
  <c r="L1534" i="3"/>
  <c r="J1534" i="3"/>
  <c r="N1534" i="3"/>
  <c r="M1534" i="3"/>
  <c r="O1534" i="3"/>
  <c r="Q1534" i="3" s="1"/>
  <c r="N1647" i="3"/>
  <c r="M1647" i="3"/>
  <c r="O1647" i="3"/>
  <c r="Q1647" i="3" s="1"/>
  <c r="K1647" i="3"/>
  <c r="L1647" i="3"/>
  <c r="J1647" i="3"/>
  <c r="N1737" i="3"/>
  <c r="M1737" i="3"/>
  <c r="K1737" i="3"/>
  <c r="O1737" i="3"/>
  <c r="Q1737" i="3" s="1"/>
  <c r="J1737" i="3"/>
  <c r="L1737" i="3"/>
  <c r="M1753" i="3"/>
  <c r="O1753" i="3"/>
  <c r="Q1753" i="3" s="1"/>
  <c r="N1753" i="3"/>
  <c r="J1753" i="3"/>
  <c r="L1753" i="3"/>
  <c r="K1753" i="3"/>
  <c r="N1903" i="3"/>
  <c r="J1903" i="3"/>
  <c r="L1903" i="3"/>
  <c r="O1903" i="3"/>
  <c r="Q1903" i="3" s="1"/>
  <c r="M1903" i="3"/>
  <c r="K1903" i="3"/>
  <c r="N1923" i="3"/>
  <c r="J1923" i="3"/>
  <c r="L1923" i="3"/>
  <c r="M1923" i="3"/>
  <c r="O1923" i="3"/>
  <c r="Q1923" i="3" s="1"/>
  <c r="K1923" i="3"/>
  <c r="N1428" i="3"/>
  <c r="L1428" i="3"/>
  <c r="J1428" i="3"/>
  <c r="K1428" i="3"/>
  <c r="M1428" i="3"/>
  <c r="O1428" i="3"/>
  <c r="Q1428" i="3" s="1"/>
  <c r="N1464" i="3"/>
  <c r="L1464" i="3"/>
  <c r="M1464" i="3"/>
  <c r="O1464" i="3"/>
  <c r="Q1464" i="3" s="1"/>
  <c r="K1464" i="3"/>
  <c r="J1464" i="3"/>
  <c r="N1517" i="3"/>
  <c r="M1517" i="3"/>
  <c r="O1517" i="3"/>
  <c r="Q1517" i="3" s="1"/>
  <c r="K1517" i="3"/>
  <c r="J1517" i="3"/>
  <c r="L1517" i="3"/>
  <c r="M1587" i="3"/>
  <c r="L1587" i="3"/>
  <c r="K1587" i="3"/>
  <c r="O1587" i="3"/>
  <c r="Q1587" i="3" s="1"/>
  <c r="J1587" i="3"/>
  <c r="N1587" i="3"/>
  <c r="N1671" i="3"/>
  <c r="M1671" i="3"/>
  <c r="O1671" i="3"/>
  <c r="Q1671" i="3" s="1"/>
  <c r="K1671" i="3"/>
  <c r="J1671" i="3"/>
  <c r="L1671" i="3"/>
  <c r="N1717" i="3"/>
  <c r="J1717" i="3"/>
  <c r="L1717" i="3"/>
  <c r="M1717" i="3"/>
  <c r="K1717" i="3"/>
  <c r="O1717" i="3"/>
  <c r="Q1717" i="3" s="1"/>
  <c r="N1760" i="3"/>
  <c r="K1760" i="3"/>
  <c r="J1760" i="3"/>
  <c r="L1760" i="3"/>
  <c r="M1760" i="3"/>
  <c r="O1760" i="3"/>
  <c r="Q1760" i="3" s="1"/>
  <c r="N1799" i="3"/>
  <c r="J1799" i="3"/>
  <c r="M1799" i="3"/>
  <c r="K1799" i="3"/>
  <c r="L1799" i="3"/>
  <c r="O1799" i="3"/>
  <c r="Q1799" i="3" s="1"/>
  <c r="N1863" i="3"/>
  <c r="J1863" i="3"/>
  <c r="M1863" i="3"/>
  <c r="L1863" i="3"/>
  <c r="O1863" i="3"/>
  <c r="Q1863" i="3" s="1"/>
  <c r="K1863" i="3"/>
  <c r="N1950" i="3"/>
  <c r="M1950" i="3"/>
  <c r="J1950" i="3"/>
  <c r="K1950" i="3"/>
  <c r="O1950" i="3"/>
  <c r="Q1950" i="3" s="1"/>
  <c r="L1950" i="3"/>
  <c r="N1981" i="3"/>
  <c r="M1981" i="3"/>
  <c r="O1981" i="3"/>
  <c r="Q1981" i="3" s="1"/>
  <c r="K1981" i="3"/>
  <c r="J1981" i="3"/>
  <c r="L1981" i="3"/>
  <c r="N1412" i="3"/>
  <c r="L1412" i="3"/>
  <c r="M1412" i="3"/>
  <c r="K1412" i="3"/>
  <c r="O1412" i="3"/>
  <c r="Q1412" i="3" s="1"/>
  <c r="J1412" i="3"/>
  <c r="J1571" i="3"/>
  <c r="N1571" i="3"/>
  <c r="L1571" i="3"/>
  <c r="M1571" i="3"/>
  <c r="K1571" i="3"/>
  <c r="O1571" i="3"/>
  <c r="Q1571" i="3" s="1"/>
  <c r="L1613" i="3"/>
  <c r="N1613" i="3"/>
  <c r="M1613" i="3"/>
  <c r="O1613" i="3"/>
  <c r="Q1613" i="3" s="1"/>
  <c r="K1613" i="3"/>
  <c r="J1613" i="3"/>
  <c r="J1644" i="3"/>
  <c r="K1644" i="3"/>
  <c r="M1644" i="3"/>
  <c r="L1644" i="3"/>
  <c r="O1644" i="3"/>
  <c r="Q1644" i="3" s="1"/>
  <c r="N1644" i="3"/>
  <c r="N1690" i="3"/>
  <c r="L1690" i="3"/>
  <c r="M1690" i="3"/>
  <c r="J1690" i="3"/>
  <c r="O1690" i="3"/>
  <c r="Q1690" i="3" s="1"/>
  <c r="K1690" i="3"/>
  <c r="N1740" i="3"/>
  <c r="K1740" i="3"/>
  <c r="J1740" i="3"/>
  <c r="L1740" i="3"/>
  <c r="M1740" i="3"/>
  <c r="O1740" i="3"/>
  <c r="Q1740" i="3" s="1"/>
  <c r="N1822" i="3"/>
  <c r="M1822" i="3"/>
  <c r="J1822" i="3"/>
  <c r="K1822" i="3"/>
  <c r="O1822" i="3"/>
  <c r="Q1822" i="3" s="1"/>
  <c r="L1822" i="3"/>
  <c r="L1868" i="3"/>
  <c r="N1868" i="3"/>
  <c r="J1868" i="3"/>
  <c r="K1868" i="3"/>
  <c r="M1868" i="3"/>
  <c r="O1868" i="3"/>
  <c r="Q1868" i="3" s="1"/>
  <c r="N1927" i="3"/>
  <c r="J1927" i="3"/>
  <c r="L1927" i="3"/>
  <c r="O1927" i="3"/>
  <c r="Q1927" i="3" s="1"/>
  <c r="M1927" i="3"/>
  <c r="K1927" i="3"/>
  <c r="K1996" i="3"/>
  <c r="N1996" i="3"/>
  <c r="J1996" i="3"/>
  <c r="L1996" i="3"/>
  <c r="M1996" i="3"/>
  <c r="O1996" i="3"/>
  <c r="Q1996" i="3" s="1"/>
  <c r="M1401" i="3"/>
  <c r="N1401" i="3"/>
  <c r="O1401" i="3"/>
  <c r="Q1401" i="3" s="1"/>
  <c r="L1401" i="3"/>
  <c r="J1401" i="3"/>
  <c r="K1401" i="3"/>
  <c r="K1454" i="3"/>
  <c r="J1454" i="3"/>
  <c r="N1454" i="3"/>
  <c r="L1454" i="3"/>
  <c r="O1454" i="3"/>
  <c r="Q1454" i="3" s="1"/>
  <c r="M1454" i="3"/>
  <c r="N1541" i="3"/>
  <c r="M1541" i="3"/>
  <c r="O1541" i="3"/>
  <c r="Q1541" i="3" s="1"/>
  <c r="K1541" i="3"/>
  <c r="J1541" i="3"/>
  <c r="L1541" i="3"/>
  <c r="N1565" i="3"/>
  <c r="M1565" i="3"/>
  <c r="O1565" i="3"/>
  <c r="Q1565" i="3" s="1"/>
  <c r="K1565" i="3"/>
  <c r="J1565" i="3"/>
  <c r="L1565" i="3"/>
  <c r="N1602" i="3"/>
  <c r="L1602" i="3"/>
  <c r="M1602" i="3"/>
  <c r="K1602" i="3"/>
  <c r="O1602" i="3"/>
  <c r="Q1602" i="3" s="1"/>
  <c r="J1602" i="3"/>
  <c r="L1629" i="3"/>
  <c r="N1629" i="3"/>
  <c r="O1629" i="3"/>
  <c r="Q1629" i="3" s="1"/>
  <c r="M1629" i="3"/>
  <c r="K1629" i="3"/>
  <c r="J1629" i="3"/>
  <c r="N1666" i="3"/>
  <c r="L1666" i="3"/>
  <c r="O1666" i="3"/>
  <c r="Q1666" i="3" s="1"/>
  <c r="J1666" i="3"/>
  <c r="K1666" i="3"/>
  <c r="M1666" i="3"/>
  <c r="N1695" i="3"/>
  <c r="M1695" i="3"/>
  <c r="L1695" i="3"/>
  <c r="K1695" i="3"/>
  <c r="J1695" i="3"/>
  <c r="O1695" i="3"/>
  <c r="Q1695" i="3" s="1"/>
  <c r="N1730" i="3"/>
  <c r="L1730" i="3"/>
  <c r="M1730" i="3"/>
  <c r="J1730" i="3"/>
  <c r="O1730" i="3"/>
  <c r="Q1730" i="3" s="1"/>
  <c r="K1730" i="3"/>
  <c r="N1762" i="3"/>
  <c r="M1762" i="3"/>
  <c r="J1762" i="3"/>
  <c r="L1762" i="3"/>
  <c r="K1762" i="3"/>
  <c r="O1762" i="3"/>
  <c r="Q1762" i="3" s="1"/>
  <c r="N1790" i="3"/>
  <c r="J1790" i="3"/>
  <c r="K1790" i="3"/>
  <c r="L1790" i="3"/>
  <c r="M1790" i="3"/>
  <c r="O1790" i="3"/>
  <c r="Q1790" i="3" s="1"/>
  <c r="M1821" i="3"/>
  <c r="N1821" i="3"/>
  <c r="J1821" i="3"/>
  <c r="K1821" i="3"/>
  <c r="L1821" i="3"/>
  <c r="O1821" i="3"/>
  <c r="Q1821" i="3" s="1"/>
  <c r="M1853" i="3"/>
  <c r="N1853" i="3"/>
  <c r="J1853" i="3"/>
  <c r="K1853" i="3"/>
  <c r="L1853" i="3"/>
  <c r="O1853" i="3"/>
  <c r="Q1853" i="3" s="1"/>
  <c r="J1885" i="3"/>
  <c r="M1885" i="3"/>
  <c r="N1885" i="3"/>
  <c r="L1885" i="3"/>
  <c r="K1885" i="3"/>
  <c r="O1885" i="3"/>
  <c r="Q1885" i="3" s="1"/>
  <c r="N1906" i="3"/>
  <c r="M1906" i="3"/>
  <c r="J1906" i="3"/>
  <c r="K1906" i="3"/>
  <c r="O1906" i="3"/>
  <c r="Q1906" i="3" s="1"/>
  <c r="L1906" i="3"/>
  <c r="J1933" i="3"/>
  <c r="M1933" i="3"/>
  <c r="N1933" i="3"/>
  <c r="K1933" i="3"/>
  <c r="L1933" i="3"/>
  <c r="O1933" i="3"/>
  <c r="Q1933" i="3" s="1"/>
  <c r="L1975" i="3"/>
  <c r="N1975" i="3"/>
  <c r="O1975" i="3"/>
  <c r="Q1975" i="3" s="1"/>
  <c r="J1975" i="3"/>
  <c r="K1975" i="3"/>
  <c r="M1975" i="3"/>
  <c r="L1487" i="3"/>
  <c r="N1487" i="3"/>
  <c r="M1487" i="3"/>
  <c r="K1487" i="3"/>
  <c r="O1487" i="3"/>
  <c r="Q1487" i="3" s="1"/>
  <c r="J1487" i="3"/>
  <c r="N1589" i="3"/>
  <c r="M1589" i="3"/>
  <c r="O1589" i="3"/>
  <c r="Q1589" i="3" s="1"/>
  <c r="K1589" i="3"/>
  <c r="J1589" i="3"/>
  <c r="L1589" i="3"/>
  <c r="N1719" i="3"/>
  <c r="M1719" i="3"/>
  <c r="L1719" i="3"/>
  <c r="J1719" i="3"/>
  <c r="K1719" i="3"/>
  <c r="O1719" i="3"/>
  <c r="Q1719" i="3" s="1"/>
  <c r="N1993" i="3"/>
  <c r="M1993" i="3"/>
  <c r="O1993" i="3"/>
  <c r="Q1993" i="3" s="1"/>
  <c r="K1993" i="3"/>
  <c r="L1993" i="3"/>
  <c r="J1993" i="3"/>
  <c r="N1498" i="3"/>
  <c r="K1498" i="3"/>
  <c r="M1498" i="3"/>
  <c r="J1498" i="3"/>
  <c r="O1498" i="3"/>
  <c r="Q1498" i="3" s="1"/>
  <c r="L1498" i="3"/>
  <c r="O1673" i="3"/>
  <c r="Q1673" i="3" s="1"/>
  <c r="L1673" i="3"/>
  <c r="K1673" i="3"/>
  <c r="N1673" i="3"/>
  <c r="J1673" i="3"/>
  <c r="M1673" i="3"/>
  <c r="P1673" i="3" s="1"/>
  <c r="O1785" i="3"/>
  <c r="Q1785" i="3" s="1"/>
  <c r="J1785" i="3"/>
  <c r="M1785" i="3"/>
  <c r="N1785" i="3"/>
  <c r="K1785" i="3"/>
  <c r="L1785" i="3"/>
  <c r="N1800" i="3"/>
  <c r="J1800" i="3"/>
  <c r="K1800" i="3"/>
  <c r="O1800" i="3"/>
  <c r="Q1800" i="3" s="1"/>
  <c r="L1800" i="3"/>
  <c r="M1800" i="3"/>
  <c r="N1848" i="3"/>
  <c r="J1848" i="3"/>
  <c r="K1848" i="3"/>
  <c r="O1848" i="3"/>
  <c r="Q1848" i="3" s="1"/>
  <c r="L1848" i="3"/>
  <c r="M1848" i="3"/>
  <c r="L1880" i="3"/>
  <c r="N1880" i="3"/>
  <c r="J1880" i="3"/>
  <c r="K1880" i="3"/>
  <c r="M1880" i="3"/>
  <c r="O1880" i="3"/>
  <c r="Q1880" i="3" s="1"/>
  <c r="L1924" i="3"/>
  <c r="N1924" i="3"/>
  <c r="J1924" i="3"/>
  <c r="K1924" i="3"/>
  <c r="M1924" i="3"/>
  <c r="O1924" i="3"/>
  <c r="Q1924" i="3" s="1"/>
  <c r="N1982" i="3"/>
  <c r="M1982" i="3"/>
  <c r="K1982" i="3"/>
  <c r="L1982" i="3"/>
  <c r="J1982" i="3"/>
  <c r="O1982" i="3"/>
  <c r="Q1982" i="3" s="1"/>
  <c r="N1615" i="3"/>
  <c r="M1615" i="3"/>
  <c r="O1615" i="3"/>
  <c r="Q1615" i="3" s="1"/>
  <c r="K1615" i="3"/>
  <c r="L1615" i="3"/>
  <c r="J1615" i="3"/>
  <c r="M1909" i="3"/>
  <c r="N1909" i="3"/>
  <c r="J1909" i="3"/>
  <c r="L1909" i="3"/>
  <c r="K1909" i="3"/>
  <c r="O1909" i="3"/>
  <c r="Q1909" i="3" s="1"/>
  <c r="L1439" i="3"/>
  <c r="N1439" i="3"/>
  <c r="J1439" i="3"/>
  <c r="O1439" i="3"/>
  <c r="Q1439" i="3" s="1"/>
  <c r="K1439" i="3"/>
  <c r="M1439" i="3"/>
  <c r="N1830" i="3"/>
  <c r="M1830" i="3"/>
  <c r="J1830" i="3"/>
  <c r="K1830" i="3"/>
  <c r="O1830" i="3"/>
  <c r="Q1830" i="3" s="1"/>
  <c r="L1830" i="3"/>
  <c r="N1523" i="3"/>
  <c r="L1523" i="3"/>
  <c r="M1523" i="3"/>
  <c r="O1523" i="3"/>
  <c r="Q1523" i="3" s="1"/>
  <c r="K1523" i="3"/>
  <c r="J1523" i="3"/>
  <c r="M1389" i="3"/>
  <c r="N1389" i="3"/>
  <c r="J1389" i="3"/>
  <c r="L1389" i="3"/>
  <c r="O1389" i="3"/>
  <c r="Q1389" i="3" s="1"/>
  <c r="K1389" i="3"/>
  <c r="N1421" i="3"/>
  <c r="K1421" i="3"/>
  <c r="O1421" i="3"/>
  <c r="Q1421" i="3" s="1"/>
  <c r="M1421" i="3"/>
  <c r="L1421" i="3"/>
  <c r="J1421" i="3"/>
  <c r="N1749" i="3"/>
  <c r="K1749" i="3"/>
  <c r="L1749" i="3"/>
  <c r="J1749" i="3"/>
  <c r="M1749" i="3"/>
  <c r="O1749" i="3"/>
  <c r="Q1749" i="3" s="1"/>
  <c r="N1878" i="3"/>
  <c r="M1878" i="3"/>
  <c r="J1878" i="3"/>
  <c r="K1878" i="3"/>
  <c r="O1878" i="3"/>
  <c r="Q1878" i="3" s="1"/>
  <c r="L1878" i="3"/>
  <c r="L1940" i="3"/>
  <c r="N1940" i="3"/>
  <c r="J1940" i="3"/>
  <c r="K1940" i="3"/>
  <c r="M1940" i="3"/>
  <c r="O1940" i="3"/>
  <c r="Q1940" i="3" s="1"/>
  <c r="N1998" i="3"/>
  <c r="M1998" i="3"/>
  <c r="L1998" i="3"/>
  <c r="O1998" i="3"/>
  <c r="Q1998" i="3" s="1"/>
  <c r="K1998" i="3"/>
  <c r="J1998" i="3"/>
  <c r="N1469" i="3"/>
  <c r="K1469" i="3"/>
  <c r="M1469" i="3"/>
  <c r="O1469" i="3"/>
  <c r="Q1469" i="3" s="1"/>
  <c r="J1469" i="3"/>
  <c r="L1469" i="3"/>
  <c r="N1262" i="3"/>
  <c r="K1262" i="3"/>
  <c r="O1262" i="3"/>
  <c r="Q1262" i="3" s="1"/>
  <c r="J1262" i="3"/>
  <c r="L1262" i="3"/>
  <c r="M1262" i="3"/>
  <c r="N1533" i="3"/>
  <c r="M1533" i="3"/>
  <c r="O1533" i="3"/>
  <c r="Q1533" i="3" s="1"/>
  <c r="K1533" i="3"/>
  <c r="J1533" i="3"/>
  <c r="L1533" i="3"/>
  <c r="M1779" i="3"/>
  <c r="N1779" i="3"/>
  <c r="K1779" i="3"/>
  <c r="J1779" i="3"/>
  <c r="O1779" i="3"/>
  <c r="Q1779" i="3" s="1"/>
  <c r="L1779" i="3"/>
  <c r="L1637" i="3"/>
  <c r="N1637" i="3"/>
  <c r="M1637" i="3"/>
  <c r="O1637" i="3"/>
  <c r="Q1637" i="3" s="1"/>
  <c r="K1637" i="3"/>
  <c r="J1637" i="3"/>
  <c r="N1398" i="3"/>
  <c r="K1398" i="3"/>
  <c r="O1398" i="3"/>
  <c r="Q1398" i="3" s="1"/>
  <c r="J1398" i="3"/>
  <c r="L1398" i="3"/>
  <c r="M1398" i="3"/>
  <c r="N1444" i="3"/>
  <c r="L1444" i="3"/>
  <c r="J1444" i="3"/>
  <c r="K1444" i="3"/>
  <c r="M1444" i="3"/>
  <c r="O1444" i="3"/>
  <c r="Q1444" i="3" s="1"/>
  <c r="N1467" i="3"/>
  <c r="L1467" i="3"/>
  <c r="O1467" i="3"/>
  <c r="Q1467" i="3" s="1"/>
  <c r="M1467" i="3"/>
  <c r="K1467" i="3"/>
  <c r="J1467" i="3"/>
  <c r="L1507" i="3"/>
  <c r="O1507" i="3"/>
  <c r="Q1507" i="3" s="1"/>
  <c r="M1507" i="3"/>
  <c r="N1507" i="3"/>
  <c r="K1507" i="3"/>
  <c r="J1507" i="3"/>
  <c r="N1537" i="3"/>
  <c r="K1537" i="3"/>
  <c r="O1537" i="3"/>
  <c r="Q1537" i="3" s="1"/>
  <c r="M1537" i="3"/>
  <c r="L1537" i="3"/>
  <c r="J1537" i="3"/>
  <c r="N1568" i="3"/>
  <c r="L1568" i="3"/>
  <c r="M1568" i="3"/>
  <c r="O1568" i="3"/>
  <c r="Q1568" i="3" s="1"/>
  <c r="J1568" i="3"/>
  <c r="K1568" i="3"/>
  <c r="N1611" i="3"/>
  <c r="K1611" i="3"/>
  <c r="M1611" i="3"/>
  <c r="O1611" i="3"/>
  <c r="Q1611" i="3" s="1"/>
  <c r="J1611" i="3"/>
  <c r="L1611" i="3"/>
  <c r="N1696" i="3"/>
  <c r="J1696" i="3"/>
  <c r="K1696" i="3"/>
  <c r="O1696" i="3"/>
  <c r="Q1696" i="3" s="1"/>
  <c r="L1696" i="3"/>
  <c r="M1696" i="3"/>
  <c r="N1744" i="3"/>
  <c r="J1744" i="3"/>
  <c r="K1744" i="3"/>
  <c r="O1744" i="3"/>
  <c r="Q1744" i="3" s="1"/>
  <c r="L1744" i="3"/>
  <c r="M1744" i="3"/>
  <c r="N1776" i="3"/>
  <c r="K1776" i="3"/>
  <c r="J1776" i="3"/>
  <c r="L1776" i="3"/>
  <c r="M1776" i="3"/>
  <c r="O1776" i="3"/>
  <c r="Q1776" i="3" s="1"/>
  <c r="J1917" i="3"/>
  <c r="M1917" i="3"/>
  <c r="N1917" i="3"/>
  <c r="K1917" i="3"/>
  <c r="L1917" i="3"/>
  <c r="O1917" i="3"/>
  <c r="Q1917" i="3" s="1"/>
  <c r="J1474" i="3"/>
  <c r="L1474" i="3"/>
  <c r="M1474" i="3"/>
  <c r="P1474" i="3" s="1"/>
  <c r="K1474" i="3"/>
  <c r="O1474" i="3"/>
  <c r="Q1474" i="3" s="1"/>
  <c r="N1474" i="3"/>
  <c r="K1648" i="3"/>
  <c r="J1648" i="3"/>
  <c r="L1648" i="3"/>
  <c r="N1648" i="3"/>
  <c r="O1648" i="3"/>
  <c r="Q1648" i="3" s="1"/>
  <c r="M1648" i="3"/>
  <c r="N1457" i="3"/>
  <c r="K1457" i="3"/>
  <c r="O1457" i="3"/>
  <c r="Q1457" i="3" s="1"/>
  <c r="M1457" i="3"/>
  <c r="L1457" i="3"/>
  <c r="J1457" i="3"/>
  <c r="N1687" i="3"/>
  <c r="M1687" i="3"/>
  <c r="L1687" i="3"/>
  <c r="J1687" i="3"/>
  <c r="K1687" i="3"/>
  <c r="O1687" i="3"/>
  <c r="Q1687" i="3" s="1"/>
  <c r="N1419" i="3"/>
  <c r="L1419" i="3"/>
  <c r="M1419" i="3"/>
  <c r="P1419" i="3" s="1"/>
  <c r="K1419" i="3"/>
  <c r="O1419" i="3"/>
  <c r="Q1419" i="3" s="1"/>
  <c r="J1419" i="3"/>
  <c r="M1595" i="3"/>
  <c r="P1595" i="3" s="1"/>
  <c r="K1595" i="3"/>
  <c r="O1595" i="3"/>
  <c r="Q1595" i="3" s="1"/>
  <c r="L1595" i="3"/>
  <c r="J1595" i="3"/>
  <c r="N1595" i="3"/>
  <c r="N1643" i="3"/>
  <c r="K1643" i="3"/>
  <c r="M1643" i="3"/>
  <c r="O1643" i="3"/>
  <c r="Q1643" i="3" s="1"/>
  <c r="J1643" i="3"/>
  <c r="L1643" i="3"/>
  <c r="O1649" i="3"/>
  <c r="Q1649" i="3" s="1"/>
  <c r="L1649" i="3"/>
  <c r="K1649" i="3"/>
  <c r="N1649" i="3"/>
  <c r="J1649" i="3"/>
  <c r="M1649" i="3"/>
  <c r="K1680" i="3"/>
  <c r="J1680" i="3"/>
  <c r="L1680" i="3"/>
  <c r="N1680" i="3"/>
  <c r="O1680" i="3"/>
  <c r="Q1680" i="3" s="1"/>
  <c r="M1680" i="3"/>
  <c r="K1664" i="3"/>
  <c r="J1664" i="3"/>
  <c r="L1664" i="3"/>
  <c r="N1664" i="3"/>
  <c r="O1664" i="3"/>
  <c r="Q1664" i="3" s="1"/>
  <c r="M1664" i="3"/>
  <c r="L1392" i="3"/>
  <c r="N1392" i="3"/>
  <c r="O1392" i="3"/>
  <c r="Q1392" i="3" s="1"/>
  <c r="J1392" i="3"/>
  <c r="K1392" i="3"/>
  <c r="M1392" i="3"/>
  <c r="N1508" i="3"/>
  <c r="L1508" i="3"/>
  <c r="M1508" i="3"/>
  <c r="K1508" i="3"/>
  <c r="O1508" i="3"/>
  <c r="Q1508" i="3" s="1"/>
  <c r="J1508" i="3"/>
  <c r="N1815" i="3"/>
  <c r="J1815" i="3"/>
  <c r="M1815" i="3"/>
  <c r="K1815" i="3"/>
  <c r="L1815" i="3"/>
  <c r="O1815" i="3"/>
  <c r="Q1815" i="3" s="1"/>
  <c r="N1501" i="3"/>
  <c r="K1501" i="3"/>
  <c r="O1501" i="3"/>
  <c r="Q1501" i="3" s="1"/>
  <c r="M1501" i="3"/>
  <c r="J1501" i="3"/>
  <c r="L1501" i="3"/>
  <c r="P1819" i="3" l="1"/>
  <c r="P1576" i="3"/>
  <c r="P1627" i="3"/>
  <c r="P1682" i="3"/>
  <c r="P1772" i="3"/>
  <c r="P1422" i="3"/>
  <c r="P1463" i="3"/>
  <c r="P1507" i="3"/>
  <c r="P1903" i="3"/>
  <c r="P1879" i="3"/>
  <c r="P1010" i="3"/>
  <c r="P1546" i="3"/>
  <c r="P1994" i="3"/>
  <c r="P1562" i="3"/>
  <c r="P1680" i="3"/>
  <c r="P1927" i="3"/>
  <c r="P1943" i="3"/>
  <c r="P1803" i="3"/>
  <c r="P1427" i="3"/>
  <c r="P1892" i="3"/>
  <c r="P1692" i="3"/>
  <c r="P1912" i="3"/>
  <c r="P1887" i="3"/>
  <c r="P1504" i="3"/>
  <c r="P1440" i="3"/>
  <c r="P1847" i="3"/>
  <c r="P1430" i="3"/>
  <c r="P1552" i="3"/>
  <c r="P1425" i="3"/>
  <c r="P1900" i="3"/>
  <c r="P1512" i="3"/>
  <c r="P1959" i="3"/>
  <c r="P1864" i="3"/>
  <c r="P1948" i="3"/>
  <c r="P1831" i="3"/>
  <c r="P1400" i="3"/>
  <c r="P1433" i="3"/>
  <c r="P1677" i="3"/>
  <c r="P1402" i="3"/>
  <c r="P1839" i="3"/>
  <c r="P1812" i="3"/>
  <c r="P1674" i="3"/>
  <c r="P1538" i="3"/>
  <c r="P1437" i="3"/>
  <c r="P1665" i="3"/>
  <c r="P1409" i="3"/>
  <c r="P1987" i="3"/>
  <c r="P1720" i="3"/>
  <c r="P1413" i="3"/>
  <c r="P1643" i="3"/>
  <c r="P1568" i="3"/>
  <c r="P1637" i="3"/>
  <c r="P1469" i="3"/>
  <c r="P1730" i="3"/>
  <c r="P1602" i="3"/>
  <c r="P1690" i="3"/>
  <c r="P1613" i="3"/>
  <c r="P1412" i="3"/>
  <c r="P1464" i="3"/>
  <c r="P1851" i="3"/>
  <c r="P1989" i="3"/>
  <c r="P1935" i="3"/>
  <c r="P1598" i="3"/>
  <c r="P1500" i="3"/>
  <c r="P1393" i="3"/>
  <c r="P1706" i="3"/>
  <c r="P1484" i="3"/>
  <c r="P1391" i="3"/>
  <c r="P1451" i="3"/>
  <c r="P1531" i="3"/>
  <c r="P1619" i="3"/>
  <c r="P1621" i="3"/>
  <c r="P1683" i="3"/>
  <c r="P1459" i="3"/>
  <c r="P1835" i="3"/>
  <c r="P1586" i="3"/>
  <c r="P1560" i="3"/>
  <c r="P1979" i="3"/>
  <c r="P1724" i="3"/>
  <c r="P1590" i="3"/>
  <c r="P1755" i="3"/>
  <c r="P1667" i="3"/>
  <c r="P1542" i="3"/>
  <c r="P1435" i="3"/>
  <c r="P1448" i="3"/>
  <c r="P1442" i="3"/>
  <c r="P1840" i="3"/>
  <c r="P1491" i="3"/>
  <c r="P1916" i="3"/>
  <c r="P1443" i="3"/>
  <c r="P1896" i="3"/>
  <c r="P1804" i="3"/>
  <c r="P1685" i="3"/>
  <c r="P1713" i="3"/>
  <c r="P1449" i="3"/>
  <c r="P1394" i="3"/>
  <c r="P1897" i="3"/>
  <c r="P1907" i="3"/>
  <c r="P1471" i="3"/>
  <c r="P1429" i="3"/>
  <c r="P1618" i="3"/>
  <c r="P1696" i="3"/>
  <c r="P1800" i="3"/>
  <c r="P1489" i="3"/>
  <c r="P1607" i="3"/>
  <c r="P1681" i="3"/>
  <c r="P1990" i="3"/>
  <c r="P1137" i="3"/>
  <c r="P1891" i="3"/>
  <c r="P1215" i="3"/>
  <c r="P1931" i="3"/>
  <c r="P1832" i="3"/>
  <c r="P1947" i="3"/>
  <c r="P1676" i="3"/>
  <c r="P1515" i="3"/>
  <c r="P1528" i="3"/>
  <c r="P1711" i="3"/>
  <c r="P1611" i="3"/>
  <c r="P1498" i="3"/>
  <c r="P1644" i="3"/>
  <c r="P1863" i="3"/>
  <c r="P1967" i="3"/>
  <c r="P1825" i="3"/>
  <c r="P1775" i="3"/>
  <c r="P1698" i="3"/>
  <c r="P1399" i="3"/>
  <c r="P1751" i="3"/>
  <c r="P1628" i="3"/>
  <c r="P1722" i="3"/>
  <c r="P1563" i="3"/>
  <c r="P1871" i="3"/>
  <c r="P1544" i="3"/>
  <c r="P1845" i="3"/>
  <c r="P1408" i="3"/>
  <c r="P1275" i="3"/>
  <c r="P1797" i="3"/>
  <c r="P1919" i="3"/>
  <c r="P1455" i="3"/>
  <c r="P1791" i="3"/>
  <c r="P1578" i="3"/>
  <c r="P1745" i="3"/>
  <c r="P1511" i="3"/>
  <c r="P1521" i="3"/>
  <c r="P1522" i="3"/>
  <c r="P1697" i="3"/>
  <c r="P1995" i="3"/>
  <c r="P1881" i="3"/>
  <c r="P1631" i="3"/>
  <c r="P1913" i="3"/>
  <c r="P1915" i="3"/>
  <c r="P1809" i="3"/>
  <c r="P1813" i="3"/>
  <c r="P1829" i="3"/>
  <c r="P1925" i="3"/>
  <c r="P1392" i="3"/>
  <c r="P1508" i="3"/>
  <c r="P1523" i="3"/>
  <c r="P1785" i="3"/>
  <c r="P1664" i="3"/>
  <c r="P1649" i="3"/>
  <c r="P1648" i="3"/>
  <c r="P1744" i="3"/>
  <c r="P1998" i="3"/>
  <c r="P1439" i="3"/>
  <c r="P1848" i="3"/>
  <c r="P1454" i="3"/>
  <c r="P1923" i="3"/>
  <c r="P1855" i="3"/>
  <c r="P1991" i="3"/>
  <c r="P1955" i="3"/>
  <c r="P1364" i="3"/>
  <c r="P1616" i="3"/>
  <c r="P1582" i="3"/>
  <c r="P1693" i="3"/>
  <c r="P1407" i="3"/>
  <c r="P1899" i="3"/>
  <c r="P1550" i="3"/>
  <c r="P1823" i="3"/>
  <c r="P1411" i="3"/>
  <c r="P1642" i="3"/>
  <c r="P1617" i="3"/>
  <c r="P1509" i="3"/>
  <c r="P1478" i="3"/>
  <c r="P1603" i="3"/>
  <c r="P1599" i="3"/>
  <c r="P1625" i="3"/>
  <c r="P1986" i="3"/>
  <c r="P1658" i="3"/>
  <c r="P1581" i="3"/>
  <c r="P1548" i="3"/>
  <c r="P1889" i="3"/>
  <c r="P1964" i="3"/>
  <c r="P1884" i="3"/>
  <c r="P1635" i="3"/>
  <c r="P1580" i="3"/>
  <c r="P1535" i="3"/>
  <c r="P1670" i="3"/>
  <c r="P1659" i="3"/>
  <c r="P1530" i="3"/>
  <c r="P1645" i="3"/>
  <c r="P1567" i="3"/>
  <c r="P1651" i="3"/>
  <c r="P1630" i="3"/>
  <c r="P1824" i="3"/>
  <c r="P1960" i="3"/>
  <c r="P1937" i="3"/>
  <c r="P1975" i="3"/>
  <c r="P1666" i="3"/>
  <c r="P1883" i="3"/>
  <c r="P1520" i="3"/>
  <c r="P1807" i="3"/>
  <c r="P1939" i="3"/>
  <c r="P1725" i="3"/>
  <c r="P1632" i="3"/>
  <c r="P1526" i="3"/>
  <c r="P1992" i="3"/>
  <c r="P1610" i="3"/>
  <c r="P1778" i="3"/>
  <c r="P1634" i="3"/>
  <c r="P1963" i="3"/>
  <c r="P1860" i="3"/>
  <c r="P1608" i="3"/>
  <c r="P1543" i="3"/>
  <c r="P1820" i="3"/>
  <c r="P1566" i="3"/>
  <c r="P1404" i="3"/>
  <c r="P1952" i="3"/>
  <c r="P1490" i="3"/>
  <c r="P1458" i="3"/>
  <c r="P1669" i="3"/>
  <c r="P1653" i="3"/>
  <c r="P1875" i="3"/>
  <c r="P1575" i="3"/>
  <c r="P1888" i="3"/>
  <c r="P1678" i="3"/>
  <c r="P1594" i="3"/>
  <c r="P1928" i="3"/>
  <c r="P1533" i="3"/>
  <c r="P1262" i="3"/>
  <c r="P1749" i="3"/>
  <c r="P1993" i="3"/>
  <c r="P1589" i="3"/>
  <c r="P1906" i="3"/>
  <c r="P1790" i="3"/>
  <c r="P1762" i="3"/>
  <c r="P1565" i="3"/>
  <c r="P1541" i="3"/>
  <c r="P1996" i="3"/>
  <c r="P1868" i="3"/>
  <c r="P1822" i="3"/>
  <c r="P1740" i="3"/>
  <c r="P1981" i="3"/>
  <c r="P1950" i="3"/>
  <c r="P1799" i="3"/>
  <c r="P1760" i="3"/>
  <c r="P1984" i="3"/>
  <c r="P1904" i="3"/>
  <c r="P1782" i="3"/>
  <c r="P1908" i="3"/>
  <c r="P1876" i="3"/>
  <c r="P1796" i="3"/>
  <c r="P1626" i="3"/>
  <c r="P1386" i="3"/>
  <c r="P1936" i="3"/>
  <c r="P1852" i="3"/>
  <c r="P1834" i="3"/>
  <c r="P1788" i="3"/>
  <c r="P1573" i="3"/>
  <c r="P1549" i="3"/>
  <c r="P1600" i="3"/>
  <c r="P1914" i="3"/>
  <c r="P1445" i="3"/>
  <c r="P1946" i="3"/>
  <c r="P1574" i="3"/>
  <c r="P1983" i="3"/>
  <c r="P1480" i="3"/>
  <c r="P1426" i="3"/>
  <c r="P1956" i="3"/>
  <c r="P1808" i="3"/>
  <c r="P1985" i="3"/>
  <c r="P1938" i="3"/>
  <c r="P1846" i="3"/>
  <c r="P1977" i="3"/>
  <c r="P1784" i="3"/>
  <c r="P1966" i="3"/>
  <c r="P1997" i="3"/>
  <c r="P1971" i="3"/>
  <c r="P1932" i="3"/>
  <c r="P1874" i="3"/>
  <c r="P1842" i="3"/>
  <c r="P1810" i="3"/>
  <c r="P1390" i="3"/>
  <c r="P1976" i="3"/>
  <c r="P1910" i="3"/>
  <c r="P1854" i="3"/>
  <c r="P1968" i="3"/>
  <c r="P1856" i="3"/>
  <c r="P1792" i="3"/>
  <c r="P1944" i="3"/>
  <c r="P1902" i="3"/>
  <c r="P1818" i="3"/>
  <c r="P1766" i="3"/>
  <c r="P1650" i="3"/>
  <c r="P1930" i="3"/>
  <c r="P1870" i="3"/>
  <c r="P1806" i="3"/>
  <c r="P1894" i="3"/>
  <c r="P1974" i="3"/>
  <c r="P1814" i="3"/>
  <c r="P1942" i="3"/>
  <c r="P1962" i="3"/>
  <c r="P1882" i="3"/>
  <c r="P1890" i="3"/>
  <c r="P1926" i="3"/>
  <c r="P1774" i="3"/>
  <c r="P1918" i="3"/>
  <c r="P1850" i="3"/>
  <c r="P1750" i="3"/>
  <c r="P1691" i="3"/>
  <c r="P1605" i="3"/>
  <c r="P1707" i="3"/>
  <c r="P1641" i="3"/>
  <c r="P1857" i="3"/>
  <c r="P1828" i="3"/>
  <c r="P1672" i="3"/>
  <c r="P1572" i="3"/>
  <c r="P1654" i="3"/>
  <c r="P1830" i="3"/>
  <c r="P1982" i="3"/>
  <c r="P1924" i="3"/>
  <c r="P1880" i="3"/>
  <c r="P1687" i="3"/>
  <c r="P1917" i="3"/>
  <c r="P1444" i="3"/>
  <c r="P1909" i="3"/>
  <c r="P1615" i="3"/>
  <c r="P1719" i="3"/>
  <c r="P1933" i="3"/>
  <c r="P1885" i="3"/>
  <c r="P1695" i="3"/>
  <c r="P1571" i="3"/>
  <c r="P1717" i="3"/>
  <c r="P1671" i="3"/>
  <c r="P1517" i="3"/>
  <c r="P1428" i="3"/>
  <c r="P1737" i="3"/>
  <c r="P1647" i="3"/>
  <c r="P1534" i="3"/>
  <c r="P1652" i="3"/>
  <c r="P1588" i="3"/>
  <c r="P1502" i="3"/>
  <c r="P1438" i="3"/>
  <c r="P1748" i="3"/>
  <c r="P1727" i="3"/>
  <c r="P1663" i="3"/>
  <c r="P1486" i="3"/>
  <c r="P1901" i="3"/>
  <c r="P1873" i="3"/>
  <c r="P1731" i="3"/>
  <c r="P1699" i="3"/>
  <c r="P1604" i="3"/>
  <c r="P1479" i="3"/>
  <c r="P1436" i="3"/>
  <c r="P1410" i="3"/>
  <c r="P1638" i="3"/>
  <c r="P1729" i="3"/>
  <c r="P1700" i="3"/>
  <c r="P1877" i="3"/>
  <c r="P1662" i="3"/>
  <c r="P1462" i="3"/>
  <c r="P1403" i="3"/>
  <c r="P1532" i="3"/>
  <c r="P1483" i="3"/>
  <c r="P1747" i="3"/>
  <c r="P1503" i="3"/>
  <c r="P1905" i="3"/>
  <c r="P1705" i="3"/>
  <c r="P1583" i="3"/>
  <c r="P1470" i="3"/>
  <c r="P1655" i="3"/>
  <c r="P1657" i="3"/>
  <c r="P1564" i="3"/>
  <c r="P1640" i="3"/>
  <c r="P1540" i="3"/>
  <c r="P1703" i="3"/>
  <c r="P1646" i="3"/>
  <c r="P1496" i="3"/>
  <c r="P1768" i="3"/>
  <c r="P1752" i="3"/>
  <c r="P1736" i="3"/>
  <c r="P1591" i="3"/>
  <c r="P1359" i="3"/>
  <c r="P1953" i="3"/>
  <c r="P1867" i="3"/>
  <c r="P1787" i="3"/>
  <c r="P1739" i="3"/>
  <c r="P1723" i="3"/>
  <c r="P1688" i="3"/>
  <c r="P1679" i="3"/>
  <c r="P1624" i="3"/>
  <c r="P1614" i="3"/>
  <c r="P1957" i="3"/>
  <c r="P1844" i="3"/>
  <c r="P1764" i="3"/>
  <c r="P1743" i="3"/>
  <c r="P1716" i="3"/>
  <c r="P1689" i="3"/>
  <c r="P1623" i="3"/>
  <c r="P1450" i="3"/>
  <c r="P1988" i="3"/>
  <c r="P1929" i="3"/>
  <c r="P1756" i="3"/>
  <c r="P1570" i="3"/>
  <c r="P1686" i="3"/>
  <c r="P1431" i="3"/>
  <c r="P1941" i="3"/>
  <c r="P1780" i="3"/>
  <c r="P1636" i="3"/>
  <c r="P1859" i="3"/>
  <c r="P1795" i="3"/>
  <c r="P1893" i="3"/>
  <c r="P1387" i="3"/>
  <c r="P1622" i="3"/>
  <c r="P1298" i="3"/>
  <c r="P1721" i="3"/>
  <c r="P1704" i="3"/>
  <c r="P1656" i="3"/>
  <c r="P1945" i="3"/>
  <c r="P1551" i="3"/>
  <c r="P1869" i="3"/>
  <c r="P1518" i="3"/>
  <c r="P1715" i="3"/>
  <c r="P1596" i="3"/>
  <c r="P1735" i="3"/>
  <c r="P1639" i="3"/>
  <c r="P1556" i="3"/>
  <c r="P1485" i="3"/>
  <c r="P1921" i="3"/>
  <c r="P1612" i="3"/>
  <c r="P1466" i="3"/>
  <c r="P1978" i="3"/>
  <c r="P1761" i="3"/>
  <c r="P1514" i="3"/>
  <c r="P1841" i="3"/>
  <c r="P1777" i="3"/>
  <c r="P1488" i="3"/>
  <c r="P1447" i="3"/>
  <c r="P1415" i="3"/>
  <c r="P1861" i="3"/>
  <c r="P1558" i="3"/>
  <c r="P1783" i="3"/>
  <c r="P1441" i="3"/>
  <c r="P1765" i="3"/>
  <c r="P1601" i="3"/>
  <c r="P1973" i="3"/>
  <c r="P1561" i="3"/>
  <c r="P1555" i="3"/>
  <c r="P1849" i="3"/>
  <c r="P1801" i="3"/>
  <c r="P1769" i="3"/>
  <c r="P1773" i="3"/>
  <c r="P1741" i="3"/>
  <c r="P1709" i="3"/>
  <c r="P1668" i="3"/>
  <c r="P1353" i="3"/>
  <c r="P1767" i="3"/>
  <c r="P1396" i="3"/>
  <c r="P1493" i="3"/>
  <c r="P1265" i="3"/>
  <c r="P1771" i="3"/>
  <c r="P1525" i="3"/>
  <c r="P1759" i="3"/>
  <c r="P1815" i="3"/>
  <c r="P1776" i="3"/>
  <c r="P1398" i="3"/>
  <c r="P1940" i="3"/>
  <c r="P1878" i="3"/>
  <c r="P1501" i="3"/>
  <c r="P1457" i="3"/>
  <c r="P1537" i="3"/>
  <c r="P1467" i="3"/>
  <c r="P1779" i="3"/>
  <c r="P1421" i="3"/>
  <c r="P1389" i="3"/>
  <c r="P1487" i="3"/>
  <c r="P1853" i="3"/>
  <c r="P1821" i="3"/>
  <c r="P1629" i="3"/>
  <c r="P1401" i="3"/>
  <c r="P1587" i="3"/>
  <c r="P1753" i="3"/>
  <c r="P1423" i="3"/>
  <c r="P1274" i="3"/>
  <c r="P1763" i="3"/>
  <c r="P1660" i="3"/>
  <c r="P1513" i="3"/>
  <c r="P1388" i="3"/>
  <c r="P1553" i="3"/>
  <c r="P1577" i="3"/>
  <c r="P1397" i="3"/>
  <c r="P1585" i="3"/>
  <c r="P1473" i="3"/>
  <c r="P1499" i="3"/>
  <c r="P1865" i="3"/>
  <c r="P1757" i="3"/>
  <c r="P1593" i="3"/>
  <c r="P1529" i="3"/>
  <c r="P1418" i="3"/>
  <c r="P1405" i="3"/>
  <c r="P1833" i="3"/>
  <c r="P1417" i="3"/>
  <c r="P1969" i="3"/>
  <c r="P1661" i="3"/>
  <c r="P1781" i="3"/>
  <c r="P1597" i="3"/>
  <c r="P1545" i="3"/>
  <c r="P1481" i="3"/>
  <c r="P1495" i="3"/>
  <c r="P1527" i="3"/>
  <c r="P1461" i="3"/>
  <c r="P1505" i="3"/>
  <c r="P1506" i="3"/>
  <c r="P1620" i="3"/>
  <c r="P1965" i="3"/>
  <c r="P1837" i="3"/>
  <c r="P1805" i="3"/>
  <c r="P1569" i="3"/>
  <c r="P1465" i="3"/>
  <c r="P1961" i="3"/>
  <c r="P1453" i="3"/>
  <c r="P1817" i="3"/>
  <c r="P1684" i="3"/>
  <c r="P1497" i="3"/>
  <c r="P1406" i="3"/>
  <c r="P1475" i="3"/>
  <c r="P1468" i="3"/>
  <c r="P1420" i="3"/>
  <c r="P1584" i="3"/>
  <c r="P1738" i="3"/>
  <c r="P1432" i="3"/>
  <c r="P1536" i="3"/>
  <c r="P1494" i="3"/>
  <c r="P1712" i="3"/>
  <c r="P1701" i="3"/>
  <c r="P1416" i="3"/>
  <c r="P1424" i="3"/>
  <c r="P1492" i="3"/>
  <c r="P1592" i="3"/>
  <c r="P1303" i="3"/>
  <c r="P1728" i="3"/>
  <c r="P1816" i="3"/>
  <c r="P1798" i="3"/>
  <c r="P1675" i="3"/>
  <c r="P1718" i="3"/>
  <c r="P1702" i="3"/>
  <c r="P1456" i="3"/>
  <c r="P1734" i="3"/>
  <c r="P1694" i="3"/>
  <c r="P1726" i="3"/>
  <c r="P1742" i="3"/>
  <c r="P1516" i="3"/>
  <c r="P1472" i="3"/>
  <c r="P1452" i="3"/>
  <c r="P1524" i="3"/>
  <c r="P1324" i="3"/>
  <c r="P1606" i="3"/>
  <c r="P1733" i="3"/>
  <c r="P1710" i="3"/>
  <c r="P1746" i="3"/>
  <c r="P1714" i="3"/>
  <c r="P1633" i="3"/>
  <c r="P1951" i="3"/>
  <c r="P1922" i="3"/>
  <c r="P1866" i="3"/>
  <c r="P1802" i="3"/>
  <c r="P1970" i="3"/>
  <c r="P1872" i="3"/>
  <c r="P1446" i="3"/>
  <c r="P1958" i="3"/>
  <c r="P1898" i="3"/>
  <c r="P1758" i="3"/>
  <c r="P1862" i="3"/>
  <c r="P1786" i="3"/>
  <c r="P1557" i="3"/>
  <c r="P1434" i="3"/>
  <c r="P1980" i="3"/>
  <c r="P1949" i="3"/>
  <c r="P1886" i="3"/>
  <c r="P1858" i="3"/>
  <c r="P1826" i="3"/>
  <c r="P1794" i="3"/>
  <c r="P1554" i="3"/>
  <c r="P1477" i="3"/>
  <c r="P1934" i="3"/>
  <c r="P1836" i="3"/>
  <c r="P1708" i="3"/>
  <c r="P1954" i="3"/>
  <c r="P1754" i="3"/>
  <c r="P1920" i="3"/>
  <c r="P1972" i="3"/>
  <c r="P1838" i="3"/>
  <c r="P1770" i="3"/>
  <c r="H5" i="3" l="1"/>
  <c r="AU5" i="3" s="1"/>
  <c r="I5" i="3" s="1"/>
  <c r="G5" i="3"/>
  <c r="C5" i="3"/>
  <c r="D5" i="3" s="1"/>
  <c r="CO5" i="3" l="1"/>
  <c r="AT5" i="3"/>
  <c r="B5" i="3" l="1"/>
  <c r="D24" i="36" l="1"/>
  <c r="I33" i="63"/>
  <c r="BF19" i="36"/>
  <c r="I15" i="63"/>
  <c r="H14" i="76"/>
  <c r="H37" i="76"/>
  <c r="D34" i="36"/>
  <c r="BF23" i="36"/>
  <c r="BF24" i="36"/>
  <c r="I26" i="63"/>
  <c r="BF9" i="36"/>
  <c r="B30" i="36"/>
  <c r="B21" i="36"/>
  <c r="H32" i="76"/>
  <c r="BF21" i="36"/>
  <c r="I29" i="63"/>
  <c r="I35" i="63"/>
  <c r="BF13" i="36"/>
  <c r="I30" i="63"/>
  <c r="BF10" i="36"/>
  <c r="BF8" i="36"/>
  <c r="I28" i="63"/>
  <c r="H9" i="76"/>
  <c r="D15" i="36"/>
  <c r="B17" i="36"/>
  <c r="I12" i="63"/>
  <c r="I24" i="63"/>
  <c r="I32" i="63"/>
  <c r="B11" i="36"/>
  <c r="H36" i="76"/>
  <c r="I11" i="63"/>
  <c r="BF25" i="36"/>
  <c r="B28" i="36"/>
  <c r="H27" i="76"/>
  <c r="BF31" i="36"/>
  <c r="B19" i="36"/>
  <c r="D10" i="36"/>
  <c r="B32" i="36"/>
  <c r="B13" i="36"/>
  <c r="I19" i="63"/>
  <c r="B38" i="36"/>
  <c r="D17" i="36"/>
  <c r="H38" i="76"/>
  <c r="I16" i="63"/>
  <c r="H24" i="76"/>
  <c r="BF28" i="36"/>
  <c r="B16" i="36"/>
  <c r="B18" i="36"/>
  <c r="BF22" i="36"/>
  <c r="B14" i="36"/>
  <c r="B10" i="36"/>
  <c r="H29" i="76"/>
  <c r="I20" i="63"/>
  <c r="BF7" i="36"/>
  <c r="H15" i="76"/>
  <c r="BF26" i="36"/>
  <c r="D36" i="36"/>
  <c r="D13" i="36"/>
  <c r="B9" i="36"/>
  <c r="B24" i="36"/>
  <c r="D29" i="36"/>
  <c r="I21" i="63"/>
  <c r="D33" i="36"/>
  <c r="I38" i="63"/>
  <c r="B35" i="36"/>
  <c r="E9" i="36"/>
  <c r="E39" i="36" s="1"/>
  <c r="BF6" i="36"/>
  <c r="D26" i="36"/>
  <c r="B29" i="36"/>
  <c r="I18" i="63"/>
  <c r="B12" i="36"/>
  <c r="D32" i="36"/>
  <c r="BF11" i="36"/>
  <c r="B22" i="36"/>
  <c r="H18" i="76"/>
  <c r="B23" i="36"/>
  <c r="H12" i="76"/>
  <c r="D31" i="36"/>
  <c r="I10" i="63"/>
  <c r="I25" i="63"/>
  <c r="H10" i="76"/>
  <c r="D23" i="36"/>
  <c r="D38" i="36"/>
  <c r="I22" i="63"/>
  <c r="D9" i="36"/>
  <c r="B20" i="36"/>
  <c r="BF15" i="36"/>
  <c r="D28" i="36"/>
  <c r="I13" i="63"/>
  <c r="I34" i="63"/>
  <c r="I31" i="63"/>
  <c r="H33" i="76"/>
  <c r="D35" i="36"/>
  <c r="H11" i="76"/>
  <c r="D37" i="36"/>
  <c r="D22" i="36"/>
  <c r="H13" i="76"/>
  <c r="H21" i="76"/>
  <c r="D14" i="36"/>
  <c r="I37" i="63"/>
  <c r="I17" i="63"/>
  <c r="H20" i="76"/>
  <c r="B36" i="36"/>
  <c r="H31" i="76"/>
  <c r="B25" i="36"/>
  <c r="B37" i="36"/>
  <c r="H34" i="76"/>
  <c r="B34" i="36"/>
  <c r="BF29" i="36"/>
  <c r="BF34" i="36"/>
  <c r="H28" i="76"/>
  <c r="D12" i="36"/>
  <c r="H35" i="76"/>
  <c r="H23" i="76"/>
  <c r="H19" i="76"/>
  <c r="I27" i="63"/>
  <c r="B27" i="36"/>
  <c r="H30" i="76"/>
  <c r="D27" i="36"/>
  <c r="H17" i="76"/>
  <c r="B26" i="36"/>
  <c r="BF33" i="36"/>
  <c r="I14" i="63"/>
  <c r="BF5" i="36"/>
  <c r="BF20" i="36"/>
  <c r="BF14" i="36"/>
  <c r="I23" i="63"/>
  <c r="H22" i="76"/>
  <c r="H16" i="76"/>
  <c r="BF30" i="36"/>
  <c r="BF27" i="36"/>
  <c r="BF18" i="36"/>
  <c r="H26" i="76"/>
  <c r="BF12" i="36"/>
  <c r="BF32" i="36"/>
  <c r="BF16" i="36"/>
  <c r="D21" i="36"/>
  <c r="H25" i="76"/>
  <c r="I36" i="63"/>
  <c r="B31" i="36"/>
  <c r="B33" i="36"/>
  <c r="B15" i="36"/>
  <c r="D16" i="36"/>
  <c r="BF17" i="36"/>
  <c r="I9" i="63"/>
  <c r="BF35" i="36" l="1"/>
  <c r="O45" i="36"/>
  <c r="M12" i="36"/>
  <c r="E28" i="61"/>
  <c r="E32" i="86"/>
  <c r="G32" i="86" s="1"/>
  <c r="J32" i="86" s="1"/>
  <c r="E31" i="86"/>
  <c r="E29" i="61"/>
  <c r="G29" i="61" s="1"/>
  <c r="J29" i="61" s="1"/>
  <c r="E31" i="61" l="1"/>
  <c r="G28" i="61"/>
  <c r="H28" i="61"/>
  <c r="O40" i="36"/>
  <c r="D26" i="86"/>
  <c r="E119" i="87" s="1"/>
  <c r="D23" i="61"/>
  <c r="O51" i="36"/>
  <c r="F55" i="36" s="1"/>
  <c r="D20" i="80"/>
  <c r="D20" i="82"/>
  <c r="O43" i="36"/>
  <c r="D20" i="81"/>
  <c r="O42" i="36"/>
  <c r="D25" i="83"/>
  <c r="O41" i="36"/>
  <c r="E34" i="86"/>
  <c r="G31" i="86"/>
  <c r="H31" i="86"/>
  <c r="E71" i="36"/>
  <c r="O46" i="36"/>
  <c r="I28" i="61" l="1"/>
  <c r="J28" i="61" s="1"/>
  <c r="E54" i="86"/>
  <c r="H34" i="86"/>
  <c r="G34" i="86"/>
  <c r="F82" i="86"/>
  <c r="M63" i="36"/>
  <c r="F58" i="36"/>
  <c r="F38" i="82"/>
  <c r="K62" i="86"/>
  <c r="F61" i="36"/>
  <c r="E39" i="80"/>
  <c r="BY8" i="36"/>
  <c r="CM23" i="36"/>
  <c r="CN23" i="36" s="1"/>
  <c r="M65" i="36"/>
  <c r="P90" i="36"/>
  <c r="F72" i="61"/>
  <c r="CN20" i="36"/>
  <c r="CN21" i="36"/>
  <c r="CN22" i="36"/>
  <c r="E70" i="36"/>
  <c r="O64" i="36"/>
  <c r="P91" i="36" s="1"/>
  <c r="O62" i="36"/>
  <c r="R90" i="36" s="1"/>
  <c r="CM19" i="36"/>
  <c r="CN19" i="36" s="1"/>
  <c r="O69" i="36"/>
  <c r="F77" i="36" s="1"/>
  <c r="F78" i="36" s="1"/>
  <c r="O72" i="36"/>
  <c r="F71" i="36" s="1"/>
  <c r="I31" i="86"/>
  <c r="J31" i="86" s="1"/>
  <c r="C78" i="82"/>
  <c r="L78" i="82"/>
  <c r="E78" i="82"/>
  <c r="H78" i="82"/>
  <c r="G31" i="61"/>
  <c r="H31" i="61"/>
  <c r="I31" i="61" s="1"/>
  <c r="I51" i="61" s="1"/>
  <c r="E51" i="61"/>
  <c r="I34" i="86" l="1"/>
  <c r="I54" i="86" s="1"/>
  <c r="Q90" i="36"/>
  <c r="P92" i="36"/>
  <c r="G54" i="86"/>
  <c r="J34" i="86"/>
  <c r="J54" i="86" s="1"/>
  <c r="L16" i="81" s="1"/>
  <c r="F72" i="36"/>
  <c r="M67" i="36"/>
  <c r="G51" i="61"/>
  <c r="J31" i="61"/>
  <c r="J51" i="61" s="1"/>
  <c r="K61" i="61" s="1"/>
  <c r="O75" i="36"/>
  <c r="K61" i="86"/>
  <c r="Q88" i="36"/>
  <c r="D68" i="36" s="1"/>
  <c r="F37" i="82"/>
  <c r="O73" i="36"/>
  <c r="BY7" i="36"/>
  <c r="BY5" i="36"/>
  <c r="BY6" i="36"/>
  <c r="F48" i="36" s="1"/>
  <c r="R91" i="36"/>
  <c r="R92" i="36" s="1"/>
  <c r="F66" i="36" l="1"/>
  <c r="F67" i="36" s="1"/>
  <c r="L23" i="36"/>
  <c r="M66" i="36"/>
  <c r="Q75" i="36"/>
  <c r="O65" i="36"/>
  <c r="Q91" i="36" s="1"/>
  <c r="Q92" i="36" s="1"/>
  <c r="J62" i="86"/>
  <c r="J63" i="86"/>
  <c r="F51" i="36"/>
  <c r="M62" i="36"/>
  <c r="L39" i="36" l="1"/>
  <c r="M21" i="36"/>
  <c r="M68" i="36" s="1"/>
  <c r="M60" i="36" s="1"/>
  <c r="E208" i="3" l="1"/>
  <c r="E292" i="3"/>
  <c r="K292" i="3" l="1"/>
  <c r="M292" i="3"/>
  <c r="O292" i="3"/>
  <c r="Q292" i="3" s="1"/>
  <c r="L292" i="3"/>
  <c r="J292" i="3"/>
  <c r="N292" i="3"/>
  <c r="J208" i="3"/>
  <c r="L208" i="3"/>
  <c r="O208" i="3"/>
  <c r="Q208" i="3" s="1"/>
  <c r="N208" i="3"/>
  <c r="K208" i="3"/>
  <c r="M208" i="3"/>
  <c r="H251" i="3"/>
  <c r="AU251" i="3" s="1"/>
  <c r="I251" i="3" s="1"/>
  <c r="AT251" i="3" s="1"/>
  <c r="H279" i="3"/>
  <c r="AU279" i="3" s="1"/>
  <c r="I279" i="3" s="1"/>
  <c r="AT279" i="3" s="1"/>
  <c r="H249" i="3"/>
  <c r="AU249" i="3" s="1"/>
  <c r="I249" i="3" s="1"/>
  <c r="AT249" i="3" s="1"/>
  <c r="H234" i="3"/>
  <c r="AU234" i="3" s="1"/>
  <c r="I234" i="3" s="1"/>
  <c r="AT234" i="3" s="1"/>
  <c r="H354" i="3"/>
  <c r="AU354" i="3" s="1"/>
  <c r="I354" i="3" s="1"/>
  <c r="AT354" i="3" s="1"/>
  <c r="H584" i="3"/>
  <c r="AU584" i="3" s="1"/>
  <c r="I584" i="3" s="1"/>
  <c r="AT584" i="3" s="1"/>
  <c r="H964" i="3"/>
  <c r="AU964" i="3" s="1"/>
  <c r="I964" i="3" s="1"/>
  <c r="AT964" i="3" s="1"/>
  <c r="H602" i="3"/>
  <c r="AU602" i="3" s="1"/>
  <c r="I602" i="3" s="1"/>
  <c r="AT602" i="3" s="1"/>
  <c r="H675" i="3"/>
  <c r="AU675" i="3" s="1"/>
  <c r="I675" i="3" s="1"/>
  <c r="AT675" i="3" s="1"/>
  <c r="H356" i="3"/>
  <c r="AU356" i="3" s="1"/>
  <c r="I356" i="3" s="1"/>
  <c r="AT356" i="3" s="1"/>
  <c r="H358" i="3"/>
  <c r="AU358" i="3" s="1"/>
  <c r="I358" i="3" s="1"/>
  <c r="AT358" i="3" s="1"/>
  <c r="H283" i="3"/>
  <c r="AU283" i="3" s="1"/>
  <c r="I283" i="3" s="1"/>
  <c r="AT283" i="3" s="1"/>
  <c r="H252" i="3"/>
  <c r="AU252" i="3" s="1"/>
  <c r="I252" i="3" s="1"/>
  <c r="AT252" i="3" s="1"/>
  <c r="H340" i="3"/>
  <c r="AU340" i="3" s="1"/>
  <c r="I340" i="3" s="1"/>
  <c r="AT340" i="3" s="1"/>
  <c r="H353" i="3"/>
  <c r="AU353" i="3" s="1"/>
  <c r="I353" i="3" s="1"/>
  <c r="AT353" i="3" s="1"/>
  <c r="H408" i="3"/>
  <c r="AU408" i="3" s="1"/>
  <c r="I408" i="3" s="1"/>
  <c r="AT408" i="3" s="1"/>
  <c r="H729" i="3"/>
  <c r="AU729" i="3" s="1"/>
  <c r="I729" i="3" s="1"/>
  <c r="AT729" i="3" s="1"/>
  <c r="H452" i="3"/>
  <c r="AU452" i="3" s="1"/>
  <c r="I452" i="3" s="1"/>
  <c r="AT452" i="3" s="1"/>
  <c r="H497" i="3"/>
  <c r="AU497" i="3" s="1"/>
  <c r="I497" i="3" s="1"/>
  <c r="AT497" i="3" s="1"/>
  <c r="H818" i="3"/>
  <c r="AU818" i="3" s="1"/>
  <c r="I818" i="3" s="1"/>
  <c r="AT818" i="3" s="1"/>
  <c r="H901" i="3"/>
  <c r="AU901" i="3" s="1"/>
  <c r="I901" i="3" s="1"/>
  <c r="AT901" i="3" s="1"/>
  <c r="H250" i="3"/>
  <c r="AU250" i="3" s="1"/>
  <c r="I250" i="3" s="1"/>
  <c r="AT250" i="3" s="1"/>
  <c r="H582" i="3"/>
  <c r="AU582" i="3" s="1"/>
  <c r="I582" i="3" s="1"/>
  <c r="AT582" i="3" s="1"/>
  <c r="P208" i="3" l="1"/>
  <c r="P292" i="3"/>
  <c r="E122" i="3"/>
  <c r="E91" i="3"/>
  <c r="E225" i="3"/>
  <c r="E229" i="3"/>
  <c r="E227" i="3"/>
  <c r="E233" i="3"/>
  <c r="E283" i="3"/>
  <c r="E285" i="3"/>
  <c r="E287" i="3"/>
  <c r="E290" i="3"/>
  <c r="E295" i="3"/>
  <c r="E417" i="3"/>
  <c r="E418" i="3"/>
  <c r="E419" i="3"/>
  <c r="E426" i="3"/>
  <c r="E430" i="3"/>
  <c r="E416" i="3"/>
  <c r="E415" i="3"/>
  <c r="E543" i="3"/>
  <c r="E712" i="3"/>
  <c r="E740" i="3"/>
  <c r="E848" i="3"/>
  <c r="E846" i="3"/>
  <c r="E850" i="3"/>
  <c r="E962" i="3"/>
  <c r="K962" i="3" l="1"/>
  <c r="O962" i="3"/>
  <c r="Q962" i="3" s="1"/>
  <c r="N962" i="3"/>
  <c r="J962" i="3"/>
  <c r="L962" i="3"/>
  <c r="M962" i="3"/>
  <c r="P962" i="3" s="1"/>
  <c r="J740" i="3"/>
  <c r="O740" i="3"/>
  <c r="Q740" i="3" s="1"/>
  <c r="L740" i="3"/>
  <c r="N740" i="3"/>
  <c r="K740" i="3"/>
  <c r="M740" i="3"/>
  <c r="M712" i="3"/>
  <c r="L712" i="3"/>
  <c r="N712" i="3"/>
  <c r="J712" i="3"/>
  <c r="K712" i="3"/>
  <c r="O712" i="3"/>
  <c r="Q712" i="3" s="1"/>
  <c r="M543" i="3"/>
  <c r="O543" i="3"/>
  <c r="Q543" i="3" s="1"/>
  <c r="L543" i="3"/>
  <c r="N543" i="3"/>
  <c r="K543" i="3"/>
  <c r="J543" i="3"/>
  <c r="J416" i="3"/>
  <c r="L416" i="3"/>
  <c r="M416" i="3"/>
  <c r="K416" i="3"/>
  <c r="O416" i="3"/>
  <c r="Q416" i="3" s="1"/>
  <c r="N416" i="3"/>
  <c r="M417" i="3"/>
  <c r="O417" i="3"/>
  <c r="Q417" i="3" s="1"/>
  <c r="J417" i="3"/>
  <c r="L417" i="3"/>
  <c r="K417" i="3"/>
  <c r="N417" i="3"/>
  <c r="K290" i="3"/>
  <c r="L290" i="3"/>
  <c r="N290" i="3"/>
  <c r="O290" i="3"/>
  <c r="Q290" i="3" s="1"/>
  <c r="J290" i="3"/>
  <c r="M290" i="3"/>
  <c r="N229" i="3"/>
  <c r="O229" i="3"/>
  <c r="Q229" i="3" s="1"/>
  <c r="M229" i="3"/>
  <c r="L229" i="3"/>
  <c r="K229" i="3"/>
  <c r="J229" i="3"/>
  <c r="N295" i="3"/>
  <c r="O295" i="3"/>
  <c r="Q295" i="3" s="1"/>
  <c r="L295" i="3"/>
  <c r="M295" i="3"/>
  <c r="K295" i="3"/>
  <c r="J295" i="3"/>
  <c r="O285" i="3"/>
  <c r="Q285" i="3" s="1"/>
  <c r="K285" i="3"/>
  <c r="L285" i="3"/>
  <c r="M285" i="3"/>
  <c r="N285" i="3"/>
  <c r="J285" i="3"/>
  <c r="K227" i="3"/>
  <c r="O227" i="3"/>
  <c r="Q227" i="3" s="1"/>
  <c r="L227" i="3"/>
  <c r="N227" i="3"/>
  <c r="J227" i="3"/>
  <c r="M227" i="3"/>
  <c r="P227" i="3" s="1"/>
  <c r="H967" i="3"/>
  <c r="AU967" i="3" s="1"/>
  <c r="I967" i="3" s="1"/>
  <c r="AT967" i="3" s="1"/>
  <c r="H971" i="3"/>
  <c r="AU971" i="3" s="1"/>
  <c r="I971" i="3" s="1"/>
  <c r="AT971" i="3" s="1"/>
  <c r="H973" i="3"/>
  <c r="AU973" i="3" s="1"/>
  <c r="I973" i="3" s="1"/>
  <c r="AT973" i="3" s="1"/>
  <c r="H975" i="3"/>
  <c r="AU975" i="3" s="1"/>
  <c r="I975" i="3" s="1"/>
  <c r="AT975" i="3" s="1"/>
  <c r="H360" i="3"/>
  <c r="AU360" i="3" s="1"/>
  <c r="I360" i="3" s="1"/>
  <c r="AT360" i="3" s="1"/>
  <c r="H680" i="3"/>
  <c r="AU680" i="3" s="1"/>
  <c r="I680" i="3" s="1"/>
  <c r="AT680" i="3" s="1"/>
  <c r="H981" i="3"/>
  <c r="AU981" i="3" s="1"/>
  <c r="I981" i="3" s="1"/>
  <c r="AT981" i="3" s="1"/>
  <c r="H404" i="3"/>
  <c r="AU404" i="3" s="1"/>
  <c r="I404" i="3" s="1"/>
  <c r="AT404" i="3" s="1"/>
  <c r="H943" i="3"/>
  <c r="AU943" i="3" s="1"/>
  <c r="I943" i="3" s="1"/>
  <c r="AT943" i="3" s="1"/>
  <c r="H449" i="3"/>
  <c r="AU449" i="3" s="1"/>
  <c r="I449" i="3" s="1"/>
  <c r="AT449" i="3" s="1"/>
  <c r="H768" i="3"/>
  <c r="AU768" i="3" s="1"/>
  <c r="I768" i="3" s="1"/>
  <c r="AT768" i="3" s="1"/>
  <c r="H851" i="3"/>
  <c r="AU851" i="3" s="1"/>
  <c r="I851" i="3" s="1"/>
  <c r="AT851" i="3" s="1"/>
  <c r="H534" i="3"/>
  <c r="AU534" i="3" s="1"/>
  <c r="I534" i="3" s="1"/>
  <c r="AT534" i="3" s="1"/>
  <c r="H937" i="3"/>
  <c r="AU937" i="3" s="1"/>
  <c r="I937" i="3" s="1"/>
  <c r="AT937" i="3" s="1"/>
  <c r="N850" i="3"/>
  <c r="M850" i="3"/>
  <c r="K850" i="3"/>
  <c r="O850" i="3"/>
  <c r="Q850" i="3" s="1"/>
  <c r="J850" i="3"/>
  <c r="L850" i="3"/>
  <c r="O419" i="3"/>
  <c r="Q419" i="3" s="1"/>
  <c r="K419" i="3"/>
  <c r="M419" i="3"/>
  <c r="N419" i="3"/>
  <c r="L419" i="3"/>
  <c r="J419" i="3"/>
  <c r="J91" i="3"/>
  <c r="N91" i="3"/>
  <c r="O91" i="3"/>
  <c r="Q91" i="3" s="1"/>
  <c r="M91" i="3"/>
  <c r="L91" i="3"/>
  <c r="K91" i="3"/>
  <c r="M846" i="3"/>
  <c r="O846" i="3"/>
  <c r="Q846" i="3" s="1"/>
  <c r="K846" i="3"/>
  <c r="N846" i="3"/>
  <c r="J846" i="3"/>
  <c r="L846" i="3"/>
  <c r="M848" i="3"/>
  <c r="O848" i="3"/>
  <c r="Q848" i="3" s="1"/>
  <c r="J848" i="3"/>
  <c r="L848" i="3"/>
  <c r="N848" i="3"/>
  <c r="K848" i="3"/>
  <c r="O415" i="3"/>
  <c r="Q415" i="3" s="1"/>
  <c r="L415" i="3"/>
  <c r="N415" i="3"/>
  <c r="K415" i="3"/>
  <c r="M415" i="3"/>
  <c r="P415" i="3" s="1"/>
  <c r="J415" i="3"/>
  <c r="J430" i="3"/>
  <c r="K430" i="3"/>
  <c r="N430" i="3"/>
  <c r="O430" i="3"/>
  <c r="Q430" i="3" s="1"/>
  <c r="M430" i="3"/>
  <c r="L430" i="3"/>
  <c r="L426" i="3"/>
  <c r="J426" i="3"/>
  <c r="O426" i="3"/>
  <c r="Q426" i="3" s="1"/>
  <c r="N426" i="3"/>
  <c r="K426" i="3"/>
  <c r="M426" i="3"/>
  <c r="M418" i="3"/>
  <c r="N418" i="3"/>
  <c r="O418" i="3"/>
  <c r="Q418" i="3" s="1"/>
  <c r="K418" i="3"/>
  <c r="J418" i="3"/>
  <c r="L418" i="3"/>
  <c r="O287" i="3"/>
  <c r="Q287" i="3" s="1"/>
  <c r="M287" i="3"/>
  <c r="N287" i="3"/>
  <c r="J287" i="3"/>
  <c r="L287" i="3"/>
  <c r="K287" i="3"/>
  <c r="M283" i="3"/>
  <c r="O283" i="3"/>
  <c r="Q283" i="3" s="1"/>
  <c r="J283" i="3"/>
  <c r="K283" i="3"/>
  <c r="N283" i="3"/>
  <c r="L283" i="3"/>
  <c r="N233" i="3"/>
  <c r="K233" i="3"/>
  <c r="L233" i="3"/>
  <c r="O233" i="3"/>
  <c r="Q233" i="3" s="1"/>
  <c r="M233" i="3"/>
  <c r="J233" i="3"/>
  <c r="L225" i="3"/>
  <c r="O225" i="3"/>
  <c r="Q225" i="3" s="1"/>
  <c r="M225" i="3"/>
  <c r="J225" i="3"/>
  <c r="N225" i="3"/>
  <c r="K225" i="3"/>
  <c r="K122" i="3"/>
  <c r="O122" i="3"/>
  <c r="Q122" i="3" s="1"/>
  <c r="J122" i="3"/>
  <c r="N122" i="3"/>
  <c r="M122" i="3"/>
  <c r="L122" i="3"/>
  <c r="H966" i="3"/>
  <c r="AU966" i="3" s="1"/>
  <c r="I966" i="3" s="1"/>
  <c r="AT966" i="3" s="1"/>
  <c r="H968" i="3"/>
  <c r="AU968" i="3" s="1"/>
  <c r="I968" i="3" s="1"/>
  <c r="AT968" i="3" s="1"/>
  <c r="H970" i="3"/>
  <c r="AU970" i="3" s="1"/>
  <c r="I970" i="3" s="1"/>
  <c r="AT970" i="3" s="1"/>
  <c r="H974" i="3"/>
  <c r="AU974" i="3" s="1"/>
  <c r="I974" i="3" s="1"/>
  <c r="AT974" i="3" s="1"/>
  <c r="H976" i="3"/>
  <c r="AU976" i="3" s="1"/>
  <c r="I976" i="3" s="1"/>
  <c r="AT976" i="3" s="1"/>
  <c r="H306" i="3"/>
  <c r="AU306" i="3" s="1"/>
  <c r="I306" i="3" s="1"/>
  <c r="AT306" i="3" s="1"/>
  <c r="H978" i="3"/>
  <c r="AU978" i="3" s="1"/>
  <c r="I978" i="3" s="1"/>
  <c r="AT978" i="3" s="1"/>
  <c r="H540" i="3"/>
  <c r="AU540" i="3" s="1"/>
  <c r="I540" i="3" s="1"/>
  <c r="AT540" i="3" s="1"/>
  <c r="H980" i="3"/>
  <c r="AU980" i="3" s="1"/>
  <c r="I980" i="3" s="1"/>
  <c r="AT980" i="3" s="1"/>
  <c r="H913" i="3"/>
  <c r="AU913" i="3" s="1"/>
  <c r="I913" i="3" s="1"/>
  <c r="AT913" i="3" s="1"/>
  <c r="H982" i="3"/>
  <c r="AU982" i="3" s="1"/>
  <c r="I982" i="3" s="1"/>
  <c r="AT982" i="3" s="1"/>
  <c r="H932" i="3"/>
  <c r="AU932" i="3" s="1"/>
  <c r="I932" i="3" s="1"/>
  <c r="AT932" i="3" s="1"/>
  <c r="H549" i="3"/>
  <c r="AU549" i="3" s="1"/>
  <c r="I549" i="3" s="1"/>
  <c r="AT549" i="3" s="1"/>
  <c r="H627" i="3"/>
  <c r="AU627" i="3" s="1"/>
  <c r="I627" i="3" s="1"/>
  <c r="AT627" i="3" s="1"/>
  <c r="H308" i="3"/>
  <c r="AU308" i="3" s="1"/>
  <c r="I308" i="3" s="1"/>
  <c r="AT308" i="3" s="1"/>
  <c r="H310" i="3"/>
  <c r="AU310" i="3" s="1"/>
  <c r="I310" i="3" s="1"/>
  <c r="AT310" i="3" s="1"/>
  <c r="P740" i="3" l="1"/>
  <c r="P225" i="3"/>
  <c r="P233" i="3"/>
  <c r="P287" i="3"/>
  <c r="P91" i="3"/>
  <c r="P295" i="3"/>
  <c r="P122" i="3"/>
  <c r="P846" i="3"/>
  <c r="P543" i="3"/>
  <c r="P850" i="3"/>
  <c r="P285" i="3"/>
  <c r="P290" i="3"/>
  <c r="P430" i="3"/>
  <c r="P419" i="3"/>
  <c r="P229" i="3"/>
  <c r="P418" i="3"/>
  <c r="P848" i="3"/>
  <c r="P416" i="3"/>
  <c r="P283" i="3"/>
  <c r="P426" i="3"/>
  <c r="P417" i="3"/>
  <c r="P712" i="3"/>
  <c r="H930" i="3" l="1"/>
  <c r="AU930" i="3" s="1"/>
  <c r="I930" i="3" s="1"/>
  <c r="AT930" i="3" s="1"/>
  <c r="H309" i="3"/>
  <c r="AU309" i="3" s="1"/>
  <c r="I309" i="3" s="1"/>
  <c r="AT309" i="3" s="1"/>
  <c r="H533" i="3"/>
  <c r="AU533" i="3" s="1"/>
  <c r="I533" i="3" s="1"/>
  <c r="AT533" i="3" s="1"/>
  <c r="H307" i="3"/>
  <c r="AU307" i="3" s="1"/>
  <c r="I307" i="3" s="1"/>
  <c r="AT307" i="3" s="1"/>
  <c r="H620" i="3"/>
  <c r="AU620" i="3" s="1"/>
  <c r="I620" i="3" s="1"/>
  <c r="AT620" i="3" s="1"/>
  <c r="H207" i="3"/>
  <c r="AU207" i="3" s="1"/>
  <c r="I207" i="3" s="1"/>
  <c r="AT207" i="3" s="1"/>
  <c r="H972" i="3"/>
  <c r="AU972" i="3" s="1"/>
  <c r="I972" i="3" s="1"/>
  <c r="AT972" i="3" s="1"/>
  <c r="H844" i="3"/>
  <c r="AU844" i="3" s="1"/>
  <c r="I844" i="3" s="1"/>
  <c r="AT844" i="3" s="1"/>
  <c r="H969" i="3"/>
  <c r="AU969" i="3" s="1"/>
  <c r="I969" i="3" s="1"/>
  <c r="AT969" i="3" s="1"/>
  <c r="H761" i="3"/>
  <c r="AU761" i="3" s="1"/>
  <c r="I761" i="3" s="1"/>
  <c r="AT761" i="3" s="1"/>
  <c r="H546" i="3"/>
  <c r="AU546" i="3" s="1"/>
  <c r="I546" i="3" s="1"/>
  <c r="AT546" i="3" s="1"/>
  <c r="H448" i="3"/>
  <c r="AU448" i="3" s="1"/>
  <c r="I448" i="3" s="1"/>
  <c r="AT448" i="3" s="1"/>
  <c r="H916" i="3"/>
  <c r="AU916" i="3" s="1"/>
  <c r="I916" i="3" s="1"/>
  <c r="AT916" i="3" s="1"/>
  <c r="H923" i="3"/>
  <c r="AU923" i="3" s="1"/>
  <c r="I923" i="3" s="1"/>
  <c r="AT923" i="3" s="1"/>
  <c r="H965" i="3"/>
  <c r="AU965" i="3" s="1"/>
  <c r="I965" i="3" s="1"/>
  <c r="AT965" i="3" s="1"/>
  <c r="H936" i="3"/>
  <c r="AU936" i="3" s="1"/>
  <c r="I936" i="3" s="1"/>
  <c r="AT936" i="3" s="1"/>
  <c r="H925" i="3"/>
  <c r="AU925" i="3" s="1"/>
  <c r="I925" i="3" s="1"/>
  <c r="AT925" i="3" s="1"/>
  <c r="H403" i="3"/>
  <c r="AU403" i="3" s="1"/>
  <c r="I403" i="3" s="1"/>
  <c r="AT403" i="3" s="1"/>
  <c r="H906" i="3"/>
  <c r="AU906" i="3" s="1"/>
  <c r="I906" i="3" s="1"/>
  <c r="AT906" i="3" s="1"/>
  <c r="H673" i="3"/>
  <c r="AU673" i="3" s="1"/>
  <c r="I673" i="3" s="1"/>
  <c r="AT673" i="3" s="1"/>
  <c r="H539" i="3"/>
  <c r="AU539" i="3" s="1"/>
  <c r="I539" i="3" s="1"/>
  <c r="AT539" i="3" s="1"/>
  <c r="H359" i="3"/>
  <c r="AU359" i="3" s="1"/>
  <c r="I359" i="3" s="1"/>
  <c r="AT359" i="3" s="1"/>
  <c r="H305" i="3"/>
  <c r="AU305" i="3" s="1"/>
  <c r="I305" i="3" s="1"/>
  <c r="AT305" i="3" s="1"/>
  <c r="H304" i="3"/>
  <c r="AU304" i="3" s="1"/>
  <c r="I304" i="3" s="1"/>
  <c r="AT304" i="3" s="1"/>
  <c r="H191" i="3"/>
  <c r="AU191" i="3" s="1"/>
  <c r="I191" i="3" s="1"/>
  <c r="AT191" i="3" s="1"/>
  <c r="H29" i="3"/>
  <c r="AU29" i="3" s="1"/>
  <c r="I29" i="3" s="1"/>
  <c r="AT29" i="3" s="1"/>
  <c r="H206" i="3"/>
  <c r="AU206" i="3" s="1"/>
  <c r="I206" i="3" s="1"/>
  <c r="AT206" i="3" s="1"/>
  <c r="H67" i="3"/>
  <c r="AU67" i="3" s="1"/>
  <c r="I67" i="3" s="1"/>
  <c r="AT67" i="3" s="1"/>
  <c r="H293" i="3"/>
  <c r="AU293" i="3" s="1"/>
  <c r="I293" i="3" s="1"/>
  <c r="AT293" i="3" s="1"/>
  <c r="H292" i="3"/>
  <c r="AU292" i="3" s="1"/>
  <c r="I292" i="3" s="1"/>
  <c r="AT292" i="3" s="1"/>
  <c r="H231" i="3"/>
  <c r="AU231" i="3" s="1"/>
  <c r="I231" i="3" s="1"/>
  <c r="AT231" i="3" s="1"/>
  <c r="H209" i="3"/>
  <c r="AU209" i="3" s="1"/>
  <c r="I209" i="3" s="1"/>
  <c r="AT209" i="3" s="1"/>
  <c r="H208" i="3"/>
  <c r="AU208" i="3" s="1"/>
  <c r="I208" i="3" s="1"/>
  <c r="AT208" i="3" s="1"/>
  <c r="H235" i="3"/>
  <c r="AU235" i="3" s="1"/>
  <c r="I235" i="3" s="1"/>
  <c r="AT235" i="3" s="1"/>
  <c r="H1412" i="3" l="1"/>
  <c r="AU1412" i="3" s="1"/>
  <c r="I1412" i="3" s="1"/>
  <c r="AT1412" i="3" s="1"/>
  <c r="H436" i="3"/>
  <c r="AU436" i="3" s="1"/>
  <c r="I436" i="3" s="1"/>
  <c r="AT436" i="3" s="1"/>
  <c r="H899" i="3"/>
  <c r="AU899" i="3" s="1"/>
  <c r="I899" i="3" s="1"/>
  <c r="AT899" i="3" s="1"/>
  <c r="H429" i="3"/>
  <c r="AU429" i="3" s="1"/>
  <c r="I429" i="3" s="1"/>
  <c r="AT429" i="3" s="1"/>
  <c r="H1523" i="3"/>
  <c r="AU1523" i="3" s="1"/>
  <c r="I1523" i="3" s="1"/>
  <c r="AT1523" i="3" s="1"/>
  <c r="H1039" i="3"/>
  <c r="AU1039" i="3" s="1"/>
  <c r="I1039" i="3" s="1"/>
  <c r="AT1039" i="3" s="1"/>
  <c r="H261" i="3"/>
  <c r="AU261" i="3" s="1"/>
  <c r="I261" i="3" s="1"/>
  <c r="AT261" i="3" s="1"/>
  <c r="H1497" i="3"/>
  <c r="AU1497" i="3" s="1"/>
  <c r="I1497" i="3" s="1"/>
  <c r="AT1497" i="3" s="1"/>
  <c r="H1283" i="3"/>
  <c r="AU1283" i="3" s="1"/>
  <c r="I1283" i="3" s="1"/>
  <c r="AT1283" i="3" s="1"/>
  <c r="H1492" i="3"/>
  <c r="AU1492" i="3" s="1"/>
  <c r="I1492" i="3" s="1"/>
  <c r="AT1492" i="3" s="1"/>
  <c r="H1196" i="3"/>
  <c r="AU1196" i="3" s="1"/>
  <c r="I1196" i="3" s="1"/>
  <c r="AT1196" i="3" s="1"/>
  <c r="H934" i="3"/>
  <c r="AU934" i="3" s="1"/>
  <c r="I934" i="3" s="1"/>
  <c r="AT934" i="3" s="1"/>
  <c r="H813" i="3"/>
  <c r="AU813" i="3" s="1"/>
  <c r="I813" i="3" s="1"/>
  <c r="AT813" i="3" s="1"/>
  <c r="H1370" i="3"/>
  <c r="AU1370" i="3" s="1"/>
  <c r="I1370" i="3" s="1"/>
  <c r="AT1370" i="3" s="1"/>
  <c r="H1379" i="3"/>
  <c r="AU1379" i="3" s="1"/>
  <c r="I1379" i="3" s="1"/>
  <c r="AT1379" i="3" s="1"/>
  <c r="H1483" i="3"/>
  <c r="AU1483" i="3" s="1"/>
  <c r="I1483" i="3" s="1"/>
  <c r="AT1483" i="3" s="1"/>
  <c r="H1453" i="3"/>
  <c r="AU1453" i="3" s="1"/>
  <c r="I1453" i="3" s="1"/>
  <c r="AT1453" i="3" s="1"/>
  <c r="H1406" i="3"/>
  <c r="AU1406" i="3" s="1"/>
  <c r="I1406" i="3" s="1"/>
  <c r="AT1406" i="3" s="1"/>
  <c r="H731" i="3"/>
  <c r="AU731" i="3" s="1"/>
  <c r="I731" i="3" s="1"/>
  <c r="AT731" i="3" s="1"/>
  <c r="H1357" i="3"/>
  <c r="AU1357" i="3" s="1"/>
  <c r="I1357" i="3" s="1"/>
  <c r="AT1357" i="3" s="1"/>
  <c r="H1102" i="3"/>
  <c r="AU1102" i="3" s="1"/>
  <c r="I1102" i="3" s="1"/>
  <c r="AT1102" i="3" s="1"/>
  <c r="H905" i="3"/>
  <c r="AU905" i="3" s="1"/>
  <c r="I905" i="3" s="1"/>
  <c r="AT905" i="3" s="1"/>
  <c r="H586" i="3"/>
  <c r="AU586" i="3" s="1"/>
  <c r="I586" i="3" s="1"/>
  <c r="AT586" i="3" s="1"/>
  <c r="H427" i="3"/>
  <c r="AU427" i="3" s="1"/>
  <c r="I427" i="3" s="1"/>
  <c r="AT427" i="3" s="1"/>
  <c r="H426" i="3"/>
  <c r="AU426" i="3" s="1"/>
  <c r="I426" i="3" s="1"/>
  <c r="AT426" i="3" s="1"/>
  <c r="H242" i="3"/>
  <c r="AU242" i="3" s="1"/>
  <c r="I242" i="3" s="1"/>
  <c r="AT242" i="3" s="1"/>
  <c r="H72" i="3"/>
  <c r="AU72" i="3" s="1"/>
  <c r="I72" i="3" s="1"/>
  <c r="AT72" i="3" s="1"/>
  <c r="H260" i="3"/>
  <c r="AU260" i="3" s="1"/>
  <c r="I260" i="3" s="1"/>
  <c r="AT260" i="3" s="1"/>
  <c r="H110" i="3"/>
  <c r="AU110" i="3" s="1"/>
  <c r="I110" i="3" s="1"/>
  <c r="AT110" i="3" s="1"/>
  <c r="H413" i="3"/>
  <c r="AU413" i="3" s="1"/>
  <c r="I413" i="3" s="1"/>
  <c r="AT413" i="3" s="1"/>
  <c r="H412" i="3"/>
  <c r="AU412" i="3" s="1"/>
  <c r="I412" i="3" s="1"/>
  <c r="AT412" i="3" s="1"/>
  <c r="H330" i="3"/>
  <c r="AU330" i="3" s="1"/>
  <c r="I330" i="3" s="1"/>
  <c r="AT330" i="3" s="1"/>
  <c r="H268" i="3"/>
  <c r="AU268" i="3" s="1"/>
  <c r="I268" i="3" s="1"/>
  <c r="AT268" i="3" s="1"/>
  <c r="H266" i="3"/>
  <c r="AU266" i="3" s="1"/>
  <c r="I266" i="3" s="1"/>
  <c r="AT266" i="3" s="1"/>
  <c r="H1613" i="3" l="1"/>
  <c r="AU1613" i="3" s="1"/>
  <c r="I1613" i="3" s="1"/>
  <c r="AT1613" i="3" s="1"/>
  <c r="H1590" i="3"/>
  <c r="AU1590" i="3" s="1"/>
  <c r="I1590" i="3" s="1"/>
  <c r="AT1590" i="3" s="1"/>
  <c r="H1585" i="3"/>
  <c r="AU1585" i="3" s="1"/>
  <c r="I1585" i="3" s="1"/>
  <c r="AT1585" i="3" s="1"/>
  <c r="H1576" i="3"/>
  <c r="AU1576" i="3" s="1"/>
  <c r="I1576" i="3" s="1"/>
  <c r="AT1576" i="3" s="1"/>
  <c r="H1546" i="3"/>
  <c r="AU1546" i="3" s="1"/>
  <c r="I1546" i="3" s="1"/>
  <c r="AT1546" i="3" s="1"/>
  <c r="H1517" i="3"/>
  <c r="AU1517" i="3" s="1"/>
  <c r="I1517" i="3" s="1"/>
  <c r="AT1517" i="3" s="1"/>
  <c r="H1512" i="3"/>
  <c r="AU1512" i="3" s="1"/>
  <c r="I1512" i="3" s="1"/>
  <c r="AT1512" i="3" s="1"/>
  <c r="H1480" i="3"/>
  <c r="AU1480" i="3" s="1"/>
  <c r="I1480" i="3" s="1"/>
  <c r="AT1480" i="3" s="1"/>
  <c r="H1476" i="3"/>
  <c r="AU1476" i="3" s="1"/>
  <c r="I1476" i="3" s="1"/>
  <c r="AT1476" i="3" s="1"/>
  <c r="H1465" i="3"/>
  <c r="AU1465" i="3" s="1"/>
  <c r="I1465" i="3" s="1"/>
  <c r="AT1465" i="3" s="1"/>
  <c r="H1462" i="3"/>
  <c r="AU1462" i="3" s="1"/>
  <c r="I1462" i="3" s="1"/>
  <c r="AT1462" i="3" s="1"/>
  <c r="H1396" i="3"/>
  <c r="AU1396" i="3" s="1"/>
  <c r="I1396" i="3" s="1"/>
  <c r="AT1396" i="3" s="1"/>
  <c r="H1317" i="3"/>
  <c r="AU1317" i="3" s="1"/>
  <c r="I1317" i="3" s="1"/>
  <c r="AT1317" i="3" s="1"/>
  <c r="H1186" i="3"/>
  <c r="AU1186" i="3" s="1"/>
  <c r="I1186" i="3" s="1"/>
  <c r="AT1186" i="3" s="1"/>
  <c r="H1112" i="3"/>
  <c r="AU1112" i="3" s="1"/>
  <c r="I1112" i="3" s="1"/>
  <c r="AT1112" i="3" s="1"/>
  <c r="H995" i="3"/>
  <c r="AU995" i="3" s="1"/>
  <c r="I995" i="3" s="1"/>
  <c r="AT995" i="3" s="1"/>
  <c r="H985" i="3"/>
  <c r="AU985" i="3" s="1"/>
  <c r="I985" i="3" s="1"/>
  <c r="AT985" i="3" s="1"/>
  <c r="H983" i="3"/>
  <c r="AU983" i="3" s="1"/>
  <c r="I983" i="3" s="1"/>
  <c r="AT983" i="3" s="1"/>
  <c r="H877" i="3"/>
  <c r="AU877" i="3" s="1"/>
  <c r="I877" i="3" s="1"/>
  <c r="AT877" i="3" s="1"/>
  <c r="H831" i="3"/>
  <c r="AU831" i="3" s="1"/>
  <c r="I831" i="3" s="1"/>
  <c r="AT831" i="3" s="1"/>
  <c r="H643" i="3"/>
  <c r="AU643" i="3" s="1"/>
  <c r="I643" i="3" s="1"/>
  <c r="AT643" i="3" s="1"/>
  <c r="H499" i="3"/>
  <c r="AU499" i="3" s="1"/>
  <c r="I499" i="3" s="1"/>
  <c r="AT499" i="3" s="1"/>
  <c r="H489" i="3"/>
  <c r="AU489" i="3" s="1"/>
  <c r="I489" i="3" s="1"/>
  <c r="AT489" i="3" s="1"/>
  <c r="H482" i="3"/>
  <c r="AU482" i="3" s="1"/>
  <c r="I482" i="3" s="1"/>
  <c r="AT482" i="3" s="1"/>
  <c r="H480" i="3"/>
  <c r="AU480" i="3" s="1"/>
  <c r="I480" i="3" s="1"/>
  <c r="AT480" i="3" s="1"/>
  <c r="H479" i="3"/>
  <c r="AU479" i="3" s="1"/>
  <c r="I479" i="3" s="1"/>
  <c r="AT479" i="3" s="1"/>
  <c r="H347" i="3"/>
  <c r="AU347" i="3" s="1"/>
  <c r="I347" i="3" s="1"/>
  <c r="AT347" i="3" s="1"/>
  <c r="H344" i="3"/>
  <c r="AU344" i="3" s="1"/>
  <c r="I344" i="3" s="1"/>
  <c r="AT344" i="3" s="1"/>
  <c r="H342" i="3"/>
  <c r="AU342" i="3" s="1"/>
  <c r="I342" i="3" s="1"/>
  <c r="AT342" i="3" s="1"/>
  <c r="H339" i="3"/>
  <c r="AU339" i="3" s="1"/>
  <c r="I339" i="3" s="1"/>
  <c r="AT339" i="3" s="1"/>
  <c r="H337" i="3"/>
  <c r="AU337" i="3" s="1"/>
  <c r="I337" i="3" s="1"/>
  <c r="AT337" i="3" s="1"/>
  <c r="H335" i="3"/>
  <c r="AU335" i="3" s="1"/>
  <c r="I335" i="3" s="1"/>
  <c r="AT335" i="3" s="1"/>
  <c r="H255" i="3"/>
  <c r="AU255" i="3" s="1"/>
  <c r="I255" i="3" s="1"/>
  <c r="AT255" i="3" s="1"/>
  <c r="H253" i="3"/>
  <c r="AU253" i="3" s="1"/>
  <c r="I253" i="3" s="1"/>
  <c r="AT253" i="3" s="1"/>
  <c r="H229" i="3"/>
  <c r="AU229" i="3" s="1"/>
  <c r="I229" i="3" s="1"/>
  <c r="AT229" i="3" s="1"/>
  <c r="H106" i="3"/>
  <c r="AU106" i="3" s="1"/>
  <c r="I106" i="3" s="1"/>
  <c r="AT106" i="3" s="1"/>
  <c r="H69" i="3"/>
  <c r="AU69" i="3" s="1"/>
  <c r="I69" i="3" s="1"/>
  <c r="AT69" i="3" s="1"/>
  <c r="H1606" i="3" l="1"/>
  <c r="AU1606" i="3" s="1"/>
  <c r="I1606" i="3" s="1"/>
  <c r="AT1606" i="3" s="1"/>
  <c r="F1606" i="3"/>
  <c r="H1583" i="3"/>
  <c r="AU1583" i="3" s="1"/>
  <c r="I1583" i="3" s="1"/>
  <c r="AT1583" i="3" s="1"/>
  <c r="F1583" i="3"/>
  <c r="H1578" i="3"/>
  <c r="AU1578" i="3" s="1"/>
  <c r="I1578" i="3" s="1"/>
  <c r="AT1578" i="3" s="1"/>
  <c r="F1578" i="3"/>
  <c r="H1569" i="3"/>
  <c r="AU1569" i="3" s="1"/>
  <c r="I1569" i="3" s="1"/>
  <c r="AT1569" i="3" s="1"/>
  <c r="F1569" i="3"/>
  <c r="H1539" i="3"/>
  <c r="AU1539" i="3" s="1"/>
  <c r="I1539" i="3" s="1"/>
  <c r="AT1539" i="3" s="1"/>
  <c r="F1539" i="3"/>
  <c r="H1510" i="3"/>
  <c r="AU1510" i="3" s="1"/>
  <c r="I1510" i="3" s="1"/>
  <c r="AT1510" i="3" s="1"/>
  <c r="F1510" i="3"/>
  <c r="H1505" i="3"/>
  <c r="AU1505" i="3" s="1"/>
  <c r="I1505" i="3" s="1"/>
  <c r="AT1505" i="3" s="1"/>
  <c r="F1505" i="3"/>
  <c r="H1474" i="3"/>
  <c r="AU1474" i="3" s="1"/>
  <c r="I1474" i="3" s="1"/>
  <c r="AT1474" i="3" s="1"/>
  <c r="F1474" i="3"/>
  <c r="BA1474" i="3" s="1"/>
  <c r="H1470" i="3"/>
  <c r="AU1470" i="3" s="1"/>
  <c r="I1470" i="3" s="1"/>
  <c r="AT1470" i="3" s="1"/>
  <c r="F1470" i="3"/>
  <c r="BA1470" i="3" s="1"/>
  <c r="H1459" i="3"/>
  <c r="AU1459" i="3" s="1"/>
  <c r="I1459" i="3" s="1"/>
  <c r="AT1459" i="3" s="1"/>
  <c r="F1459" i="3"/>
  <c r="BA1459" i="3" s="1"/>
  <c r="H1456" i="3"/>
  <c r="AU1456" i="3" s="1"/>
  <c r="I1456" i="3" s="1"/>
  <c r="AT1456" i="3" s="1"/>
  <c r="F1456" i="3"/>
  <c r="BA1456" i="3" s="1"/>
  <c r="H1390" i="3"/>
  <c r="AU1390" i="3" s="1"/>
  <c r="I1390" i="3" s="1"/>
  <c r="AT1390" i="3" s="1"/>
  <c r="F1390" i="3"/>
  <c r="BA1390" i="3" s="1"/>
  <c r="H1311" i="3"/>
  <c r="AU1311" i="3" s="1"/>
  <c r="I1311" i="3" s="1"/>
  <c r="AT1311" i="3" s="1"/>
  <c r="H1180" i="3"/>
  <c r="AU1180" i="3" s="1"/>
  <c r="I1180" i="3" s="1"/>
  <c r="AT1180" i="3" s="1"/>
  <c r="H1106" i="3"/>
  <c r="AU1106" i="3" s="1"/>
  <c r="I1106" i="3" s="1"/>
  <c r="AT1106" i="3" s="1"/>
  <c r="H989" i="3"/>
  <c r="AU989" i="3" s="1"/>
  <c r="I989" i="3" s="1"/>
  <c r="AT989" i="3" s="1"/>
  <c r="H979" i="3"/>
  <c r="AU979" i="3" s="1"/>
  <c r="I979" i="3" s="1"/>
  <c r="AT979" i="3" s="1"/>
  <c r="H977" i="3"/>
  <c r="AU977" i="3" s="1"/>
  <c r="I977" i="3" s="1"/>
  <c r="AT977" i="3" s="1"/>
  <c r="H871" i="3"/>
  <c r="AU871" i="3" s="1"/>
  <c r="I871" i="3" s="1"/>
  <c r="AT871" i="3" s="1"/>
  <c r="H825" i="3"/>
  <c r="AU825" i="3" s="1"/>
  <c r="I825" i="3" s="1"/>
  <c r="AT825" i="3" s="1"/>
  <c r="H637" i="3"/>
  <c r="AU637" i="3" s="1"/>
  <c r="I637" i="3" s="1"/>
  <c r="AT637" i="3" s="1"/>
  <c r="H493" i="3"/>
  <c r="AU493" i="3" s="1"/>
  <c r="I493" i="3" s="1"/>
  <c r="AT493" i="3" s="1"/>
  <c r="H483" i="3"/>
  <c r="AU483" i="3" s="1"/>
  <c r="I483" i="3" s="1"/>
  <c r="AT483" i="3" s="1"/>
  <c r="H476" i="3"/>
  <c r="AU476" i="3" s="1"/>
  <c r="I476" i="3" s="1"/>
  <c r="AT476" i="3" s="1"/>
  <c r="H474" i="3"/>
  <c r="AU474" i="3" s="1"/>
  <c r="I474" i="3" s="1"/>
  <c r="AT474" i="3" s="1"/>
  <c r="H473" i="3"/>
  <c r="AU473" i="3" s="1"/>
  <c r="I473" i="3" s="1"/>
  <c r="AT473" i="3" s="1"/>
  <c r="H468" i="3"/>
  <c r="AU468" i="3" s="1"/>
  <c r="I468" i="3" s="1"/>
  <c r="AT468" i="3" s="1"/>
  <c r="H467" i="3"/>
  <c r="AU467" i="3" s="1"/>
  <c r="I467" i="3" s="1"/>
  <c r="AT467" i="3" s="1"/>
  <c r="H341" i="3"/>
  <c r="AU341" i="3" s="1"/>
  <c r="I341" i="3" s="1"/>
  <c r="AT341" i="3" s="1"/>
  <c r="H338" i="3"/>
  <c r="AU338" i="3" s="1"/>
  <c r="I338" i="3" s="1"/>
  <c r="AT338" i="3" s="1"/>
  <c r="H336" i="3"/>
  <c r="AU336" i="3" s="1"/>
  <c r="I336" i="3" s="1"/>
  <c r="AT336" i="3" s="1"/>
  <c r="H333" i="3"/>
  <c r="AU333" i="3" s="1"/>
  <c r="I333" i="3" s="1"/>
  <c r="AT333" i="3" s="1"/>
  <c r="H331" i="3"/>
  <c r="AU331" i="3" s="1"/>
  <c r="I331" i="3" s="1"/>
  <c r="AT331" i="3" s="1"/>
  <c r="H329" i="3"/>
  <c r="AU329" i="3" s="1"/>
  <c r="I329" i="3" s="1"/>
  <c r="AT329" i="3" s="1"/>
  <c r="H248" i="3"/>
  <c r="AU248" i="3" s="1"/>
  <c r="I248" i="3" s="1"/>
  <c r="AT248" i="3" s="1"/>
  <c r="H246" i="3"/>
  <c r="AU246" i="3" s="1"/>
  <c r="I246" i="3" s="1"/>
  <c r="AT246" i="3" s="1"/>
  <c r="H241" i="3"/>
  <c r="AU241" i="3" s="1"/>
  <c r="I241" i="3" s="1"/>
  <c r="AT241" i="3" s="1"/>
  <c r="H239" i="3"/>
  <c r="AU239" i="3" s="1"/>
  <c r="I239" i="3" s="1"/>
  <c r="AT239" i="3" s="1"/>
  <c r="H222" i="3"/>
  <c r="AU222" i="3" s="1"/>
  <c r="I222" i="3" s="1"/>
  <c r="AT222" i="3" s="1"/>
  <c r="H132" i="3"/>
  <c r="AU132" i="3" s="1"/>
  <c r="I132" i="3" s="1"/>
  <c r="AT132" i="3" s="1"/>
  <c r="H95" i="3"/>
  <c r="AU95" i="3" s="1"/>
  <c r="I95" i="3" s="1"/>
  <c r="AT95" i="3" s="1"/>
  <c r="F1477" i="3" l="1"/>
  <c r="BA1477" i="3" s="1"/>
  <c r="F1455" i="3"/>
  <c r="BA1455" i="3" s="1"/>
  <c r="F1450" i="3"/>
  <c r="BA1450" i="3" s="1"/>
  <c r="F1444" i="3"/>
  <c r="BA1444" i="3" s="1"/>
  <c r="F1414" i="3"/>
  <c r="BA1414" i="3" s="1"/>
  <c r="F1391" i="3"/>
  <c r="BA1391" i="3" s="1"/>
  <c r="F1386" i="3" l="1"/>
  <c r="BA1386" i="3" s="1"/>
  <c r="F1364" i="3"/>
  <c r="BA1364" i="3" s="1"/>
  <c r="F1359" i="3"/>
  <c r="BA1359" i="3" s="1"/>
  <c r="F1353" i="3"/>
  <c r="BA1353" i="3" s="1"/>
  <c r="F1324" i="3"/>
  <c r="BA1324" i="3" s="1"/>
  <c r="F1303" i="3"/>
  <c r="BA1303" i="3" s="1"/>
  <c r="F1298" i="3"/>
  <c r="BA1298" i="3" s="1"/>
  <c r="F1275" i="3"/>
  <c r="BA1275" i="3" s="1"/>
  <c r="F1274" i="3"/>
  <c r="BA1274" i="3" s="1"/>
  <c r="F1265" i="3"/>
  <c r="BA1265" i="3" s="1"/>
  <c r="F1262" i="3"/>
  <c r="BA1262" i="3" s="1"/>
  <c r="F1215" i="3"/>
  <c r="BA1215" i="3" s="1"/>
  <c r="F1137" i="3"/>
  <c r="BA1137" i="3" s="1"/>
  <c r="F1010" i="3"/>
  <c r="BA1010" i="3" s="1"/>
  <c r="F962" i="3"/>
  <c r="BA962" i="3" s="1"/>
  <c r="F850" i="3"/>
  <c r="BA850" i="3" s="1"/>
  <c r="F848" i="3"/>
  <c r="BA848" i="3" s="1"/>
  <c r="F846" i="3"/>
  <c r="BA846" i="3" s="1"/>
  <c r="F740" i="3"/>
  <c r="BA740" i="3" s="1"/>
  <c r="F712" i="3"/>
  <c r="BA712" i="3" s="1"/>
  <c r="F543" i="3"/>
  <c r="BA543" i="3" s="1"/>
  <c r="F430" i="3"/>
  <c r="BA430" i="3" s="1"/>
  <c r="F426" i="3"/>
  <c r="BA426" i="3" s="1"/>
  <c r="F419" i="3"/>
  <c r="BA419" i="3" s="1"/>
  <c r="F418" i="3"/>
  <c r="BA418" i="3" s="1"/>
  <c r="F417" i="3"/>
  <c r="BA417" i="3" s="1"/>
  <c r="F416" i="3"/>
  <c r="BA416" i="3" s="1"/>
  <c r="F415" i="3"/>
  <c r="BA415" i="3" s="1"/>
  <c r="F295" i="3"/>
  <c r="BA295" i="3" s="1"/>
  <c r="F290" i="3"/>
  <c r="BA290" i="3" s="1"/>
  <c r="F283" i="3"/>
  <c r="BA283" i="3" s="1"/>
  <c r="E84" i="3"/>
  <c r="E85" i="3"/>
  <c r="E69" i="3"/>
  <c r="E70" i="3"/>
  <c r="E71" i="3"/>
  <c r="E72" i="3"/>
  <c r="E73" i="3"/>
  <c r="E74" i="3"/>
  <c r="E75" i="3"/>
  <c r="E76" i="3"/>
  <c r="E77" i="3"/>
  <c r="E51" i="3"/>
  <c r="E52" i="3"/>
  <c r="E86" i="3"/>
  <c r="E53" i="3"/>
  <c r="E54" i="3"/>
  <c r="E55" i="3"/>
  <c r="E56" i="3"/>
  <c r="E57" i="3"/>
  <c r="E58" i="3"/>
  <c r="E88" i="3"/>
  <c r="E89" i="3"/>
  <c r="E90" i="3"/>
  <c r="E35" i="3"/>
  <c r="E36" i="3"/>
  <c r="E37" i="3"/>
  <c r="E38" i="3"/>
  <c r="E39" i="3"/>
  <c r="E40" i="3"/>
  <c r="E41" i="3"/>
  <c r="E42" i="3"/>
  <c r="E43" i="3"/>
  <c r="E44" i="3"/>
  <c r="E45" i="3"/>
  <c r="E46" i="3"/>
  <c r="E47" i="3"/>
  <c r="E48" i="3"/>
  <c r="E49" i="3"/>
  <c r="E5" i="3"/>
  <c r="E6" i="3"/>
  <c r="E7" i="3"/>
  <c r="E8" i="3"/>
  <c r="E9" i="3"/>
  <c r="E10" i="3"/>
  <c r="E20" i="3"/>
  <c r="E21" i="3"/>
  <c r="E22" i="3"/>
  <c r="E23" i="3"/>
  <c r="E24" i="3"/>
  <c r="E25" i="3"/>
  <c r="E26" i="3"/>
  <c r="E27" i="3"/>
  <c r="E28" i="3"/>
  <c r="E29" i="3"/>
  <c r="E30" i="3"/>
  <c r="E31" i="3"/>
  <c r="E11" i="3"/>
  <c r="E12" i="3"/>
  <c r="E13" i="3"/>
  <c r="E14" i="3"/>
  <c r="E15" i="3"/>
  <c r="E16" i="3"/>
  <c r="E17" i="3"/>
  <c r="E18" i="3"/>
  <c r="E19" i="3"/>
  <c r="E32" i="3"/>
  <c r="E33" i="3"/>
  <c r="E34" i="3"/>
  <c r="E81" i="3"/>
  <c r="E87" i="3"/>
  <c r="E79" i="3"/>
  <c r="E80" i="3"/>
  <c r="E83" i="3"/>
  <c r="E78" i="3"/>
  <c r="E68" i="3"/>
  <c r="E66" i="3"/>
  <c r="E67" i="3"/>
  <c r="E64" i="3"/>
  <c r="E65" i="3"/>
  <c r="E62" i="3"/>
  <c r="E63" i="3"/>
  <c r="E60" i="3"/>
  <c r="E61" i="3"/>
  <c r="E59" i="3"/>
  <c r="E50" i="3"/>
  <c r="E214" i="3"/>
  <c r="E215" i="3"/>
  <c r="E218" i="3"/>
  <c r="E219" i="3"/>
  <c r="E220" i="3"/>
  <c r="E221" i="3"/>
  <c r="E213" i="3"/>
  <c r="E216" i="3"/>
  <c r="E217" i="3"/>
  <c r="E222" i="3"/>
  <c r="E223" i="3"/>
  <c r="E224" i="3"/>
  <c r="E210" i="3"/>
  <c r="E209" i="3"/>
  <c r="E211" i="3"/>
  <c r="E212" i="3"/>
  <c r="E172" i="3"/>
  <c r="E173" i="3"/>
  <c r="E174" i="3"/>
  <c r="E175" i="3"/>
  <c r="E176" i="3"/>
  <c r="E177" i="3"/>
  <c r="E129" i="3"/>
  <c r="E130" i="3"/>
  <c r="E131" i="3"/>
  <c r="E178" i="3"/>
  <c r="E179" i="3"/>
  <c r="E180" i="3"/>
  <c r="E181" i="3"/>
  <c r="E182" i="3"/>
  <c r="E183" i="3"/>
  <c r="E184" i="3"/>
  <c r="E185" i="3"/>
  <c r="E186" i="3"/>
  <c r="E187" i="3"/>
  <c r="E188" i="3"/>
  <c r="E189" i="3"/>
  <c r="E154" i="3"/>
  <c r="E155" i="3"/>
  <c r="E156" i="3"/>
  <c r="E157" i="3"/>
  <c r="E158" i="3"/>
  <c r="E160" i="3"/>
  <c r="E161" i="3"/>
  <c r="E162" i="3"/>
  <c r="E163" i="3"/>
  <c r="E164" i="3"/>
  <c r="E165" i="3"/>
  <c r="E159" i="3"/>
  <c r="E199" i="3"/>
  <c r="E200" i="3"/>
  <c r="E201" i="3"/>
  <c r="E202" i="3"/>
  <c r="E203" i="3"/>
  <c r="E166" i="3"/>
  <c r="E167" i="3"/>
  <c r="E168" i="3"/>
  <c r="E169" i="3"/>
  <c r="E170" i="3"/>
  <c r="E171" i="3"/>
  <c r="E204" i="3"/>
  <c r="E205" i="3"/>
  <c r="E206" i="3"/>
  <c r="E207" i="3"/>
  <c r="E190" i="3"/>
  <c r="E191" i="3"/>
  <c r="E192" i="3"/>
  <c r="E193" i="3"/>
  <c r="E194" i="3"/>
  <c r="E195" i="3"/>
  <c r="E196" i="3"/>
  <c r="E197" i="3"/>
  <c r="E198" i="3"/>
  <c r="E123" i="3"/>
  <c r="E124" i="3"/>
  <c r="E125" i="3"/>
  <c r="E126" i="3"/>
  <c r="E127" i="3"/>
  <c r="E128" i="3"/>
  <c r="E153" i="3"/>
  <c r="E151" i="3"/>
  <c r="E152" i="3"/>
  <c r="E150" i="3"/>
  <c r="E141" i="3"/>
  <c r="E138" i="3"/>
  <c r="E137" i="3"/>
  <c r="E139" i="3"/>
  <c r="E136" i="3"/>
  <c r="E143" i="3"/>
  <c r="E140" i="3"/>
  <c r="E145" i="3"/>
  <c r="E146" i="3"/>
  <c r="E147" i="3"/>
  <c r="E148" i="3"/>
  <c r="E133" i="3"/>
  <c r="E142" i="3"/>
  <c r="E149" i="3"/>
  <c r="E144" i="3"/>
  <c r="E134" i="3"/>
  <c r="E132" i="3"/>
  <c r="E135" i="3"/>
  <c r="E104" i="3"/>
  <c r="E105" i="3"/>
  <c r="E106" i="3"/>
  <c r="E107" i="3"/>
  <c r="E108" i="3"/>
  <c r="E109" i="3"/>
  <c r="E110" i="3"/>
  <c r="E111" i="3"/>
  <c r="E112" i="3"/>
  <c r="E113" i="3"/>
  <c r="E114" i="3"/>
  <c r="E115" i="3"/>
  <c r="E116" i="3"/>
  <c r="E117" i="3"/>
  <c r="E118" i="3"/>
  <c r="E119" i="3"/>
  <c r="E120" i="3"/>
  <c r="E121" i="3"/>
  <c r="E99" i="3"/>
  <c r="E101" i="3"/>
  <c r="E102" i="3"/>
  <c r="E100" i="3"/>
  <c r="E103" i="3"/>
  <c r="E95" i="3"/>
  <c r="E96" i="3"/>
  <c r="E97" i="3"/>
  <c r="E98" i="3"/>
  <c r="E93" i="3"/>
  <c r="E94" i="3"/>
  <c r="E92" i="3"/>
  <c r="E226" i="3"/>
  <c r="E230" i="3"/>
  <c r="E231" i="3"/>
  <c r="E232" i="3"/>
  <c r="E263" i="3"/>
  <c r="E264" i="3"/>
  <c r="E270" i="3"/>
  <c r="E271" i="3"/>
  <c r="E265" i="3"/>
  <c r="E266" i="3"/>
  <c r="E267" i="3"/>
  <c r="E272" i="3"/>
  <c r="E273" i="3"/>
  <c r="E256" i="3"/>
  <c r="E257" i="3"/>
  <c r="E268" i="3"/>
  <c r="E269" i="3"/>
  <c r="E274" i="3"/>
  <c r="E275" i="3"/>
  <c r="E276" i="3"/>
  <c r="E279" i="3"/>
  <c r="E252" i="3"/>
  <c r="E253" i="3"/>
  <c r="E277" i="3"/>
  <c r="E278" i="3"/>
  <c r="E255" i="3"/>
  <c r="E258" i="3"/>
  <c r="E259" i="3"/>
  <c r="E260" i="3"/>
  <c r="E261" i="3"/>
  <c r="E262" i="3"/>
  <c r="E234" i="3"/>
  <c r="E235" i="3"/>
  <c r="E236" i="3"/>
  <c r="E237" i="3"/>
  <c r="E238" i="3"/>
  <c r="E239" i="3"/>
  <c r="E240" i="3"/>
  <c r="E241" i="3"/>
  <c r="E243" i="3"/>
  <c r="E242" i="3"/>
  <c r="E244" i="3"/>
  <c r="E245" i="3"/>
  <c r="E246" i="3"/>
  <c r="E282" i="3"/>
  <c r="E254" i="3"/>
  <c r="E281" i="3"/>
  <c r="E280" i="3"/>
  <c r="E251" i="3"/>
  <c r="E249" i="3"/>
  <c r="E250" i="3"/>
  <c r="E247" i="3"/>
  <c r="E248" i="3"/>
  <c r="E228" i="3"/>
  <c r="E284" i="3"/>
  <c r="E291" i="3"/>
  <c r="E286" i="3"/>
  <c r="E289" i="3"/>
  <c r="E288" i="3"/>
  <c r="E293" i="3"/>
  <c r="E294" i="3"/>
  <c r="E360" i="3"/>
  <c r="E361" i="3"/>
  <c r="E394" i="3"/>
  <c r="E398" i="3"/>
  <c r="E399" i="3"/>
  <c r="E385" i="3"/>
  <c r="E392" i="3"/>
  <c r="E400" i="3"/>
  <c r="E391" i="3"/>
  <c r="E393" i="3"/>
  <c r="E401" i="3"/>
  <c r="E395" i="3"/>
  <c r="E396" i="3"/>
  <c r="E397" i="3"/>
  <c r="E386" i="3"/>
  <c r="E387" i="3"/>
  <c r="E388" i="3"/>
  <c r="E389" i="3"/>
  <c r="E390" i="3"/>
  <c r="E384" i="3"/>
  <c r="E410" i="3"/>
  <c r="E409" i="3"/>
  <c r="E403" i="3"/>
  <c r="E362" i="3"/>
  <c r="E363" i="3"/>
  <c r="E369" i="3"/>
  <c r="E370" i="3"/>
  <c r="E402" i="3"/>
  <c r="E404" i="3"/>
  <c r="E405" i="3"/>
  <c r="E406" i="3"/>
  <c r="E407" i="3"/>
  <c r="E408" i="3"/>
  <c r="E411" i="3"/>
  <c r="E412" i="3"/>
  <c r="E413" i="3"/>
  <c r="E414" i="3"/>
  <c r="E356" i="3"/>
  <c r="E357" i="3"/>
  <c r="E364" i="3"/>
  <c r="E377" i="3"/>
  <c r="E378" i="3"/>
  <c r="E379" i="3"/>
  <c r="E380" i="3"/>
  <c r="E381" i="3"/>
  <c r="E382" i="3"/>
  <c r="E383" i="3"/>
  <c r="E365" i="3"/>
  <c r="E366" i="3"/>
  <c r="E367" i="3"/>
  <c r="E368" i="3"/>
  <c r="E371" i="3"/>
  <c r="E372" i="3"/>
  <c r="E373" i="3"/>
  <c r="E374" i="3"/>
  <c r="E375" i="3"/>
  <c r="E376"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9" i="3"/>
  <c r="E358" i="3"/>
  <c r="E420" i="3"/>
  <c r="E421" i="3"/>
  <c r="E422" i="3"/>
  <c r="E423" i="3"/>
  <c r="E424" i="3"/>
  <c r="E425" i="3"/>
  <c r="E427" i="3"/>
  <c r="E428" i="3"/>
  <c r="E429" i="3"/>
  <c r="E431" i="3"/>
  <c r="E488" i="3"/>
  <c r="E490" i="3"/>
  <c r="E532" i="3"/>
  <c r="E533" i="3"/>
  <c r="E534" i="3"/>
  <c r="E535" i="3"/>
  <c r="E448" i="3"/>
  <c r="E449" i="3"/>
  <c r="E450" i="3"/>
  <c r="E461" i="3"/>
  <c r="E462" i="3"/>
  <c r="E486" i="3"/>
  <c r="E487" i="3"/>
  <c r="E496" i="3"/>
  <c r="E497" i="3"/>
  <c r="E498" i="3"/>
  <c r="E499" i="3"/>
  <c r="E504" i="3"/>
  <c r="E505" i="3"/>
  <c r="E506" i="3"/>
  <c r="E500" i="3"/>
  <c r="E501" i="3"/>
  <c r="E502" i="3"/>
  <c r="E503" i="3"/>
  <c r="E536" i="3"/>
  <c r="E537" i="3"/>
  <c r="E538" i="3"/>
  <c r="E516" i="3"/>
  <c r="E517" i="3"/>
  <c r="E463" i="3"/>
  <c r="E464" i="3"/>
  <c r="E465" i="3"/>
  <c r="E466" i="3"/>
  <c r="E467" i="3"/>
  <c r="E468" i="3"/>
  <c r="E469" i="3"/>
  <c r="E470" i="3"/>
  <c r="E471" i="3"/>
  <c r="E484" i="3"/>
  <c r="E485" i="3"/>
  <c r="E520" i="3"/>
  <c r="E521" i="3"/>
  <c r="E539" i="3"/>
  <c r="E451" i="3"/>
  <c r="E452" i="3"/>
  <c r="E453" i="3"/>
  <c r="E454" i="3"/>
  <c r="E455" i="3"/>
  <c r="E456" i="3"/>
  <c r="E457" i="3"/>
  <c r="E458" i="3"/>
  <c r="E491" i="3"/>
  <c r="E540" i="3"/>
  <c r="E541" i="3"/>
  <c r="E542" i="3"/>
  <c r="E477" i="3"/>
  <c r="E478" i="3"/>
  <c r="E479" i="3"/>
  <c r="E480" i="3"/>
  <c r="E481" i="3"/>
  <c r="E482" i="3"/>
  <c r="E483" i="3"/>
  <c r="E507" i="3"/>
  <c r="E508" i="3"/>
  <c r="E509" i="3"/>
  <c r="E510" i="3"/>
  <c r="E511" i="3"/>
  <c r="E512" i="3"/>
  <c r="E513" i="3"/>
  <c r="E514" i="3"/>
  <c r="E515" i="3"/>
  <c r="E459" i="3"/>
  <c r="E460" i="3"/>
  <c r="E472" i="3"/>
  <c r="E473" i="3"/>
  <c r="E474" i="3"/>
  <c r="E475" i="3"/>
  <c r="E476" i="3"/>
  <c r="E518" i="3"/>
  <c r="E519" i="3"/>
  <c r="E522" i="3"/>
  <c r="E523" i="3"/>
  <c r="E440" i="3"/>
  <c r="E441" i="3"/>
  <c r="E442" i="3"/>
  <c r="E443" i="3"/>
  <c r="E524" i="3"/>
  <c r="E525" i="3"/>
  <c r="E526" i="3"/>
  <c r="E527" i="3"/>
  <c r="E528" i="3"/>
  <c r="E529" i="3"/>
  <c r="E530" i="3"/>
  <c r="E531" i="3"/>
  <c r="E446" i="3"/>
  <c r="E434" i="3"/>
  <c r="E435" i="3"/>
  <c r="E436" i="3"/>
  <c r="E437" i="3"/>
  <c r="E438" i="3"/>
  <c r="E439" i="3"/>
  <c r="E444" i="3"/>
  <c r="E445" i="3"/>
  <c r="E489" i="3"/>
  <c r="E492" i="3"/>
  <c r="E495" i="3"/>
  <c r="E433" i="3"/>
  <c r="E447" i="3"/>
  <c r="E493" i="3"/>
  <c r="E494" i="3"/>
  <c r="E432" i="3"/>
  <c r="E718" i="3"/>
  <c r="E719" i="3"/>
  <c r="E720" i="3"/>
  <c r="E721" i="3"/>
  <c r="E722" i="3"/>
  <c r="E723" i="3"/>
  <c r="E724" i="3"/>
  <c r="E725" i="3"/>
  <c r="E726" i="3"/>
  <c r="E727" i="3"/>
  <c r="E728" i="3"/>
  <c r="E729" i="3"/>
  <c r="E730" i="3"/>
  <c r="E731" i="3"/>
  <c r="E713" i="3"/>
  <c r="E714" i="3"/>
  <c r="E715" i="3"/>
  <c r="E716" i="3"/>
  <c r="E732" i="3"/>
  <c r="E733" i="3"/>
  <c r="E734" i="3"/>
  <c r="E735" i="3"/>
  <c r="E736" i="3"/>
  <c r="E737" i="3"/>
  <c r="E738" i="3"/>
  <c r="E739" i="3"/>
  <c r="E717" i="3"/>
  <c r="E808" i="3"/>
  <c r="E809" i="3"/>
  <c r="E806" i="3"/>
  <c r="E807" i="3"/>
  <c r="E819" i="3"/>
  <c r="E820" i="3"/>
  <c r="E810" i="3"/>
  <c r="E811" i="3"/>
  <c r="E812" i="3"/>
  <c r="E818" i="3"/>
  <c r="E821" i="3"/>
  <c r="E813" i="3"/>
  <c r="E784" i="3"/>
  <c r="E785" i="3"/>
  <c r="E786" i="3"/>
  <c r="E787" i="3"/>
  <c r="E788" i="3"/>
  <c r="E814" i="3"/>
  <c r="E815" i="3"/>
  <c r="E816" i="3"/>
  <c r="E817" i="3"/>
  <c r="E822" i="3"/>
  <c r="E823" i="3"/>
  <c r="E824" i="3"/>
  <c r="E825" i="3"/>
  <c r="E789" i="3"/>
  <c r="E790" i="3"/>
  <c r="E791" i="3"/>
  <c r="E792" i="3"/>
  <c r="E793" i="3"/>
  <c r="E841" i="3"/>
  <c r="E842" i="3"/>
  <c r="E843" i="3"/>
  <c r="E844" i="3"/>
  <c r="E833" i="3"/>
  <c r="E834" i="3"/>
  <c r="E835" i="3"/>
  <c r="E836" i="3"/>
  <c r="E837" i="3"/>
  <c r="E838" i="3"/>
  <c r="E794" i="3"/>
  <c r="E795" i="3"/>
  <c r="E796" i="3"/>
  <c r="E797" i="3"/>
  <c r="E798" i="3"/>
  <c r="E839" i="3"/>
  <c r="E840" i="3"/>
  <c r="E804" i="3"/>
  <c r="E826" i="3"/>
  <c r="E827" i="3"/>
  <c r="E828" i="3"/>
  <c r="E829" i="3"/>
  <c r="E805" i="3"/>
  <c r="E830" i="3"/>
  <c r="E831" i="3"/>
  <c r="E799" i="3"/>
  <c r="E800" i="3"/>
  <c r="E801" i="3"/>
  <c r="E802" i="3"/>
  <c r="E803" i="3"/>
  <c r="E832"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845" i="3"/>
  <c r="E767" i="3"/>
  <c r="E768" i="3"/>
  <c r="E769" i="3"/>
  <c r="E770" i="3"/>
  <c r="E771" i="3"/>
  <c r="E772" i="3"/>
  <c r="E773" i="3"/>
  <c r="E774" i="3"/>
  <c r="E775" i="3"/>
  <c r="E776" i="3"/>
  <c r="E777" i="3"/>
  <c r="E778" i="3"/>
  <c r="E779" i="3"/>
  <c r="E780" i="3"/>
  <c r="E781" i="3"/>
  <c r="E782" i="3"/>
  <c r="E783" i="3"/>
  <c r="E612" i="3"/>
  <c r="E613" i="3"/>
  <c r="E614" i="3"/>
  <c r="E615" i="3"/>
  <c r="E616" i="3"/>
  <c r="E617" i="3"/>
  <c r="E618" i="3"/>
  <c r="E619" i="3"/>
  <c r="E620" i="3"/>
  <c r="E621" i="3"/>
  <c r="E622" i="3"/>
  <c r="E624" i="3"/>
  <c r="E625" i="3"/>
  <c r="E626" i="3"/>
  <c r="E627" i="3"/>
  <c r="E628" i="3"/>
  <c r="E629" i="3"/>
  <c r="E630" i="3"/>
  <c r="E631" i="3"/>
  <c r="E632" i="3"/>
  <c r="E623" i="3"/>
  <c r="E633" i="3"/>
  <c r="E634" i="3"/>
  <c r="E635" i="3"/>
  <c r="E636" i="3"/>
  <c r="E637" i="3"/>
  <c r="E638" i="3"/>
  <c r="E639" i="3"/>
  <c r="E640" i="3"/>
  <c r="E641" i="3"/>
  <c r="E642" i="3"/>
  <c r="E643" i="3"/>
  <c r="E644" i="3"/>
  <c r="E645" i="3"/>
  <c r="E646" i="3"/>
  <c r="E647" i="3"/>
  <c r="E648" i="3"/>
  <c r="E649" i="3"/>
  <c r="E650" i="3"/>
  <c r="E651" i="3"/>
  <c r="E660" i="3"/>
  <c r="E661" i="3"/>
  <c r="E662" i="3"/>
  <c r="E663" i="3"/>
  <c r="E664" i="3"/>
  <c r="E665" i="3"/>
  <c r="E666" i="3"/>
  <c r="E667" i="3"/>
  <c r="E672" i="3"/>
  <c r="E673" i="3"/>
  <c r="E674" i="3"/>
  <c r="E675" i="3"/>
  <c r="E652" i="3"/>
  <c r="E653" i="3"/>
  <c r="E654" i="3"/>
  <c r="E655" i="3"/>
  <c r="E656" i="3"/>
  <c r="E657" i="3"/>
  <c r="E658" i="3"/>
  <c r="E659" i="3"/>
  <c r="E668" i="3"/>
  <c r="E669" i="3"/>
  <c r="E670" i="3"/>
  <c r="E671" i="3"/>
  <c r="E676" i="3"/>
  <c r="E677" i="3"/>
  <c r="E678" i="3"/>
  <c r="E679" i="3"/>
  <c r="E680" i="3"/>
  <c r="E681" i="3"/>
  <c r="E682" i="3"/>
  <c r="E683" i="3"/>
  <c r="E684" i="3"/>
  <c r="E685" i="3"/>
  <c r="E686" i="3"/>
  <c r="E687" i="3"/>
  <c r="E688" i="3"/>
  <c r="E689" i="3"/>
  <c r="E690" i="3"/>
  <c r="E691" i="3"/>
  <c r="E693" i="3"/>
  <c r="E694" i="3"/>
  <c r="E695" i="3"/>
  <c r="E696" i="3"/>
  <c r="E697" i="3"/>
  <c r="E698" i="3"/>
  <c r="E699" i="3"/>
  <c r="E700" i="3"/>
  <c r="E701" i="3"/>
  <c r="E702" i="3"/>
  <c r="E703" i="3"/>
  <c r="E704" i="3"/>
  <c r="E705" i="3"/>
  <c r="E706" i="3"/>
  <c r="E707" i="3"/>
  <c r="E708" i="3"/>
  <c r="E709" i="3"/>
  <c r="E710" i="3"/>
  <c r="E711" i="3"/>
  <c r="E692" i="3"/>
  <c r="E548" i="3"/>
  <c r="E549" i="3"/>
  <c r="E550" i="3"/>
  <c r="E551" i="3"/>
  <c r="E552" i="3"/>
  <c r="E553" i="3"/>
  <c r="E554" i="3"/>
  <c r="E555" i="3"/>
  <c r="E556" i="3"/>
  <c r="E576" i="3"/>
  <c r="E577" i="3"/>
  <c r="E578" i="3"/>
  <c r="E579" i="3"/>
  <c r="E580" i="3"/>
  <c r="E557" i="3"/>
  <c r="E558" i="3"/>
  <c r="E559" i="3"/>
  <c r="E560" i="3"/>
  <c r="E561" i="3"/>
  <c r="E562" i="3"/>
  <c r="E563" i="3"/>
  <c r="E581" i="3"/>
  <c r="E582" i="3"/>
  <c r="E583" i="3"/>
  <c r="E584" i="3"/>
  <c r="E585" i="3"/>
  <c r="E586" i="3"/>
  <c r="E587" i="3"/>
  <c r="E564" i="3"/>
  <c r="E565" i="3"/>
  <c r="E544" i="3"/>
  <c r="E545" i="3"/>
  <c r="E546" i="3"/>
  <c r="E547" i="3"/>
  <c r="E566" i="3"/>
  <c r="E567" i="3"/>
  <c r="E588" i="3"/>
  <c r="E589" i="3"/>
  <c r="E590" i="3"/>
  <c r="E591" i="3"/>
  <c r="E600" i="3"/>
  <c r="E601" i="3"/>
  <c r="E602" i="3"/>
  <c r="E603" i="3"/>
  <c r="E570" i="3"/>
  <c r="E568" i="3"/>
  <c r="E569" i="3"/>
  <c r="E571" i="3"/>
  <c r="E592" i="3"/>
  <c r="E593" i="3"/>
  <c r="E594" i="3"/>
  <c r="E595" i="3"/>
  <c r="E604" i="3"/>
  <c r="E605" i="3"/>
  <c r="E606" i="3"/>
  <c r="E607" i="3"/>
  <c r="E572" i="3"/>
  <c r="E573" i="3"/>
  <c r="E596" i="3"/>
  <c r="E597" i="3"/>
  <c r="E608" i="3"/>
  <c r="E609" i="3"/>
  <c r="E574" i="3"/>
  <c r="E575" i="3"/>
  <c r="E598" i="3"/>
  <c r="E599" i="3"/>
  <c r="E610" i="3"/>
  <c r="E611" i="3"/>
  <c r="E847" i="3"/>
  <c r="E849" i="3"/>
  <c r="E895" i="3"/>
  <c r="E881" i="3"/>
  <c r="E882" i="3"/>
  <c r="E883" i="3"/>
  <c r="E884" i="3"/>
  <c r="E904" i="3"/>
  <c r="E905" i="3"/>
  <c r="E885" i="3"/>
  <c r="E891" i="3"/>
  <c r="E892" i="3"/>
  <c r="E893" i="3"/>
  <c r="E894" i="3"/>
  <c r="E886" i="3"/>
  <c r="E898" i="3"/>
  <c r="E899" i="3"/>
  <c r="E900" i="3"/>
  <c r="E901" i="3"/>
  <c r="E903" i="3"/>
  <c r="E887" i="3"/>
  <c r="E888" i="3"/>
  <c r="E889" i="3"/>
  <c r="E890" i="3"/>
  <c r="E914" i="3"/>
  <c r="E915" i="3"/>
  <c r="E916" i="3"/>
  <c r="E917" i="3"/>
  <c r="E930" i="3"/>
  <c r="E931" i="3"/>
  <c r="E932" i="3"/>
  <c r="E933" i="3"/>
  <c r="E934" i="3"/>
  <c r="E935" i="3"/>
  <c r="E936" i="3"/>
  <c r="E937" i="3"/>
  <c r="E910" i="3"/>
  <c r="E911" i="3"/>
  <c r="E912" i="3"/>
  <c r="E913" i="3"/>
  <c r="E918" i="3"/>
  <c r="E919" i="3"/>
  <c r="E920" i="3"/>
  <c r="E921" i="3"/>
  <c r="E922" i="3"/>
  <c r="E923" i="3"/>
  <c r="E924" i="3"/>
  <c r="E925" i="3"/>
  <c r="E926" i="3"/>
  <c r="E927" i="3"/>
  <c r="E928" i="3"/>
  <c r="E929" i="3"/>
  <c r="E938" i="3"/>
  <c r="E939" i="3"/>
  <c r="E940" i="3"/>
  <c r="E941" i="3"/>
  <c r="E942" i="3"/>
  <c r="E943" i="3"/>
  <c r="E944" i="3"/>
  <c r="E945" i="3"/>
  <c r="E946" i="3"/>
  <c r="E947" i="3"/>
  <c r="E948" i="3"/>
  <c r="E949" i="3"/>
  <c r="E950" i="3"/>
  <c r="E951" i="3"/>
  <c r="E952" i="3"/>
  <c r="E953" i="3"/>
  <c r="E954" i="3"/>
  <c r="E955" i="3"/>
  <c r="E956" i="3"/>
  <c r="E957" i="3"/>
  <c r="E958" i="3"/>
  <c r="E959" i="3"/>
  <c r="E960" i="3"/>
  <c r="E961" i="3"/>
  <c r="E851" i="3"/>
  <c r="E852" i="3"/>
  <c r="E853" i="3"/>
  <c r="E854" i="3"/>
  <c r="E859" i="3"/>
  <c r="E860" i="3"/>
  <c r="E861" i="3"/>
  <c r="E862" i="3"/>
  <c r="E871" i="3"/>
  <c r="E872" i="3"/>
  <c r="E855" i="3"/>
  <c r="E856" i="3"/>
  <c r="E857" i="3"/>
  <c r="E863" i="3"/>
  <c r="E864" i="3"/>
  <c r="E865" i="3"/>
  <c r="E867" i="3"/>
  <c r="E868" i="3"/>
  <c r="E869" i="3"/>
  <c r="E858" i="3"/>
  <c r="E866" i="3"/>
  <c r="E870" i="3"/>
  <c r="E873" i="3"/>
  <c r="E874" i="3"/>
  <c r="E875" i="3"/>
  <c r="E876" i="3"/>
  <c r="E877" i="3"/>
  <c r="E878" i="3"/>
  <c r="E902" i="3"/>
  <c r="E907" i="3"/>
  <c r="E906" i="3"/>
  <c r="E908" i="3"/>
  <c r="E909" i="3"/>
  <c r="E879" i="3"/>
  <c r="E880" i="3"/>
  <c r="E896" i="3"/>
  <c r="E897" i="3"/>
  <c r="E1378" i="3"/>
  <c r="E1379" i="3"/>
  <c r="E1380" i="3"/>
  <c r="E1381" i="3"/>
  <c r="E1382" i="3"/>
  <c r="E1383" i="3"/>
  <c r="E1384" i="3"/>
  <c r="E1385" i="3"/>
  <c r="E1365" i="3"/>
  <c r="E1366" i="3"/>
  <c r="E1367" i="3"/>
  <c r="E1368" i="3"/>
  <c r="E1369" i="3"/>
  <c r="E1370" i="3"/>
  <c r="E1371" i="3"/>
  <c r="E1372" i="3"/>
  <c r="E1373" i="3"/>
  <c r="E1374" i="3"/>
  <c r="E1375" i="3"/>
  <c r="E1376" i="3"/>
  <c r="E1377" i="3"/>
  <c r="E983" i="3"/>
  <c r="E984" i="3"/>
  <c r="E985" i="3"/>
  <c r="E986" i="3"/>
  <c r="E1001" i="3"/>
  <c r="E987" i="3"/>
  <c r="E988" i="3"/>
  <c r="E989" i="3"/>
  <c r="E990" i="3"/>
  <c r="E991" i="3"/>
  <c r="E992" i="3"/>
  <c r="E993" i="3"/>
  <c r="E994" i="3"/>
  <c r="E1006" i="3"/>
  <c r="E1007" i="3"/>
  <c r="E1008" i="3"/>
  <c r="E1009" i="3"/>
  <c r="E979" i="3"/>
  <c r="E980" i="3"/>
  <c r="E981" i="3"/>
  <c r="E982" i="3"/>
  <c r="E963" i="3"/>
  <c r="E964" i="3"/>
  <c r="E965" i="3"/>
  <c r="E966" i="3"/>
  <c r="E967" i="3"/>
  <c r="E968" i="3"/>
  <c r="E969" i="3"/>
  <c r="E970" i="3"/>
  <c r="E971" i="3"/>
  <c r="E972" i="3"/>
  <c r="E973" i="3"/>
  <c r="E974" i="3"/>
  <c r="E975" i="3"/>
  <c r="E976" i="3"/>
  <c r="E977" i="3"/>
  <c r="E978" i="3"/>
  <c r="E1005" i="3"/>
  <c r="E997" i="3"/>
  <c r="E998" i="3"/>
  <c r="E1002" i="3"/>
  <c r="E995" i="3"/>
  <c r="E999" i="3"/>
  <c r="E1000" i="3"/>
  <c r="E1003" i="3"/>
  <c r="E1004" i="3"/>
  <c r="E996" i="3"/>
  <c r="E1062" i="3"/>
  <c r="E1063" i="3"/>
  <c r="E1064" i="3"/>
  <c r="E1075" i="3"/>
  <c r="E1076" i="3"/>
  <c r="E1061" i="3"/>
  <c r="E1065" i="3"/>
  <c r="E1066" i="3"/>
  <c r="E1067" i="3"/>
  <c r="E1068" i="3"/>
  <c r="E1069" i="3"/>
  <c r="E1070" i="3"/>
  <c r="E1071" i="3"/>
  <c r="E1072" i="3"/>
  <c r="E1073" i="3"/>
  <c r="E1074" i="3"/>
  <c r="E1081" i="3"/>
  <c r="E1082" i="3"/>
  <c r="E1077" i="3"/>
  <c r="E1078" i="3"/>
  <c r="E1079" i="3"/>
  <c r="E1080" i="3"/>
  <c r="E1083" i="3"/>
  <c r="E1084" i="3"/>
  <c r="E1097" i="3"/>
  <c r="E1098" i="3"/>
  <c r="E1099" i="3"/>
  <c r="E1100" i="3"/>
  <c r="E1101" i="3"/>
  <c r="E1102" i="3"/>
  <c r="E1103" i="3"/>
  <c r="E1104" i="3"/>
  <c r="E1085" i="3"/>
  <c r="E1086" i="3"/>
  <c r="E1087" i="3"/>
  <c r="E1088" i="3"/>
  <c r="E1089" i="3"/>
  <c r="E1090" i="3"/>
  <c r="E1091" i="3"/>
  <c r="E1092" i="3"/>
  <c r="E1105" i="3"/>
  <c r="E1106" i="3"/>
  <c r="E1107" i="3"/>
  <c r="E1108" i="3"/>
  <c r="E1093" i="3"/>
  <c r="E1094" i="3"/>
  <c r="E1095" i="3"/>
  <c r="E1096"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039" i="3"/>
  <c r="E1040" i="3"/>
  <c r="E1041" i="3"/>
  <c r="E1042" i="3"/>
  <c r="E1023" i="3"/>
  <c r="E1024" i="3"/>
  <c r="E1025" i="3"/>
  <c r="E1026" i="3"/>
  <c r="E1027" i="3"/>
  <c r="E1028" i="3"/>
  <c r="E1029" i="3"/>
  <c r="E1030" i="3"/>
  <c r="E1031" i="3"/>
  <c r="E1032" i="3"/>
  <c r="E1033" i="3"/>
  <c r="E1034" i="3"/>
  <c r="E1011" i="3"/>
  <c r="E1035" i="3"/>
  <c r="E1047" i="3"/>
  <c r="E1012" i="3"/>
  <c r="E1013" i="3"/>
  <c r="E1014" i="3"/>
  <c r="E1036" i="3"/>
  <c r="E1037" i="3"/>
  <c r="E1038" i="3"/>
  <c r="E1048" i="3"/>
  <c r="E1049" i="3"/>
  <c r="E1050" i="3"/>
  <c r="E1015" i="3"/>
  <c r="E1016" i="3"/>
  <c r="E1017" i="3"/>
  <c r="E1018" i="3"/>
  <c r="E1051" i="3"/>
  <c r="E1052" i="3"/>
  <c r="E1053" i="3"/>
  <c r="E1054" i="3"/>
  <c r="E1043" i="3"/>
  <c r="E1044" i="3"/>
  <c r="E1045" i="3"/>
  <c r="E1046" i="3"/>
  <c r="E1019" i="3"/>
  <c r="E1020" i="3"/>
  <c r="E1055" i="3"/>
  <c r="E1056" i="3"/>
  <c r="E1021" i="3"/>
  <c r="E1022" i="3"/>
  <c r="E1057" i="3"/>
  <c r="E1058" i="3"/>
  <c r="E1060" i="3"/>
  <c r="E1059" i="3"/>
  <c r="E1143" i="3"/>
  <c r="E1144" i="3"/>
  <c r="E1145" i="3"/>
  <c r="E1146" i="3"/>
  <c r="E1147" i="3"/>
  <c r="E1148" i="3"/>
  <c r="E1149" i="3"/>
  <c r="E1155" i="3"/>
  <c r="E1156" i="3"/>
  <c r="E1157" i="3"/>
  <c r="E1158" i="3"/>
  <c r="E1199" i="3"/>
  <c r="E1200" i="3"/>
  <c r="E1202" i="3"/>
  <c r="E1150" i="3"/>
  <c r="E1151" i="3"/>
  <c r="E1152" i="3"/>
  <c r="E1153" i="3"/>
  <c r="E1154" i="3"/>
  <c r="E1159" i="3"/>
  <c r="E1160" i="3"/>
  <c r="E1161" i="3"/>
  <c r="E1162" i="3"/>
  <c r="E1201" i="3"/>
  <c r="E1163" i="3"/>
  <c r="E1164" i="3"/>
  <c r="E1165" i="3"/>
  <c r="E1166" i="3"/>
  <c r="E1179" i="3"/>
  <c r="E1180" i="3"/>
  <c r="E1181" i="3"/>
  <c r="E1182" i="3"/>
  <c r="E1167" i="3"/>
  <c r="E1168" i="3"/>
  <c r="E1169" i="3"/>
  <c r="E1170" i="3"/>
  <c r="E1171" i="3"/>
  <c r="E1172" i="3"/>
  <c r="E1173" i="3"/>
  <c r="E1174" i="3"/>
  <c r="E1175" i="3"/>
  <c r="E1176" i="3"/>
  <c r="E1177" i="3"/>
  <c r="E1178" i="3"/>
  <c r="E1183" i="3"/>
  <c r="E1184" i="3"/>
  <c r="E1185" i="3"/>
  <c r="E1186" i="3"/>
  <c r="E1187" i="3"/>
  <c r="E1188" i="3"/>
  <c r="E1189" i="3"/>
  <c r="E1190" i="3"/>
  <c r="E1191" i="3"/>
  <c r="E1192" i="3"/>
  <c r="E1193" i="3"/>
  <c r="E1194" i="3"/>
  <c r="E1195" i="3"/>
  <c r="E1196" i="3"/>
  <c r="E1197" i="3"/>
  <c r="E1198" i="3"/>
  <c r="E1209" i="3"/>
  <c r="E1211" i="3"/>
  <c r="E1212" i="3"/>
  <c r="E1213" i="3"/>
  <c r="E1210" i="3"/>
  <c r="E1203" i="3"/>
  <c r="E1204" i="3"/>
  <c r="E1205" i="3"/>
  <c r="E1206" i="3"/>
  <c r="E1207" i="3"/>
  <c r="E1208" i="3"/>
  <c r="E1214" i="3"/>
  <c r="E1141" i="3"/>
  <c r="E1142" i="3"/>
  <c r="E1140" i="3"/>
  <c r="E1139" i="3"/>
  <c r="E1138"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21" i="3"/>
  <c r="E1222" i="3"/>
  <c r="E1230" i="3"/>
  <c r="E1220" i="3"/>
  <c r="E1223" i="3"/>
  <c r="E1233" i="3"/>
  <c r="E1227" i="3"/>
  <c r="E1228" i="3"/>
  <c r="E1229" i="3"/>
  <c r="E1231" i="3"/>
  <c r="E1232" i="3"/>
  <c r="E1224" i="3"/>
  <c r="E1225" i="3"/>
  <c r="E1226" i="3"/>
  <c r="E1219" i="3"/>
  <c r="E1216" i="3"/>
  <c r="E1218" i="3"/>
  <c r="E1217" i="3"/>
  <c r="E1264" i="3"/>
  <c r="E1263" i="3"/>
  <c r="E1270" i="3"/>
  <c r="E1271" i="3"/>
  <c r="E1272" i="3"/>
  <c r="E1273" i="3"/>
  <c r="E1269" i="3"/>
  <c r="E1268" i="3"/>
  <c r="E1267" i="3"/>
  <c r="E1266" i="3"/>
  <c r="E1276" i="3"/>
  <c r="E1299" i="3"/>
  <c r="E1300" i="3"/>
  <c r="E1301" i="3"/>
  <c r="E1302" i="3"/>
  <c r="E1297" i="3"/>
  <c r="E1277" i="3"/>
  <c r="E1278" i="3"/>
  <c r="E1279" i="3"/>
  <c r="E1280" i="3"/>
  <c r="E1284" i="3"/>
  <c r="E1293" i="3"/>
  <c r="E1294" i="3"/>
  <c r="E1295" i="3"/>
  <c r="E1290" i="3"/>
  <c r="E1291" i="3"/>
  <c r="E1292" i="3"/>
  <c r="E1289" i="3"/>
  <c r="E1296" i="3"/>
  <c r="E1281" i="3"/>
  <c r="E1282" i="3"/>
  <c r="E1283" i="3"/>
  <c r="E1286" i="3"/>
  <c r="E1288" i="3"/>
  <c r="E1285" i="3"/>
  <c r="E1287" i="3"/>
  <c r="E1329" i="3"/>
  <c r="E1330" i="3"/>
  <c r="E1331" i="3"/>
  <c r="E1332" i="3"/>
  <c r="E1333" i="3"/>
  <c r="E1334" i="3"/>
  <c r="E1335" i="3"/>
  <c r="E1336" i="3"/>
  <c r="E1339" i="3"/>
  <c r="E1341" i="3"/>
  <c r="E1337" i="3"/>
  <c r="E1338" i="3"/>
  <c r="E1340" i="3"/>
  <c r="E1342" i="3"/>
  <c r="E1343" i="3"/>
  <c r="E1344" i="3"/>
  <c r="E1345" i="3"/>
  <c r="E1346" i="3"/>
  <c r="E1347" i="3"/>
  <c r="E1348" i="3"/>
  <c r="E1349" i="3"/>
  <c r="E1350" i="3"/>
  <c r="E1351" i="3"/>
  <c r="E1352" i="3"/>
  <c r="E1325" i="3"/>
  <c r="E1326" i="3"/>
  <c r="E1327" i="3"/>
  <c r="E1328" i="3"/>
  <c r="E1320" i="3"/>
  <c r="E1321" i="3"/>
  <c r="E1322" i="3"/>
  <c r="E1323" i="3"/>
  <c r="E1304" i="3"/>
  <c r="E1305" i="3"/>
  <c r="E1306" i="3"/>
  <c r="E1307" i="3"/>
  <c r="E1318" i="3"/>
  <c r="E1319" i="3"/>
  <c r="E1308" i="3"/>
  <c r="E1310" i="3"/>
  <c r="E1311" i="3"/>
  <c r="E1312" i="3"/>
  <c r="E1309" i="3"/>
  <c r="E1317" i="3"/>
  <c r="E1315" i="3"/>
  <c r="E1316" i="3"/>
  <c r="E1314" i="3"/>
  <c r="E1313" i="3"/>
  <c r="E1358" i="3"/>
  <c r="E1355" i="3"/>
  <c r="E1357" i="3"/>
  <c r="E1354" i="3"/>
  <c r="E1356" i="3"/>
  <c r="E1360" i="3"/>
  <c r="E1361" i="3"/>
  <c r="E1362" i="3"/>
  <c r="E1363" i="3"/>
  <c r="E82" i="3"/>
  <c r="F84" i="3"/>
  <c r="F85" i="3"/>
  <c r="F69" i="3"/>
  <c r="F70" i="3"/>
  <c r="F71" i="3"/>
  <c r="F72" i="3"/>
  <c r="F73" i="3"/>
  <c r="F74" i="3"/>
  <c r="F75" i="3"/>
  <c r="F76" i="3"/>
  <c r="F77" i="3"/>
  <c r="F51" i="3"/>
  <c r="F52" i="3"/>
  <c r="F86" i="3"/>
  <c r="F53" i="3"/>
  <c r="F54" i="3"/>
  <c r="F55" i="3"/>
  <c r="F56" i="3"/>
  <c r="F57" i="3"/>
  <c r="F58" i="3"/>
  <c r="F88" i="3"/>
  <c r="F89" i="3"/>
  <c r="F90" i="3"/>
  <c r="F35" i="3"/>
  <c r="F36" i="3"/>
  <c r="F37" i="3"/>
  <c r="F38" i="3"/>
  <c r="F39" i="3"/>
  <c r="F40" i="3"/>
  <c r="F41" i="3"/>
  <c r="F42" i="3"/>
  <c r="F43" i="3"/>
  <c r="F44" i="3"/>
  <c r="F45" i="3"/>
  <c r="F46" i="3"/>
  <c r="F47" i="3"/>
  <c r="F48" i="3"/>
  <c r="F49" i="3"/>
  <c r="F5" i="3"/>
  <c r="F6" i="3"/>
  <c r="F7" i="3"/>
  <c r="F8" i="3"/>
  <c r="F9" i="3"/>
  <c r="F10" i="3"/>
  <c r="F20" i="3"/>
  <c r="F21" i="3"/>
  <c r="F22" i="3"/>
  <c r="F23" i="3"/>
  <c r="F24" i="3"/>
  <c r="F25" i="3"/>
  <c r="F26" i="3"/>
  <c r="F27" i="3"/>
  <c r="F28" i="3"/>
  <c r="F29" i="3"/>
  <c r="F30" i="3"/>
  <c r="F31" i="3"/>
  <c r="F11" i="3"/>
  <c r="F12" i="3"/>
  <c r="F13" i="3"/>
  <c r="F14" i="3"/>
  <c r="F15" i="3"/>
  <c r="F16" i="3"/>
  <c r="F17" i="3"/>
  <c r="F18" i="3"/>
  <c r="F19" i="3"/>
  <c r="F32" i="3"/>
  <c r="F33" i="3"/>
  <c r="F34" i="3"/>
  <c r="F81" i="3"/>
  <c r="F87" i="3"/>
  <c r="F79" i="3"/>
  <c r="F80" i="3"/>
  <c r="F83" i="3"/>
  <c r="F78" i="3"/>
  <c r="F68" i="3"/>
  <c r="BA68" i="3" s="1"/>
  <c r="F66" i="3"/>
  <c r="BA66" i="3" s="1"/>
  <c r="F67" i="3"/>
  <c r="BA67" i="3" s="1"/>
  <c r="F64" i="3"/>
  <c r="BA64" i="3" s="1"/>
  <c r="F65" i="3"/>
  <c r="BA65" i="3" s="1"/>
  <c r="F62" i="3"/>
  <c r="BA62" i="3" s="1"/>
  <c r="F63" i="3"/>
  <c r="BA63" i="3" s="1"/>
  <c r="F60" i="3"/>
  <c r="F61" i="3"/>
  <c r="F59" i="3"/>
  <c r="F50" i="3"/>
  <c r="F214" i="3"/>
  <c r="F215" i="3"/>
  <c r="F218" i="3"/>
  <c r="F219" i="3"/>
  <c r="F220" i="3"/>
  <c r="F221" i="3"/>
  <c r="F213" i="3"/>
  <c r="F216" i="3"/>
  <c r="F217" i="3"/>
  <c r="F222" i="3"/>
  <c r="BA222" i="3" s="1"/>
  <c r="F223" i="3"/>
  <c r="F224" i="3"/>
  <c r="F210" i="3"/>
  <c r="F209" i="3"/>
  <c r="F211" i="3"/>
  <c r="F212" i="3"/>
  <c r="BA212" i="3" s="1"/>
  <c r="F172" i="3"/>
  <c r="F173" i="3"/>
  <c r="F174" i="3"/>
  <c r="F175" i="3"/>
  <c r="F176" i="3"/>
  <c r="F177" i="3"/>
  <c r="F129" i="3"/>
  <c r="F130" i="3"/>
  <c r="F131" i="3"/>
  <c r="F178" i="3"/>
  <c r="F179" i="3"/>
  <c r="F180" i="3"/>
  <c r="F181" i="3"/>
  <c r="F182" i="3"/>
  <c r="F183" i="3"/>
  <c r="F184" i="3"/>
  <c r="F185" i="3"/>
  <c r="F186" i="3"/>
  <c r="F187" i="3"/>
  <c r="F188" i="3"/>
  <c r="F189" i="3"/>
  <c r="F154" i="3"/>
  <c r="F155" i="3"/>
  <c r="F156" i="3"/>
  <c r="F157" i="3"/>
  <c r="F158" i="3"/>
  <c r="F160" i="3"/>
  <c r="F161" i="3"/>
  <c r="F162" i="3"/>
  <c r="F163" i="3"/>
  <c r="F164" i="3"/>
  <c r="F165" i="3"/>
  <c r="F159" i="3"/>
  <c r="F199" i="3"/>
  <c r="F200" i="3"/>
  <c r="F201" i="3"/>
  <c r="F202" i="3"/>
  <c r="F203" i="3"/>
  <c r="F166" i="3"/>
  <c r="F167" i="3"/>
  <c r="F168" i="3"/>
  <c r="F169" i="3"/>
  <c r="F170" i="3"/>
  <c r="F171" i="3"/>
  <c r="F204" i="3"/>
  <c r="F205" i="3"/>
  <c r="F206" i="3"/>
  <c r="F207" i="3"/>
  <c r="F190" i="3"/>
  <c r="F191" i="3"/>
  <c r="F192" i="3"/>
  <c r="F193" i="3"/>
  <c r="F194" i="3"/>
  <c r="F195" i="3"/>
  <c r="F196" i="3"/>
  <c r="F197" i="3"/>
  <c r="F198" i="3"/>
  <c r="F123" i="3"/>
  <c r="F124" i="3"/>
  <c r="F125" i="3"/>
  <c r="F126" i="3"/>
  <c r="F127" i="3"/>
  <c r="F128" i="3"/>
  <c r="F153" i="3"/>
  <c r="F151" i="3"/>
  <c r="F152" i="3"/>
  <c r="F150" i="3"/>
  <c r="BA150" i="3" s="1"/>
  <c r="F141" i="3"/>
  <c r="BA141" i="3" s="1"/>
  <c r="F138" i="3"/>
  <c r="BA138" i="3" s="1"/>
  <c r="F137" i="3"/>
  <c r="BA137" i="3" s="1"/>
  <c r="F139" i="3"/>
  <c r="BA139" i="3" s="1"/>
  <c r="F136" i="3"/>
  <c r="BA136" i="3" s="1"/>
  <c r="F143" i="3"/>
  <c r="BA143" i="3" s="1"/>
  <c r="F140" i="3"/>
  <c r="BA140" i="3" s="1"/>
  <c r="F145" i="3"/>
  <c r="BA145" i="3" s="1"/>
  <c r="F146" i="3"/>
  <c r="BA146" i="3" s="1"/>
  <c r="F147" i="3"/>
  <c r="BA147" i="3" s="1"/>
  <c r="F148" i="3"/>
  <c r="BA148" i="3" s="1"/>
  <c r="F133" i="3"/>
  <c r="BA133" i="3" s="1"/>
  <c r="F142" i="3"/>
  <c r="BA142" i="3" s="1"/>
  <c r="F149" i="3"/>
  <c r="BA149" i="3" s="1"/>
  <c r="F144" i="3"/>
  <c r="BA144" i="3" s="1"/>
  <c r="F134" i="3"/>
  <c r="BA134" i="3" s="1"/>
  <c r="F132" i="3"/>
  <c r="BA132" i="3" s="1"/>
  <c r="F135" i="3"/>
  <c r="BA135" i="3" s="1"/>
  <c r="F104" i="3"/>
  <c r="F105" i="3"/>
  <c r="F106" i="3"/>
  <c r="F107" i="3"/>
  <c r="F108" i="3"/>
  <c r="F109" i="3"/>
  <c r="F110" i="3"/>
  <c r="F111" i="3"/>
  <c r="F112" i="3"/>
  <c r="F113" i="3"/>
  <c r="F114" i="3"/>
  <c r="F115" i="3"/>
  <c r="F116" i="3"/>
  <c r="F117" i="3"/>
  <c r="F118" i="3"/>
  <c r="F119" i="3"/>
  <c r="F120" i="3"/>
  <c r="F121" i="3"/>
  <c r="F99" i="3"/>
  <c r="BA99" i="3" s="1"/>
  <c r="F101" i="3"/>
  <c r="BA101" i="3" s="1"/>
  <c r="F102" i="3"/>
  <c r="BA102" i="3" s="1"/>
  <c r="F100" i="3"/>
  <c r="BA100" i="3" s="1"/>
  <c r="F103" i="3"/>
  <c r="BA103" i="3" s="1"/>
  <c r="F95" i="3"/>
  <c r="BA95" i="3" s="1"/>
  <c r="F96" i="3"/>
  <c r="BA96" i="3" s="1"/>
  <c r="F97" i="3"/>
  <c r="BA97" i="3" s="1"/>
  <c r="F98" i="3"/>
  <c r="BA98" i="3" s="1"/>
  <c r="F93" i="3"/>
  <c r="BA93" i="3" s="1"/>
  <c r="F94" i="3"/>
  <c r="BA94" i="3" s="1"/>
  <c r="F92" i="3"/>
  <c r="BA92" i="3" s="1"/>
  <c r="F226" i="3"/>
  <c r="F230" i="3"/>
  <c r="F231" i="3"/>
  <c r="BA231" i="3" s="1"/>
  <c r="F232" i="3"/>
  <c r="F263" i="3"/>
  <c r="F264" i="3"/>
  <c r="F270" i="3"/>
  <c r="F271" i="3"/>
  <c r="F265" i="3"/>
  <c r="F266" i="3"/>
  <c r="F267" i="3"/>
  <c r="F272" i="3"/>
  <c r="F273" i="3"/>
  <c r="F256" i="3"/>
  <c r="F257" i="3"/>
  <c r="F268" i="3"/>
  <c r="F269" i="3"/>
  <c r="F274" i="3"/>
  <c r="F275" i="3"/>
  <c r="F276" i="3"/>
  <c r="F279" i="3"/>
  <c r="F252" i="3"/>
  <c r="F253" i="3"/>
  <c r="F277" i="3"/>
  <c r="F278" i="3"/>
  <c r="F255" i="3"/>
  <c r="F258" i="3"/>
  <c r="F259" i="3"/>
  <c r="F260" i="3"/>
  <c r="F261" i="3"/>
  <c r="F262" i="3"/>
  <c r="F234" i="3"/>
  <c r="F235" i="3"/>
  <c r="F236" i="3"/>
  <c r="F237" i="3"/>
  <c r="F238" i="3"/>
  <c r="F239" i="3"/>
  <c r="F240" i="3"/>
  <c r="F241" i="3"/>
  <c r="BA241" i="3" s="1"/>
  <c r="F243" i="3"/>
  <c r="F242" i="3"/>
  <c r="F244" i="3"/>
  <c r="F245" i="3"/>
  <c r="F246" i="3"/>
  <c r="F282" i="3"/>
  <c r="F254" i="3"/>
  <c r="F281" i="3"/>
  <c r="F280" i="3"/>
  <c r="F251" i="3"/>
  <c r="F249" i="3"/>
  <c r="F250" i="3"/>
  <c r="F247" i="3"/>
  <c r="F248" i="3"/>
  <c r="F228" i="3"/>
  <c r="F284" i="3"/>
  <c r="F291" i="3"/>
  <c r="F286" i="3"/>
  <c r="F288" i="3"/>
  <c r="F293" i="3"/>
  <c r="F360" i="3"/>
  <c r="F361" i="3"/>
  <c r="F394" i="3"/>
  <c r="F398" i="3"/>
  <c r="F399" i="3"/>
  <c r="F385" i="3"/>
  <c r="F392" i="3"/>
  <c r="F400" i="3"/>
  <c r="F391" i="3"/>
  <c r="F393" i="3"/>
  <c r="F401" i="3"/>
  <c r="F395" i="3"/>
  <c r="F396" i="3"/>
  <c r="F397" i="3"/>
  <c r="F386" i="3"/>
  <c r="F387" i="3"/>
  <c r="F388" i="3"/>
  <c r="F389" i="3"/>
  <c r="F390" i="3"/>
  <c r="F384" i="3"/>
  <c r="F410" i="3"/>
  <c r="F409" i="3"/>
  <c r="F403" i="3"/>
  <c r="F362" i="3"/>
  <c r="F363" i="3"/>
  <c r="F369" i="3"/>
  <c r="F370" i="3"/>
  <c r="F402" i="3"/>
  <c r="F404" i="3"/>
  <c r="F405" i="3"/>
  <c r="F406" i="3"/>
  <c r="F407" i="3"/>
  <c r="F408" i="3"/>
  <c r="F411" i="3"/>
  <c r="F412" i="3"/>
  <c r="F413" i="3"/>
  <c r="F414" i="3"/>
  <c r="F356" i="3"/>
  <c r="F357" i="3"/>
  <c r="F364" i="3"/>
  <c r="F377" i="3"/>
  <c r="F378" i="3"/>
  <c r="F379" i="3"/>
  <c r="F380" i="3"/>
  <c r="F381" i="3"/>
  <c r="F382" i="3"/>
  <c r="F383" i="3"/>
  <c r="F365" i="3"/>
  <c r="F366" i="3"/>
  <c r="F367" i="3"/>
  <c r="F368" i="3"/>
  <c r="F371" i="3"/>
  <c r="F372" i="3"/>
  <c r="F373" i="3"/>
  <c r="F374" i="3"/>
  <c r="F375" i="3"/>
  <c r="F376" i="3"/>
  <c r="F296" i="3"/>
  <c r="F298" i="3"/>
  <c r="F299" i="3"/>
  <c r="BA299" i="3" s="1"/>
  <c r="F300" i="3"/>
  <c r="F301" i="3"/>
  <c r="F302" i="3"/>
  <c r="F303" i="3"/>
  <c r="BA303" i="3" s="1"/>
  <c r="F304" i="3"/>
  <c r="F305" i="3"/>
  <c r="F306" i="3"/>
  <c r="F307" i="3"/>
  <c r="F308" i="3"/>
  <c r="F309" i="3"/>
  <c r="F310" i="3"/>
  <c r="F311" i="3"/>
  <c r="BA311" i="3" s="1"/>
  <c r="F312" i="3"/>
  <c r="F313" i="3"/>
  <c r="F314" i="3"/>
  <c r="F315" i="3"/>
  <c r="F316" i="3"/>
  <c r="F317" i="3"/>
  <c r="F318" i="3"/>
  <c r="F319" i="3"/>
  <c r="F320" i="3"/>
  <c r="F321" i="3"/>
  <c r="F322" i="3"/>
  <c r="F323" i="3"/>
  <c r="F324" i="3"/>
  <c r="F325" i="3"/>
  <c r="F326" i="3"/>
  <c r="F327" i="3"/>
  <c r="F328" i="3"/>
  <c r="F329" i="3"/>
  <c r="F330" i="3"/>
  <c r="F331" i="3"/>
  <c r="BA331" i="3" s="1"/>
  <c r="F332" i="3"/>
  <c r="F333" i="3"/>
  <c r="F334" i="3"/>
  <c r="F335" i="3"/>
  <c r="F336" i="3"/>
  <c r="F337" i="3"/>
  <c r="F338" i="3"/>
  <c r="F339" i="3"/>
  <c r="F340" i="3"/>
  <c r="F341" i="3"/>
  <c r="F342" i="3"/>
  <c r="F343" i="3"/>
  <c r="F344" i="3"/>
  <c r="F345" i="3"/>
  <c r="F346" i="3"/>
  <c r="F347" i="3"/>
  <c r="F348" i="3"/>
  <c r="F349" i="3"/>
  <c r="F350" i="3"/>
  <c r="F351" i="3"/>
  <c r="F352" i="3"/>
  <c r="F353" i="3"/>
  <c r="F354" i="3"/>
  <c r="F355" i="3"/>
  <c r="F359" i="3"/>
  <c r="F358" i="3"/>
  <c r="F420" i="3"/>
  <c r="F421" i="3"/>
  <c r="F422" i="3"/>
  <c r="F423" i="3"/>
  <c r="F424" i="3"/>
  <c r="F425" i="3"/>
  <c r="F427" i="3"/>
  <c r="F428" i="3"/>
  <c r="F429" i="3"/>
  <c r="F431" i="3"/>
  <c r="F488" i="3"/>
  <c r="F490" i="3"/>
  <c r="F532" i="3"/>
  <c r="F533" i="3"/>
  <c r="F534" i="3"/>
  <c r="F535" i="3"/>
  <c r="F449" i="3"/>
  <c r="F450" i="3"/>
  <c r="F461" i="3"/>
  <c r="F462" i="3"/>
  <c r="F486" i="3"/>
  <c r="F487" i="3"/>
  <c r="F496" i="3"/>
  <c r="F497" i="3"/>
  <c r="F498" i="3"/>
  <c r="F499" i="3"/>
  <c r="F504" i="3"/>
  <c r="F505" i="3"/>
  <c r="F506" i="3"/>
  <c r="F500" i="3"/>
  <c r="F501" i="3"/>
  <c r="F502" i="3"/>
  <c r="F503" i="3"/>
  <c r="F536" i="3"/>
  <c r="F537" i="3"/>
  <c r="F538" i="3"/>
  <c r="F516" i="3"/>
  <c r="F517" i="3"/>
  <c r="F463" i="3"/>
  <c r="F464" i="3"/>
  <c r="F465" i="3"/>
  <c r="F466" i="3"/>
  <c r="F467" i="3"/>
  <c r="F468" i="3"/>
  <c r="F469" i="3"/>
  <c r="F470" i="3"/>
  <c r="F471" i="3"/>
  <c r="F484" i="3"/>
  <c r="F485" i="3"/>
  <c r="F520" i="3"/>
  <c r="F521" i="3"/>
  <c r="F539" i="3"/>
  <c r="F451" i="3"/>
  <c r="F452" i="3"/>
  <c r="F453" i="3"/>
  <c r="F454" i="3"/>
  <c r="F455" i="3"/>
  <c r="BA455" i="3" s="1"/>
  <c r="F456" i="3"/>
  <c r="F457" i="3"/>
  <c r="F458" i="3"/>
  <c r="F491" i="3"/>
  <c r="F540" i="3"/>
  <c r="F541" i="3"/>
  <c r="F542" i="3"/>
  <c r="F477" i="3"/>
  <c r="F478" i="3"/>
  <c r="F479" i="3"/>
  <c r="F480" i="3"/>
  <c r="F481" i="3"/>
  <c r="F482" i="3"/>
  <c r="F483" i="3"/>
  <c r="F507" i="3"/>
  <c r="F508" i="3"/>
  <c r="F509" i="3"/>
  <c r="F510" i="3"/>
  <c r="F511" i="3"/>
  <c r="F512" i="3"/>
  <c r="F513" i="3"/>
  <c r="F514" i="3"/>
  <c r="F515" i="3"/>
  <c r="F459" i="3"/>
  <c r="BA459" i="3" s="1"/>
  <c r="F460" i="3"/>
  <c r="F472" i="3"/>
  <c r="F473" i="3"/>
  <c r="F474" i="3"/>
  <c r="BA474" i="3" s="1"/>
  <c r="F475" i="3"/>
  <c r="F476" i="3"/>
  <c r="F518" i="3"/>
  <c r="F519" i="3"/>
  <c r="F522" i="3"/>
  <c r="F523" i="3"/>
  <c r="F440" i="3"/>
  <c r="F441" i="3"/>
  <c r="F442" i="3"/>
  <c r="F443" i="3"/>
  <c r="BA443" i="3" s="1"/>
  <c r="F524" i="3"/>
  <c r="F525" i="3"/>
  <c r="F526" i="3"/>
  <c r="F527" i="3"/>
  <c r="F528" i="3"/>
  <c r="F529" i="3"/>
  <c r="F530" i="3"/>
  <c r="F531" i="3"/>
  <c r="F446" i="3"/>
  <c r="F438" i="3"/>
  <c r="F439" i="3"/>
  <c r="F445" i="3"/>
  <c r="BA445" i="3" s="1"/>
  <c r="F489" i="3"/>
  <c r="F492" i="3"/>
  <c r="F495" i="3"/>
  <c r="F447" i="3"/>
  <c r="F493" i="3"/>
  <c r="F494" i="3"/>
  <c r="F432" i="3"/>
  <c r="F718" i="3"/>
  <c r="F719" i="3"/>
  <c r="F720" i="3"/>
  <c r="F721" i="3"/>
  <c r="F722" i="3"/>
  <c r="F723" i="3"/>
  <c r="F724" i="3"/>
  <c r="F725" i="3"/>
  <c r="F726" i="3"/>
  <c r="F727" i="3"/>
  <c r="F728" i="3"/>
  <c r="F729" i="3"/>
  <c r="F731" i="3"/>
  <c r="F713" i="3"/>
  <c r="F714" i="3"/>
  <c r="F715" i="3"/>
  <c r="F716" i="3"/>
  <c r="F732" i="3"/>
  <c r="F733" i="3"/>
  <c r="F734" i="3"/>
  <c r="F735" i="3"/>
  <c r="F736" i="3"/>
  <c r="F737" i="3"/>
  <c r="F738" i="3"/>
  <c r="F739" i="3"/>
  <c r="F717" i="3"/>
  <c r="F808" i="3"/>
  <c r="F809" i="3"/>
  <c r="F806" i="3"/>
  <c r="F807" i="3"/>
  <c r="F819" i="3"/>
  <c r="F820" i="3"/>
  <c r="F810" i="3"/>
  <c r="F811" i="3"/>
  <c r="F812" i="3"/>
  <c r="F818" i="3"/>
  <c r="F821" i="3"/>
  <c r="F813" i="3"/>
  <c r="F784" i="3"/>
  <c r="F785" i="3"/>
  <c r="F786" i="3"/>
  <c r="F787" i="3"/>
  <c r="F788" i="3"/>
  <c r="F814" i="3"/>
  <c r="F815" i="3"/>
  <c r="F816" i="3"/>
  <c r="F817" i="3"/>
  <c r="F822" i="3"/>
  <c r="F823" i="3"/>
  <c r="F824" i="3"/>
  <c r="F825" i="3"/>
  <c r="F789" i="3"/>
  <c r="F790" i="3"/>
  <c r="F791" i="3"/>
  <c r="F792" i="3"/>
  <c r="F793" i="3"/>
  <c r="F841" i="3"/>
  <c r="F842" i="3"/>
  <c r="F843" i="3"/>
  <c r="F844" i="3"/>
  <c r="F833" i="3"/>
  <c r="F834" i="3"/>
  <c r="F835" i="3"/>
  <c r="F836" i="3"/>
  <c r="F837" i="3"/>
  <c r="F838" i="3"/>
  <c r="F794" i="3"/>
  <c r="F795" i="3"/>
  <c r="F796" i="3"/>
  <c r="F797" i="3"/>
  <c r="F798" i="3"/>
  <c r="F839" i="3"/>
  <c r="F840" i="3"/>
  <c r="F804" i="3"/>
  <c r="F826" i="3"/>
  <c r="F827" i="3"/>
  <c r="F828" i="3"/>
  <c r="F829" i="3"/>
  <c r="F805" i="3"/>
  <c r="F830" i="3"/>
  <c r="F831" i="3"/>
  <c r="F799" i="3"/>
  <c r="F800" i="3"/>
  <c r="F801" i="3"/>
  <c r="F802" i="3"/>
  <c r="F803" i="3"/>
  <c r="F832" i="3"/>
  <c r="F741" i="3"/>
  <c r="F742" i="3"/>
  <c r="F743" i="3"/>
  <c r="F744" i="3"/>
  <c r="F745" i="3"/>
  <c r="F746" i="3"/>
  <c r="F747" i="3"/>
  <c r="F748" i="3"/>
  <c r="F749" i="3"/>
  <c r="F750" i="3"/>
  <c r="F751" i="3"/>
  <c r="F752" i="3"/>
  <c r="F753" i="3"/>
  <c r="F754" i="3"/>
  <c r="F755" i="3"/>
  <c r="F756" i="3"/>
  <c r="F757" i="3"/>
  <c r="F759" i="3"/>
  <c r="F760" i="3"/>
  <c r="F761" i="3"/>
  <c r="F762" i="3"/>
  <c r="BA762" i="3" s="1"/>
  <c r="F763" i="3"/>
  <c r="F764" i="3"/>
  <c r="F765" i="3"/>
  <c r="F766" i="3"/>
  <c r="F845" i="3"/>
  <c r="F767" i="3"/>
  <c r="F768" i="3"/>
  <c r="F769" i="3"/>
  <c r="F770" i="3"/>
  <c r="F771" i="3"/>
  <c r="F772" i="3"/>
  <c r="F773" i="3"/>
  <c r="F774" i="3"/>
  <c r="F775" i="3"/>
  <c r="F776" i="3"/>
  <c r="F777" i="3"/>
  <c r="F778" i="3"/>
  <c r="F779" i="3"/>
  <c r="F780" i="3"/>
  <c r="F781" i="3"/>
  <c r="F782" i="3"/>
  <c r="F783" i="3"/>
  <c r="F612" i="3"/>
  <c r="F613" i="3"/>
  <c r="F614" i="3"/>
  <c r="F615" i="3"/>
  <c r="F616" i="3"/>
  <c r="F617" i="3"/>
  <c r="F618" i="3"/>
  <c r="F619" i="3"/>
  <c r="F620" i="3"/>
  <c r="F621" i="3"/>
  <c r="F622" i="3"/>
  <c r="F624" i="3"/>
  <c r="F625" i="3"/>
  <c r="F626" i="3"/>
  <c r="F627" i="3"/>
  <c r="F628" i="3"/>
  <c r="F629" i="3"/>
  <c r="F630" i="3"/>
  <c r="F631" i="3"/>
  <c r="F632" i="3"/>
  <c r="F623" i="3"/>
  <c r="F633" i="3"/>
  <c r="F634" i="3"/>
  <c r="F635" i="3"/>
  <c r="F636" i="3"/>
  <c r="F637" i="3"/>
  <c r="BA637" i="3" s="1"/>
  <c r="F638" i="3"/>
  <c r="F639" i="3"/>
  <c r="F640" i="3"/>
  <c r="F641" i="3"/>
  <c r="F642" i="3"/>
  <c r="F643" i="3"/>
  <c r="F644" i="3"/>
  <c r="F645" i="3"/>
  <c r="F646" i="3"/>
  <c r="F647" i="3"/>
  <c r="F648" i="3"/>
  <c r="F649" i="3"/>
  <c r="F650" i="3"/>
  <c r="F651" i="3"/>
  <c r="F660" i="3"/>
  <c r="F661" i="3"/>
  <c r="F662" i="3"/>
  <c r="F663" i="3"/>
  <c r="F664" i="3"/>
  <c r="F665" i="3"/>
  <c r="F666" i="3"/>
  <c r="F667" i="3"/>
  <c r="F672" i="3"/>
  <c r="F673" i="3"/>
  <c r="F674" i="3"/>
  <c r="F675" i="3"/>
  <c r="F652" i="3"/>
  <c r="F653" i="3"/>
  <c r="F654" i="3"/>
  <c r="F655" i="3"/>
  <c r="F656" i="3"/>
  <c r="F657" i="3"/>
  <c r="F658" i="3"/>
  <c r="F659" i="3"/>
  <c r="F668" i="3"/>
  <c r="F669" i="3"/>
  <c r="F670" i="3"/>
  <c r="F671" i="3"/>
  <c r="F676" i="3"/>
  <c r="F677" i="3"/>
  <c r="F678" i="3"/>
  <c r="F679" i="3"/>
  <c r="F680" i="3"/>
  <c r="F681" i="3"/>
  <c r="F682" i="3"/>
  <c r="F683" i="3"/>
  <c r="F684" i="3"/>
  <c r="F685" i="3"/>
  <c r="F686" i="3"/>
  <c r="F687" i="3"/>
  <c r="F688" i="3"/>
  <c r="F689" i="3"/>
  <c r="F690" i="3"/>
  <c r="F691" i="3"/>
  <c r="F693" i="3"/>
  <c r="F694" i="3"/>
  <c r="F695" i="3"/>
  <c r="F696" i="3"/>
  <c r="F697" i="3"/>
  <c r="F698" i="3"/>
  <c r="F699" i="3"/>
  <c r="F700" i="3"/>
  <c r="F701" i="3"/>
  <c r="F702" i="3"/>
  <c r="F703" i="3"/>
  <c r="F704" i="3"/>
  <c r="F705" i="3"/>
  <c r="F706" i="3"/>
  <c r="F707" i="3"/>
  <c r="F708" i="3"/>
  <c r="F709" i="3"/>
  <c r="F710" i="3"/>
  <c r="F711" i="3"/>
  <c r="F692" i="3"/>
  <c r="F548" i="3"/>
  <c r="F549" i="3"/>
  <c r="F550" i="3"/>
  <c r="F551" i="3"/>
  <c r="F552" i="3"/>
  <c r="F553" i="3"/>
  <c r="F554" i="3"/>
  <c r="F555" i="3"/>
  <c r="F556" i="3"/>
  <c r="F576" i="3"/>
  <c r="F577" i="3"/>
  <c r="F578" i="3"/>
  <c r="F579" i="3"/>
  <c r="F580" i="3"/>
  <c r="F557" i="3"/>
  <c r="F558" i="3"/>
  <c r="F559" i="3"/>
  <c r="F560" i="3"/>
  <c r="F562" i="3"/>
  <c r="F563" i="3"/>
  <c r="F581" i="3"/>
  <c r="F582" i="3"/>
  <c r="F583" i="3"/>
  <c r="F584" i="3"/>
  <c r="F585" i="3"/>
  <c r="F586" i="3"/>
  <c r="F587" i="3"/>
  <c r="BA587" i="3" s="1"/>
  <c r="F564" i="3"/>
  <c r="F565" i="3"/>
  <c r="F544" i="3"/>
  <c r="F545" i="3"/>
  <c r="F546" i="3"/>
  <c r="F547" i="3"/>
  <c r="F566" i="3"/>
  <c r="F567" i="3"/>
  <c r="F588" i="3"/>
  <c r="F589" i="3"/>
  <c r="F590" i="3"/>
  <c r="F591" i="3"/>
  <c r="F600" i="3"/>
  <c r="F601" i="3"/>
  <c r="F602" i="3"/>
  <c r="F603" i="3"/>
  <c r="F570" i="3"/>
  <c r="F568" i="3"/>
  <c r="F569" i="3"/>
  <c r="F571" i="3"/>
  <c r="F592" i="3"/>
  <c r="F593" i="3"/>
  <c r="F594" i="3"/>
  <c r="F595" i="3"/>
  <c r="F604" i="3"/>
  <c r="F605" i="3"/>
  <c r="F606" i="3"/>
  <c r="F607" i="3"/>
  <c r="F572" i="3"/>
  <c r="F573" i="3"/>
  <c r="F596" i="3"/>
  <c r="F597" i="3"/>
  <c r="F608" i="3"/>
  <c r="F609" i="3"/>
  <c r="F574" i="3"/>
  <c r="F575" i="3"/>
  <c r="F598" i="3"/>
  <c r="F599" i="3"/>
  <c r="F610" i="3"/>
  <c r="F611" i="3"/>
  <c r="F847" i="3"/>
  <c r="F849" i="3"/>
  <c r="F895" i="3"/>
  <c r="F881" i="3"/>
  <c r="F882" i="3"/>
  <c r="F883" i="3"/>
  <c r="F884" i="3"/>
  <c r="F904" i="3"/>
  <c r="F905" i="3"/>
  <c r="F885" i="3"/>
  <c r="F891" i="3"/>
  <c r="F892" i="3"/>
  <c r="F893" i="3"/>
  <c r="F894" i="3"/>
  <c r="F886" i="3"/>
  <c r="F898" i="3"/>
  <c r="BA898" i="3" s="1"/>
  <c r="F899" i="3"/>
  <c r="F900" i="3"/>
  <c r="F901" i="3"/>
  <c r="BA901" i="3" s="1"/>
  <c r="F903" i="3"/>
  <c r="F887" i="3"/>
  <c r="F888" i="3"/>
  <c r="F889" i="3"/>
  <c r="F890" i="3"/>
  <c r="F914" i="3"/>
  <c r="F915" i="3"/>
  <c r="F916" i="3"/>
  <c r="F917" i="3"/>
  <c r="F930" i="3"/>
  <c r="F931" i="3"/>
  <c r="F932" i="3"/>
  <c r="F933" i="3"/>
  <c r="F934" i="3"/>
  <c r="F935" i="3"/>
  <c r="F936" i="3"/>
  <c r="F937" i="3"/>
  <c r="F910" i="3"/>
  <c r="F911" i="3"/>
  <c r="F912" i="3"/>
  <c r="F913" i="3"/>
  <c r="F918" i="3"/>
  <c r="F919" i="3"/>
  <c r="F920" i="3"/>
  <c r="F921" i="3"/>
  <c r="F922" i="3"/>
  <c r="F923" i="3"/>
  <c r="F924" i="3"/>
  <c r="F925" i="3"/>
  <c r="F926" i="3"/>
  <c r="F927" i="3"/>
  <c r="F928" i="3"/>
  <c r="F929" i="3"/>
  <c r="F938" i="3"/>
  <c r="F939" i="3"/>
  <c r="F940" i="3"/>
  <c r="F941" i="3"/>
  <c r="F942" i="3"/>
  <c r="F943" i="3"/>
  <c r="F944" i="3"/>
  <c r="F945" i="3"/>
  <c r="F946" i="3"/>
  <c r="F947" i="3"/>
  <c r="F948" i="3"/>
  <c r="F949" i="3"/>
  <c r="F950" i="3"/>
  <c r="F951" i="3"/>
  <c r="F952" i="3"/>
  <c r="F953" i="3"/>
  <c r="F954" i="3"/>
  <c r="F955" i="3"/>
  <c r="F956" i="3"/>
  <c r="F957" i="3"/>
  <c r="F958" i="3"/>
  <c r="F959" i="3"/>
  <c r="F960" i="3"/>
  <c r="F961" i="3"/>
  <c r="F851" i="3"/>
  <c r="F852" i="3"/>
  <c r="F853" i="3"/>
  <c r="F854" i="3"/>
  <c r="F859" i="3"/>
  <c r="F860" i="3"/>
  <c r="F861" i="3"/>
  <c r="F862" i="3"/>
  <c r="F871" i="3"/>
  <c r="BA871" i="3" s="1"/>
  <c r="F872" i="3"/>
  <c r="F855" i="3"/>
  <c r="F856" i="3"/>
  <c r="F857" i="3"/>
  <c r="F863" i="3"/>
  <c r="F865" i="3"/>
  <c r="F867" i="3"/>
  <c r="F869" i="3"/>
  <c r="F858" i="3"/>
  <c r="F870" i="3"/>
  <c r="F873" i="3"/>
  <c r="F874" i="3"/>
  <c r="F875" i="3"/>
  <c r="F876" i="3"/>
  <c r="F877" i="3"/>
  <c r="F878" i="3"/>
  <c r="F902" i="3"/>
  <c r="F907" i="3"/>
  <c r="F906" i="3"/>
  <c r="F908" i="3"/>
  <c r="F909" i="3"/>
  <c r="F879" i="3"/>
  <c r="F880" i="3"/>
  <c r="F896" i="3"/>
  <c r="F897" i="3"/>
  <c r="F1378" i="3"/>
  <c r="BA1378" i="3" s="1"/>
  <c r="F1379" i="3"/>
  <c r="F1380" i="3"/>
  <c r="F1381" i="3"/>
  <c r="BA1381" i="3" s="1"/>
  <c r="F1383" i="3"/>
  <c r="BA1383" i="3" s="1"/>
  <c r="F1384" i="3"/>
  <c r="BA1384" i="3" s="1"/>
  <c r="F1385" i="3"/>
  <c r="BA1385" i="3" s="1"/>
  <c r="F1365" i="3"/>
  <c r="BA1365" i="3" s="1"/>
  <c r="F1366" i="3"/>
  <c r="BA1366" i="3" s="1"/>
  <c r="F1367" i="3"/>
  <c r="BA1367" i="3" s="1"/>
  <c r="F1368" i="3"/>
  <c r="BA1368" i="3" s="1"/>
  <c r="F1369" i="3"/>
  <c r="BA1369" i="3" s="1"/>
  <c r="F1370" i="3"/>
  <c r="BA1370" i="3" s="1"/>
  <c r="F1372" i="3"/>
  <c r="BA1372" i="3" s="1"/>
  <c r="F1373" i="3"/>
  <c r="BA1373" i="3" s="1"/>
  <c r="F1374" i="3"/>
  <c r="BA1374" i="3" s="1"/>
  <c r="F1375" i="3"/>
  <c r="BA1375" i="3" s="1"/>
  <c r="F1376" i="3"/>
  <c r="BA1376" i="3" s="1"/>
  <c r="F983" i="3"/>
  <c r="F984" i="3"/>
  <c r="F985" i="3"/>
  <c r="BA985" i="3" s="1"/>
  <c r="F986" i="3"/>
  <c r="F1001" i="3"/>
  <c r="F987" i="3"/>
  <c r="F988" i="3"/>
  <c r="BA988" i="3" s="1"/>
  <c r="F989" i="3"/>
  <c r="F990" i="3"/>
  <c r="F991" i="3"/>
  <c r="F992" i="3"/>
  <c r="BA992" i="3" s="1"/>
  <c r="F993" i="3"/>
  <c r="F994" i="3"/>
  <c r="F1006" i="3"/>
  <c r="F1007" i="3"/>
  <c r="BA1007" i="3" s="1"/>
  <c r="F1008" i="3"/>
  <c r="F1009" i="3"/>
  <c r="F979" i="3"/>
  <c r="F981" i="3"/>
  <c r="F982" i="3"/>
  <c r="F963" i="3"/>
  <c r="F964" i="3"/>
  <c r="F965" i="3"/>
  <c r="F966" i="3"/>
  <c r="F967" i="3"/>
  <c r="F968" i="3"/>
  <c r="F969" i="3"/>
  <c r="F970" i="3"/>
  <c r="F971" i="3"/>
  <c r="F972" i="3"/>
  <c r="F973" i="3"/>
  <c r="F974" i="3"/>
  <c r="F975" i="3"/>
  <c r="F976" i="3"/>
  <c r="F977" i="3"/>
  <c r="BA977" i="3" s="1"/>
  <c r="F978" i="3"/>
  <c r="F1005" i="3"/>
  <c r="F997" i="3"/>
  <c r="BA997" i="3" s="1"/>
  <c r="F998" i="3"/>
  <c r="BA998" i="3" s="1"/>
  <c r="F1002" i="3"/>
  <c r="F995" i="3"/>
  <c r="F999" i="3"/>
  <c r="BA999" i="3" s="1"/>
  <c r="F1000" i="3"/>
  <c r="BA1000" i="3" s="1"/>
  <c r="F1003" i="3"/>
  <c r="F1004" i="3"/>
  <c r="F996" i="3"/>
  <c r="BA996" i="3" s="1"/>
  <c r="F1062" i="3"/>
  <c r="BA1062" i="3" s="1"/>
  <c r="F1063" i="3"/>
  <c r="F1064" i="3"/>
  <c r="F1075" i="3"/>
  <c r="BA1075" i="3" s="1"/>
  <c r="F1076" i="3"/>
  <c r="BA1076" i="3" s="1"/>
  <c r="F1061" i="3"/>
  <c r="F1065" i="3"/>
  <c r="F1066" i="3"/>
  <c r="BA1066" i="3" s="1"/>
  <c r="F1067" i="3"/>
  <c r="BA1067" i="3" s="1"/>
  <c r="F1068" i="3"/>
  <c r="F1069" i="3"/>
  <c r="F1070" i="3"/>
  <c r="BA1070" i="3" s="1"/>
  <c r="F1071" i="3"/>
  <c r="BA1071" i="3" s="1"/>
  <c r="F1072" i="3"/>
  <c r="F1073" i="3"/>
  <c r="F1074" i="3"/>
  <c r="BA1074" i="3" s="1"/>
  <c r="F1081" i="3"/>
  <c r="BA1081" i="3" s="1"/>
  <c r="F1082" i="3"/>
  <c r="F1077" i="3"/>
  <c r="BA1077" i="3" s="1"/>
  <c r="F1078" i="3"/>
  <c r="BA1078" i="3" s="1"/>
  <c r="F1079" i="3"/>
  <c r="BA1079" i="3" s="1"/>
  <c r="F1080" i="3"/>
  <c r="F1083" i="3"/>
  <c r="F1084" i="3"/>
  <c r="BA1084" i="3" s="1"/>
  <c r="F1097" i="3"/>
  <c r="BA1097" i="3" s="1"/>
  <c r="F1098" i="3"/>
  <c r="F1099" i="3"/>
  <c r="F1100" i="3"/>
  <c r="BA1100" i="3" s="1"/>
  <c r="F1101" i="3"/>
  <c r="BA1101" i="3" s="1"/>
  <c r="F1102" i="3"/>
  <c r="F1103" i="3"/>
  <c r="F1104" i="3"/>
  <c r="BA1104" i="3" s="1"/>
  <c r="F1085" i="3"/>
  <c r="BA1085" i="3" s="1"/>
  <c r="F1086" i="3"/>
  <c r="F1087" i="3"/>
  <c r="F1088" i="3"/>
  <c r="BA1088" i="3" s="1"/>
  <c r="F1089" i="3"/>
  <c r="BA1089" i="3" s="1"/>
  <c r="F1090" i="3"/>
  <c r="F1091" i="3"/>
  <c r="F1092" i="3"/>
  <c r="BA1092" i="3" s="1"/>
  <c r="F1105" i="3"/>
  <c r="BA1105" i="3" s="1"/>
  <c r="F1106" i="3"/>
  <c r="F1107" i="3"/>
  <c r="F1108" i="3"/>
  <c r="BA1108" i="3" s="1"/>
  <c r="F1093" i="3"/>
  <c r="BA1093" i="3" s="1"/>
  <c r="F1094" i="3"/>
  <c r="F1095" i="3"/>
  <c r="F1096" i="3"/>
  <c r="BA1096" i="3" s="1"/>
  <c r="F1109" i="3"/>
  <c r="BA1109" i="3" s="1"/>
  <c r="F1110" i="3"/>
  <c r="F1111" i="3"/>
  <c r="F1112" i="3"/>
  <c r="BA1112" i="3" s="1"/>
  <c r="F1113" i="3"/>
  <c r="BA1113" i="3" s="1"/>
  <c r="F1114" i="3"/>
  <c r="F1115" i="3"/>
  <c r="F1116" i="3"/>
  <c r="BA1116" i="3" s="1"/>
  <c r="F1117" i="3"/>
  <c r="BA1117" i="3" s="1"/>
  <c r="F1118" i="3"/>
  <c r="F1119" i="3"/>
  <c r="F1120" i="3"/>
  <c r="BA1120" i="3" s="1"/>
  <c r="F1121" i="3"/>
  <c r="BA1121" i="3" s="1"/>
  <c r="F1122" i="3"/>
  <c r="F1123" i="3"/>
  <c r="F1124" i="3"/>
  <c r="BA1124" i="3" s="1"/>
  <c r="F1125" i="3"/>
  <c r="BA1125" i="3" s="1"/>
  <c r="F1126" i="3"/>
  <c r="F1127" i="3"/>
  <c r="F1128" i="3"/>
  <c r="BA1128" i="3" s="1"/>
  <c r="F1129" i="3"/>
  <c r="BA1129" i="3" s="1"/>
  <c r="F1130" i="3"/>
  <c r="F1131" i="3"/>
  <c r="F1132" i="3"/>
  <c r="BA1132" i="3" s="1"/>
  <c r="F1133" i="3"/>
  <c r="BA1133" i="3" s="1"/>
  <c r="F1134" i="3"/>
  <c r="F1135" i="3"/>
  <c r="F1136" i="3"/>
  <c r="BA1136" i="3" s="1"/>
  <c r="F1039" i="3"/>
  <c r="BA1039" i="3" s="1"/>
  <c r="F1040" i="3"/>
  <c r="F1041" i="3"/>
  <c r="F1042" i="3"/>
  <c r="BA1042" i="3" s="1"/>
  <c r="F1023" i="3"/>
  <c r="BA1023" i="3" s="1"/>
  <c r="F1024" i="3"/>
  <c r="F1025" i="3"/>
  <c r="F1026" i="3"/>
  <c r="BA1026" i="3" s="1"/>
  <c r="F1027" i="3"/>
  <c r="BA1027" i="3" s="1"/>
  <c r="F1029" i="3"/>
  <c r="BA1029" i="3" s="1"/>
  <c r="F1030" i="3"/>
  <c r="BA1030" i="3" s="1"/>
  <c r="F1031" i="3"/>
  <c r="BA1031" i="3" s="1"/>
  <c r="F1032" i="3"/>
  <c r="BA1032" i="3" s="1"/>
  <c r="F1033" i="3"/>
  <c r="BA1033" i="3" s="1"/>
  <c r="F1034" i="3"/>
  <c r="BA1034" i="3" s="1"/>
  <c r="F1011" i="3"/>
  <c r="BA1011" i="3" s="1"/>
  <c r="F1035" i="3"/>
  <c r="BA1035" i="3" s="1"/>
  <c r="F1047" i="3"/>
  <c r="BA1047" i="3" s="1"/>
  <c r="F1012" i="3"/>
  <c r="BA1012" i="3" s="1"/>
  <c r="F1013" i="3"/>
  <c r="BA1013" i="3" s="1"/>
  <c r="F1014" i="3"/>
  <c r="BA1014" i="3" s="1"/>
  <c r="F1036" i="3"/>
  <c r="BA1036" i="3" s="1"/>
  <c r="F1037" i="3"/>
  <c r="BA1037" i="3" s="1"/>
  <c r="F1038" i="3"/>
  <c r="BA1038" i="3" s="1"/>
  <c r="F1048" i="3"/>
  <c r="BA1048" i="3" s="1"/>
  <c r="F1049" i="3"/>
  <c r="BA1049" i="3" s="1"/>
  <c r="F1050" i="3"/>
  <c r="BA1050" i="3" s="1"/>
  <c r="F1015" i="3"/>
  <c r="BA1015" i="3" s="1"/>
  <c r="F1016" i="3"/>
  <c r="BA1016" i="3" s="1"/>
  <c r="F1017" i="3"/>
  <c r="BA1017" i="3" s="1"/>
  <c r="F1018" i="3"/>
  <c r="BA1018" i="3" s="1"/>
  <c r="F1051" i="3"/>
  <c r="BA1051" i="3" s="1"/>
  <c r="F1052" i="3"/>
  <c r="BA1052" i="3" s="1"/>
  <c r="F1053" i="3"/>
  <c r="BA1053" i="3" s="1"/>
  <c r="F1054" i="3"/>
  <c r="BA1054" i="3" s="1"/>
  <c r="F1043" i="3"/>
  <c r="BA1043" i="3" s="1"/>
  <c r="F1044" i="3"/>
  <c r="BA1044" i="3" s="1"/>
  <c r="F1045" i="3"/>
  <c r="BA1045" i="3" s="1"/>
  <c r="F1046" i="3"/>
  <c r="BA1046" i="3" s="1"/>
  <c r="F1019" i="3"/>
  <c r="BA1019" i="3" s="1"/>
  <c r="F1020" i="3"/>
  <c r="BA1020" i="3" s="1"/>
  <c r="F1055" i="3"/>
  <c r="BA1055" i="3" s="1"/>
  <c r="F1056" i="3"/>
  <c r="BA1056" i="3" s="1"/>
  <c r="F1021" i="3"/>
  <c r="BA1021" i="3" s="1"/>
  <c r="F1022" i="3"/>
  <c r="BA1022" i="3" s="1"/>
  <c r="F1057" i="3"/>
  <c r="BA1057" i="3" s="1"/>
  <c r="F1058" i="3"/>
  <c r="BA1058" i="3" s="1"/>
  <c r="F1060" i="3"/>
  <c r="BA1060" i="3" s="1"/>
  <c r="F1059" i="3"/>
  <c r="BA1059" i="3" s="1"/>
  <c r="F1143" i="3"/>
  <c r="BA1143" i="3" s="1"/>
  <c r="F1144" i="3"/>
  <c r="BA1144" i="3" s="1"/>
  <c r="F1145" i="3"/>
  <c r="BA1145" i="3" s="1"/>
  <c r="F1146" i="3"/>
  <c r="BA1146" i="3" s="1"/>
  <c r="F1147" i="3"/>
  <c r="BA1147" i="3" s="1"/>
  <c r="F1148" i="3"/>
  <c r="BA1148" i="3" s="1"/>
  <c r="F1149" i="3"/>
  <c r="BA1149" i="3" s="1"/>
  <c r="F1156" i="3"/>
  <c r="BA1156" i="3" s="1"/>
  <c r="F1157" i="3"/>
  <c r="BA1157" i="3" s="1"/>
  <c r="F1158" i="3"/>
  <c r="BA1158" i="3" s="1"/>
  <c r="F1199" i="3"/>
  <c r="F1200" i="3"/>
  <c r="F1202" i="3"/>
  <c r="BA1202" i="3" s="1"/>
  <c r="F1150" i="3"/>
  <c r="F1151" i="3"/>
  <c r="F1152" i="3"/>
  <c r="F1153" i="3"/>
  <c r="BA1153" i="3" s="1"/>
  <c r="F1154" i="3"/>
  <c r="F1159" i="3"/>
  <c r="BA1159" i="3" s="1"/>
  <c r="F1160" i="3"/>
  <c r="BA1160" i="3" s="1"/>
  <c r="F1161" i="3"/>
  <c r="BA1161" i="3" s="1"/>
  <c r="F1162" i="3"/>
  <c r="F1201" i="3"/>
  <c r="F1163" i="3"/>
  <c r="F1164" i="3"/>
  <c r="BA1164" i="3" s="1"/>
  <c r="F1165" i="3"/>
  <c r="F1166" i="3"/>
  <c r="F1179" i="3"/>
  <c r="F1180" i="3"/>
  <c r="BA1180" i="3" s="1"/>
  <c r="F1181" i="3"/>
  <c r="F1182" i="3"/>
  <c r="F1167" i="3"/>
  <c r="F1168" i="3"/>
  <c r="BA1168" i="3" s="1"/>
  <c r="F1169" i="3"/>
  <c r="F1170" i="3"/>
  <c r="F1171" i="3"/>
  <c r="F1172" i="3"/>
  <c r="BA1172" i="3" s="1"/>
  <c r="F1173" i="3"/>
  <c r="F1174" i="3"/>
  <c r="F1175" i="3"/>
  <c r="F1176" i="3"/>
  <c r="BA1176" i="3" s="1"/>
  <c r="F1177" i="3"/>
  <c r="F1178" i="3"/>
  <c r="F1183" i="3"/>
  <c r="F1184" i="3"/>
  <c r="BA1184" i="3" s="1"/>
  <c r="F1185" i="3"/>
  <c r="F1186" i="3"/>
  <c r="F1187" i="3"/>
  <c r="F1188" i="3"/>
  <c r="BA1188" i="3" s="1"/>
  <c r="F1189" i="3"/>
  <c r="F1190" i="3"/>
  <c r="F1191" i="3"/>
  <c r="F1192" i="3"/>
  <c r="BA1192" i="3" s="1"/>
  <c r="F1193" i="3"/>
  <c r="F1194" i="3"/>
  <c r="F1195" i="3"/>
  <c r="F1196" i="3"/>
  <c r="BA1196" i="3" s="1"/>
  <c r="F1197" i="3"/>
  <c r="F1198" i="3"/>
  <c r="F1209" i="3"/>
  <c r="F1211" i="3"/>
  <c r="BA1211" i="3" s="1"/>
  <c r="F1212" i="3"/>
  <c r="F1213" i="3"/>
  <c r="F1210" i="3"/>
  <c r="F1203" i="3"/>
  <c r="BA1203" i="3" s="1"/>
  <c r="F1204" i="3"/>
  <c r="F1205" i="3"/>
  <c r="F1206" i="3"/>
  <c r="F1207" i="3"/>
  <c r="BA1207" i="3" s="1"/>
  <c r="F1208" i="3"/>
  <c r="F1214" i="3"/>
  <c r="F1141" i="3"/>
  <c r="F1142" i="3"/>
  <c r="BA1142" i="3" s="1"/>
  <c r="F1140" i="3"/>
  <c r="F1139" i="3"/>
  <c r="F1138" i="3"/>
  <c r="F1234" i="3"/>
  <c r="BA1234" i="3" s="1"/>
  <c r="F1235" i="3"/>
  <c r="BA1235" i="3" s="1"/>
  <c r="F1236" i="3"/>
  <c r="BA1236" i="3" s="1"/>
  <c r="F1237" i="3"/>
  <c r="BA1237" i="3" s="1"/>
  <c r="F1238" i="3"/>
  <c r="BA1238" i="3" s="1"/>
  <c r="F1239" i="3"/>
  <c r="BA1239" i="3" s="1"/>
  <c r="F1240" i="3"/>
  <c r="BA1240" i="3" s="1"/>
  <c r="F1241" i="3"/>
  <c r="BA1241" i="3" s="1"/>
  <c r="F1242" i="3"/>
  <c r="BA1242" i="3" s="1"/>
  <c r="F1243" i="3"/>
  <c r="BA1243" i="3" s="1"/>
  <c r="F1244" i="3"/>
  <c r="BA1244" i="3" s="1"/>
  <c r="F1245" i="3"/>
  <c r="BA1245" i="3" s="1"/>
  <c r="F1246" i="3"/>
  <c r="BA1246" i="3" s="1"/>
  <c r="F1247" i="3"/>
  <c r="BA1247" i="3" s="1"/>
  <c r="F1248" i="3"/>
  <c r="BA1248" i="3" s="1"/>
  <c r="F1249" i="3"/>
  <c r="BA1249" i="3" s="1"/>
  <c r="F1250" i="3"/>
  <c r="BA1250" i="3" s="1"/>
  <c r="F1251" i="3"/>
  <c r="BA1251" i="3" s="1"/>
  <c r="F1252" i="3"/>
  <c r="F1253" i="3"/>
  <c r="F1254" i="3"/>
  <c r="BA1254" i="3" s="1"/>
  <c r="F1255" i="3"/>
  <c r="F1256" i="3"/>
  <c r="F1257" i="3"/>
  <c r="F1258" i="3"/>
  <c r="BA1258" i="3" s="1"/>
  <c r="F1259" i="3"/>
  <c r="F1260" i="3"/>
  <c r="F1261" i="3"/>
  <c r="F1221" i="3"/>
  <c r="BA1221" i="3" s="1"/>
  <c r="F1222" i="3"/>
  <c r="F1230" i="3"/>
  <c r="F1220" i="3"/>
  <c r="F1223" i="3"/>
  <c r="BA1223" i="3" s="1"/>
  <c r="F1227" i="3"/>
  <c r="F1228" i="3"/>
  <c r="F1229" i="3"/>
  <c r="BA1229" i="3" s="1"/>
  <c r="F1231" i="3"/>
  <c r="BA1231" i="3" s="1"/>
  <c r="F1232" i="3"/>
  <c r="F1224" i="3"/>
  <c r="F1225" i="3"/>
  <c r="BA1225" i="3" s="1"/>
  <c r="F1226" i="3"/>
  <c r="BA1226" i="3" s="1"/>
  <c r="F1219" i="3"/>
  <c r="F1216" i="3"/>
  <c r="F1218" i="3"/>
  <c r="BA1218" i="3" s="1"/>
  <c r="F1217" i="3"/>
  <c r="BA1217" i="3" s="1"/>
  <c r="F1264" i="3"/>
  <c r="F1263" i="3"/>
  <c r="F1270" i="3"/>
  <c r="BA1270" i="3" s="1"/>
  <c r="F1271" i="3"/>
  <c r="BA1271" i="3" s="1"/>
  <c r="F1272" i="3"/>
  <c r="F1273" i="3"/>
  <c r="F1269" i="3"/>
  <c r="BA1269" i="3" s="1"/>
  <c r="F1268" i="3"/>
  <c r="BA1268" i="3" s="1"/>
  <c r="F1267" i="3"/>
  <c r="F1266" i="3"/>
  <c r="F1276" i="3"/>
  <c r="BA1276" i="3" s="1"/>
  <c r="F1299" i="3"/>
  <c r="BA1299" i="3" s="1"/>
  <c r="F1300" i="3"/>
  <c r="BA1300" i="3" s="1"/>
  <c r="F1301" i="3"/>
  <c r="BA1301" i="3" s="1"/>
  <c r="F1302" i="3"/>
  <c r="BA1302" i="3" s="1"/>
  <c r="F1297" i="3"/>
  <c r="BA1297" i="3" s="1"/>
  <c r="F1277" i="3"/>
  <c r="F1278" i="3"/>
  <c r="F1279" i="3"/>
  <c r="BA1279" i="3" s="1"/>
  <c r="F1284" i="3"/>
  <c r="BA1284" i="3" s="1"/>
  <c r="F1294" i="3"/>
  <c r="BA1294" i="3" s="1"/>
  <c r="F1295" i="3"/>
  <c r="BA1295" i="3" s="1"/>
  <c r="F1290" i="3"/>
  <c r="BA1290" i="3" s="1"/>
  <c r="F1291" i="3"/>
  <c r="BA1291" i="3" s="1"/>
  <c r="F1289" i="3"/>
  <c r="F1296" i="3"/>
  <c r="F1281" i="3"/>
  <c r="BA1281" i="3" s="1"/>
  <c r="F1282" i="3"/>
  <c r="BA1282" i="3" s="1"/>
  <c r="F1286" i="3"/>
  <c r="BA1286" i="3" s="1"/>
  <c r="F1288" i="3"/>
  <c r="F1285" i="3"/>
  <c r="BA1285" i="3" s="1"/>
  <c r="F1287" i="3"/>
  <c r="BA1287" i="3" s="1"/>
  <c r="F1329" i="3"/>
  <c r="BA1329" i="3" s="1"/>
  <c r="F1330" i="3"/>
  <c r="BA1330" i="3" s="1"/>
  <c r="F1331" i="3"/>
  <c r="BA1331" i="3" s="1"/>
  <c r="F1332" i="3"/>
  <c r="BA1332" i="3" s="1"/>
  <c r="F1333" i="3"/>
  <c r="BA1333" i="3" s="1"/>
  <c r="F1334" i="3"/>
  <c r="BA1334" i="3" s="1"/>
  <c r="F1335" i="3"/>
  <c r="BA1335" i="3" s="1"/>
  <c r="F1336" i="3"/>
  <c r="BA1336" i="3" s="1"/>
  <c r="F1339" i="3"/>
  <c r="F1341" i="3"/>
  <c r="F1337" i="3"/>
  <c r="BA1337" i="3" s="1"/>
  <c r="F1338" i="3"/>
  <c r="BA1338" i="3" s="1"/>
  <c r="F1340" i="3"/>
  <c r="F1343" i="3"/>
  <c r="BA1343" i="3" s="1"/>
  <c r="F1344" i="3"/>
  <c r="BA1344" i="3" s="1"/>
  <c r="F1345" i="3"/>
  <c r="F1346" i="3"/>
  <c r="F1347" i="3"/>
  <c r="BA1347" i="3" s="1"/>
  <c r="F1348" i="3"/>
  <c r="BA1348" i="3" s="1"/>
  <c r="F1349" i="3"/>
  <c r="F1350" i="3"/>
  <c r="F1351" i="3"/>
  <c r="BA1351" i="3" s="1"/>
  <c r="F1352" i="3"/>
  <c r="BA1352" i="3" s="1"/>
  <c r="F1325" i="3"/>
  <c r="F1326" i="3"/>
  <c r="BA1326" i="3" s="1"/>
  <c r="F1327" i="3"/>
  <c r="BA1327" i="3" s="1"/>
  <c r="F1328" i="3"/>
  <c r="BA1328" i="3" s="1"/>
  <c r="F1320" i="3"/>
  <c r="F1322" i="3"/>
  <c r="BA1322" i="3" s="1"/>
  <c r="F1323" i="3"/>
  <c r="BA1323" i="3" s="1"/>
  <c r="F1304" i="3"/>
  <c r="BA1304" i="3" s="1"/>
  <c r="F1305" i="3"/>
  <c r="BA1305" i="3" s="1"/>
  <c r="F1306" i="3"/>
  <c r="BA1306" i="3" s="1"/>
  <c r="F1307" i="3"/>
  <c r="BA1307" i="3" s="1"/>
  <c r="F1318" i="3"/>
  <c r="BA1318" i="3" s="1"/>
  <c r="F1319" i="3"/>
  <c r="BA1319" i="3" s="1"/>
  <c r="F1308" i="3"/>
  <c r="BA1308" i="3" s="1"/>
  <c r="F1310" i="3"/>
  <c r="BA1310" i="3" s="1"/>
  <c r="F1311" i="3"/>
  <c r="BA1311" i="3" s="1"/>
  <c r="F1312" i="3"/>
  <c r="BA1312" i="3" s="1"/>
  <c r="F1309" i="3"/>
  <c r="BA1309" i="3" s="1"/>
  <c r="F1317" i="3"/>
  <c r="BA1317" i="3" s="1"/>
  <c r="F1315" i="3"/>
  <c r="BA1315" i="3" s="1"/>
  <c r="F1314" i="3"/>
  <c r="BA1314" i="3" s="1"/>
  <c r="F1313" i="3"/>
  <c r="F1358" i="3"/>
  <c r="F1355" i="3"/>
  <c r="F1357" i="3"/>
  <c r="BA1357" i="3" s="1"/>
  <c r="F1354" i="3"/>
  <c r="F1356" i="3"/>
  <c r="F1360" i="3"/>
  <c r="F1361" i="3"/>
  <c r="BA1361" i="3" s="1"/>
  <c r="F1362" i="3"/>
  <c r="F1363" i="3"/>
  <c r="F82" i="3"/>
  <c r="BA1355" i="3" l="1"/>
  <c r="BA1261" i="3"/>
  <c r="BA1253" i="3"/>
  <c r="BA1206" i="3"/>
  <c r="BA1209" i="3"/>
  <c r="BA1191" i="3"/>
  <c r="BA1183" i="3"/>
  <c r="BA1171" i="3"/>
  <c r="BA1179" i="3"/>
  <c r="BA1152" i="3"/>
  <c r="BA1341" i="3"/>
  <c r="BA1273" i="3"/>
  <c r="BA1263" i="3"/>
  <c r="BA1216" i="3"/>
  <c r="BA1224" i="3"/>
  <c r="BA1228" i="3"/>
  <c r="BA979" i="3"/>
  <c r="BA1006" i="3"/>
  <c r="BA991" i="3"/>
  <c r="BA987" i="3"/>
  <c r="BA984" i="3"/>
  <c r="BA825" i="3"/>
  <c r="BA420" i="3"/>
  <c r="BA338" i="3"/>
  <c r="BA306" i="3"/>
  <c r="BA1360" i="3"/>
  <c r="BA1220" i="3"/>
  <c r="BA1257" i="3"/>
  <c r="BA1138" i="3"/>
  <c r="BA1141" i="3"/>
  <c r="BA1210" i="3"/>
  <c r="BA1195" i="3"/>
  <c r="BA1187" i="3"/>
  <c r="BA1175" i="3"/>
  <c r="BA1167" i="3"/>
  <c r="BA1163" i="3"/>
  <c r="BA1200" i="3"/>
  <c r="BA1288" i="3"/>
  <c r="BA1278" i="3"/>
  <c r="BA1266" i="3"/>
  <c r="BA1350" i="3"/>
  <c r="BA1346" i="3"/>
  <c r="BA248" i="3"/>
  <c r="BA239" i="3"/>
  <c r="BA235" i="3"/>
  <c r="BA1356" i="3"/>
  <c r="BA1230" i="3"/>
  <c r="BA1252" i="3"/>
  <c r="BA1139" i="3"/>
  <c r="BA1205" i="3"/>
  <c r="BA1198" i="3"/>
  <c r="BA1186" i="3"/>
  <c r="BA1174" i="3"/>
  <c r="BA1182" i="3"/>
  <c r="BA1201" i="3"/>
  <c r="BA1151" i="3"/>
  <c r="BA1320" i="3"/>
  <c r="BA1325" i="3"/>
  <c r="BA1349" i="3"/>
  <c r="BA1345" i="3"/>
  <c r="BA1024" i="3"/>
  <c r="BA1040" i="3"/>
  <c r="BA1134" i="3"/>
  <c r="BA1130" i="3"/>
  <c r="BA1126" i="3"/>
  <c r="BA1122" i="3"/>
  <c r="BA1118" i="3"/>
  <c r="BA1114" i="3"/>
  <c r="BA1110" i="3"/>
  <c r="BA1094" i="3"/>
  <c r="BA1106" i="3"/>
  <c r="BA1090" i="3"/>
  <c r="BA1086" i="3"/>
  <c r="BA1102" i="3"/>
  <c r="BA1098" i="3"/>
  <c r="BA1080" i="3"/>
  <c r="BA1082" i="3"/>
  <c r="BA1072" i="3"/>
  <c r="BA1068" i="3"/>
  <c r="BA1061" i="3"/>
  <c r="BA1063" i="3"/>
  <c r="BA1003" i="3"/>
  <c r="BA1002" i="3"/>
  <c r="BA1008" i="3"/>
  <c r="BA993" i="3"/>
  <c r="BA989" i="3"/>
  <c r="BA986" i="3"/>
  <c r="BA1379" i="3"/>
  <c r="BA790" i="3"/>
  <c r="BA476" i="3"/>
  <c r="BA483" i="3"/>
  <c r="BA467" i="3"/>
  <c r="BA336" i="3"/>
  <c r="BA308" i="3"/>
  <c r="BA246" i="3"/>
  <c r="BA1363" i="3"/>
  <c r="BA1358" i="3"/>
  <c r="BA1296" i="3"/>
  <c r="BA1260" i="3"/>
  <c r="BA1256" i="3"/>
  <c r="BA1214" i="3"/>
  <c r="BA1213" i="3"/>
  <c r="BA1194" i="3"/>
  <c r="BA1190" i="3"/>
  <c r="BA1178" i="3"/>
  <c r="BA1170" i="3"/>
  <c r="BA1166" i="3"/>
  <c r="BA1199" i="3"/>
  <c r="BA1362" i="3"/>
  <c r="BA1354" i="3"/>
  <c r="BA1313" i="3"/>
  <c r="BA1340" i="3"/>
  <c r="BA1339" i="3"/>
  <c r="BA1289" i="3"/>
  <c r="BA1277" i="3"/>
  <c r="BA1267" i="3"/>
  <c r="BA1272" i="3"/>
  <c r="BA1264" i="3"/>
  <c r="BA1219" i="3"/>
  <c r="BA1232" i="3"/>
  <c r="BA1227" i="3"/>
  <c r="BA1222" i="3"/>
  <c r="BA1259" i="3"/>
  <c r="BA1255" i="3"/>
  <c r="BA1140" i="3"/>
  <c r="BA1208" i="3"/>
  <c r="BA1204" i="3"/>
  <c r="BA1212" i="3"/>
  <c r="BA1197" i="3"/>
  <c r="BA1193" i="3"/>
  <c r="BA1189" i="3"/>
  <c r="BA1185" i="3"/>
  <c r="BA1177" i="3"/>
  <c r="BA1173" i="3"/>
  <c r="BA1169" i="3"/>
  <c r="BA1181" i="3"/>
  <c r="BA1165" i="3"/>
  <c r="BA1162" i="3"/>
  <c r="BA1154" i="3"/>
  <c r="BA1150" i="3"/>
  <c r="BA1025" i="3"/>
  <c r="BA1041" i="3"/>
  <c r="BA1135" i="3"/>
  <c r="BA1131" i="3"/>
  <c r="BA1127" i="3"/>
  <c r="BA1123" i="3"/>
  <c r="BA1119" i="3"/>
  <c r="BA1115" i="3"/>
  <c r="BA1111" i="3"/>
  <c r="BA1095" i="3"/>
  <c r="BA1107" i="3"/>
  <c r="BA1091" i="3"/>
  <c r="BA1087" i="3"/>
  <c r="BA1103" i="3"/>
  <c r="BA1099" i="3"/>
  <c r="BA1083" i="3"/>
  <c r="BA1073" i="3"/>
  <c r="BA1069" i="3"/>
  <c r="BA1065" i="3"/>
  <c r="BA1064" i="3"/>
  <c r="BA1004" i="3"/>
  <c r="BA995" i="3"/>
  <c r="BA1005" i="3"/>
  <c r="BA1009" i="3"/>
  <c r="BA994" i="3"/>
  <c r="BA990" i="3"/>
  <c r="BA1001" i="3"/>
  <c r="BA983" i="3"/>
  <c r="BA1380" i="3"/>
  <c r="BA896" i="3"/>
  <c r="BA493" i="3"/>
  <c r="BA446" i="3"/>
  <c r="BA473" i="3"/>
  <c r="BA468" i="3"/>
  <c r="BA341" i="3"/>
  <c r="BA333" i="3"/>
  <c r="BA329" i="3"/>
  <c r="BA301" i="3"/>
  <c r="BA82" i="3"/>
  <c r="BA975" i="3"/>
  <c r="BA971" i="3"/>
  <c r="BA967" i="3"/>
  <c r="BA963" i="3"/>
  <c r="BA908" i="3"/>
  <c r="BA878" i="3"/>
  <c r="BA874" i="3"/>
  <c r="BA858" i="3"/>
  <c r="BA865" i="3"/>
  <c r="BA856" i="3"/>
  <c r="BA862" i="3"/>
  <c r="BA854" i="3"/>
  <c r="BA961" i="3"/>
  <c r="BA957" i="3"/>
  <c r="BA953" i="3"/>
  <c r="BA949" i="3"/>
  <c r="BA945" i="3"/>
  <c r="BA941" i="3"/>
  <c r="BA929" i="3"/>
  <c r="BA925" i="3"/>
  <c r="BA921" i="3"/>
  <c r="BA913" i="3"/>
  <c r="BA937" i="3"/>
  <c r="BA933" i="3"/>
  <c r="BA917" i="3"/>
  <c r="BA890" i="3"/>
  <c r="BA903" i="3"/>
  <c r="BA892" i="3"/>
  <c r="BA904" i="3"/>
  <c r="BA881" i="3"/>
  <c r="BA611" i="3"/>
  <c r="BA575" i="3"/>
  <c r="BA597" i="3"/>
  <c r="BA607" i="3"/>
  <c r="BA595" i="3"/>
  <c r="BA571" i="3"/>
  <c r="BA603" i="3"/>
  <c r="BA591" i="3"/>
  <c r="BA567" i="3"/>
  <c r="BA545" i="3"/>
  <c r="BA583" i="3"/>
  <c r="BA562" i="3"/>
  <c r="BA558" i="3"/>
  <c r="BA578" i="3"/>
  <c r="BA555" i="3"/>
  <c r="BA551" i="3"/>
  <c r="BA692" i="3"/>
  <c r="BA708" i="3"/>
  <c r="BA704" i="3"/>
  <c r="BA700" i="3"/>
  <c r="BA696" i="3"/>
  <c r="BA691" i="3"/>
  <c r="BA687" i="3"/>
  <c r="BA683" i="3"/>
  <c r="BA679" i="3"/>
  <c r="BA671" i="3"/>
  <c r="BA659" i="3"/>
  <c r="BA655" i="3"/>
  <c r="BA675" i="3"/>
  <c r="BA667" i="3"/>
  <c r="BA663" i="3"/>
  <c r="BA651" i="3"/>
  <c r="BA647" i="3"/>
  <c r="BA643" i="3"/>
  <c r="BA639" i="3"/>
  <c r="BA635" i="3"/>
  <c r="BA632" i="3"/>
  <c r="BA628" i="3"/>
  <c r="BA624" i="3"/>
  <c r="BA619" i="3"/>
  <c r="BA615" i="3"/>
  <c r="BA783" i="3"/>
  <c r="BA779" i="3"/>
  <c r="BA775" i="3"/>
  <c r="BA771" i="3"/>
  <c r="BA767" i="3"/>
  <c r="BA764" i="3"/>
  <c r="BA760" i="3"/>
  <c r="BA756" i="3"/>
  <c r="BA752" i="3"/>
  <c r="BA748" i="3"/>
  <c r="BA744" i="3"/>
  <c r="BA832" i="3"/>
  <c r="BA800" i="3"/>
  <c r="BA805" i="3"/>
  <c r="BA826" i="3"/>
  <c r="BA798" i="3"/>
  <c r="BA794" i="3"/>
  <c r="BA835" i="3"/>
  <c r="BA843" i="3"/>
  <c r="BA792" i="3"/>
  <c r="BA817" i="3"/>
  <c r="BA788" i="3"/>
  <c r="BA784" i="3"/>
  <c r="BA812" i="3"/>
  <c r="BA819" i="3"/>
  <c r="BA808" i="3"/>
  <c r="BA737" i="3"/>
  <c r="BA733" i="3"/>
  <c r="BA714" i="3"/>
  <c r="BA729" i="3"/>
  <c r="BA725" i="3"/>
  <c r="BA721" i="3"/>
  <c r="BA432" i="3"/>
  <c r="BA528" i="3"/>
  <c r="BA524" i="3"/>
  <c r="BA440" i="3"/>
  <c r="BA518" i="3"/>
  <c r="BA515" i="3"/>
  <c r="BA511" i="3"/>
  <c r="BA507" i="3"/>
  <c r="BA480" i="3"/>
  <c r="BA542" i="3"/>
  <c r="BA458" i="3"/>
  <c r="BA454" i="3"/>
  <c r="BA539" i="3"/>
  <c r="BA484" i="3"/>
  <c r="BA464" i="3"/>
  <c r="BA538" i="3"/>
  <c r="BA502" i="3"/>
  <c r="BA505" i="3"/>
  <c r="BA497" i="3"/>
  <c r="BA462" i="3"/>
  <c r="BA532" i="3"/>
  <c r="BA429" i="3"/>
  <c r="BA424" i="3"/>
  <c r="BA354" i="3"/>
  <c r="BA350" i="3"/>
  <c r="BA346" i="3"/>
  <c r="BA342" i="3"/>
  <c r="BA334" i="3"/>
  <c r="BA330" i="3"/>
  <c r="BA326" i="3"/>
  <c r="BA322" i="3"/>
  <c r="BA318" i="3"/>
  <c r="BA314" i="3"/>
  <c r="BA310" i="3"/>
  <c r="BA302" i="3"/>
  <c r="BA298" i="3"/>
  <c r="BA375" i="3"/>
  <c r="BA371" i="3"/>
  <c r="BA365" i="3"/>
  <c r="BA380" i="3"/>
  <c r="BA364" i="3"/>
  <c r="BA413" i="3"/>
  <c r="BA407" i="3"/>
  <c r="BA402" i="3"/>
  <c r="BA362" i="3"/>
  <c r="BA384" i="3"/>
  <c r="BA387" i="3"/>
  <c r="BA395" i="3"/>
  <c r="BA400" i="3"/>
  <c r="BA398" i="3"/>
  <c r="BA286" i="3"/>
  <c r="BA251" i="3"/>
  <c r="BA282" i="3"/>
  <c r="BA242" i="3"/>
  <c r="BA260" i="3"/>
  <c r="BA278" i="3"/>
  <c r="BA279" i="3"/>
  <c r="BA269" i="3"/>
  <c r="BA273" i="3"/>
  <c r="BA265" i="3"/>
  <c r="BA263" i="3"/>
  <c r="BA226" i="3"/>
  <c r="BA118" i="3"/>
  <c r="BA114" i="3"/>
  <c r="BA110" i="3"/>
  <c r="BA106" i="3"/>
  <c r="BA153" i="3"/>
  <c r="BA125" i="3"/>
  <c r="BA197" i="3"/>
  <c r="BA193" i="3"/>
  <c r="BA207" i="3"/>
  <c r="BA171" i="3"/>
  <c r="BA167" i="3"/>
  <c r="BA201" i="3"/>
  <c r="BA165" i="3"/>
  <c r="BA161" i="3"/>
  <c r="BA156" i="3"/>
  <c r="BA188" i="3"/>
  <c r="BA184" i="3"/>
  <c r="BA180" i="3"/>
  <c r="BA130" i="3"/>
  <c r="BA175" i="3"/>
  <c r="BA224" i="3"/>
  <c r="BA216" i="3"/>
  <c r="BA219" i="3"/>
  <c r="BA50" i="3"/>
  <c r="BA83" i="3"/>
  <c r="BA81" i="3"/>
  <c r="BA19" i="3"/>
  <c r="BA15" i="3"/>
  <c r="BA11" i="3"/>
  <c r="BA28" i="3"/>
  <c r="BA24" i="3"/>
  <c r="BA20" i="3"/>
  <c r="BA7" i="3"/>
  <c r="BA48" i="3"/>
  <c r="BA44" i="3"/>
  <c r="BA40" i="3"/>
  <c r="BA36" i="3"/>
  <c r="BA88" i="3"/>
  <c r="BA55" i="3"/>
  <c r="BA52" i="3"/>
  <c r="BA75" i="3"/>
  <c r="BA71" i="3"/>
  <c r="BA84" i="3"/>
  <c r="BA978" i="3"/>
  <c r="BA974" i="3"/>
  <c r="BA970" i="3"/>
  <c r="BA966" i="3"/>
  <c r="BA982" i="3"/>
  <c r="BA880" i="3"/>
  <c r="BA906" i="3"/>
  <c r="BA877" i="3"/>
  <c r="BA873" i="3"/>
  <c r="BA869" i="3"/>
  <c r="BA855" i="3"/>
  <c r="BA861" i="3"/>
  <c r="BA853" i="3"/>
  <c r="BA960" i="3"/>
  <c r="BA956" i="3"/>
  <c r="BA952" i="3"/>
  <c r="BA948" i="3"/>
  <c r="BA944" i="3"/>
  <c r="BA940" i="3"/>
  <c r="BA928" i="3"/>
  <c r="BA924" i="3"/>
  <c r="BA920" i="3"/>
  <c r="BA912" i="3"/>
  <c r="BA936" i="3"/>
  <c r="BA932" i="3"/>
  <c r="BA916" i="3"/>
  <c r="BA889" i="3"/>
  <c r="BA886" i="3"/>
  <c r="BA891" i="3"/>
  <c r="BA884" i="3"/>
  <c r="BA895" i="3"/>
  <c r="BA610" i="3"/>
  <c r="BA574" i="3"/>
  <c r="BA596" i="3"/>
  <c r="BA606" i="3"/>
  <c r="BA594" i="3"/>
  <c r="BA569" i="3"/>
  <c r="BA602" i="3"/>
  <c r="BA590" i="3"/>
  <c r="BA566" i="3"/>
  <c r="BA544" i="3"/>
  <c r="BA586" i="3"/>
  <c r="BA582" i="3"/>
  <c r="BA557" i="3"/>
  <c r="BA577" i="3"/>
  <c r="BA554" i="3"/>
  <c r="BA550" i="3"/>
  <c r="BA711" i="3"/>
  <c r="BA707" i="3"/>
  <c r="BA703" i="3"/>
  <c r="BA699" i="3"/>
  <c r="BA695" i="3"/>
  <c r="BA690" i="3"/>
  <c r="BA686" i="3"/>
  <c r="BA682" i="3"/>
  <c r="BA678" i="3"/>
  <c r="BA670" i="3"/>
  <c r="BA658" i="3"/>
  <c r="BA654" i="3"/>
  <c r="BA674" i="3"/>
  <c r="BA666" i="3"/>
  <c r="BA662" i="3"/>
  <c r="BA650" i="3"/>
  <c r="BA646" i="3"/>
  <c r="BA642" i="3"/>
  <c r="BA638" i="3"/>
  <c r="BA634" i="3"/>
  <c r="BA631" i="3"/>
  <c r="BA627" i="3"/>
  <c r="BA622" i="3"/>
  <c r="BA618" i="3"/>
  <c r="BA614" i="3"/>
  <c r="BA782" i="3"/>
  <c r="BA778" i="3"/>
  <c r="BA774" i="3"/>
  <c r="BA770" i="3"/>
  <c r="BA845" i="3"/>
  <c r="BA763" i="3"/>
  <c r="BA759" i="3"/>
  <c r="BA755" i="3"/>
  <c r="BA751" i="3"/>
  <c r="BA747" i="3"/>
  <c r="BA743" i="3"/>
  <c r="BA803" i="3"/>
  <c r="BA799" i="3"/>
  <c r="BA829" i="3"/>
  <c r="BA804" i="3"/>
  <c r="BA797" i="3"/>
  <c r="BA838" i="3"/>
  <c r="BA834" i="3"/>
  <c r="BA842" i="3"/>
  <c r="BA791" i="3"/>
  <c r="BA824" i="3"/>
  <c r="BA816" i="3"/>
  <c r="BA787" i="3"/>
  <c r="BA813" i="3"/>
  <c r="BA811" i="3"/>
  <c r="BA807" i="3"/>
  <c r="BA717" i="3"/>
  <c r="BA736" i="3"/>
  <c r="BA732" i="3"/>
  <c r="BA713" i="3"/>
  <c r="BA728" i="3"/>
  <c r="BA724" i="3"/>
  <c r="BA720" i="3"/>
  <c r="BA494" i="3"/>
  <c r="BA495" i="3"/>
  <c r="BA531" i="3"/>
  <c r="BA527" i="3"/>
  <c r="BA523" i="3"/>
  <c r="BA472" i="3"/>
  <c r="BA514" i="3"/>
  <c r="BA510" i="3"/>
  <c r="BA479" i="3"/>
  <c r="BA541" i="3"/>
  <c r="BA457" i="3"/>
  <c r="BA453" i="3"/>
  <c r="BA521" i="3"/>
  <c r="BA471" i="3"/>
  <c r="BA463" i="3"/>
  <c r="BA537" i="3"/>
  <c r="BA501" i="3"/>
  <c r="BA504" i="3"/>
  <c r="BA496" i="3"/>
  <c r="BA461" i="3"/>
  <c r="BA535" i="3"/>
  <c r="BA490" i="3"/>
  <c r="BA428" i="3"/>
  <c r="BA423" i="3"/>
  <c r="BA358" i="3"/>
  <c r="BA353" i="3"/>
  <c r="BA349" i="3"/>
  <c r="BA345" i="3"/>
  <c r="BA337" i="3"/>
  <c r="BA325" i="3"/>
  <c r="BA321" i="3"/>
  <c r="BA317" i="3"/>
  <c r="BA313" i="3"/>
  <c r="BA309" i="3"/>
  <c r="BA305" i="3"/>
  <c r="BA374" i="3"/>
  <c r="BA368" i="3"/>
  <c r="BA383" i="3"/>
  <c r="BA379" i="3"/>
  <c r="BA357" i="3"/>
  <c r="BA412" i="3"/>
  <c r="BA406" i="3"/>
  <c r="BA370" i="3"/>
  <c r="BA403" i="3"/>
  <c r="BA390" i="3"/>
  <c r="BA386" i="3"/>
  <c r="BA401" i="3"/>
  <c r="BA392" i="3"/>
  <c r="BA394" i="3"/>
  <c r="BA293" i="3"/>
  <c r="BA291" i="3"/>
  <c r="BA247" i="3"/>
  <c r="BA280" i="3"/>
  <c r="BA243" i="3"/>
  <c r="BA238" i="3"/>
  <c r="BA234" i="3"/>
  <c r="BA259" i="3"/>
  <c r="BA277" i="3"/>
  <c r="BA276" i="3"/>
  <c r="BA268" i="3"/>
  <c r="BA272" i="3"/>
  <c r="BA271" i="3"/>
  <c r="BA232" i="3"/>
  <c r="BA121" i="3"/>
  <c r="BA117" i="3"/>
  <c r="BA113" i="3"/>
  <c r="BA109" i="3"/>
  <c r="BA105" i="3"/>
  <c r="BA128" i="3"/>
  <c r="BA124" i="3"/>
  <c r="BA196" i="3"/>
  <c r="BA192" i="3"/>
  <c r="BA206" i="3"/>
  <c r="BA170" i="3"/>
  <c r="BA166" i="3"/>
  <c r="BA200" i="3"/>
  <c r="BA164" i="3"/>
  <c r="BA160" i="3"/>
  <c r="BA155" i="3"/>
  <c r="BA187" i="3"/>
  <c r="BA183" i="3"/>
  <c r="BA179" i="3"/>
  <c r="BA129" i="3"/>
  <c r="BA174" i="3"/>
  <c r="BA211" i="3"/>
  <c r="BA223" i="3"/>
  <c r="BA213" i="3"/>
  <c r="BA218" i="3"/>
  <c r="BA59" i="3"/>
  <c r="BA80" i="3"/>
  <c r="BA34" i="3"/>
  <c r="BA18" i="3"/>
  <c r="BA14" i="3"/>
  <c r="BA31" i="3"/>
  <c r="BA27" i="3"/>
  <c r="BA23" i="3"/>
  <c r="BA10" i="3"/>
  <c r="BA6" i="3"/>
  <c r="BA47" i="3"/>
  <c r="BA43" i="3"/>
  <c r="BA39" i="3"/>
  <c r="BA35" i="3"/>
  <c r="BA58" i="3"/>
  <c r="BA54" i="3"/>
  <c r="BA51" i="3"/>
  <c r="BA74" i="3"/>
  <c r="BA70" i="3"/>
  <c r="BA973" i="3"/>
  <c r="BA969" i="3"/>
  <c r="BA965" i="3"/>
  <c r="BA981" i="3"/>
  <c r="BA879" i="3"/>
  <c r="BA907" i="3"/>
  <c r="BA876" i="3"/>
  <c r="BA870" i="3"/>
  <c r="BA863" i="3"/>
  <c r="BA872" i="3"/>
  <c r="BA860" i="3"/>
  <c r="BA852" i="3"/>
  <c r="BA959" i="3"/>
  <c r="BA955" i="3"/>
  <c r="BA951" i="3"/>
  <c r="BA947" i="3"/>
  <c r="BA943" i="3"/>
  <c r="BA939" i="3"/>
  <c r="BA927" i="3"/>
  <c r="BA923" i="3"/>
  <c r="BA919" i="3"/>
  <c r="BA911" i="3"/>
  <c r="BA935" i="3"/>
  <c r="BA931" i="3"/>
  <c r="BA915" i="3"/>
  <c r="BA888" i="3"/>
  <c r="BA900" i="3"/>
  <c r="BA894" i="3"/>
  <c r="BA885" i="3"/>
  <c r="BA883" i="3"/>
  <c r="BA849" i="3"/>
  <c r="BA599" i="3"/>
  <c r="BA609" i="3"/>
  <c r="BA573" i="3"/>
  <c r="BA605" i="3"/>
  <c r="BA593" i="3"/>
  <c r="BA568" i="3"/>
  <c r="BA601" i="3"/>
  <c r="BA589" i="3"/>
  <c r="BA547" i="3"/>
  <c r="BA565" i="3"/>
  <c r="BA585" i="3"/>
  <c r="BA581" i="3"/>
  <c r="BA560" i="3"/>
  <c r="BA580" i="3"/>
  <c r="BA576" i="3"/>
  <c r="BA553" i="3"/>
  <c r="BA549" i="3"/>
  <c r="BA710" i="3"/>
  <c r="BA706" i="3"/>
  <c r="BA702" i="3"/>
  <c r="BA698" i="3"/>
  <c r="BA694" i="3"/>
  <c r="BA689" i="3"/>
  <c r="BA685" i="3"/>
  <c r="BA681" i="3"/>
  <c r="BA677" i="3"/>
  <c r="BA669" i="3"/>
  <c r="BA657" i="3"/>
  <c r="BA653" i="3"/>
  <c r="BA673" i="3"/>
  <c r="BA665" i="3"/>
  <c r="BA661" i="3"/>
  <c r="BA649" i="3"/>
  <c r="BA645" i="3"/>
  <c r="BA641" i="3"/>
  <c r="BA633" i="3"/>
  <c r="BA630" i="3"/>
  <c r="BA626" i="3"/>
  <c r="BA621" i="3"/>
  <c r="BA617" i="3"/>
  <c r="BA613" i="3"/>
  <c r="BA781" i="3"/>
  <c r="BA777" i="3"/>
  <c r="BA773" i="3"/>
  <c r="BA769" i="3"/>
  <c r="BA766" i="3"/>
  <c r="BA754" i="3"/>
  <c r="BA750" i="3"/>
  <c r="BA746" i="3"/>
  <c r="BA742" i="3"/>
  <c r="BA802" i="3"/>
  <c r="BA831" i="3"/>
  <c r="BA828" i="3"/>
  <c r="BA840" i="3"/>
  <c r="BA796" i="3"/>
  <c r="BA837" i="3"/>
  <c r="BA833" i="3"/>
  <c r="BA841" i="3"/>
  <c r="BA823" i="3"/>
  <c r="BA815" i="3"/>
  <c r="BA786" i="3"/>
  <c r="BA821" i="3"/>
  <c r="BA810" i="3"/>
  <c r="BA806" i="3"/>
  <c r="BA739" i="3"/>
  <c r="BA735" i="3"/>
  <c r="BA716" i="3"/>
  <c r="BA731" i="3"/>
  <c r="BA727" i="3"/>
  <c r="BA723" i="3"/>
  <c r="BA719" i="3"/>
  <c r="BA492" i="3"/>
  <c r="BA439" i="3"/>
  <c r="BA530" i="3"/>
  <c r="BA526" i="3"/>
  <c r="BA442" i="3"/>
  <c r="BA522" i="3"/>
  <c r="BA475" i="3"/>
  <c r="BA460" i="3"/>
  <c r="BA513" i="3"/>
  <c r="BA509" i="3"/>
  <c r="BA482" i="3"/>
  <c r="BA478" i="3"/>
  <c r="BA540" i="3"/>
  <c r="BA456" i="3"/>
  <c r="BA452" i="3"/>
  <c r="BA520" i="3"/>
  <c r="BA470" i="3"/>
  <c r="BA466" i="3"/>
  <c r="BA517" i="3"/>
  <c r="BA536" i="3"/>
  <c r="BA500" i="3"/>
  <c r="BA499" i="3"/>
  <c r="BA487" i="3"/>
  <c r="BA450" i="3"/>
  <c r="BA534" i="3"/>
  <c r="BA488" i="3"/>
  <c r="BA427" i="3"/>
  <c r="BA422" i="3"/>
  <c r="BA359" i="3"/>
  <c r="BA352" i="3"/>
  <c r="BA348" i="3"/>
  <c r="BA344" i="3"/>
  <c r="BA340" i="3"/>
  <c r="BA332" i="3"/>
  <c r="BA328" i="3"/>
  <c r="BA324" i="3"/>
  <c r="BA320" i="3"/>
  <c r="BA316" i="3"/>
  <c r="BA312" i="3"/>
  <c r="BA304" i="3"/>
  <c r="BA300" i="3"/>
  <c r="BA296" i="3"/>
  <c r="BA373" i="3"/>
  <c r="BA367" i="3"/>
  <c r="BA382" i="3"/>
  <c r="BA378" i="3"/>
  <c r="BA356" i="3"/>
  <c r="BA411" i="3"/>
  <c r="BA405" i="3"/>
  <c r="BA369" i="3"/>
  <c r="BA409" i="3"/>
  <c r="BA389" i="3"/>
  <c r="BA397" i="3"/>
  <c r="BA393" i="3"/>
  <c r="BA385" i="3"/>
  <c r="BA361" i="3"/>
  <c r="BA288" i="3"/>
  <c r="BA284" i="3"/>
  <c r="BA250" i="3"/>
  <c r="BA281" i="3"/>
  <c r="BA245" i="3"/>
  <c r="BA237" i="3"/>
  <c r="BA262" i="3"/>
  <c r="BA258" i="3"/>
  <c r="BA253" i="3"/>
  <c r="BA275" i="3"/>
  <c r="BA257" i="3"/>
  <c r="BA267" i="3"/>
  <c r="BA270" i="3"/>
  <c r="BA120" i="3"/>
  <c r="BA116" i="3"/>
  <c r="BA112" i="3"/>
  <c r="BA108" i="3"/>
  <c r="BA104" i="3"/>
  <c r="BA152" i="3"/>
  <c r="BA127" i="3"/>
  <c r="BA123" i="3"/>
  <c r="BA195" i="3"/>
  <c r="BA191" i="3"/>
  <c r="BA205" i="3"/>
  <c r="BA169" i="3"/>
  <c r="BA203" i="3"/>
  <c r="BA199" i="3"/>
  <c r="BA163" i="3"/>
  <c r="BA158" i="3"/>
  <c r="BA154" i="3"/>
  <c r="BA186" i="3"/>
  <c r="BA182" i="3"/>
  <c r="BA178" i="3"/>
  <c r="BA177" i="3"/>
  <c r="BA173" i="3"/>
  <c r="BA209" i="3"/>
  <c r="BA221" i="3"/>
  <c r="BA215" i="3"/>
  <c r="BA61" i="3"/>
  <c r="BA79" i="3"/>
  <c r="BA33" i="3"/>
  <c r="BA17" i="3"/>
  <c r="BA13" i="3"/>
  <c r="BA30" i="3"/>
  <c r="BA26" i="3"/>
  <c r="BA22" i="3"/>
  <c r="BA9" i="3"/>
  <c r="BA5" i="3"/>
  <c r="BA46" i="3"/>
  <c r="BA42" i="3"/>
  <c r="BA38" i="3"/>
  <c r="BA90" i="3"/>
  <c r="BA57" i="3"/>
  <c r="BA53" i="3"/>
  <c r="BA77" i="3"/>
  <c r="BA73" i="3"/>
  <c r="BA69" i="3"/>
  <c r="BA976" i="3"/>
  <c r="BA972" i="3"/>
  <c r="BA968" i="3"/>
  <c r="BA964" i="3"/>
  <c r="BA897" i="3"/>
  <c r="BA909" i="3"/>
  <c r="BA902" i="3"/>
  <c r="BA875" i="3"/>
  <c r="BA867" i="3"/>
  <c r="BA857" i="3"/>
  <c r="BA859" i="3"/>
  <c r="BA851" i="3"/>
  <c r="BA958" i="3"/>
  <c r="BA954" i="3"/>
  <c r="BA950" i="3"/>
  <c r="BA946" i="3"/>
  <c r="BA942" i="3"/>
  <c r="BA938" i="3"/>
  <c r="BA926" i="3"/>
  <c r="BA922" i="3"/>
  <c r="BA918" i="3"/>
  <c r="BA910" i="3"/>
  <c r="BA934" i="3"/>
  <c r="BA930" i="3"/>
  <c r="BA914" i="3"/>
  <c r="BA887" i="3"/>
  <c r="BA899" i="3"/>
  <c r="BA893" i="3"/>
  <c r="BA905" i="3"/>
  <c r="BA882" i="3"/>
  <c r="BA847" i="3"/>
  <c r="BA598" i="3"/>
  <c r="BA608" i="3"/>
  <c r="BA572" i="3"/>
  <c r="BA604" i="3"/>
  <c r="BA592" i="3"/>
  <c r="BA570" i="3"/>
  <c r="BA600" i="3"/>
  <c r="BA588" i="3"/>
  <c r="BA546" i="3"/>
  <c r="BA564" i="3"/>
  <c r="BA584" i="3"/>
  <c r="BA563" i="3"/>
  <c r="BA559" i="3"/>
  <c r="BA579" i="3"/>
  <c r="BA556" i="3"/>
  <c r="BA552" i="3"/>
  <c r="BA548" i="3"/>
  <c r="BA709" i="3"/>
  <c r="BA705" i="3"/>
  <c r="BA701" i="3"/>
  <c r="BA697" i="3"/>
  <c r="BA693" i="3"/>
  <c r="BA688" i="3"/>
  <c r="BA684" i="3"/>
  <c r="BA680" i="3"/>
  <c r="BA676" i="3"/>
  <c r="BA668" i="3"/>
  <c r="BA656" i="3"/>
  <c r="BA652" i="3"/>
  <c r="BA672" i="3"/>
  <c r="BA664" i="3"/>
  <c r="BA660" i="3"/>
  <c r="BA648" i="3"/>
  <c r="BA644" i="3"/>
  <c r="BA640" i="3"/>
  <c r="BA636" i="3"/>
  <c r="BA623" i="3"/>
  <c r="BA629" i="3"/>
  <c r="BA625" i="3"/>
  <c r="BA620" i="3"/>
  <c r="BA616" i="3"/>
  <c r="BA612" i="3"/>
  <c r="BA780" i="3"/>
  <c r="BA776" i="3"/>
  <c r="BA772" i="3"/>
  <c r="BA768" i="3"/>
  <c r="BA765" i="3"/>
  <c r="BA761" i="3"/>
  <c r="BA757" i="3"/>
  <c r="BA753" i="3"/>
  <c r="BA749" i="3"/>
  <c r="BA745" i="3"/>
  <c r="BA741" i="3"/>
  <c r="BA801" i="3"/>
  <c r="BA830" i="3"/>
  <c r="BA827" i="3"/>
  <c r="BA839" i="3"/>
  <c r="BA795" i="3"/>
  <c r="BA836" i="3"/>
  <c r="BA844" i="3"/>
  <c r="BA793" i="3"/>
  <c r="BA789" i="3"/>
  <c r="BA822" i="3"/>
  <c r="BA814" i="3"/>
  <c r="BA785" i="3"/>
  <c r="BA818" i="3"/>
  <c r="BA820" i="3"/>
  <c r="BA809" i="3"/>
  <c r="BA738" i="3"/>
  <c r="BA734" i="3"/>
  <c r="BA715" i="3"/>
  <c r="BA726" i="3"/>
  <c r="BA722" i="3"/>
  <c r="BA718" i="3"/>
  <c r="BA447" i="3"/>
  <c r="BA489" i="3"/>
  <c r="BA438" i="3"/>
  <c r="BA529" i="3"/>
  <c r="BA525" i="3"/>
  <c r="BA441" i="3"/>
  <c r="BA519" i="3"/>
  <c r="BA512" i="3"/>
  <c r="BA508" i="3"/>
  <c r="BA481" i="3"/>
  <c r="BA477" i="3"/>
  <c r="BA491" i="3"/>
  <c r="BA451" i="3"/>
  <c r="BA485" i="3"/>
  <c r="BA469" i="3"/>
  <c r="BA465" i="3"/>
  <c r="BA516" i="3"/>
  <c r="BA503" i="3"/>
  <c r="BA506" i="3"/>
  <c r="BA498" i="3"/>
  <c r="BA486" i="3"/>
  <c r="BA449" i="3"/>
  <c r="BA533" i="3"/>
  <c r="BA431" i="3"/>
  <c r="BA425" i="3"/>
  <c r="BA421" i="3"/>
  <c r="BA355" i="3"/>
  <c r="BA351" i="3"/>
  <c r="BA347" i="3"/>
  <c r="BA343" i="3"/>
  <c r="BA339" i="3"/>
  <c r="BA335" i="3"/>
  <c r="BA327" i="3"/>
  <c r="BA323" i="3"/>
  <c r="BA319" i="3"/>
  <c r="BA315" i="3"/>
  <c r="BA307" i="3"/>
  <c r="BA376" i="3"/>
  <c r="BA372" i="3"/>
  <c r="BA366" i="3"/>
  <c r="BA381" i="3"/>
  <c r="BA377" i="3"/>
  <c r="BA414" i="3"/>
  <c r="BA408" i="3"/>
  <c r="BA404" i="3"/>
  <c r="BA363" i="3"/>
  <c r="BA410" i="3"/>
  <c r="BA388" i="3"/>
  <c r="BA396" i="3"/>
  <c r="BA391" i="3"/>
  <c r="BA399" i="3"/>
  <c r="BA360" i="3"/>
  <c r="BA228" i="3"/>
  <c r="BA249" i="3"/>
  <c r="BA254" i="3"/>
  <c r="BA244" i="3"/>
  <c r="BA240" i="3"/>
  <c r="BA236" i="3"/>
  <c r="BA261" i="3"/>
  <c r="BA255" i="3"/>
  <c r="BA252" i="3"/>
  <c r="BA274" i="3"/>
  <c r="BA256" i="3"/>
  <c r="BA266" i="3"/>
  <c r="BA264" i="3"/>
  <c r="BA230" i="3"/>
  <c r="BA119" i="3"/>
  <c r="BA115" i="3"/>
  <c r="BA111" i="3"/>
  <c r="BA107" i="3"/>
  <c r="BA151" i="3"/>
  <c r="BA126" i="3"/>
  <c r="BA198" i="3"/>
  <c r="BA194" i="3"/>
  <c r="BA190" i="3"/>
  <c r="BA204" i="3"/>
  <c r="BA168" i="3"/>
  <c r="BA202" i="3"/>
  <c r="BA159" i="3"/>
  <c r="BA162" i="3"/>
  <c r="BA157" i="3"/>
  <c r="BA189" i="3"/>
  <c r="BA185" i="3"/>
  <c r="BA181" i="3"/>
  <c r="BA131" i="3"/>
  <c r="BA176" i="3"/>
  <c r="BA172" i="3"/>
  <c r="BA210" i="3"/>
  <c r="BA217" i="3"/>
  <c r="BA220" i="3"/>
  <c r="BA214" i="3"/>
  <c r="BA60" i="3"/>
  <c r="BA78" i="3"/>
  <c r="BA87" i="3"/>
  <c r="BA32" i="3"/>
  <c r="BA16" i="3"/>
  <c r="BA12" i="3"/>
  <c r="BA29" i="3"/>
  <c r="BA25" i="3"/>
  <c r="BA21" i="3"/>
  <c r="BA8" i="3"/>
  <c r="BA49" i="3"/>
  <c r="BA45" i="3"/>
  <c r="BA41" i="3"/>
  <c r="BA37" i="3"/>
  <c r="BA89" i="3"/>
  <c r="BA56" i="3"/>
  <c r="BA86" i="3"/>
  <c r="BA76" i="3"/>
  <c r="BA72" i="3"/>
  <c r="BA85" i="3"/>
  <c r="O82" i="3"/>
  <c r="Q82" i="3" s="1"/>
  <c r="L82" i="3"/>
  <c r="N82" i="3"/>
  <c r="K82" i="3"/>
  <c r="J82" i="3"/>
  <c r="M82" i="3"/>
  <c r="P82" i="3" s="1"/>
  <c r="M1360" i="3"/>
  <c r="K1360" i="3"/>
  <c r="J1360" i="3"/>
  <c r="N1360" i="3"/>
  <c r="L1360" i="3"/>
  <c r="O1360" i="3"/>
  <c r="Q1360" i="3" s="1"/>
  <c r="N1355" i="3"/>
  <c r="J1355" i="3"/>
  <c r="K1355" i="3"/>
  <c r="M1355" i="3"/>
  <c r="O1355" i="3"/>
  <c r="Q1355" i="3" s="1"/>
  <c r="L1355" i="3"/>
  <c r="O1316" i="3"/>
  <c r="Q1316" i="3" s="1"/>
  <c r="K1316" i="3"/>
  <c r="N1316" i="3"/>
  <c r="M1316" i="3"/>
  <c r="J1316" i="3"/>
  <c r="L1316" i="3"/>
  <c r="J1312" i="3"/>
  <c r="O1312" i="3"/>
  <c r="Q1312" i="3" s="1"/>
  <c r="K1312" i="3"/>
  <c r="L1312" i="3"/>
  <c r="N1312" i="3"/>
  <c r="M1312" i="3"/>
  <c r="M1319" i="3"/>
  <c r="N1319" i="3"/>
  <c r="J1319" i="3"/>
  <c r="K1319" i="3"/>
  <c r="O1319" i="3"/>
  <c r="Q1319" i="3" s="1"/>
  <c r="L1319" i="3"/>
  <c r="J1305" i="3"/>
  <c r="L1305" i="3"/>
  <c r="K1305" i="3"/>
  <c r="M1305" i="3"/>
  <c r="O1305" i="3"/>
  <c r="Q1305" i="3" s="1"/>
  <c r="N1305" i="3"/>
  <c r="J1321" i="3"/>
  <c r="O1321" i="3"/>
  <c r="Q1321" i="3" s="1"/>
  <c r="K1321" i="3"/>
  <c r="M1321" i="3"/>
  <c r="N1321" i="3"/>
  <c r="L1321" i="3"/>
  <c r="K1326" i="3"/>
  <c r="L1326" i="3"/>
  <c r="O1326" i="3"/>
  <c r="Q1326" i="3" s="1"/>
  <c r="M1326" i="3"/>
  <c r="N1326" i="3"/>
  <c r="J1326" i="3"/>
  <c r="O1350" i="3"/>
  <c r="Q1350" i="3" s="1"/>
  <c r="M1350" i="3"/>
  <c r="K1350" i="3"/>
  <c r="J1350" i="3"/>
  <c r="N1350" i="3"/>
  <c r="L1350" i="3"/>
  <c r="O1346" i="3"/>
  <c r="Q1346" i="3" s="1"/>
  <c r="M1346" i="3"/>
  <c r="P1346" i="3" s="1"/>
  <c r="J1346" i="3"/>
  <c r="K1346" i="3"/>
  <c r="N1346" i="3"/>
  <c r="L1346" i="3"/>
  <c r="K1342" i="3"/>
  <c r="O1342" i="3"/>
  <c r="Q1342" i="3" s="1"/>
  <c r="M1342" i="3"/>
  <c r="L1342" i="3"/>
  <c r="N1342" i="3"/>
  <c r="J1342" i="3"/>
  <c r="K1341" i="3"/>
  <c r="M1341" i="3"/>
  <c r="L1341" i="3"/>
  <c r="J1341" i="3"/>
  <c r="N1341" i="3"/>
  <c r="O1341" i="3"/>
  <c r="Q1341" i="3" s="1"/>
  <c r="K1334" i="3"/>
  <c r="L1334" i="3"/>
  <c r="O1334" i="3"/>
  <c r="Q1334" i="3" s="1"/>
  <c r="J1334" i="3"/>
  <c r="M1334" i="3"/>
  <c r="N1334" i="3"/>
  <c r="O1330" i="3"/>
  <c r="Q1330" i="3" s="1"/>
  <c r="M1330" i="3"/>
  <c r="P1330" i="3" s="1"/>
  <c r="K1330" i="3"/>
  <c r="L1330" i="3"/>
  <c r="N1330" i="3"/>
  <c r="J1330" i="3"/>
  <c r="O1288" i="3"/>
  <c r="Q1288" i="3" s="1"/>
  <c r="J1288" i="3"/>
  <c r="K1288" i="3"/>
  <c r="L1288" i="3"/>
  <c r="M1288" i="3"/>
  <c r="N1288" i="3"/>
  <c r="O1281" i="3"/>
  <c r="Q1281" i="3" s="1"/>
  <c r="N1281" i="3"/>
  <c r="J1281" i="3"/>
  <c r="L1281" i="3"/>
  <c r="K1281" i="3"/>
  <c r="M1281" i="3"/>
  <c r="P1281" i="3" s="1"/>
  <c r="O1291" i="3"/>
  <c r="Q1291" i="3" s="1"/>
  <c r="L1291" i="3"/>
  <c r="K1291" i="3"/>
  <c r="N1291" i="3"/>
  <c r="M1291" i="3"/>
  <c r="P1291" i="3" s="1"/>
  <c r="J1291" i="3"/>
  <c r="L1293" i="3"/>
  <c r="K1293" i="3"/>
  <c r="M1293" i="3"/>
  <c r="O1293" i="3"/>
  <c r="Q1293" i="3" s="1"/>
  <c r="J1293" i="3"/>
  <c r="N1293" i="3"/>
  <c r="O1278" i="3"/>
  <c r="Q1278" i="3" s="1"/>
  <c r="J1278" i="3"/>
  <c r="K1278" i="3"/>
  <c r="N1278" i="3"/>
  <c r="L1278" i="3"/>
  <c r="M1278" i="3"/>
  <c r="L1301" i="3"/>
  <c r="J1301" i="3"/>
  <c r="K1301" i="3"/>
  <c r="M1301" i="3"/>
  <c r="N1301" i="3"/>
  <c r="O1301" i="3"/>
  <c r="Q1301" i="3" s="1"/>
  <c r="K1266" i="3"/>
  <c r="M1266" i="3"/>
  <c r="O1266" i="3"/>
  <c r="Q1266" i="3" s="1"/>
  <c r="J1266" i="3"/>
  <c r="L1266" i="3"/>
  <c r="N1266" i="3"/>
  <c r="N1273" i="3"/>
  <c r="J1273" i="3"/>
  <c r="O1273" i="3"/>
  <c r="Q1273" i="3" s="1"/>
  <c r="K1273" i="3"/>
  <c r="M1273" i="3"/>
  <c r="L1273" i="3"/>
  <c r="J1263" i="3"/>
  <c r="M1263" i="3"/>
  <c r="K1263" i="3"/>
  <c r="N1263" i="3"/>
  <c r="O1263" i="3"/>
  <c r="Q1263" i="3" s="1"/>
  <c r="L1263" i="3"/>
  <c r="M1216" i="3"/>
  <c r="J1216" i="3"/>
  <c r="L1216" i="3"/>
  <c r="K1216" i="3"/>
  <c r="N1216" i="3"/>
  <c r="O1216" i="3"/>
  <c r="Q1216" i="3" s="1"/>
  <c r="O1224" i="3"/>
  <c r="Q1224" i="3" s="1"/>
  <c r="N1224" i="3"/>
  <c r="K1224" i="3"/>
  <c r="J1224" i="3"/>
  <c r="L1224" i="3"/>
  <c r="M1224" i="3"/>
  <c r="O1228" i="3"/>
  <c r="Q1228" i="3" s="1"/>
  <c r="J1228" i="3"/>
  <c r="N1228" i="3"/>
  <c r="M1228" i="3"/>
  <c r="L1228" i="3"/>
  <c r="K1228" i="3"/>
  <c r="K1220" i="3"/>
  <c r="J1220" i="3"/>
  <c r="L1220" i="3"/>
  <c r="O1220" i="3"/>
  <c r="Q1220" i="3" s="1"/>
  <c r="N1220" i="3"/>
  <c r="M1220" i="3"/>
  <c r="K1261" i="3"/>
  <c r="M1261" i="3"/>
  <c r="O1261" i="3"/>
  <c r="Q1261" i="3" s="1"/>
  <c r="J1261" i="3"/>
  <c r="N1261" i="3"/>
  <c r="L1261" i="3"/>
  <c r="L1257" i="3"/>
  <c r="J1257" i="3"/>
  <c r="K1257" i="3"/>
  <c r="M1257" i="3"/>
  <c r="O1257" i="3"/>
  <c r="Q1257" i="3" s="1"/>
  <c r="N1257" i="3"/>
  <c r="L1253" i="3"/>
  <c r="O1253" i="3"/>
  <c r="Q1253" i="3" s="1"/>
  <c r="N1253" i="3"/>
  <c r="K1253" i="3"/>
  <c r="M1253" i="3"/>
  <c r="J1253" i="3"/>
  <c r="J1249" i="3"/>
  <c r="K1249" i="3"/>
  <c r="M1249" i="3"/>
  <c r="O1249" i="3"/>
  <c r="Q1249" i="3" s="1"/>
  <c r="N1249" i="3"/>
  <c r="L1249" i="3"/>
  <c r="L1245" i="3"/>
  <c r="J1245" i="3"/>
  <c r="K1245" i="3"/>
  <c r="M1245" i="3"/>
  <c r="O1245" i="3"/>
  <c r="Q1245" i="3" s="1"/>
  <c r="N1245" i="3"/>
  <c r="L1241" i="3"/>
  <c r="O1241" i="3"/>
  <c r="Q1241" i="3" s="1"/>
  <c r="N1241" i="3"/>
  <c r="K1241" i="3"/>
  <c r="J1241" i="3"/>
  <c r="M1241" i="3"/>
  <c r="O1237" i="3"/>
  <c r="Q1237" i="3" s="1"/>
  <c r="K1237" i="3"/>
  <c r="M1237" i="3"/>
  <c r="L1237" i="3"/>
  <c r="N1237" i="3"/>
  <c r="J1237" i="3"/>
  <c r="O1138" i="3"/>
  <c r="Q1138" i="3" s="1"/>
  <c r="L1138" i="3"/>
  <c r="J1138" i="3"/>
  <c r="K1138" i="3"/>
  <c r="M1138" i="3"/>
  <c r="P1138" i="3" s="1"/>
  <c r="N1138" i="3"/>
  <c r="L1141" i="3"/>
  <c r="M1141" i="3"/>
  <c r="N1141" i="3"/>
  <c r="O1141" i="3"/>
  <c r="Q1141" i="3" s="1"/>
  <c r="J1141" i="3"/>
  <c r="K1141" i="3"/>
  <c r="K1206" i="3"/>
  <c r="M1206" i="3"/>
  <c r="N1206" i="3"/>
  <c r="L1206" i="3"/>
  <c r="J1206" i="3"/>
  <c r="O1206" i="3"/>
  <c r="Q1206" i="3" s="1"/>
  <c r="N1210" i="3"/>
  <c r="J1210" i="3"/>
  <c r="L1210" i="3"/>
  <c r="K1210" i="3"/>
  <c r="M1210" i="3"/>
  <c r="O1210" i="3"/>
  <c r="Q1210" i="3" s="1"/>
  <c r="N1209" i="3"/>
  <c r="J1209" i="3"/>
  <c r="L1209" i="3"/>
  <c r="K1209" i="3"/>
  <c r="O1209" i="3"/>
  <c r="Q1209" i="3" s="1"/>
  <c r="M1209" i="3"/>
  <c r="K1195" i="3"/>
  <c r="M1195" i="3"/>
  <c r="N1195" i="3"/>
  <c r="O1195" i="3"/>
  <c r="Q1195" i="3" s="1"/>
  <c r="L1195" i="3"/>
  <c r="J1195" i="3"/>
  <c r="O1191" i="3"/>
  <c r="Q1191" i="3" s="1"/>
  <c r="M1191" i="3"/>
  <c r="K1191" i="3"/>
  <c r="N1191" i="3"/>
  <c r="J1191" i="3"/>
  <c r="L1191" i="3"/>
  <c r="K1187" i="3"/>
  <c r="M1187" i="3"/>
  <c r="O1187" i="3"/>
  <c r="Q1187" i="3" s="1"/>
  <c r="L1187" i="3"/>
  <c r="J1187" i="3"/>
  <c r="N1187" i="3"/>
  <c r="K1183" i="3"/>
  <c r="L1183" i="3"/>
  <c r="O1183" i="3"/>
  <c r="Q1183" i="3" s="1"/>
  <c r="M1183" i="3"/>
  <c r="J1183" i="3"/>
  <c r="N1183" i="3"/>
  <c r="O1175" i="3"/>
  <c r="Q1175" i="3" s="1"/>
  <c r="M1175" i="3"/>
  <c r="P1175" i="3" s="1"/>
  <c r="J1175" i="3"/>
  <c r="K1175" i="3"/>
  <c r="N1175" i="3"/>
  <c r="L1175" i="3"/>
  <c r="K1171" i="3"/>
  <c r="M1171" i="3"/>
  <c r="O1171" i="3"/>
  <c r="Q1171" i="3" s="1"/>
  <c r="L1171" i="3"/>
  <c r="J1171" i="3"/>
  <c r="N1171" i="3"/>
  <c r="K1167" i="3"/>
  <c r="L1167" i="3"/>
  <c r="O1167" i="3"/>
  <c r="Q1167" i="3" s="1"/>
  <c r="M1167" i="3"/>
  <c r="J1167" i="3"/>
  <c r="N1167" i="3"/>
  <c r="K1179" i="3"/>
  <c r="M1179" i="3"/>
  <c r="O1179" i="3"/>
  <c r="Q1179" i="3" s="1"/>
  <c r="L1179" i="3"/>
  <c r="J1179" i="3"/>
  <c r="N1179" i="3"/>
  <c r="K1163" i="3"/>
  <c r="M1163" i="3"/>
  <c r="O1163" i="3"/>
  <c r="Q1163" i="3" s="1"/>
  <c r="L1163" i="3"/>
  <c r="J1163" i="3"/>
  <c r="N1163" i="3"/>
  <c r="M1160" i="3"/>
  <c r="N1160" i="3"/>
  <c r="O1160" i="3"/>
  <c r="Q1160" i="3" s="1"/>
  <c r="L1160" i="3"/>
  <c r="J1160" i="3"/>
  <c r="K1160" i="3"/>
  <c r="O1152" i="3"/>
  <c r="Q1152" i="3" s="1"/>
  <c r="J1152" i="3"/>
  <c r="M1152" i="3"/>
  <c r="L1152" i="3"/>
  <c r="N1152" i="3"/>
  <c r="K1152" i="3"/>
  <c r="L1200" i="3"/>
  <c r="O1200" i="3"/>
  <c r="Q1200" i="3" s="1"/>
  <c r="N1200" i="3"/>
  <c r="J1200" i="3"/>
  <c r="K1200" i="3"/>
  <c r="M1200" i="3"/>
  <c r="L1156" i="3"/>
  <c r="K1156" i="3"/>
  <c r="M1156" i="3"/>
  <c r="N1156" i="3"/>
  <c r="O1156" i="3"/>
  <c r="Q1156" i="3" s="1"/>
  <c r="J1156" i="3"/>
  <c r="O1147" i="3"/>
  <c r="Q1147" i="3" s="1"/>
  <c r="L1147" i="3"/>
  <c r="K1147" i="3"/>
  <c r="N1147" i="3"/>
  <c r="J1147" i="3"/>
  <c r="M1147" i="3"/>
  <c r="K1143" i="3"/>
  <c r="O1143" i="3"/>
  <c r="Q1143" i="3" s="1"/>
  <c r="M1143" i="3"/>
  <c r="L1143" i="3"/>
  <c r="N1143" i="3"/>
  <c r="J1143" i="3"/>
  <c r="O1057" i="3"/>
  <c r="Q1057" i="3" s="1"/>
  <c r="N1057" i="3"/>
  <c r="K1057" i="3"/>
  <c r="J1057" i="3"/>
  <c r="L1057" i="3"/>
  <c r="M1057" i="3"/>
  <c r="O1055" i="3"/>
  <c r="Q1055" i="3" s="1"/>
  <c r="L1055" i="3"/>
  <c r="N1055" i="3"/>
  <c r="K1055" i="3"/>
  <c r="J1055" i="3"/>
  <c r="M1055" i="3"/>
  <c r="K1045" i="3"/>
  <c r="J1045" i="3"/>
  <c r="O1045" i="3"/>
  <c r="Q1045" i="3" s="1"/>
  <c r="L1045" i="3"/>
  <c r="N1045" i="3"/>
  <c r="M1045" i="3"/>
  <c r="M1053" i="3"/>
  <c r="J1053" i="3"/>
  <c r="N1053" i="3"/>
  <c r="K1053" i="3"/>
  <c r="L1053" i="3"/>
  <c r="O1053" i="3"/>
  <c r="Q1053" i="3" s="1"/>
  <c r="N1017" i="3"/>
  <c r="K1017" i="3"/>
  <c r="M1017" i="3"/>
  <c r="J1017" i="3"/>
  <c r="O1017" i="3"/>
  <c r="Q1017" i="3" s="1"/>
  <c r="L1017" i="3"/>
  <c r="K1049" i="3"/>
  <c r="N1049" i="3"/>
  <c r="M1049" i="3"/>
  <c r="L1049" i="3"/>
  <c r="O1049" i="3"/>
  <c r="Q1049" i="3" s="1"/>
  <c r="J1049" i="3"/>
  <c r="K1036" i="3"/>
  <c r="O1036" i="3"/>
  <c r="Q1036" i="3" s="1"/>
  <c r="N1036" i="3"/>
  <c r="M1036" i="3"/>
  <c r="J1036" i="3"/>
  <c r="L1036" i="3"/>
  <c r="O1047" i="3"/>
  <c r="Q1047" i="3" s="1"/>
  <c r="N1047" i="3"/>
  <c r="L1047" i="3"/>
  <c r="M1047" i="3"/>
  <c r="J1047" i="3"/>
  <c r="K1047" i="3"/>
  <c r="O1033" i="3"/>
  <c r="Q1033" i="3" s="1"/>
  <c r="J1033" i="3"/>
  <c r="K1033" i="3"/>
  <c r="N1033" i="3"/>
  <c r="L1033" i="3"/>
  <c r="M1033" i="3"/>
  <c r="K1029" i="3"/>
  <c r="J1029" i="3"/>
  <c r="L1029" i="3"/>
  <c r="N1029" i="3"/>
  <c r="O1029" i="3"/>
  <c r="Q1029" i="3" s="1"/>
  <c r="M1029" i="3"/>
  <c r="K1025" i="3"/>
  <c r="O1025" i="3"/>
  <c r="Q1025" i="3" s="1"/>
  <c r="M1025" i="3"/>
  <c r="L1025" i="3"/>
  <c r="N1025" i="3"/>
  <c r="J1025" i="3"/>
  <c r="J1041" i="3"/>
  <c r="O1041" i="3"/>
  <c r="Q1041" i="3" s="1"/>
  <c r="N1041" i="3"/>
  <c r="L1041" i="3"/>
  <c r="M1041" i="3"/>
  <c r="K1041" i="3"/>
  <c r="K1135" i="3"/>
  <c r="O1135" i="3"/>
  <c r="Q1135" i="3" s="1"/>
  <c r="L1135" i="3"/>
  <c r="J1135" i="3"/>
  <c r="N1135" i="3"/>
  <c r="M1135" i="3"/>
  <c r="K1131" i="3"/>
  <c r="M1131" i="3"/>
  <c r="O1131" i="3"/>
  <c r="Q1131" i="3" s="1"/>
  <c r="L1131" i="3"/>
  <c r="J1131" i="3"/>
  <c r="N1131" i="3"/>
  <c r="O1127" i="3"/>
  <c r="Q1127" i="3" s="1"/>
  <c r="L1127" i="3"/>
  <c r="K1127" i="3"/>
  <c r="M1127" i="3"/>
  <c r="N1127" i="3"/>
  <c r="J1127" i="3"/>
  <c r="K1123" i="3"/>
  <c r="L1123" i="3"/>
  <c r="O1123" i="3"/>
  <c r="Q1123" i="3" s="1"/>
  <c r="M1123" i="3"/>
  <c r="J1123" i="3"/>
  <c r="N1123" i="3"/>
  <c r="K1119" i="3"/>
  <c r="M1119" i="3"/>
  <c r="O1119" i="3"/>
  <c r="Q1119" i="3" s="1"/>
  <c r="L1119" i="3"/>
  <c r="N1119" i="3"/>
  <c r="J1119" i="3"/>
  <c r="O1115" i="3"/>
  <c r="Q1115" i="3" s="1"/>
  <c r="L1115" i="3"/>
  <c r="K1115" i="3"/>
  <c r="J1115" i="3"/>
  <c r="M1115" i="3"/>
  <c r="P1115" i="3" s="1"/>
  <c r="N1115" i="3"/>
  <c r="O1111" i="3"/>
  <c r="Q1111" i="3" s="1"/>
  <c r="L1111" i="3"/>
  <c r="K1111" i="3"/>
  <c r="N1111" i="3"/>
  <c r="J1111" i="3"/>
  <c r="M1111" i="3"/>
  <c r="M1095" i="3"/>
  <c r="K1095" i="3"/>
  <c r="J1095" i="3"/>
  <c r="O1095" i="3"/>
  <c r="Q1095" i="3" s="1"/>
  <c r="L1095" i="3"/>
  <c r="N1095" i="3"/>
  <c r="N1107" i="3"/>
  <c r="L1107" i="3"/>
  <c r="K1107" i="3"/>
  <c r="M1107" i="3"/>
  <c r="J1107" i="3"/>
  <c r="O1107" i="3"/>
  <c r="Q1107" i="3" s="1"/>
  <c r="M1091" i="3"/>
  <c r="L1091" i="3"/>
  <c r="J1091" i="3"/>
  <c r="K1091" i="3"/>
  <c r="N1091" i="3"/>
  <c r="O1091" i="3"/>
  <c r="Q1091" i="3" s="1"/>
  <c r="J1087" i="3"/>
  <c r="K1087" i="3"/>
  <c r="L1087" i="3"/>
  <c r="N1087" i="3"/>
  <c r="O1087" i="3"/>
  <c r="Q1087" i="3" s="1"/>
  <c r="M1087" i="3"/>
  <c r="K1103" i="3"/>
  <c r="J1103" i="3"/>
  <c r="L1103" i="3"/>
  <c r="M1103" i="3"/>
  <c r="N1103" i="3"/>
  <c r="O1103" i="3"/>
  <c r="Q1103" i="3" s="1"/>
  <c r="K1099" i="3"/>
  <c r="M1099" i="3"/>
  <c r="J1099" i="3"/>
  <c r="O1099" i="3"/>
  <c r="Q1099" i="3" s="1"/>
  <c r="L1099" i="3"/>
  <c r="N1099" i="3"/>
  <c r="L1083" i="3"/>
  <c r="K1083" i="3"/>
  <c r="J1083" i="3"/>
  <c r="M1083" i="3"/>
  <c r="N1083" i="3"/>
  <c r="O1083" i="3"/>
  <c r="Q1083" i="3" s="1"/>
  <c r="O1077" i="3"/>
  <c r="Q1077" i="3" s="1"/>
  <c r="L1077" i="3"/>
  <c r="K1077" i="3"/>
  <c r="J1077" i="3"/>
  <c r="M1077" i="3"/>
  <c r="P1077" i="3" s="1"/>
  <c r="N1077" i="3"/>
  <c r="N1073" i="3"/>
  <c r="O1073" i="3"/>
  <c r="Q1073" i="3" s="1"/>
  <c r="J1073" i="3"/>
  <c r="M1073" i="3"/>
  <c r="K1073" i="3"/>
  <c r="L1073" i="3"/>
  <c r="L1069" i="3"/>
  <c r="O1069" i="3"/>
  <c r="Q1069" i="3" s="1"/>
  <c r="N1069" i="3"/>
  <c r="K1069" i="3"/>
  <c r="M1069" i="3"/>
  <c r="J1069" i="3"/>
  <c r="M1065" i="3"/>
  <c r="L1065" i="3"/>
  <c r="K1065" i="3"/>
  <c r="N1065" i="3"/>
  <c r="O1065" i="3"/>
  <c r="Q1065" i="3" s="1"/>
  <c r="J1065" i="3"/>
  <c r="N1064" i="3"/>
  <c r="O1064" i="3"/>
  <c r="Q1064" i="3" s="1"/>
  <c r="K1064" i="3"/>
  <c r="L1064" i="3"/>
  <c r="J1064" i="3"/>
  <c r="M1064" i="3"/>
  <c r="P1064" i="3" s="1"/>
  <c r="L1004" i="3"/>
  <c r="K1004" i="3"/>
  <c r="M1004" i="3"/>
  <c r="J1004" i="3"/>
  <c r="N1004" i="3"/>
  <c r="O1004" i="3"/>
  <c r="Q1004" i="3" s="1"/>
  <c r="L995" i="3"/>
  <c r="O995" i="3"/>
  <c r="Q995" i="3" s="1"/>
  <c r="J995" i="3"/>
  <c r="M995" i="3"/>
  <c r="K995" i="3"/>
  <c r="N995" i="3"/>
  <c r="L1005" i="3"/>
  <c r="N1005" i="3"/>
  <c r="O1005" i="3"/>
  <c r="Q1005" i="3" s="1"/>
  <c r="J1005" i="3"/>
  <c r="M1005" i="3"/>
  <c r="K1005" i="3"/>
  <c r="O975" i="3"/>
  <c r="Q975" i="3" s="1"/>
  <c r="N975" i="3"/>
  <c r="K975" i="3"/>
  <c r="L975" i="3"/>
  <c r="J975" i="3"/>
  <c r="M975" i="3"/>
  <c r="M971" i="3"/>
  <c r="L971" i="3"/>
  <c r="J971" i="3"/>
  <c r="K971" i="3"/>
  <c r="N971" i="3"/>
  <c r="O971" i="3"/>
  <c r="Q971" i="3" s="1"/>
  <c r="M967" i="3"/>
  <c r="J967" i="3"/>
  <c r="L967" i="3"/>
  <c r="N967" i="3"/>
  <c r="K967" i="3"/>
  <c r="O967" i="3"/>
  <c r="Q967" i="3" s="1"/>
  <c r="L963" i="3"/>
  <c r="K963" i="3"/>
  <c r="J963" i="3"/>
  <c r="O963" i="3"/>
  <c r="Q963" i="3" s="1"/>
  <c r="M963" i="3"/>
  <c r="N963" i="3"/>
  <c r="O979" i="3"/>
  <c r="Q979" i="3" s="1"/>
  <c r="M979" i="3"/>
  <c r="J979" i="3"/>
  <c r="L979" i="3"/>
  <c r="K979" i="3"/>
  <c r="N979" i="3"/>
  <c r="F14" i="36" s="1"/>
  <c r="O1006" i="3"/>
  <c r="Q1006" i="3" s="1"/>
  <c r="J1006" i="3"/>
  <c r="L1006" i="3"/>
  <c r="K1006" i="3"/>
  <c r="N1006" i="3"/>
  <c r="M1006" i="3"/>
  <c r="N991" i="3"/>
  <c r="L991" i="3"/>
  <c r="M991" i="3"/>
  <c r="O991" i="3"/>
  <c r="Q991" i="3" s="1"/>
  <c r="K991" i="3"/>
  <c r="J991" i="3"/>
  <c r="L987" i="3"/>
  <c r="J987" i="3"/>
  <c r="N987" i="3"/>
  <c r="M987" i="3"/>
  <c r="K987" i="3"/>
  <c r="O987" i="3"/>
  <c r="Q987" i="3" s="1"/>
  <c r="K984" i="3"/>
  <c r="M984" i="3"/>
  <c r="J984" i="3"/>
  <c r="N984" i="3"/>
  <c r="O984" i="3"/>
  <c r="Q984" i="3" s="1"/>
  <c r="L984" i="3"/>
  <c r="O1375" i="3"/>
  <c r="Q1375" i="3" s="1"/>
  <c r="M1375" i="3"/>
  <c r="P1375" i="3" s="1"/>
  <c r="J1375" i="3"/>
  <c r="N1375" i="3"/>
  <c r="L1375" i="3"/>
  <c r="K1375" i="3"/>
  <c r="O1371" i="3"/>
  <c r="Q1371" i="3" s="1"/>
  <c r="K1371" i="3"/>
  <c r="J1371" i="3"/>
  <c r="M1371" i="3"/>
  <c r="N1371" i="3"/>
  <c r="L1371" i="3"/>
  <c r="O1367" i="3"/>
  <c r="Q1367" i="3" s="1"/>
  <c r="J1367" i="3"/>
  <c r="K1367" i="3"/>
  <c r="L1367" i="3"/>
  <c r="N1367" i="3"/>
  <c r="M1367" i="3"/>
  <c r="L1384" i="3"/>
  <c r="O1384" i="3"/>
  <c r="Q1384" i="3" s="1"/>
  <c r="N1384" i="3"/>
  <c r="J1384" i="3"/>
  <c r="M1384" i="3"/>
  <c r="K1384" i="3"/>
  <c r="K1380" i="3"/>
  <c r="M1380" i="3"/>
  <c r="J1380" i="3"/>
  <c r="L1380" i="3"/>
  <c r="O1380" i="3"/>
  <c r="Q1380" i="3" s="1"/>
  <c r="N1380" i="3"/>
  <c r="J896" i="3"/>
  <c r="M896" i="3"/>
  <c r="O896" i="3"/>
  <c r="Q896" i="3" s="1"/>
  <c r="K896" i="3"/>
  <c r="L896" i="3"/>
  <c r="N896" i="3"/>
  <c r="L908" i="3"/>
  <c r="O908" i="3"/>
  <c r="Q908" i="3" s="1"/>
  <c r="J908" i="3"/>
  <c r="N908" i="3"/>
  <c r="K908" i="3"/>
  <c r="M908" i="3"/>
  <c r="J878" i="3"/>
  <c r="M878" i="3"/>
  <c r="L878" i="3"/>
  <c r="K878" i="3"/>
  <c r="N878" i="3"/>
  <c r="O878" i="3"/>
  <c r="Q878" i="3" s="1"/>
  <c r="N874" i="3"/>
  <c r="M874" i="3"/>
  <c r="O874" i="3"/>
  <c r="Q874" i="3" s="1"/>
  <c r="K874" i="3"/>
  <c r="J874" i="3"/>
  <c r="L874" i="3"/>
  <c r="M858" i="3"/>
  <c r="L858" i="3"/>
  <c r="J858" i="3"/>
  <c r="K858" i="3"/>
  <c r="O858" i="3"/>
  <c r="Q858" i="3" s="1"/>
  <c r="N858" i="3"/>
  <c r="N865" i="3"/>
  <c r="M865" i="3"/>
  <c r="L865" i="3"/>
  <c r="O865" i="3"/>
  <c r="Q865" i="3" s="1"/>
  <c r="J865" i="3"/>
  <c r="K865" i="3"/>
  <c r="L856" i="3"/>
  <c r="M856" i="3"/>
  <c r="N856" i="3"/>
  <c r="J856" i="3"/>
  <c r="K856" i="3"/>
  <c r="O856" i="3"/>
  <c r="Q856" i="3" s="1"/>
  <c r="K862" i="3"/>
  <c r="L862" i="3"/>
  <c r="M862" i="3"/>
  <c r="J862" i="3"/>
  <c r="O862" i="3"/>
  <c r="Q862" i="3" s="1"/>
  <c r="N862" i="3"/>
  <c r="L854" i="3"/>
  <c r="K854" i="3"/>
  <c r="O854" i="3"/>
  <c r="Q854" i="3" s="1"/>
  <c r="N854" i="3"/>
  <c r="M854" i="3"/>
  <c r="J854" i="3"/>
  <c r="K961" i="3"/>
  <c r="N961" i="3"/>
  <c r="M961" i="3"/>
  <c r="O961" i="3"/>
  <c r="Q961" i="3" s="1"/>
  <c r="L961" i="3"/>
  <c r="J961" i="3"/>
  <c r="J957" i="3"/>
  <c r="K957" i="3"/>
  <c r="L957" i="3"/>
  <c r="N957" i="3"/>
  <c r="M957" i="3"/>
  <c r="O957" i="3"/>
  <c r="Q957" i="3" s="1"/>
  <c r="L953" i="3"/>
  <c r="J953" i="3"/>
  <c r="N953" i="3"/>
  <c r="M953" i="3"/>
  <c r="K953" i="3"/>
  <c r="O953" i="3"/>
  <c r="Q953" i="3" s="1"/>
  <c r="J949" i="3"/>
  <c r="K949" i="3"/>
  <c r="L949" i="3"/>
  <c r="O949" i="3"/>
  <c r="Q949" i="3" s="1"/>
  <c r="N949" i="3"/>
  <c r="M949" i="3"/>
  <c r="N945" i="3"/>
  <c r="L945" i="3"/>
  <c r="K945" i="3"/>
  <c r="J945" i="3"/>
  <c r="O945" i="3"/>
  <c r="Q945" i="3" s="1"/>
  <c r="M945" i="3"/>
  <c r="P945" i="3" s="1"/>
  <c r="K941" i="3"/>
  <c r="J941" i="3"/>
  <c r="N941" i="3"/>
  <c r="L941" i="3"/>
  <c r="O941" i="3"/>
  <c r="Q941" i="3" s="1"/>
  <c r="M941" i="3"/>
  <c r="L929" i="3"/>
  <c r="M929" i="3"/>
  <c r="O929" i="3"/>
  <c r="Q929" i="3" s="1"/>
  <c r="K929" i="3"/>
  <c r="J929" i="3"/>
  <c r="N929" i="3"/>
  <c r="O925" i="3"/>
  <c r="Q925" i="3" s="1"/>
  <c r="L925" i="3"/>
  <c r="J925" i="3"/>
  <c r="N925" i="3"/>
  <c r="K925" i="3"/>
  <c r="M925" i="3"/>
  <c r="L921" i="3"/>
  <c r="O921" i="3"/>
  <c r="Q921" i="3" s="1"/>
  <c r="N921" i="3"/>
  <c r="K921" i="3"/>
  <c r="J921" i="3"/>
  <c r="M921" i="3"/>
  <c r="P921" i="3" s="1"/>
  <c r="K913" i="3"/>
  <c r="O913" i="3"/>
  <c r="Q913" i="3" s="1"/>
  <c r="J913" i="3"/>
  <c r="N913" i="3"/>
  <c r="L913" i="3"/>
  <c r="M913" i="3"/>
  <c r="P913" i="3" s="1"/>
  <c r="L937" i="3"/>
  <c r="M937" i="3"/>
  <c r="K937" i="3"/>
  <c r="J937" i="3"/>
  <c r="O937" i="3"/>
  <c r="Q937" i="3" s="1"/>
  <c r="N937" i="3"/>
  <c r="N933" i="3"/>
  <c r="J933" i="3"/>
  <c r="O933" i="3"/>
  <c r="Q933" i="3" s="1"/>
  <c r="L933" i="3"/>
  <c r="M933" i="3"/>
  <c r="K933" i="3"/>
  <c r="O917" i="3"/>
  <c r="Q917" i="3" s="1"/>
  <c r="K917" i="3"/>
  <c r="L917" i="3"/>
  <c r="J917" i="3"/>
  <c r="M917" i="3"/>
  <c r="P917" i="3" s="1"/>
  <c r="N917" i="3"/>
  <c r="O890" i="3"/>
  <c r="Q890" i="3" s="1"/>
  <c r="L890" i="3"/>
  <c r="J890" i="3"/>
  <c r="N890" i="3"/>
  <c r="M890" i="3"/>
  <c r="P890" i="3" s="1"/>
  <c r="K890" i="3"/>
  <c r="K903" i="3"/>
  <c r="L903" i="3"/>
  <c r="O903" i="3"/>
  <c r="Q903" i="3" s="1"/>
  <c r="M903" i="3"/>
  <c r="N903" i="3"/>
  <c r="J903" i="3"/>
  <c r="L898" i="3"/>
  <c r="K898" i="3"/>
  <c r="M898" i="3"/>
  <c r="N898" i="3"/>
  <c r="J898" i="3"/>
  <c r="O898" i="3"/>
  <c r="Q898" i="3" s="1"/>
  <c r="K892" i="3"/>
  <c r="J892" i="3"/>
  <c r="M892" i="3"/>
  <c r="L892" i="3"/>
  <c r="N892" i="3"/>
  <c r="O892" i="3"/>
  <c r="Q892" i="3" s="1"/>
  <c r="L904" i="3"/>
  <c r="N904" i="3"/>
  <c r="J904" i="3"/>
  <c r="K904" i="3"/>
  <c r="O904" i="3"/>
  <c r="Q904" i="3" s="1"/>
  <c r="M904" i="3"/>
  <c r="O881" i="3"/>
  <c r="Q881" i="3" s="1"/>
  <c r="N881" i="3"/>
  <c r="L881" i="3"/>
  <c r="J881" i="3"/>
  <c r="M881" i="3"/>
  <c r="P881" i="3" s="1"/>
  <c r="K881" i="3"/>
  <c r="O611" i="3"/>
  <c r="Q611" i="3" s="1"/>
  <c r="J611" i="3"/>
  <c r="L611" i="3"/>
  <c r="M611" i="3"/>
  <c r="K611" i="3"/>
  <c r="N611" i="3"/>
  <c r="J575" i="3"/>
  <c r="N575" i="3"/>
  <c r="M575" i="3"/>
  <c r="K575" i="3"/>
  <c r="L575" i="3"/>
  <c r="O575" i="3"/>
  <c r="Q575" i="3" s="1"/>
  <c r="J597" i="3"/>
  <c r="K597" i="3"/>
  <c r="O597" i="3"/>
  <c r="Q597" i="3" s="1"/>
  <c r="N597" i="3"/>
  <c r="M597" i="3"/>
  <c r="L597" i="3"/>
  <c r="O607" i="3"/>
  <c r="Q607" i="3" s="1"/>
  <c r="K607" i="3"/>
  <c r="M607" i="3"/>
  <c r="N607" i="3"/>
  <c r="L607" i="3"/>
  <c r="J607" i="3"/>
  <c r="K595" i="3"/>
  <c r="J595" i="3"/>
  <c r="L595" i="3"/>
  <c r="O595" i="3"/>
  <c r="Q595" i="3" s="1"/>
  <c r="M595" i="3"/>
  <c r="N595" i="3"/>
  <c r="L571" i="3"/>
  <c r="M571" i="3"/>
  <c r="J571" i="3"/>
  <c r="N571" i="3"/>
  <c r="K571" i="3"/>
  <c r="O571" i="3"/>
  <c r="Q571" i="3" s="1"/>
  <c r="L603" i="3"/>
  <c r="O603" i="3"/>
  <c r="Q603" i="3" s="1"/>
  <c r="M603" i="3"/>
  <c r="N603" i="3"/>
  <c r="J603" i="3"/>
  <c r="K603" i="3"/>
  <c r="M591" i="3"/>
  <c r="L591" i="3"/>
  <c r="O591" i="3"/>
  <c r="Q591" i="3" s="1"/>
  <c r="K591" i="3"/>
  <c r="J591" i="3"/>
  <c r="N591" i="3"/>
  <c r="M567" i="3"/>
  <c r="L567" i="3"/>
  <c r="O567" i="3"/>
  <c r="Q567" i="3" s="1"/>
  <c r="J567" i="3"/>
  <c r="K567" i="3"/>
  <c r="N567" i="3"/>
  <c r="L545" i="3"/>
  <c r="J545" i="3"/>
  <c r="K545" i="3"/>
  <c r="O545" i="3"/>
  <c r="Q545" i="3" s="1"/>
  <c r="N545" i="3"/>
  <c r="M545" i="3"/>
  <c r="J587" i="3"/>
  <c r="M587" i="3"/>
  <c r="L587" i="3"/>
  <c r="K587" i="3"/>
  <c r="N587" i="3"/>
  <c r="O587" i="3"/>
  <c r="Q587" i="3" s="1"/>
  <c r="O583" i="3"/>
  <c r="Q583" i="3" s="1"/>
  <c r="L583" i="3"/>
  <c r="J583" i="3"/>
  <c r="M583" i="3"/>
  <c r="K583" i="3"/>
  <c r="N583" i="3"/>
  <c r="O562" i="3"/>
  <c r="Q562" i="3" s="1"/>
  <c r="J562" i="3"/>
  <c r="L562" i="3"/>
  <c r="K562" i="3"/>
  <c r="N562" i="3"/>
  <c r="M562" i="3"/>
  <c r="N558" i="3"/>
  <c r="K558" i="3"/>
  <c r="J558" i="3"/>
  <c r="O558" i="3"/>
  <c r="Q558" i="3" s="1"/>
  <c r="M558" i="3"/>
  <c r="L558" i="3"/>
  <c r="M578" i="3"/>
  <c r="O578" i="3"/>
  <c r="Q578" i="3" s="1"/>
  <c r="K578" i="3"/>
  <c r="L578" i="3"/>
  <c r="N578" i="3"/>
  <c r="J578" i="3"/>
  <c r="K555" i="3"/>
  <c r="J555" i="3"/>
  <c r="N555" i="3"/>
  <c r="O555" i="3"/>
  <c r="Q555" i="3" s="1"/>
  <c r="L555" i="3"/>
  <c r="M555" i="3"/>
  <c r="M551" i="3"/>
  <c r="O551" i="3"/>
  <c r="Q551" i="3" s="1"/>
  <c r="J551" i="3"/>
  <c r="L551" i="3"/>
  <c r="K551" i="3"/>
  <c r="N551" i="3"/>
  <c r="L692" i="3"/>
  <c r="N692" i="3"/>
  <c r="O692" i="3"/>
  <c r="Q692" i="3" s="1"/>
  <c r="M692" i="3"/>
  <c r="K692" i="3"/>
  <c r="J692" i="3"/>
  <c r="N708" i="3"/>
  <c r="K708" i="3"/>
  <c r="L708" i="3"/>
  <c r="J708" i="3"/>
  <c r="M708" i="3"/>
  <c r="O708" i="3"/>
  <c r="Q708" i="3" s="1"/>
  <c r="M704" i="3"/>
  <c r="N704" i="3"/>
  <c r="L704" i="3"/>
  <c r="K704" i="3"/>
  <c r="J704" i="3"/>
  <c r="O704" i="3"/>
  <c r="Q704" i="3" s="1"/>
  <c r="L700" i="3"/>
  <c r="M700" i="3"/>
  <c r="K700" i="3"/>
  <c r="O700" i="3"/>
  <c r="Q700" i="3" s="1"/>
  <c r="J700" i="3"/>
  <c r="N700" i="3"/>
  <c r="M696" i="3"/>
  <c r="K696" i="3"/>
  <c r="J696" i="3"/>
  <c r="L696" i="3"/>
  <c r="O696" i="3"/>
  <c r="Q696" i="3" s="1"/>
  <c r="N696" i="3"/>
  <c r="O691" i="3"/>
  <c r="Q691" i="3" s="1"/>
  <c r="J691" i="3"/>
  <c r="M691" i="3"/>
  <c r="K691" i="3"/>
  <c r="L691" i="3"/>
  <c r="N691" i="3"/>
  <c r="K687" i="3"/>
  <c r="J687" i="3"/>
  <c r="L687" i="3"/>
  <c r="N687" i="3"/>
  <c r="M687" i="3"/>
  <c r="O687" i="3"/>
  <c r="Q687" i="3" s="1"/>
  <c r="N683" i="3"/>
  <c r="O683" i="3"/>
  <c r="Q683" i="3" s="1"/>
  <c r="L683" i="3"/>
  <c r="K683" i="3"/>
  <c r="J683" i="3"/>
  <c r="M683" i="3"/>
  <c r="P683" i="3" s="1"/>
  <c r="M679" i="3"/>
  <c r="L679" i="3"/>
  <c r="N679" i="3"/>
  <c r="K679" i="3"/>
  <c r="J679" i="3"/>
  <c r="O679" i="3"/>
  <c r="Q679" i="3" s="1"/>
  <c r="L671" i="3"/>
  <c r="J671" i="3"/>
  <c r="O671" i="3"/>
  <c r="Q671" i="3" s="1"/>
  <c r="K671" i="3"/>
  <c r="N671" i="3"/>
  <c r="M671" i="3"/>
  <c r="J659" i="3"/>
  <c r="L659" i="3"/>
  <c r="M659" i="3"/>
  <c r="K659" i="3"/>
  <c r="O659" i="3"/>
  <c r="Q659" i="3" s="1"/>
  <c r="N659" i="3"/>
  <c r="K655" i="3"/>
  <c r="J655" i="3"/>
  <c r="O655" i="3"/>
  <c r="Q655" i="3" s="1"/>
  <c r="M655" i="3"/>
  <c r="P655" i="3" s="1"/>
  <c r="L655" i="3"/>
  <c r="N655" i="3"/>
  <c r="O675" i="3"/>
  <c r="Q675" i="3" s="1"/>
  <c r="J675" i="3"/>
  <c r="L675" i="3"/>
  <c r="M675" i="3"/>
  <c r="K675" i="3"/>
  <c r="N675" i="3"/>
  <c r="M667" i="3"/>
  <c r="J667" i="3"/>
  <c r="L667" i="3"/>
  <c r="K667" i="3"/>
  <c r="N667" i="3"/>
  <c r="O667" i="3"/>
  <c r="Q667" i="3" s="1"/>
  <c r="N663" i="3"/>
  <c r="J663" i="3"/>
  <c r="M663" i="3"/>
  <c r="K663" i="3"/>
  <c r="O663" i="3"/>
  <c r="Q663" i="3" s="1"/>
  <c r="L663" i="3"/>
  <c r="L651" i="3"/>
  <c r="N651" i="3"/>
  <c r="M651" i="3"/>
  <c r="J651" i="3"/>
  <c r="K651" i="3"/>
  <c r="O651" i="3"/>
  <c r="Q651" i="3" s="1"/>
  <c r="M647" i="3"/>
  <c r="J647" i="3"/>
  <c r="N647" i="3"/>
  <c r="K647" i="3"/>
  <c r="O647" i="3"/>
  <c r="Q647" i="3" s="1"/>
  <c r="L647" i="3"/>
  <c r="L643" i="3"/>
  <c r="J643" i="3"/>
  <c r="N643" i="3"/>
  <c r="M643" i="3"/>
  <c r="K643" i="3"/>
  <c r="O643" i="3"/>
  <c r="Q643" i="3" s="1"/>
  <c r="N639" i="3"/>
  <c r="O639" i="3"/>
  <c r="Q639" i="3" s="1"/>
  <c r="J639" i="3"/>
  <c r="M639" i="3"/>
  <c r="L639" i="3"/>
  <c r="K639" i="3"/>
  <c r="L635" i="3"/>
  <c r="M635" i="3"/>
  <c r="O635" i="3"/>
  <c r="Q635" i="3" s="1"/>
  <c r="K635" i="3"/>
  <c r="N635" i="3"/>
  <c r="J635" i="3"/>
  <c r="O632" i="3"/>
  <c r="Q632" i="3" s="1"/>
  <c r="K632" i="3"/>
  <c r="N632" i="3"/>
  <c r="L632" i="3"/>
  <c r="M632" i="3"/>
  <c r="P632" i="3" s="1"/>
  <c r="J632" i="3"/>
  <c r="J628" i="3"/>
  <c r="N628" i="3"/>
  <c r="K628" i="3"/>
  <c r="L628" i="3"/>
  <c r="M628" i="3"/>
  <c r="O628" i="3"/>
  <c r="Q628" i="3" s="1"/>
  <c r="J624" i="3"/>
  <c r="M624" i="3"/>
  <c r="O624" i="3"/>
  <c r="Q624" i="3" s="1"/>
  <c r="K624" i="3"/>
  <c r="L624" i="3"/>
  <c r="N624" i="3"/>
  <c r="L619" i="3"/>
  <c r="N619" i="3"/>
  <c r="J619" i="3"/>
  <c r="O619" i="3"/>
  <c r="Q619" i="3" s="1"/>
  <c r="M619" i="3"/>
  <c r="K619" i="3"/>
  <c r="O615" i="3"/>
  <c r="Q615" i="3" s="1"/>
  <c r="N615" i="3"/>
  <c r="M615" i="3"/>
  <c r="K615" i="3"/>
  <c r="J615" i="3"/>
  <c r="L615" i="3"/>
  <c r="O783" i="3"/>
  <c r="Q783" i="3" s="1"/>
  <c r="J783" i="3"/>
  <c r="K783" i="3"/>
  <c r="M783" i="3"/>
  <c r="N783" i="3"/>
  <c r="L783" i="3"/>
  <c r="K779" i="3"/>
  <c r="N779" i="3"/>
  <c r="M779" i="3"/>
  <c r="J779" i="3"/>
  <c r="L779" i="3"/>
  <c r="O779" i="3"/>
  <c r="Q779" i="3" s="1"/>
  <c r="N775" i="3"/>
  <c r="M775" i="3"/>
  <c r="J775" i="3"/>
  <c r="L775" i="3"/>
  <c r="O775" i="3"/>
  <c r="Q775" i="3" s="1"/>
  <c r="K775" i="3"/>
  <c r="K771" i="3"/>
  <c r="L771" i="3"/>
  <c r="J771" i="3"/>
  <c r="N771" i="3"/>
  <c r="O771" i="3"/>
  <c r="Q771" i="3" s="1"/>
  <c r="M771" i="3"/>
  <c r="N767" i="3"/>
  <c r="K767" i="3"/>
  <c r="M767" i="3"/>
  <c r="J767" i="3"/>
  <c r="L767" i="3"/>
  <c r="O767" i="3"/>
  <c r="Q767" i="3" s="1"/>
  <c r="L764" i="3"/>
  <c r="O764" i="3"/>
  <c r="Q764" i="3" s="1"/>
  <c r="J764" i="3"/>
  <c r="M764" i="3"/>
  <c r="N764" i="3"/>
  <c r="K764" i="3"/>
  <c r="M760" i="3"/>
  <c r="K760" i="3"/>
  <c r="O760" i="3"/>
  <c r="Q760" i="3" s="1"/>
  <c r="N760" i="3"/>
  <c r="J760" i="3"/>
  <c r="L760" i="3"/>
  <c r="J756" i="3"/>
  <c r="N756" i="3"/>
  <c r="O756" i="3"/>
  <c r="Q756" i="3" s="1"/>
  <c r="L756" i="3"/>
  <c r="M756" i="3"/>
  <c r="K756" i="3"/>
  <c r="M752" i="3"/>
  <c r="O752" i="3"/>
  <c r="Q752" i="3" s="1"/>
  <c r="L752" i="3"/>
  <c r="K752" i="3"/>
  <c r="J752" i="3"/>
  <c r="N752" i="3"/>
  <c r="K748" i="3"/>
  <c r="O748" i="3"/>
  <c r="Q748" i="3" s="1"/>
  <c r="N748" i="3"/>
  <c r="J748" i="3"/>
  <c r="L748" i="3"/>
  <c r="M748" i="3"/>
  <c r="P748" i="3" s="1"/>
  <c r="K744" i="3"/>
  <c r="L744" i="3"/>
  <c r="N744" i="3"/>
  <c r="J744" i="3"/>
  <c r="M744" i="3"/>
  <c r="O744" i="3"/>
  <c r="Q744" i="3" s="1"/>
  <c r="N832" i="3"/>
  <c r="K832" i="3"/>
  <c r="J832" i="3"/>
  <c r="M832" i="3"/>
  <c r="O832" i="3"/>
  <c r="Q832" i="3" s="1"/>
  <c r="L832" i="3"/>
  <c r="K800" i="3"/>
  <c r="J800" i="3"/>
  <c r="M800" i="3"/>
  <c r="L800" i="3"/>
  <c r="O800" i="3"/>
  <c r="Q800" i="3" s="1"/>
  <c r="N800" i="3"/>
  <c r="O805" i="3"/>
  <c r="Q805" i="3" s="1"/>
  <c r="J805" i="3"/>
  <c r="K805" i="3"/>
  <c r="M805" i="3"/>
  <c r="N805" i="3"/>
  <c r="L805" i="3"/>
  <c r="L826" i="3"/>
  <c r="N826" i="3"/>
  <c r="J826" i="3"/>
  <c r="O826" i="3"/>
  <c r="Q826" i="3" s="1"/>
  <c r="M826" i="3"/>
  <c r="K826" i="3"/>
  <c r="N798" i="3"/>
  <c r="J798" i="3"/>
  <c r="L798" i="3"/>
  <c r="K798" i="3"/>
  <c r="M798" i="3"/>
  <c r="O798" i="3"/>
  <c r="Q798" i="3" s="1"/>
  <c r="J794" i="3"/>
  <c r="M794" i="3"/>
  <c r="K794" i="3"/>
  <c r="N794" i="3"/>
  <c r="O794" i="3"/>
  <c r="Q794" i="3" s="1"/>
  <c r="L794" i="3"/>
  <c r="M835" i="3"/>
  <c r="O835" i="3"/>
  <c r="Q835" i="3" s="1"/>
  <c r="N835" i="3"/>
  <c r="J835" i="3"/>
  <c r="L835" i="3"/>
  <c r="K835" i="3"/>
  <c r="K843" i="3"/>
  <c r="J843" i="3"/>
  <c r="N843" i="3"/>
  <c r="O843" i="3"/>
  <c r="Q843" i="3" s="1"/>
  <c r="M843" i="3"/>
  <c r="L843" i="3"/>
  <c r="J792" i="3"/>
  <c r="O792" i="3"/>
  <c r="Q792" i="3" s="1"/>
  <c r="K792" i="3"/>
  <c r="L792" i="3"/>
  <c r="N792" i="3"/>
  <c r="M792" i="3"/>
  <c r="N825" i="3"/>
  <c r="O825" i="3"/>
  <c r="Q825" i="3" s="1"/>
  <c r="J825" i="3"/>
  <c r="L825" i="3"/>
  <c r="M825" i="3"/>
  <c r="K825" i="3"/>
  <c r="K817" i="3"/>
  <c r="N817" i="3"/>
  <c r="M817" i="3"/>
  <c r="O817" i="3"/>
  <c r="Q817" i="3" s="1"/>
  <c r="L817" i="3"/>
  <c r="J817" i="3"/>
  <c r="J788" i="3"/>
  <c r="M788" i="3"/>
  <c r="K788" i="3"/>
  <c r="N788" i="3"/>
  <c r="O788" i="3"/>
  <c r="Q788" i="3" s="1"/>
  <c r="L788" i="3"/>
  <c r="K784" i="3"/>
  <c r="J784" i="3"/>
  <c r="N784" i="3"/>
  <c r="M784" i="3"/>
  <c r="O784" i="3"/>
  <c r="Q784" i="3" s="1"/>
  <c r="L784" i="3"/>
  <c r="J812" i="3"/>
  <c r="M812" i="3"/>
  <c r="K812" i="3"/>
  <c r="N812" i="3"/>
  <c r="L812" i="3"/>
  <c r="O812" i="3"/>
  <c r="Q812" i="3" s="1"/>
  <c r="N819" i="3"/>
  <c r="K819" i="3"/>
  <c r="O819" i="3"/>
  <c r="Q819" i="3" s="1"/>
  <c r="M819" i="3"/>
  <c r="L819" i="3"/>
  <c r="J819" i="3"/>
  <c r="K808" i="3"/>
  <c r="N808" i="3"/>
  <c r="J808" i="3"/>
  <c r="L808" i="3"/>
  <c r="O808" i="3"/>
  <c r="Q808" i="3" s="1"/>
  <c r="M808" i="3"/>
  <c r="L737" i="3"/>
  <c r="K737" i="3"/>
  <c r="O737" i="3"/>
  <c r="Q737" i="3" s="1"/>
  <c r="M737" i="3"/>
  <c r="N737" i="3"/>
  <c r="J737" i="3"/>
  <c r="M733" i="3"/>
  <c r="J733" i="3"/>
  <c r="K733" i="3"/>
  <c r="O733" i="3"/>
  <c r="Q733" i="3" s="1"/>
  <c r="L733" i="3"/>
  <c r="N733" i="3"/>
  <c r="O714" i="3"/>
  <c r="Q714" i="3" s="1"/>
  <c r="M714" i="3"/>
  <c r="N714" i="3"/>
  <c r="K714" i="3"/>
  <c r="J714" i="3"/>
  <c r="L714" i="3"/>
  <c r="L729" i="3"/>
  <c r="M729" i="3"/>
  <c r="O729" i="3"/>
  <c r="Q729" i="3" s="1"/>
  <c r="J729" i="3"/>
  <c r="K729" i="3"/>
  <c r="N729" i="3"/>
  <c r="J725" i="3"/>
  <c r="K725" i="3"/>
  <c r="N725" i="3"/>
  <c r="L725" i="3"/>
  <c r="O725" i="3"/>
  <c r="Q725" i="3" s="1"/>
  <c r="M725" i="3"/>
  <c r="K721" i="3"/>
  <c r="L721" i="3"/>
  <c r="M721" i="3"/>
  <c r="O721" i="3"/>
  <c r="Q721" i="3" s="1"/>
  <c r="J721" i="3"/>
  <c r="N721" i="3"/>
  <c r="J432" i="3"/>
  <c r="O432" i="3"/>
  <c r="Q432" i="3" s="1"/>
  <c r="K432" i="3"/>
  <c r="M432" i="3"/>
  <c r="L432" i="3"/>
  <c r="N432" i="3"/>
  <c r="J433" i="3"/>
  <c r="M433" i="3"/>
  <c r="K433" i="3"/>
  <c r="L433" i="3"/>
  <c r="N433" i="3"/>
  <c r="O433" i="3"/>
  <c r="Q433" i="3" s="1"/>
  <c r="K445" i="3"/>
  <c r="L445" i="3"/>
  <c r="O445" i="3"/>
  <c r="Q445" i="3" s="1"/>
  <c r="M445" i="3"/>
  <c r="J445" i="3"/>
  <c r="N445" i="3"/>
  <c r="K437" i="3"/>
  <c r="L437" i="3"/>
  <c r="M437" i="3"/>
  <c r="O437" i="3"/>
  <c r="Q437" i="3" s="1"/>
  <c r="N437" i="3"/>
  <c r="J437" i="3"/>
  <c r="K446" i="3"/>
  <c r="O446" i="3"/>
  <c r="Q446" i="3" s="1"/>
  <c r="N446" i="3"/>
  <c r="J446" i="3"/>
  <c r="L446" i="3"/>
  <c r="M446" i="3"/>
  <c r="P446" i="3" s="1"/>
  <c r="L528" i="3"/>
  <c r="M528" i="3"/>
  <c r="K528" i="3"/>
  <c r="N528" i="3"/>
  <c r="J528" i="3"/>
  <c r="O528" i="3"/>
  <c r="Q528" i="3" s="1"/>
  <c r="L524" i="3"/>
  <c r="J524" i="3"/>
  <c r="M524" i="3"/>
  <c r="O524" i="3"/>
  <c r="Q524" i="3" s="1"/>
  <c r="K524" i="3"/>
  <c r="N524" i="3"/>
  <c r="N440" i="3"/>
  <c r="J440" i="3"/>
  <c r="M440" i="3"/>
  <c r="L440" i="3"/>
  <c r="K440" i="3"/>
  <c r="O440" i="3"/>
  <c r="Q440" i="3" s="1"/>
  <c r="J518" i="3"/>
  <c r="K518" i="3"/>
  <c r="L518" i="3"/>
  <c r="M518" i="3"/>
  <c r="O518" i="3"/>
  <c r="Q518" i="3" s="1"/>
  <c r="N518" i="3"/>
  <c r="L473" i="3"/>
  <c r="M473" i="3"/>
  <c r="K473" i="3"/>
  <c r="N473" i="3"/>
  <c r="J473" i="3"/>
  <c r="O473" i="3"/>
  <c r="Q473" i="3" s="1"/>
  <c r="O515" i="3"/>
  <c r="Q515" i="3" s="1"/>
  <c r="N515" i="3"/>
  <c r="K515" i="3"/>
  <c r="L515" i="3"/>
  <c r="J515" i="3"/>
  <c r="M515" i="3"/>
  <c r="P515" i="3" s="1"/>
  <c r="J511" i="3"/>
  <c r="N511" i="3"/>
  <c r="O511" i="3"/>
  <c r="Q511" i="3" s="1"/>
  <c r="K511" i="3"/>
  <c r="L511" i="3"/>
  <c r="M511" i="3"/>
  <c r="J507" i="3"/>
  <c r="M507" i="3"/>
  <c r="O507" i="3"/>
  <c r="Q507" i="3" s="1"/>
  <c r="L507" i="3"/>
  <c r="N507" i="3"/>
  <c r="K507" i="3"/>
  <c r="N480" i="3"/>
  <c r="K480" i="3"/>
  <c r="O480" i="3"/>
  <c r="Q480" i="3" s="1"/>
  <c r="J480" i="3"/>
  <c r="L480" i="3"/>
  <c r="M480" i="3"/>
  <c r="M542" i="3"/>
  <c r="N542" i="3"/>
  <c r="K542" i="3"/>
  <c r="O542" i="3"/>
  <c r="Q542" i="3" s="1"/>
  <c r="L542" i="3"/>
  <c r="J542" i="3"/>
  <c r="O458" i="3"/>
  <c r="Q458" i="3" s="1"/>
  <c r="M458" i="3"/>
  <c r="J458" i="3"/>
  <c r="L458" i="3"/>
  <c r="N458" i="3"/>
  <c r="K458" i="3"/>
  <c r="L454" i="3"/>
  <c r="O454" i="3"/>
  <c r="Q454" i="3" s="1"/>
  <c r="N454" i="3"/>
  <c r="J454" i="3"/>
  <c r="M454" i="3"/>
  <c r="K454" i="3"/>
  <c r="K539" i="3"/>
  <c r="M539" i="3"/>
  <c r="O539" i="3"/>
  <c r="Q539" i="3" s="1"/>
  <c r="N539" i="3"/>
  <c r="J539" i="3"/>
  <c r="L539" i="3"/>
  <c r="K484" i="3"/>
  <c r="M484" i="3"/>
  <c r="J484" i="3"/>
  <c r="O484" i="3"/>
  <c r="Q484" i="3" s="1"/>
  <c r="L484" i="3"/>
  <c r="N484" i="3"/>
  <c r="O468" i="3"/>
  <c r="Q468" i="3" s="1"/>
  <c r="L468" i="3"/>
  <c r="J468" i="3"/>
  <c r="N468" i="3"/>
  <c r="M468" i="3"/>
  <c r="P468" i="3" s="1"/>
  <c r="K468" i="3"/>
  <c r="J464" i="3"/>
  <c r="M464" i="3"/>
  <c r="O464" i="3"/>
  <c r="Q464" i="3" s="1"/>
  <c r="N464" i="3"/>
  <c r="L464" i="3"/>
  <c r="K464" i="3"/>
  <c r="M538" i="3"/>
  <c r="N538" i="3"/>
  <c r="O538" i="3"/>
  <c r="Q538" i="3" s="1"/>
  <c r="K538" i="3"/>
  <c r="J538" i="3"/>
  <c r="L538" i="3"/>
  <c r="J502" i="3"/>
  <c r="O502" i="3"/>
  <c r="Q502" i="3" s="1"/>
  <c r="K502" i="3"/>
  <c r="M502" i="3"/>
  <c r="N502" i="3"/>
  <c r="L502" i="3"/>
  <c r="K505" i="3"/>
  <c r="M505" i="3"/>
  <c r="O505" i="3"/>
  <c r="Q505" i="3" s="1"/>
  <c r="L505" i="3"/>
  <c r="J505" i="3"/>
  <c r="N505" i="3"/>
  <c r="O497" i="3"/>
  <c r="Q497" i="3" s="1"/>
  <c r="K497" i="3"/>
  <c r="J497" i="3"/>
  <c r="N497" i="3"/>
  <c r="M497" i="3"/>
  <c r="L497" i="3"/>
  <c r="K462" i="3"/>
  <c r="L462" i="3"/>
  <c r="J462" i="3"/>
  <c r="M462" i="3"/>
  <c r="N462" i="3"/>
  <c r="O462" i="3"/>
  <c r="Q462" i="3" s="1"/>
  <c r="J448" i="3"/>
  <c r="N448" i="3"/>
  <c r="O448" i="3"/>
  <c r="Q448" i="3" s="1"/>
  <c r="M448" i="3"/>
  <c r="L448" i="3"/>
  <c r="K448" i="3"/>
  <c r="L532" i="3"/>
  <c r="M532" i="3"/>
  <c r="O532" i="3"/>
  <c r="Q532" i="3" s="1"/>
  <c r="N532" i="3"/>
  <c r="K532" i="3"/>
  <c r="J532" i="3"/>
  <c r="O429" i="3"/>
  <c r="Q429" i="3" s="1"/>
  <c r="L429" i="3"/>
  <c r="K429" i="3"/>
  <c r="M429" i="3"/>
  <c r="N429" i="3"/>
  <c r="J429" i="3"/>
  <c r="M424" i="3"/>
  <c r="L424" i="3"/>
  <c r="J424" i="3"/>
  <c r="K424" i="3"/>
  <c r="O424" i="3"/>
  <c r="Q424" i="3" s="1"/>
  <c r="N424" i="3"/>
  <c r="J420" i="3"/>
  <c r="O420" i="3"/>
  <c r="Q420" i="3" s="1"/>
  <c r="K420" i="3"/>
  <c r="L420" i="3"/>
  <c r="N420" i="3"/>
  <c r="M420" i="3"/>
  <c r="K354" i="3"/>
  <c r="N354" i="3"/>
  <c r="L354" i="3"/>
  <c r="O354" i="3"/>
  <c r="Q354" i="3" s="1"/>
  <c r="J354" i="3"/>
  <c r="M354" i="3"/>
  <c r="K350" i="3"/>
  <c r="L350" i="3"/>
  <c r="O350" i="3"/>
  <c r="Q350" i="3" s="1"/>
  <c r="N350" i="3"/>
  <c r="J350" i="3"/>
  <c r="M350" i="3"/>
  <c r="J346" i="3"/>
  <c r="L346" i="3"/>
  <c r="K346" i="3"/>
  <c r="O346" i="3"/>
  <c r="Q346" i="3" s="1"/>
  <c r="M346" i="3"/>
  <c r="N346" i="3"/>
  <c r="L342" i="3"/>
  <c r="N342" i="3"/>
  <c r="K342" i="3"/>
  <c r="J342" i="3"/>
  <c r="M342" i="3"/>
  <c r="O342" i="3"/>
  <c r="Q342" i="3" s="1"/>
  <c r="M338" i="3"/>
  <c r="J338" i="3"/>
  <c r="O338" i="3"/>
  <c r="Q338" i="3" s="1"/>
  <c r="K338" i="3"/>
  <c r="N338" i="3"/>
  <c r="L338" i="3"/>
  <c r="M334" i="3"/>
  <c r="N334" i="3"/>
  <c r="L334" i="3"/>
  <c r="J334" i="3"/>
  <c r="K334" i="3"/>
  <c r="O334" i="3"/>
  <c r="Q334" i="3" s="1"/>
  <c r="L330" i="3"/>
  <c r="K330" i="3"/>
  <c r="J330" i="3"/>
  <c r="M330" i="3"/>
  <c r="O330" i="3"/>
  <c r="Q330" i="3" s="1"/>
  <c r="N330" i="3"/>
  <c r="O326" i="3"/>
  <c r="Q326" i="3" s="1"/>
  <c r="K326" i="3"/>
  <c r="J326" i="3"/>
  <c r="N326" i="3"/>
  <c r="L326" i="3"/>
  <c r="M326" i="3"/>
  <c r="P326" i="3" s="1"/>
  <c r="L322" i="3"/>
  <c r="O322" i="3"/>
  <c r="Q322" i="3" s="1"/>
  <c r="N322" i="3"/>
  <c r="M322" i="3"/>
  <c r="K322" i="3"/>
  <c r="J322" i="3"/>
  <c r="N318" i="3"/>
  <c r="K318" i="3"/>
  <c r="J318" i="3"/>
  <c r="M318" i="3"/>
  <c r="O318" i="3"/>
  <c r="Q318" i="3" s="1"/>
  <c r="L318" i="3"/>
  <c r="O314" i="3"/>
  <c r="Q314" i="3" s="1"/>
  <c r="J314" i="3"/>
  <c r="M314" i="3"/>
  <c r="N314" i="3"/>
  <c r="L314" i="3"/>
  <c r="K314" i="3"/>
  <c r="M310" i="3"/>
  <c r="J310" i="3"/>
  <c r="N310" i="3"/>
  <c r="K310" i="3"/>
  <c r="L310" i="3"/>
  <c r="O310" i="3"/>
  <c r="Q310" i="3" s="1"/>
  <c r="K306" i="3"/>
  <c r="M306" i="3"/>
  <c r="O306" i="3"/>
  <c r="Q306" i="3" s="1"/>
  <c r="L306" i="3"/>
  <c r="N306" i="3"/>
  <c r="J306" i="3"/>
  <c r="J302" i="3"/>
  <c r="O302" i="3"/>
  <c r="Q302" i="3" s="1"/>
  <c r="L302" i="3"/>
  <c r="M302" i="3"/>
  <c r="N302" i="3"/>
  <c r="K302" i="3"/>
  <c r="J298" i="3"/>
  <c r="O298" i="3"/>
  <c r="Q298" i="3" s="1"/>
  <c r="L298" i="3"/>
  <c r="N298" i="3"/>
  <c r="M298" i="3"/>
  <c r="K298" i="3"/>
  <c r="J375" i="3"/>
  <c r="O375" i="3"/>
  <c r="Q375" i="3" s="1"/>
  <c r="N375" i="3"/>
  <c r="M375" i="3"/>
  <c r="L375" i="3"/>
  <c r="K375" i="3"/>
  <c r="K371" i="3"/>
  <c r="N371" i="3"/>
  <c r="L371" i="3"/>
  <c r="M371" i="3"/>
  <c r="J371" i="3"/>
  <c r="O371" i="3"/>
  <c r="Q371" i="3" s="1"/>
  <c r="J365" i="3"/>
  <c r="K365" i="3"/>
  <c r="O365" i="3"/>
  <c r="Q365" i="3" s="1"/>
  <c r="L365" i="3"/>
  <c r="N365" i="3"/>
  <c r="M365" i="3"/>
  <c r="M380" i="3"/>
  <c r="N380" i="3"/>
  <c r="L380" i="3"/>
  <c r="K380" i="3"/>
  <c r="O380" i="3"/>
  <c r="Q380" i="3" s="1"/>
  <c r="J380" i="3"/>
  <c r="K364" i="3"/>
  <c r="N364" i="3"/>
  <c r="M364" i="3"/>
  <c r="L364" i="3"/>
  <c r="O364" i="3"/>
  <c r="Q364" i="3" s="1"/>
  <c r="J364" i="3"/>
  <c r="O413" i="3"/>
  <c r="Q413" i="3" s="1"/>
  <c r="J413" i="3"/>
  <c r="L413" i="3"/>
  <c r="M413" i="3"/>
  <c r="K413" i="3"/>
  <c r="N413" i="3"/>
  <c r="O407" i="3"/>
  <c r="Q407" i="3" s="1"/>
  <c r="M407" i="3"/>
  <c r="P407" i="3" s="1"/>
  <c r="N407" i="3"/>
  <c r="L407" i="3"/>
  <c r="J407" i="3"/>
  <c r="K407" i="3"/>
  <c r="L402" i="3"/>
  <c r="M402" i="3"/>
  <c r="N402" i="3"/>
  <c r="O402" i="3"/>
  <c r="Q402" i="3" s="1"/>
  <c r="K402" i="3"/>
  <c r="J402" i="3"/>
  <c r="M362" i="3"/>
  <c r="O362" i="3"/>
  <c r="Q362" i="3" s="1"/>
  <c r="K362" i="3"/>
  <c r="N362" i="3"/>
  <c r="J362" i="3"/>
  <c r="L362" i="3"/>
  <c r="L384" i="3"/>
  <c r="J384" i="3"/>
  <c r="N384" i="3"/>
  <c r="M384" i="3"/>
  <c r="K384" i="3"/>
  <c r="O384" i="3"/>
  <c r="Q384" i="3" s="1"/>
  <c r="N387" i="3"/>
  <c r="O387" i="3"/>
  <c r="Q387" i="3" s="1"/>
  <c r="L387" i="3"/>
  <c r="M387" i="3"/>
  <c r="J387" i="3"/>
  <c r="K387" i="3"/>
  <c r="K395" i="3"/>
  <c r="J395" i="3"/>
  <c r="O395" i="3"/>
  <c r="Q395" i="3" s="1"/>
  <c r="N395" i="3"/>
  <c r="M395" i="3"/>
  <c r="L395" i="3"/>
  <c r="O400" i="3"/>
  <c r="Q400" i="3" s="1"/>
  <c r="K400" i="3"/>
  <c r="N400" i="3"/>
  <c r="J400" i="3"/>
  <c r="M400" i="3"/>
  <c r="P400" i="3" s="1"/>
  <c r="L400" i="3"/>
  <c r="O398" i="3"/>
  <c r="Q398" i="3" s="1"/>
  <c r="M398" i="3"/>
  <c r="J398" i="3"/>
  <c r="N398" i="3"/>
  <c r="K398" i="3"/>
  <c r="L398" i="3"/>
  <c r="M294" i="3"/>
  <c r="J294" i="3"/>
  <c r="N294" i="3"/>
  <c r="L294" i="3"/>
  <c r="O294" i="3"/>
  <c r="Q294" i="3" s="1"/>
  <c r="K294" i="3"/>
  <c r="K286" i="3"/>
  <c r="M286" i="3"/>
  <c r="N286" i="3"/>
  <c r="J286" i="3"/>
  <c r="L286" i="3"/>
  <c r="O286" i="3"/>
  <c r="Q286" i="3" s="1"/>
  <c r="M248" i="3"/>
  <c r="N248" i="3"/>
  <c r="O248" i="3"/>
  <c r="Q248" i="3" s="1"/>
  <c r="K248" i="3"/>
  <c r="L248" i="3"/>
  <c r="J248" i="3"/>
  <c r="N251" i="3"/>
  <c r="J251" i="3"/>
  <c r="L251" i="3"/>
  <c r="M251" i="3"/>
  <c r="O251" i="3"/>
  <c r="Q251" i="3" s="1"/>
  <c r="K251" i="3"/>
  <c r="K282" i="3"/>
  <c r="L282" i="3"/>
  <c r="N282" i="3"/>
  <c r="J282" i="3"/>
  <c r="M282" i="3"/>
  <c r="O282" i="3"/>
  <c r="Q282" i="3" s="1"/>
  <c r="O242" i="3"/>
  <c r="Q242" i="3" s="1"/>
  <c r="K242" i="3"/>
  <c r="J242" i="3"/>
  <c r="N242" i="3"/>
  <c r="M242" i="3"/>
  <c r="P242" i="3" s="1"/>
  <c r="L242" i="3"/>
  <c r="K239" i="3"/>
  <c r="M239" i="3"/>
  <c r="L239" i="3"/>
  <c r="J239" i="3"/>
  <c r="N239" i="3"/>
  <c r="O239" i="3"/>
  <c r="Q239" i="3" s="1"/>
  <c r="J235" i="3"/>
  <c r="L235" i="3"/>
  <c r="O235" i="3"/>
  <c r="Q235" i="3" s="1"/>
  <c r="K235" i="3"/>
  <c r="N235" i="3"/>
  <c r="M235" i="3"/>
  <c r="O260" i="3"/>
  <c r="Q260" i="3" s="1"/>
  <c r="J260" i="3"/>
  <c r="K260" i="3"/>
  <c r="N260" i="3"/>
  <c r="L260" i="3"/>
  <c r="M260" i="3"/>
  <c r="P260" i="3" s="1"/>
  <c r="J278" i="3"/>
  <c r="N278" i="3"/>
  <c r="L278" i="3"/>
  <c r="O278" i="3"/>
  <c r="Q278" i="3" s="1"/>
  <c r="K278" i="3"/>
  <c r="M278" i="3"/>
  <c r="O279" i="3"/>
  <c r="Q279" i="3" s="1"/>
  <c r="J279" i="3"/>
  <c r="K279" i="3"/>
  <c r="M279" i="3"/>
  <c r="L279" i="3"/>
  <c r="N279" i="3"/>
  <c r="L269" i="3"/>
  <c r="N269" i="3"/>
  <c r="J269" i="3"/>
  <c r="O269" i="3"/>
  <c r="Q269" i="3" s="1"/>
  <c r="K269" i="3"/>
  <c r="M269" i="3"/>
  <c r="J273" i="3"/>
  <c r="N273" i="3"/>
  <c r="K273" i="3"/>
  <c r="L273" i="3"/>
  <c r="O273" i="3"/>
  <c r="Q273" i="3" s="1"/>
  <c r="M273" i="3"/>
  <c r="P273" i="3" s="1"/>
  <c r="O265" i="3"/>
  <c r="Q265" i="3" s="1"/>
  <c r="L265" i="3"/>
  <c r="J265" i="3"/>
  <c r="K265" i="3"/>
  <c r="N265" i="3"/>
  <c r="M265" i="3"/>
  <c r="J263" i="3"/>
  <c r="K263" i="3"/>
  <c r="M263" i="3"/>
  <c r="O263" i="3"/>
  <c r="Q263" i="3" s="1"/>
  <c r="N263" i="3"/>
  <c r="L263" i="3"/>
  <c r="O226" i="3"/>
  <c r="Q226" i="3" s="1"/>
  <c r="J226" i="3"/>
  <c r="D19" i="36" s="1"/>
  <c r="L226" i="3"/>
  <c r="N226" i="3"/>
  <c r="M226" i="3"/>
  <c r="K226" i="3"/>
  <c r="F19" i="36" s="1"/>
  <c r="J98" i="3"/>
  <c r="M98" i="3"/>
  <c r="N98" i="3"/>
  <c r="L98" i="3"/>
  <c r="O98" i="3"/>
  <c r="Q98" i="3" s="1"/>
  <c r="K98" i="3"/>
  <c r="K103" i="3"/>
  <c r="N103" i="3"/>
  <c r="J103" i="3"/>
  <c r="M103" i="3"/>
  <c r="L103" i="3"/>
  <c r="O103" i="3"/>
  <c r="Q103" i="3" s="1"/>
  <c r="K99" i="3"/>
  <c r="M99" i="3"/>
  <c r="L99" i="3"/>
  <c r="N99" i="3"/>
  <c r="J99" i="3"/>
  <c r="O99" i="3"/>
  <c r="Q99" i="3" s="1"/>
  <c r="J118" i="3"/>
  <c r="K118" i="3"/>
  <c r="N118" i="3"/>
  <c r="M118" i="3"/>
  <c r="L118" i="3"/>
  <c r="O118" i="3"/>
  <c r="Q118" i="3" s="1"/>
  <c r="L114" i="3"/>
  <c r="M114" i="3"/>
  <c r="J114" i="3"/>
  <c r="O114" i="3"/>
  <c r="Q114" i="3" s="1"/>
  <c r="N114" i="3"/>
  <c r="K114" i="3"/>
  <c r="L110" i="3"/>
  <c r="J110" i="3"/>
  <c r="O110" i="3"/>
  <c r="Q110" i="3" s="1"/>
  <c r="M110" i="3"/>
  <c r="N110" i="3"/>
  <c r="K110" i="3"/>
  <c r="L106" i="3"/>
  <c r="M106" i="3"/>
  <c r="K106" i="3"/>
  <c r="O106" i="3"/>
  <c r="Q106" i="3" s="1"/>
  <c r="J106" i="3"/>
  <c r="N106" i="3"/>
  <c r="K132" i="3"/>
  <c r="O132" i="3"/>
  <c r="Q132" i="3" s="1"/>
  <c r="N132" i="3"/>
  <c r="L132" i="3"/>
  <c r="J132" i="3"/>
  <c r="M132" i="3"/>
  <c r="N142" i="3"/>
  <c r="O142" i="3"/>
  <c r="Q142" i="3" s="1"/>
  <c r="K142" i="3"/>
  <c r="M142" i="3"/>
  <c r="J142" i="3"/>
  <c r="L142" i="3"/>
  <c r="N146" i="3"/>
  <c r="O146" i="3"/>
  <c r="Q146" i="3" s="1"/>
  <c r="L146" i="3"/>
  <c r="K146" i="3"/>
  <c r="J146" i="3"/>
  <c r="M146" i="3"/>
  <c r="J136" i="3"/>
  <c r="N136" i="3"/>
  <c r="O136" i="3"/>
  <c r="Q136" i="3" s="1"/>
  <c r="K136" i="3"/>
  <c r="M136" i="3"/>
  <c r="L136" i="3"/>
  <c r="M141" i="3"/>
  <c r="O141" i="3"/>
  <c r="Q141" i="3" s="1"/>
  <c r="L141" i="3"/>
  <c r="N141" i="3"/>
  <c r="J141" i="3"/>
  <c r="K141" i="3"/>
  <c r="M153" i="3"/>
  <c r="L153" i="3"/>
  <c r="N153" i="3"/>
  <c r="J153" i="3"/>
  <c r="K153" i="3"/>
  <c r="O153" i="3"/>
  <c r="Q153" i="3" s="1"/>
  <c r="O125" i="3"/>
  <c r="Q125" i="3" s="1"/>
  <c r="K125" i="3"/>
  <c r="J125" i="3"/>
  <c r="N125" i="3"/>
  <c r="L125" i="3"/>
  <c r="M125" i="3"/>
  <c r="M197" i="3"/>
  <c r="O197" i="3"/>
  <c r="Q197" i="3" s="1"/>
  <c r="J197" i="3"/>
  <c r="K197" i="3"/>
  <c r="N197" i="3"/>
  <c r="L197" i="3"/>
  <c r="O193" i="3"/>
  <c r="Q193" i="3" s="1"/>
  <c r="J193" i="3"/>
  <c r="L193" i="3"/>
  <c r="K193" i="3"/>
  <c r="N193" i="3"/>
  <c r="M193" i="3"/>
  <c r="M207" i="3"/>
  <c r="J207" i="3"/>
  <c r="L207" i="3"/>
  <c r="O207" i="3"/>
  <c r="Q207" i="3" s="1"/>
  <c r="K207" i="3"/>
  <c r="N207" i="3"/>
  <c r="L171" i="3"/>
  <c r="O171" i="3"/>
  <c r="Q171" i="3" s="1"/>
  <c r="J171" i="3"/>
  <c r="M171" i="3"/>
  <c r="N171" i="3"/>
  <c r="K171" i="3"/>
  <c r="O167" i="3"/>
  <c r="Q167" i="3" s="1"/>
  <c r="N167" i="3"/>
  <c r="J167" i="3"/>
  <c r="D20" i="36" s="1"/>
  <c r="L167" i="3"/>
  <c r="M167" i="3"/>
  <c r="P167" i="3" s="1"/>
  <c r="K167" i="3"/>
  <c r="F20" i="36" s="1"/>
  <c r="L201" i="3"/>
  <c r="J201" i="3"/>
  <c r="N201" i="3"/>
  <c r="O201" i="3"/>
  <c r="Q201" i="3" s="1"/>
  <c r="K201" i="3"/>
  <c r="M201" i="3"/>
  <c r="M165" i="3"/>
  <c r="L165" i="3"/>
  <c r="O165" i="3"/>
  <c r="Q165" i="3" s="1"/>
  <c r="N165" i="3"/>
  <c r="J165" i="3"/>
  <c r="D18" i="36" s="1"/>
  <c r="K165" i="3"/>
  <c r="F18" i="36" s="1"/>
  <c r="N161" i="3"/>
  <c r="J161" i="3"/>
  <c r="K161" i="3"/>
  <c r="O161" i="3"/>
  <c r="Q161" i="3" s="1"/>
  <c r="M161" i="3"/>
  <c r="L161" i="3"/>
  <c r="K156" i="3"/>
  <c r="O156" i="3"/>
  <c r="Q156" i="3" s="1"/>
  <c r="J156" i="3"/>
  <c r="N156" i="3"/>
  <c r="L156" i="3"/>
  <c r="M156" i="3"/>
  <c r="K188" i="3"/>
  <c r="O188" i="3"/>
  <c r="Q188" i="3" s="1"/>
  <c r="M188" i="3"/>
  <c r="L188" i="3"/>
  <c r="J188" i="3"/>
  <c r="N188" i="3"/>
  <c r="O184" i="3"/>
  <c r="Q184" i="3" s="1"/>
  <c r="L184" i="3"/>
  <c r="K184" i="3"/>
  <c r="N184" i="3"/>
  <c r="M184" i="3"/>
  <c r="J184" i="3"/>
  <c r="O180" i="3"/>
  <c r="Q180" i="3" s="1"/>
  <c r="N180" i="3"/>
  <c r="L180" i="3"/>
  <c r="J180" i="3"/>
  <c r="M180" i="3"/>
  <c r="K180" i="3"/>
  <c r="L130" i="3"/>
  <c r="O130" i="3"/>
  <c r="Q130" i="3" s="1"/>
  <c r="K130" i="3"/>
  <c r="M130" i="3"/>
  <c r="N130" i="3"/>
  <c r="J130" i="3"/>
  <c r="L175" i="3"/>
  <c r="K175" i="3"/>
  <c r="N175" i="3"/>
  <c r="J175" i="3"/>
  <c r="O175" i="3"/>
  <c r="Q175" i="3" s="1"/>
  <c r="M175" i="3"/>
  <c r="K212" i="3"/>
  <c r="N212" i="3"/>
  <c r="J212" i="3"/>
  <c r="O212" i="3"/>
  <c r="Q212" i="3" s="1"/>
  <c r="M212" i="3"/>
  <c r="L212" i="3"/>
  <c r="N224" i="3"/>
  <c r="O224" i="3"/>
  <c r="Q224" i="3" s="1"/>
  <c r="M224" i="3"/>
  <c r="L224" i="3"/>
  <c r="K224" i="3"/>
  <c r="J224" i="3"/>
  <c r="M216" i="3"/>
  <c r="K216" i="3"/>
  <c r="L216" i="3"/>
  <c r="N216" i="3"/>
  <c r="O216" i="3"/>
  <c r="Q216" i="3" s="1"/>
  <c r="J216" i="3"/>
  <c r="N219" i="3"/>
  <c r="M219" i="3"/>
  <c r="K219" i="3"/>
  <c r="J219" i="3"/>
  <c r="L219" i="3"/>
  <c r="O219" i="3"/>
  <c r="Q219" i="3" s="1"/>
  <c r="K50" i="3"/>
  <c r="M50" i="3"/>
  <c r="J50" i="3"/>
  <c r="N50" i="3"/>
  <c r="O50" i="3"/>
  <c r="Q50" i="3" s="1"/>
  <c r="L50" i="3"/>
  <c r="M63" i="3"/>
  <c r="L63" i="3"/>
  <c r="K63" i="3"/>
  <c r="J63" i="3"/>
  <c r="N63" i="3"/>
  <c r="O63" i="3"/>
  <c r="Q63" i="3" s="1"/>
  <c r="M67" i="3"/>
  <c r="K67" i="3"/>
  <c r="N67" i="3"/>
  <c r="J67" i="3"/>
  <c r="O67" i="3"/>
  <c r="Q67" i="3" s="1"/>
  <c r="L67" i="3"/>
  <c r="L83" i="3"/>
  <c r="J83" i="3"/>
  <c r="N83" i="3"/>
  <c r="M83" i="3"/>
  <c r="K83" i="3"/>
  <c r="O83" i="3"/>
  <c r="Q83" i="3" s="1"/>
  <c r="K81" i="3"/>
  <c r="M81" i="3"/>
  <c r="L81" i="3"/>
  <c r="J81" i="3"/>
  <c r="O81" i="3"/>
  <c r="Q81" i="3" s="1"/>
  <c r="N81" i="3"/>
  <c r="J19" i="3"/>
  <c r="L19" i="3"/>
  <c r="N19" i="3"/>
  <c r="K19" i="3"/>
  <c r="O19" i="3"/>
  <c r="Q19" i="3" s="1"/>
  <c r="M19" i="3"/>
  <c r="M15" i="3"/>
  <c r="L15" i="3"/>
  <c r="O15" i="3"/>
  <c r="Q15" i="3" s="1"/>
  <c r="K15" i="3"/>
  <c r="N15" i="3"/>
  <c r="J15" i="3"/>
  <c r="N11" i="3"/>
  <c r="M11" i="3"/>
  <c r="O11" i="3"/>
  <c r="Q11" i="3" s="1"/>
  <c r="K11" i="3"/>
  <c r="J11" i="3"/>
  <c r="L11" i="3"/>
  <c r="M28" i="3"/>
  <c r="O28" i="3"/>
  <c r="Q28" i="3" s="1"/>
  <c r="K28" i="3"/>
  <c r="N28" i="3"/>
  <c r="J28" i="3"/>
  <c r="L28" i="3"/>
  <c r="M24" i="3"/>
  <c r="J24" i="3"/>
  <c r="K24" i="3"/>
  <c r="O24" i="3"/>
  <c r="Q24" i="3" s="1"/>
  <c r="N24" i="3"/>
  <c r="L24" i="3"/>
  <c r="J20" i="3"/>
  <c r="N20" i="3"/>
  <c r="M20" i="3"/>
  <c r="K20" i="3"/>
  <c r="L20" i="3"/>
  <c r="O20" i="3"/>
  <c r="Q20" i="3" s="1"/>
  <c r="M7" i="3"/>
  <c r="O7" i="3"/>
  <c r="Q7" i="3" s="1"/>
  <c r="N7" i="3"/>
  <c r="L7" i="3"/>
  <c r="K7" i="3"/>
  <c r="J7" i="3"/>
  <c r="O48" i="3"/>
  <c r="Q48" i="3" s="1"/>
  <c r="N48" i="3"/>
  <c r="L48" i="3"/>
  <c r="K48" i="3"/>
  <c r="M48" i="3"/>
  <c r="J48" i="3"/>
  <c r="O44" i="3"/>
  <c r="Q44" i="3" s="1"/>
  <c r="K44" i="3"/>
  <c r="J44" i="3"/>
  <c r="N44" i="3"/>
  <c r="M44" i="3"/>
  <c r="L44" i="3"/>
  <c r="L40" i="3"/>
  <c r="N40" i="3"/>
  <c r="J40" i="3"/>
  <c r="O40" i="3"/>
  <c r="Q40" i="3" s="1"/>
  <c r="K40" i="3"/>
  <c r="M40" i="3"/>
  <c r="L36" i="3"/>
  <c r="K36" i="3"/>
  <c r="M36" i="3"/>
  <c r="N36" i="3"/>
  <c r="O36" i="3"/>
  <c r="Q36" i="3" s="1"/>
  <c r="J36" i="3"/>
  <c r="N88" i="3"/>
  <c r="J88" i="3"/>
  <c r="L88" i="3"/>
  <c r="M88" i="3"/>
  <c r="K88" i="3"/>
  <c r="O88" i="3"/>
  <c r="Q88" i="3" s="1"/>
  <c r="L55" i="3"/>
  <c r="N55" i="3"/>
  <c r="J55" i="3"/>
  <c r="M55" i="3"/>
  <c r="O55" i="3"/>
  <c r="Q55" i="3" s="1"/>
  <c r="K55" i="3"/>
  <c r="K52" i="3"/>
  <c r="J52" i="3"/>
  <c r="L52" i="3"/>
  <c r="O52" i="3"/>
  <c r="Q52" i="3" s="1"/>
  <c r="M52" i="3"/>
  <c r="N52" i="3"/>
  <c r="L75" i="3"/>
  <c r="M75" i="3"/>
  <c r="O75" i="3"/>
  <c r="Q75" i="3" s="1"/>
  <c r="J75" i="3"/>
  <c r="N75" i="3"/>
  <c r="K75" i="3"/>
  <c r="N71" i="3"/>
  <c r="K71" i="3"/>
  <c r="J71" i="3"/>
  <c r="O71" i="3"/>
  <c r="Q71" i="3" s="1"/>
  <c r="M71" i="3"/>
  <c r="L71" i="3"/>
  <c r="L84" i="3"/>
  <c r="O84" i="3"/>
  <c r="Q84" i="3" s="1"/>
  <c r="N84" i="3"/>
  <c r="K84" i="3"/>
  <c r="M84" i="3"/>
  <c r="J84" i="3"/>
  <c r="O1363" i="3"/>
  <c r="Q1363" i="3" s="1"/>
  <c r="J1363" i="3"/>
  <c r="N1363" i="3"/>
  <c r="L1363" i="3"/>
  <c r="K1363" i="3"/>
  <c r="M1363" i="3"/>
  <c r="O1356" i="3"/>
  <c r="Q1356" i="3" s="1"/>
  <c r="M1356" i="3"/>
  <c r="K1356" i="3"/>
  <c r="N1356" i="3"/>
  <c r="J1356" i="3"/>
  <c r="L1356" i="3"/>
  <c r="N1358" i="3"/>
  <c r="J1358" i="3"/>
  <c r="K1358" i="3"/>
  <c r="O1358" i="3"/>
  <c r="Q1358" i="3" s="1"/>
  <c r="M1358" i="3"/>
  <c r="L1358" i="3"/>
  <c r="J1315" i="3"/>
  <c r="M1315" i="3"/>
  <c r="K1315" i="3"/>
  <c r="O1315" i="3"/>
  <c r="Q1315" i="3" s="1"/>
  <c r="N1315" i="3"/>
  <c r="L1315" i="3"/>
  <c r="O1311" i="3"/>
  <c r="Q1311" i="3" s="1"/>
  <c r="K1311" i="3"/>
  <c r="M1311" i="3"/>
  <c r="J1311" i="3"/>
  <c r="N1311" i="3"/>
  <c r="L1311" i="3"/>
  <c r="K1318" i="3"/>
  <c r="L1318" i="3"/>
  <c r="O1318" i="3"/>
  <c r="Q1318" i="3" s="1"/>
  <c r="J1318" i="3"/>
  <c r="N1318" i="3"/>
  <c r="M1318" i="3"/>
  <c r="M1304" i="3"/>
  <c r="J1304" i="3"/>
  <c r="K1304" i="3"/>
  <c r="L1304" i="3"/>
  <c r="O1304" i="3"/>
  <c r="Q1304" i="3" s="1"/>
  <c r="N1304" i="3"/>
  <c r="O1320" i="3"/>
  <c r="Q1320" i="3" s="1"/>
  <c r="M1320" i="3"/>
  <c r="N1320" i="3"/>
  <c r="J1320" i="3"/>
  <c r="L1320" i="3"/>
  <c r="K1320" i="3"/>
  <c r="K1325" i="3"/>
  <c r="M1325" i="3"/>
  <c r="J1325" i="3"/>
  <c r="N1325" i="3"/>
  <c r="L1325" i="3"/>
  <c r="O1325" i="3"/>
  <c r="Q1325" i="3" s="1"/>
  <c r="K1349" i="3"/>
  <c r="M1349" i="3"/>
  <c r="L1349" i="3"/>
  <c r="J1349" i="3"/>
  <c r="N1349" i="3"/>
  <c r="O1349" i="3"/>
  <c r="Q1349" i="3" s="1"/>
  <c r="J1345" i="3"/>
  <c r="N1345" i="3"/>
  <c r="O1345" i="3"/>
  <c r="Q1345" i="3" s="1"/>
  <c r="K1345" i="3"/>
  <c r="M1345" i="3"/>
  <c r="L1345" i="3"/>
  <c r="L1340" i="3"/>
  <c r="M1340" i="3"/>
  <c r="O1340" i="3"/>
  <c r="Q1340" i="3" s="1"/>
  <c r="K1340" i="3"/>
  <c r="N1340" i="3"/>
  <c r="J1340" i="3"/>
  <c r="O1339" i="3"/>
  <c r="Q1339" i="3" s="1"/>
  <c r="N1339" i="3"/>
  <c r="L1339" i="3"/>
  <c r="K1339" i="3"/>
  <c r="J1339" i="3"/>
  <c r="M1339" i="3"/>
  <c r="K1333" i="3"/>
  <c r="M1333" i="3"/>
  <c r="O1333" i="3"/>
  <c r="Q1333" i="3" s="1"/>
  <c r="N1333" i="3"/>
  <c r="J1333" i="3"/>
  <c r="L1333" i="3"/>
  <c r="K1329" i="3"/>
  <c r="M1329" i="3"/>
  <c r="L1329" i="3"/>
  <c r="O1329" i="3"/>
  <c r="Q1329" i="3" s="1"/>
  <c r="N1329" i="3"/>
  <c r="J1329" i="3"/>
  <c r="O1286" i="3"/>
  <c r="Q1286" i="3" s="1"/>
  <c r="J1286" i="3"/>
  <c r="M1286" i="3"/>
  <c r="N1286" i="3"/>
  <c r="K1286" i="3"/>
  <c r="L1286" i="3"/>
  <c r="N1296" i="3"/>
  <c r="M1296" i="3"/>
  <c r="J1296" i="3"/>
  <c r="O1296" i="3"/>
  <c r="Q1296" i="3" s="1"/>
  <c r="K1296" i="3"/>
  <c r="L1296" i="3"/>
  <c r="N1290" i="3"/>
  <c r="K1290" i="3"/>
  <c r="J1290" i="3"/>
  <c r="O1290" i="3"/>
  <c r="Q1290" i="3" s="1"/>
  <c r="L1290" i="3"/>
  <c r="M1290" i="3"/>
  <c r="O1284" i="3"/>
  <c r="Q1284" i="3" s="1"/>
  <c r="N1284" i="3"/>
  <c r="K1284" i="3"/>
  <c r="M1284" i="3"/>
  <c r="L1284" i="3"/>
  <c r="J1284" i="3"/>
  <c r="K1277" i="3"/>
  <c r="J1277" i="3"/>
  <c r="M1277" i="3"/>
  <c r="O1277" i="3"/>
  <c r="Q1277" i="3" s="1"/>
  <c r="L1277" i="3"/>
  <c r="N1277" i="3"/>
  <c r="L1300" i="3"/>
  <c r="M1300" i="3"/>
  <c r="O1300" i="3"/>
  <c r="Q1300" i="3" s="1"/>
  <c r="N1300" i="3"/>
  <c r="J1300" i="3"/>
  <c r="K1300" i="3"/>
  <c r="K1267" i="3"/>
  <c r="L1267" i="3"/>
  <c r="J1267" i="3"/>
  <c r="N1267" i="3"/>
  <c r="O1267" i="3"/>
  <c r="Q1267" i="3" s="1"/>
  <c r="M1267" i="3"/>
  <c r="L1272" i="3"/>
  <c r="M1272" i="3"/>
  <c r="O1272" i="3"/>
  <c r="Q1272" i="3" s="1"/>
  <c r="K1272" i="3"/>
  <c r="N1272" i="3"/>
  <c r="J1272" i="3"/>
  <c r="N1264" i="3"/>
  <c r="M1264" i="3"/>
  <c r="L1264" i="3"/>
  <c r="K1264" i="3"/>
  <c r="O1264" i="3"/>
  <c r="Q1264" i="3" s="1"/>
  <c r="J1264" i="3"/>
  <c r="L1219" i="3"/>
  <c r="N1219" i="3"/>
  <c r="O1219" i="3"/>
  <c r="Q1219" i="3" s="1"/>
  <c r="M1219" i="3"/>
  <c r="J1219" i="3"/>
  <c r="K1219" i="3"/>
  <c r="L1232" i="3"/>
  <c r="K1232" i="3"/>
  <c r="J1232" i="3"/>
  <c r="N1232" i="3"/>
  <c r="M1232" i="3"/>
  <c r="O1232" i="3"/>
  <c r="Q1232" i="3" s="1"/>
  <c r="J1227" i="3"/>
  <c r="N1227" i="3"/>
  <c r="O1227" i="3"/>
  <c r="Q1227" i="3" s="1"/>
  <c r="L1227" i="3"/>
  <c r="M1227" i="3"/>
  <c r="K1227" i="3"/>
  <c r="K1230" i="3"/>
  <c r="O1230" i="3"/>
  <c r="Q1230" i="3" s="1"/>
  <c r="L1230" i="3"/>
  <c r="M1230" i="3"/>
  <c r="N1230" i="3"/>
  <c r="J1230" i="3"/>
  <c r="N1260" i="3"/>
  <c r="J1260" i="3"/>
  <c r="M1260" i="3"/>
  <c r="O1260" i="3"/>
  <c r="Q1260" i="3" s="1"/>
  <c r="L1260" i="3"/>
  <c r="K1260" i="3"/>
  <c r="O1256" i="3"/>
  <c r="Q1256" i="3" s="1"/>
  <c r="L1256" i="3"/>
  <c r="J1256" i="3"/>
  <c r="K1256" i="3"/>
  <c r="N1256" i="3"/>
  <c r="M1256" i="3"/>
  <c r="L1252" i="3"/>
  <c r="M1252" i="3"/>
  <c r="O1252" i="3"/>
  <c r="Q1252" i="3" s="1"/>
  <c r="N1252" i="3"/>
  <c r="K1252" i="3"/>
  <c r="J1252" i="3"/>
  <c r="N1248" i="3"/>
  <c r="M1248" i="3"/>
  <c r="L1248" i="3"/>
  <c r="O1248" i="3"/>
  <c r="Q1248" i="3" s="1"/>
  <c r="K1248" i="3"/>
  <c r="J1248" i="3"/>
  <c r="N1244" i="3"/>
  <c r="K1244" i="3"/>
  <c r="L1244" i="3"/>
  <c r="M1244" i="3"/>
  <c r="O1244" i="3"/>
  <c r="Q1244" i="3" s="1"/>
  <c r="J1244" i="3"/>
  <c r="K1240" i="3"/>
  <c r="J1240" i="3"/>
  <c r="N1240" i="3"/>
  <c r="L1240" i="3"/>
  <c r="M1240" i="3"/>
  <c r="O1240" i="3"/>
  <c r="Q1240" i="3" s="1"/>
  <c r="L1236" i="3"/>
  <c r="N1236" i="3"/>
  <c r="O1236" i="3"/>
  <c r="Q1236" i="3" s="1"/>
  <c r="K1236" i="3"/>
  <c r="J1236" i="3"/>
  <c r="M1236" i="3"/>
  <c r="J1139" i="3"/>
  <c r="K1139" i="3"/>
  <c r="N1139" i="3"/>
  <c r="M1139" i="3"/>
  <c r="O1139" i="3"/>
  <c r="Q1139" i="3" s="1"/>
  <c r="L1139" i="3"/>
  <c r="O1214" i="3"/>
  <c r="Q1214" i="3" s="1"/>
  <c r="L1214" i="3"/>
  <c r="M1214" i="3"/>
  <c r="K1214" i="3"/>
  <c r="N1214" i="3"/>
  <c r="J1214" i="3"/>
  <c r="M1205" i="3"/>
  <c r="N1205" i="3"/>
  <c r="L1205" i="3"/>
  <c r="J1205" i="3"/>
  <c r="K1205" i="3"/>
  <c r="O1205" i="3"/>
  <c r="Q1205" i="3" s="1"/>
  <c r="J1213" i="3"/>
  <c r="O1213" i="3"/>
  <c r="Q1213" i="3" s="1"/>
  <c r="K1213" i="3"/>
  <c r="M1213" i="3"/>
  <c r="L1213" i="3"/>
  <c r="N1213" i="3"/>
  <c r="L1198" i="3"/>
  <c r="J1198" i="3"/>
  <c r="O1198" i="3"/>
  <c r="Q1198" i="3" s="1"/>
  <c r="K1198" i="3"/>
  <c r="N1198" i="3"/>
  <c r="M1198" i="3"/>
  <c r="L1194" i="3"/>
  <c r="J1194" i="3"/>
  <c r="K1194" i="3"/>
  <c r="M1194" i="3"/>
  <c r="O1194" i="3"/>
  <c r="Q1194" i="3" s="1"/>
  <c r="N1194" i="3"/>
  <c r="L1190" i="3"/>
  <c r="O1190" i="3"/>
  <c r="Q1190" i="3" s="1"/>
  <c r="K1190" i="3"/>
  <c r="M1190" i="3"/>
  <c r="J1190" i="3"/>
  <c r="N1190" i="3"/>
  <c r="L1186" i="3"/>
  <c r="J1186" i="3"/>
  <c r="K1186" i="3"/>
  <c r="M1186" i="3"/>
  <c r="O1186" i="3"/>
  <c r="Q1186" i="3" s="1"/>
  <c r="N1186" i="3"/>
  <c r="N1178" i="3"/>
  <c r="L1178" i="3"/>
  <c r="J1178" i="3"/>
  <c r="K1178" i="3"/>
  <c r="M1178" i="3"/>
  <c r="O1178" i="3"/>
  <c r="Q1178" i="3" s="1"/>
  <c r="L1174" i="3"/>
  <c r="O1174" i="3"/>
  <c r="Q1174" i="3" s="1"/>
  <c r="J1174" i="3"/>
  <c r="K1174" i="3"/>
  <c r="M1174" i="3"/>
  <c r="N1174" i="3"/>
  <c r="L1170" i="3"/>
  <c r="J1170" i="3"/>
  <c r="K1170" i="3"/>
  <c r="M1170" i="3"/>
  <c r="O1170" i="3"/>
  <c r="Q1170" i="3" s="1"/>
  <c r="N1170" i="3"/>
  <c r="L1182" i="3"/>
  <c r="O1182" i="3"/>
  <c r="Q1182" i="3" s="1"/>
  <c r="K1182" i="3"/>
  <c r="M1182" i="3"/>
  <c r="N1182" i="3"/>
  <c r="J1182" i="3"/>
  <c r="L1166" i="3"/>
  <c r="O1166" i="3"/>
  <c r="Q1166" i="3" s="1"/>
  <c r="K1166" i="3"/>
  <c r="M1166" i="3"/>
  <c r="N1166" i="3"/>
  <c r="J1166" i="3"/>
  <c r="N1201" i="3"/>
  <c r="K1201" i="3"/>
  <c r="O1201" i="3"/>
  <c r="Q1201" i="3" s="1"/>
  <c r="M1201" i="3"/>
  <c r="L1201" i="3"/>
  <c r="J1201" i="3"/>
  <c r="O1159" i="3"/>
  <c r="Q1159" i="3" s="1"/>
  <c r="M1159" i="3"/>
  <c r="K1159" i="3"/>
  <c r="N1159" i="3"/>
  <c r="J1159" i="3"/>
  <c r="L1159" i="3"/>
  <c r="J1151" i="3"/>
  <c r="O1151" i="3"/>
  <c r="Q1151" i="3" s="1"/>
  <c r="N1151" i="3"/>
  <c r="L1151" i="3"/>
  <c r="K1151" i="3"/>
  <c r="M1151" i="3"/>
  <c r="P1151" i="3" s="1"/>
  <c r="O1199" i="3"/>
  <c r="Q1199" i="3" s="1"/>
  <c r="M1199" i="3"/>
  <c r="J1199" i="3"/>
  <c r="K1199" i="3"/>
  <c r="N1199" i="3"/>
  <c r="L1199" i="3"/>
  <c r="O1155" i="3"/>
  <c r="Q1155" i="3" s="1"/>
  <c r="L1155" i="3"/>
  <c r="J1155" i="3"/>
  <c r="N1155" i="3"/>
  <c r="M1155" i="3"/>
  <c r="P1155" i="3" s="1"/>
  <c r="K1155" i="3"/>
  <c r="N1146" i="3"/>
  <c r="L1146" i="3"/>
  <c r="J1146" i="3"/>
  <c r="K1146" i="3"/>
  <c r="M1146" i="3"/>
  <c r="O1146" i="3"/>
  <c r="Q1146" i="3" s="1"/>
  <c r="K1059" i="3"/>
  <c r="J1059" i="3"/>
  <c r="M1059" i="3"/>
  <c r="O1059" i="3"/>
  <c r="Q1059" i="3" s="1"/>
  <c r="N1059" i="3"/>
  <c r="L1059" i="3"/>
  <c r="O1022" i="3"/>
  <c r="Q1022" i="3" s="1"/>
  <c r="K1022" i="3"/>
  <c r="M1022" i="3"/>
  <c r="N1022" i="3"/>
  <c r="J1022" i="3"/>
  <c r="L1022" i="3"/>
  <c r="J1020" i="3"/>
  <c r="M1020" i="3"/>
  <c r="N1020" i="3"/>
  <c r="O1020" i="3"/>
  <c r="Q1020" i="3" s="1"/>
  <c r="L1020" i="3"/>
  <c r="K1020" i="3"/>
  <c r="J1044" i="3"/>
  <c r="M1044" i="3"/>
  <c r="L1044" i="3"/>
  <c r="K1044" i="3"/>
  <c r="N1044" i="3"/>
  <c r="O1044" i="3"/>
  <c r="Q1044" i="3" s="1"/>
  <c r="N1052" i="3"/>
  <c r="M1052" i="3"/>
  <c r="O1052" i="3"/>
  <c r="Q1052" i="3" s="1"/>
  <c r="L1052" i="3"/>
  <c r="K1052" i="3"/>
  <c r="J1052" i="3"/>
  <c r="J1016" i="3"/>
  <c r="M1016" i="3"/>
  <c r="N1016" i="3"/>
  <c r="K1016" i="3"/>
  <c r="O1016" i="3"/>
  <c r="Q1016" i="3" s="1"/>
  <c r="L1016" i="3"/>
  <c r="J1048" i="3"/>
  <c r="O1048" i="3"/>
  <c r="Q1048" i="3" s="1"/>
  <c r="N1048" i="3"/>
  <c r="L1048" i="3"/>
  <c r="K1048" i="3"/>
  <c r="M1048" i="3"/>
  <c r="P1048" i="3" s="1"/>
  <c r="N1014" i="3"/>
  <c r="K1014" i="3"/>
  <c r="L1014" i="3"/>
  <c r="J1014" i="3"/>
  <c r="O1014" i="3"/>
  <c r="Q1014" i="3" s="1"/>
  <c r="M1014" i="3"/>
  <c r="O1035" i="3"/>
  <c r="Q1035" i="3" s="1"/>
  <c r="J1035" i="3"/>
  <c r="L1035" i="3"/>
  <c r="K1035" i="3"/>
  <c r="N1035" i="3"/>
  <c r="M1035" i="3"/>
  <c r="K1032" i="3"/>
  <c r="J1032" i="3"/>
  <c r="L1032" i="3"/>
  <c r="M1032" i="3"/>
  <c r="N1032" i="3"/>
  <c r="O1032" i="3"/>
  <c r="Q1032" i="3" s="1"/>
  <c r="K1028" i="3"/>
  <c r="M1028" i="3"/>
  <c r="N1028" i="3"/>
  <c r="O1028" i="3"/>
  <c r="Q1028" i="3" s="1"/>
  <c r="J1028" i="3"/>
  <c r="L1028" i="3"/>
  <c r="J1024" i="3"/>
  <c r="O1024" i="3"/>
  <c r="Q1024" i="3" s="1"/>
  <c r="M1024" i="3"/>
  <c r="L1024" i="3"/>
  <c r="N1024" i="3"/>
  <c r="K1024" i="3"/>
  <c r="L1040" i="3"/>
  <c r="K1040" i="3"/>
  <c r="N1040" i="3"/>
  <c r="M1040" i="3"/>
  <c r="J1040" i="3"/>
  <c r="O1040" i="3"/>
  <c r="Q1040" i="3" s="1"/>
  <c r="L1134" i="3"/>
  <c r="J1134" i="3"/>
  <c r="K1134" i="3"/>
  <c r="M1134" i="3"/>
  <c r="O1134" i="3"/>
  <c r="Q1134" i="3" s="1"/>
  <c r="N1134" i="3"/>
  <c r="L1130" i="3"/>
  <c r="J1130" i="3"/>
  <c r="K1130" i="3"/>
  <c r="M1130" i="3"/>
  <c r="O1130" i="3"/>
  <c r="Q1130" i="3" s="1"/>
  <c r="N1130" i="3"/>
  <c r="L1126" i="3"/>
  <c r="J1126" i="3"/>
  <c r="K1126" i="3"/>
  <c r="M1126" i="3"/>
  <c r="N1126" i="3"/>
  <c r="O1126" i="3"/>
  <c r="Q1126" i="3" s="1"/>
  <c r="N1122" i="3"/>
  <c r="O1122" i="3"/>
  <c r="Q1122" i="3" s="1"/>
  <c r="L1122" i="3"/>
  <c r="J1122" i="3"/>
  <c r="K1122" i="3"/>
  <c r="M1122" i="3"/>
  <c r="P1122" i="3" s="1"/>
  <c r="L1118" i="3"/>
  <c r="J1118" i="3"/>
  <c r="K1118" i="3"/>
  <c r="M1118" i="3"/>
  <c r="O1118" i="3"/>
  <c r="Q1118" i="3" s="1"/>
  <c r="N1118" i="3"/>
  <c r="J1114" i="3"/>
  <c r="K1114" i="3"/>
  <c r="M1114" i="3"/>
  <c r="O1114" i="3"/>
  <c r="Q1114" i="3" s="1"/>
  <c r="N1114" i="3"/>
  <c r="L1114" i="3"/>
  <c r="J1110" i="3"/>
  <c r="K1110" i="3"/>
  <c r="M1110" i="3"/>
  <c r="L1110" i="3"/>
  <c r="N1110" i="3"/>
  <c r="O1110" i="3"/>
  <c r="Q1110" i="3" s="1"/>
  <c r="N1094" i="3"/>
  <c r="J1094" i="3"/>
  <c r="K1094" i="3"/>
  <c r="L1094" i="3"/>
  <c r="M1094" i="3"/>
  <c r="O1094" i="3"/>
  <c r="Q1094" i="3" s="1"/>
  <c r="N1106" i="3"/>
  <c r="J1106" i="3"/>
  <c r="L1106" i="3"/>
  <c r="O1106" i="3"/>
  <c r="Q1106" i="3" s="1"/>
  <c r="K1106" i="3"/>
  <c r="M1106" i="3"/>
  <c r="O1090" i="3"/>
  <c r="Q1090" i="3" s="1"/>
  <c r="M1090" i="3"/>
  <c r="J1090" i="3"/>
  <c r="N1090" i="3"/>
  <c r="K1090" i="3"/>
  <c r="L1090" i="3"/>
  <c r="O1086" i="3"/>
  <c r="Q1086" i="3" s="1"/>
  <c r="J1086" i="3"/>
  <c r="M1086" i="3"/>
  <c r="L1086" i="3"/>
  <c r="K1086" i="3"/>
  <c r="N1086" i="3"/>
  <c r="O1102" i="3"/>
  <c r="Q1102" i="3" s="1"/>
  <c r="L1102" i="3"/>
  <c r="N1102" i="3"/>
  <c r="K1102" i="3"/>
  <c r="J1102" i="3"/>
  <c r="M1102" i="3"/>
  <c r="M1098" i="3"/>
  <c r="J1098" i="3"/>
  <c r="N1098" i="3"/>
  <c r="L1098" i="3"/>
  <c r="K1098" i="3"/>
  <c r="O1098" i="3"/>
  <c r="Q1098" i="3" s="1"/>
  <c r="J1080" i="3"/>
  <c r="N1080" i="3"/>
  <c r="O1080" i="3"/>
  <c r="Q1080" i="3" s="1"/>
  <c r="L1080" i="3"/>
  <c r="K1080" i="3"/>
  <c r="M1080" i="3"/>
  <c r="L1082" i="3"/>
  <c r="J1082" i="3"/>
  <c r="N1082" i="3"/>
  <c r="O1082" i="3"/>
  <c r="Q1082" i="3" s="1"/>
  <c r="K1082" i="3"/>
  <c r="M1082" i="3"/>
  <c r="K1072" i="3"/>
  <c r="O1072" i="3"/>
  <c r="Q1072" i="3" s="1"/>
  <c r="L1072" i="3"/>
  <c r="N1072" i="3"/>
  <c r="M1072" i="3"/>
  <c r="J1072" i="3"/>
  <c r="J1068" i="3"/>
  <c r="N1068" i="3"/>
  <c r="O1068" i="3"/>
  <c r="Q1068" i="3" s="1"/>
  <c r="K1068" i="3"/>
  <c r="M1068" i="3"/>
  <c r="L1068" i="3"/>
  <c r="O1061" i="3"/>
  <c r="Q1061" i="3" s="1"/>
  <c r="J1061" i="3"/>
  <c r="L1061" i="3"/>
  <c r="N1061" i="3"/>
  <c r="K1061" i="3"/>
  <c r="M1061" i="3"/>
  <c r="O1063" i="3"/>
  <c r="Q1063" i="3" s="1"/>
  <c r="L1063" i="3"/>
  <c r="J1063" i="3"/>
  <c r="N1063" i="3"/>
  <c r="M1063" i="3"/>
  <c r="P1063" i="3" s="1"/>
  <c r="K1063" i="3"/>
  <c r="L1003" i="3"/>
  <c r="J1003" i="3"/>
  <c r="N1003" i="3"/>
  <c r="O1003" i="3"/>
  <c r="Q1003" i="3" s="1"/>
  <c r="M1003" i="3"/>
  <c r="K1003" i="3"/>
  <c r="L1002" i="3"/>
  <c r="O1002" i="3"/>
  <c r="Q1002" i="3" s="1"/>
  <c r="M1002" i="3"/>
  <c r="K1002" i="3"/>
  <c r="N1002" i="3"/>
  <c r="J1002" i="3"/>
  <c r="N978" i="3"/>
  <c r="J978" i="3"/>
  <c r="M978" i="3"/>
  <c r="O978" i="3"/>
  <c r="Q978" i="3" s="1"/>
  <c r="K978" i="3"/>
  <c r="L978" i="3"/>
  <c r="O974" i="3"/>
  <c r="Q974" i="3" s="1"/>
  <c r="M974" i="3"/>
  <c r="L974" i="3"/>
  <c r="K974" i="3"/>
  <c r="N974" i="3"/>
  <c r="F9" i="36" s="1"/>
  <c r="J974" i="3"/>
  <c r="N970" i="3"/>
  <c r="L970" i="3"/>
  <c r="M970" i="3"/>
  <c r="K970" i="3"/>
  <c r="J970" i="3"/>
  <c r="O970" i="3"/>
  <c r="Q970" i="3" s="1"/>
  <c r="J966" i="3"/>
  <c r="L966" i="3"/>
  <c r="K966" i="3"/>
  <c r="N966" i="3"/>
  <c r="O966" i="3"/>
  <c r="Q966" i="3" s="1"/>
  <c r="M966" i="3"/>
  <c r="O982" i="3"/>
  <c r="Q982" i="3" s="1"/>
  <c r="K982" i="3"/>
  <c r="M982" i="3"/>
  <c r="J982" i="3"/>
  <c r="L982" i="3"/>
  <c r="N982" i="3"/>
  <c r="F17" i="36" s="1"/>
  <c r="L1009" i="3"/>
  <c r="J1009" i="3"/>
  <c r="N1009" i="3"/>
  <c r="K1009" i="3"/>
  <c r="M1009" i="3"/>
  <c r="O1009" i="3"/>
  <c r="Q1009" i="3" s="1"/>
  <c r="N994" i="3"/>
  <c r="O994" i="3"/>
  <c r="Q994" i="3" s="1"/>
  <c r="M994" i="3"/>
  <c r="J994" i="3"/>
  <c r="K994" i="3"/>
  <c r="L994" i="3"/>
  <c r="K990" i="3"/>
  <c r="J990" i="3"/>
  <c r="M990" i="3"/>
  <c r="L990" i="3"/>
  <c r="N990" i="3"/>
  <c r="O990" i="3"/>
  <c r="Q990" i="3" s="1"/>
  <c r="K1001" i="3"/>
  <c r="M1001" i="3"/>
  <c r="N1001" i="3"/>
  <c r="O1001" i="3"/>
  <c r="Q1001" i="3" s="1"/>
  <c r="L1001" i="3"/>
  <c r="J1001" i="3"/>
  <c r="J983" i="3"/>
  <c r="M983" i="3"/>
  <c r="K983" i="3"/>
  <c r="N983" i="3"/>
  <c r="O983" i="3"/>
  <c r="Q983" i="3" s="1"/>
  <c r="L983" i="3"/>
  <c r="O1374" i="3"/>
  <c r="Q1374" i="3" s="1"/>
  <c r="L1374" i="3"/>
  <c r="N1374" i="3"/>
  <c r="J1374" i="3"/>
  <c r="K1374" i="3"/>
  <c r="M1374" i="3"/>
  <c r="K1370" i="3"/>
  <c r="M1370" i="3"/>
  <c r="O1370" i="3"/>
  <c r="Q1370" i="3" s="1"/>
  <c r="L1370" i="3"/>
  <c r="N1370" i="3"/>
  <c r="J1370" i="3"/>
  <c r="O1366" i="3"/>
  <c r="Q1366" i="3" s="1"/>
  <c r="M1366" i="3"/>
  <c r="N1366" i="3"/>
  <c r="J1366" i="3"/>
  <c r="K1366" i="3"/>
  <c r="L1366" i="3"/>
  <c r="K1383" i="3"/>
  <c r="M1383" i="3"/>
  <c r="O1383" i="3"/>
  <c r="Q1383" i="3" s="1"/>
  <c r="J1383" i="3"/>
  <c r="N1383" i="3"/>
  <c r="L1383" i="3"/>
  <c r="O1379" i="3"/>
  <c r="Q1379" i="3" s="1"/>
  <c r="K1379" i="3"/>
  <c r="J1379" i="3"/>
  <c r="N1379" i="3"/>
  <c r="L1379" i="3"/>
  <c r="M1379" i="3"/>
  <c r="M880" i="3"/>
  <c r="O880" i="3"/>
  <c r="Q880" i="3" s="1"/>
  <c r="K880" i="3"/>
  <c r="L880" i="3"/>
  <c r="N880" i="3"/>
  <c r="J880" i="3"/>
  <c r="J906" i="3"/>
  <c r="N906" i="3"/>
  <c r="L906" i="3"/>
  <c r="K906" i="3"/>
  <c r="O906" i="3"/>
  <c r="Q906" i="3" s="1"/>
  <c r="M906" i="3"/>
  <c r="K877" i="3"/>
  <c r="N877" i="3"/>
  <c r="M877" i="3"/>
  <c r="L877" i="3"/>
  <c r="J877" i="3"/>
  <c r="O877" i="3"/>
  <c r="Q877" i="3" s="1"/>
  <c r="O873" i="3"/>
  <c r="Q873" i="3" s="1"/>
  <c r="J873" i="3"/>
  <c r="M873" i="3"/>
  <c r="L873" i="3"/>
  <c r="N873" i="3"/>
  <c r="K873" i="3"/>
  <c r="J869" i="3"/>
  <c r="L869" i="3"/>
  <c r="N869" i="3"/>
  <c r="K869" i="3"/>
  <c r="O869" i="3"/>
  <c r="Q869" i="3" s="1"/>
  <c r="M869" i="3"/>
  <c r="J864" i="3"/>
  <c r="O864" i="3"/>
  <c r="Q864" i="3" s="1"/>
  <c r="K864" i="3"/>
  <c r="N864" i="3"/>
  <c r="L864" i="3"/>
  <c r="M864" i="3"/>
  <c r="P864" i="3" s="1"/>
  <c r="M855" i="3"/>
  <c r="K855" i="3"/>
  <c r="N855" i="3"/>
  <c r="O855" i="3"/>
  <c r="Q855" i="3" s="1"/>
  <c r="L855" i="3"/>
  <c r="J855" i="3"/>
  <c r="K861" i="3"/>
  <c r="L861" i="3"/>
  <c r="O861" i="3"/>
  <c r="Q861" i="3" s="1"/>
  <c r="J861" i="3"/>
  <c r="M861" i="3"/>
  <c r="N861" i="3"/>
  <c r="L853" i="3"/>
  <c r="N853" i="3"/>
  <c r="J853" i="3"/>
  <c r="O853" i="3"/>
  <c r="Q853" i="3" s="1"/>
  <c r="M853" i="3"/>
  <c r="K853" i="3"/>
  <c r="O960" i="3"/>
  <c r="Q960" i="3" s="1"/>
  <c r="K960" i="3"/>
  <c r="J960" i="3"/>
  <c r="M960" i="3"/>
  <c r="L960" i="3"/>
  <c r="N960" i="3"/>
  <c r="N956" i="3"/>
  <c r="O956" i="3"/>
  <c r="Q956" i="3" s="1"/>
  <c r="L956" i="3"/>
  <c r="J956" i="3"/>
  <c r="K956" i="3"/>
  <c r="M956" i="3"/>
  <c r="P956" i="3" s="1"/>
  <c r="K952" i="3"/>
  <c r="O952" i="3"/>
  <c r="Q952" i="3" s="1"/>
  <c r="N952" i="3"/>
  <c r="J952" i="3"/>
  <c r="L952" i="3"/>
  <c r="M952" i="3"/>
  <c r="P952" i="3" s="1"/>
  <c r="O948" i="3"/>
  <c r="Q948" i="3" s="1"/>
  <c r="N948" i="3"/>
  <c r="L948" i="3"/>
  <c r="K948" i="3"/>
  <c r="M948" i="3"/>
  <c r="P948" i="3" s="1"/>
  <c r="J948" i="3"/>
  <c r="L944" i="3"/>
  <c r="N944" i="3"/>
  <c r="M944" i="3"/>
  <c r="O944" i="3"/>
  <c r="Q944" i="3" s="1"/>
  <c r="K944" i="3"/>
  <c r="J944" i="3"/>
  <c r="M940" i="3"/>
  <c r="J940" i="3"/>
  <c r="N940" i="3"/>
  <c r="K940" i="3"/>
  <c r="L940" i="3"/>
  <c r="O940" i="3"/>
  <c r="Q940" i="3" s="1"/>
  <c r="O928" i="3"/>
  <c r="Q928" i="3" s="1"/>
  <c r="K928" i="3"/>
  <c r="M928" i="3"/>
  <c r="J928" i="3"/>
  <c r="N928" i="3"/>
  <c r="L928" i="3"/>
  <c r="O924" i="3"/>
  <c r="Q924" i="3" s="1"/>
  <c r="N924" i="3"/>
  <c r="K924" i="3"/>
  <c r="M924" i="3"/>
  <c r="L924" i="3"/>
  <c r="J924" i="3"/>
  <c r="M920" i="3"/>
  <c r="O920" i="3"/>
  <c r="Q920" i="3" s="1"/>
  <c r="K920" i="3"/>
  <c r="N920" i="3"/>
  <c r="J920" i="3"/>
  <c r="L920" i="3"/>
  <c r="N912" i="3"/>
  <c r="K912" i="3"/>
  <c r="L912" i="3"/>
  <c r="O912" i="3"/>
  <c r="Q912" i="3" s="1"/>
  <c r="J912" i="3"/>
  <c r="M912" i="3"/>
  <c r="N936" i="3"/>
  <c r="O936" i="3"/>
  <c r="Q936" i="3" s="1"/>
  <c r="J936" i="3"/>
  <c r="K936" i="3"/>
  <c r="M936" i="3"/>
  <c r="L936" i="3"/>
  <c r="M932" i="3"/>
  <c r="K932" i="3"/>
  <c r="J932" i="3"/>
  <c r="L932" i="3"/>
  <c r="N932" i="3"/>
  <c r="O932" i="3"/>
  <c r="Q932" i="3" s="1"/>
  <c r="M916" i="3"/>
  <c r="J916" i="3"/>
  <c r="K916" i="3"/>
  <c r="N916" i="3"/>
  <c r="O916" i="3"/>
  <c r="Q916" i="3" s="1"/>
  <c r="L916" i="3"/>
  <c r="M889" i="3"/>
  <c r="J889" i="3"/>
  <c r="L889" i="3"/>
  <c r="O889" i="3"/>
  <c r="Q889" i="3" s="1"/>
  <c r="N889" i="3"/>
  <c r="K889" i="3"/>
  <c r="L901" i="3"/>
  <c r="O901" i="3"/>
  <c r="Q901" i="3" s="1"/>
  <c r="J901" i="3"/>
  <c r="K901" i="3"/>
  <c r="M901" i="3"/>
  <c r="N901" i="3"/>
  <c r="O886" i="3"/>
  <c r="Q886" i="3" s="1"/>
  <c r="L886" i="3"/>
  <c r="N886" i="3"/>
  <c r="M886" i="3"/>
  <c r="K886" i="3"/>
  <c r="J886" i="3"/>
  <c r="M891" i="3"/>
  <c r="O891" i="3"/>
  <c r="Q891" i="3" s="1"/>
  <c r="J891" i="3"/>
  <c r="N891" i="3"/>
  <c r="K891" i="3"/>
  <c r="L891" i="3"/>
  <c r="L884" i="3"/>
  <c r="N884" i="3"/>
  <c r="M884" i="3"/>
  <c r="K884" i="3"/>
  <c r="J884" i="3"/>
  <c r="O884" i="3"/>
  <c r="Q884" i="3" s="1"/>
  <c r="J895" i="3"/>
  <c r="N895" i="3"/>
  <c r="M895" i="3"/>
  <c r="O895" i="3"/>
  <c r="Q895" i="3" s="1"/>
  <c r="L895" i="3"/>
  <c r="K895" i="3"/>
  <c r="N610" i="3"/>
  <c r="J610" i="3"/>
  <c r="O610" i="3"/>
  <c r="Q610" i="3" s="1"/>
  <c r="L610" i="3"/>
  <c r="K610" i="3"/>
  <c r="M610" i="3"/>
  <c r="L574" i="3"/>
  <c r="N574" i="3"/>
  <c r="M574" i="3"/>
  <c r="J574" i="3"/>
  <c r="K574" i="3"/>
  <c r="O574" i="3"/>
  <c r="Q574" i="3" s="1"/>
  <c r="O596" i="3"/>
  <c r="Q596" i="3" s="1"/>
  <c r="L596" i="3"/>
  <c r="J596" i="3"/>
  <c r="N596" i="3"/>
  <c r="M596" i="3"/>
  <c r="P596" i="3" s="1"/>
  <c r="K596" i="3"/>
  <c r="N606" i="3"/>
  <c r="K606" i="3"/>
  <c r="J606" i="3"/>
  <c r="O606" i="3"/>
  <c r="Q606" i="3" s="1"/>
  <c r="L606" i="3"/>
  <c r="M606" i="3"/>
  <c r="N594" i="3"/>
  <c r="L594" i="3"/>
  <c r="M594" i="3"/>
  <c r="O594" i="3"/>
  <c r="Q594" i="3" s="1"/>
  <c r="J594" i="3"/>
  <c r="K594" i="3"/>
  <c r="K569" i="3"/>
  <c r="J569" i="3"/>
  <c r="M569" i="3"/>
  <c r="N569" i="3"/>
  <c r="L569" i="3"/>
  <c r="O569" i="3"/>
  <c r="Q569" i="3" s="1"/>
  <c r="K602" i="3"/>
  <c r="J602" i="3"/>
  <c r="M602" i="3"/>
  <c r="N602" i="3"/>
  <c r="L602" i="3"/>
  <c r="O602" i="3"/>
  <c r="Q602" i="3" s="1"/>
  <c r="L590" i="3"/>
  <c r="K590" i="3"/>
  <c r="O590" i="3"/>
  <c r="Q590" i="3" s="1"/>
  <c r="J590" i="3"/>
  <c r="M590" i="3"/>
  <c r="N590" i="3"/>
  <c r="K566" i="3"/>
  <c r="O566" i="3"/>
  <c r="Q566" i="3" s="1"/>
  <c r="L566" i="3"/>
  <c r="N566" i="3"/>
  <c r="M566" i="3"/>
  <c r="J566" i="3"/>
  <c r="L544" i="3"/>
  <c r="J544" i="3"/>
  <c r="O544" i="3"/>
  <c r="Q544" i="3" s="1"/>
  <c r="N544" i="3"/>
  <c r="M544" i="3"/>
  <c r="K544" i="3"/>
  <c r="M586" i="3"/>
  <c r="N586" i="3"/>
  <c r="J586" i="3"/>
  <c r="K586" i="3"/>
  <c r="O586" i="3"/>
  <c r="Q586" i="3" s="1"/>
  <c r="L586" i="3"/>
  <c r="N582" i="3"/>
  <c r="J582" i="3"/>
  <c r="O582" i="3"/>
  <c r="Q582" i="3" s="1"/>
  <c r="L582" i="3"/>
  <c r="K582" i="3"/>
  <c r="M582" i="3"/>
  <c r="K561" i="3"/>
  <c r="N561" i="3"/>
  <c r="L561" i="3"/>
  <c r="O561" i="3"/>
  <c r="Q561" i="3" s="1"/>
  <c r="J561" i="3"/>
  <c r="M561" i="3"/>
  <c r="K557" i="3"/>
  <c r="J557" i="3"/>
  <c r="M557" i="3"/>
  <c r="O557" i="3"/>
  <c r="Q557" i="3" s="1"/>
  <c r="N557" i="3"/>
  <c r="L557" i="3"/>
  <c r="O577" i="3"/>
  <c r="Q577" i="3" s="1"/>
  <c r="M577" i="3"/>
  <c r="K577" i="3"/>
  <c r="N577" i="3"/>
  <c r="L577" i="3"/>
  <c r="J577" i="3"/>
  <c r="L554" i="3"/>
  <c r="K554" i="3"/>
  <c r="N554" i="3"/>
  <c r="M554" i="3"/>
  <c r="O554" i="3"/>
  <c r="Q554" i="3" s="1"/>
  <c r="J554" i="3"/>
  <c r="N550" i="3"/>
  <c r="J550" i="3"/>
  <c r="O550" i="3"/>
  <c r="Q550" i="3" s="1"/>
  <c r="M550" i="3"/>
  <c r="K550" i="3"/>
  <c r="L550" i="3"/>
  <c r="N711" i="3"/>
  <c r="K711" i="3"/>
  <c r="J711" i="3"/>
  <c r="L711" i="3"/>
  <c r="O711" i="3"/>
  <c r="Q711" i="3" s="1"/>
  <c r="M711" i="3"/>
  <c r="N707" i="3"/>
  <c r="O707" i="3"/>
  <c r="Q707" i="3" s="1"/>
  <c r="J707" i="3"/>
  <c r="L707" i="3"/>
  <c r="K707" i="3"/>
  <c r="M707" i="3"/>
  <c r="L703" i="3"/>
  <c r="K703" i="3"/>
  <c r="J703" i="3"/>
  <c r="M703" i="3"/>
  <c r="N703" i="3"/>
  <c r="O703" i="3"/>
  <c r="Q703" i="3" s="1"/>
  <c r="K699" i="3"/>
  <c r="J699" i="3"/>
  <c r="M699" i="3"/>
  <c r="N699" i="3"/>
  <c r="O699" i="3"/>
  <c r="Q699" i="3" s="1"/>
  <c r="L699" i="3"/>
  <c r="N695" i="3"/>
  <c r="O695" i="3"/>
  <c r="Q695" i="3" s="1"/>
  <c r="K695" i="3"/>
  <c r="M695" i="3"/>
  <c r="J695" i="3"/>
  <c r="L695" i="3"/>
  <c r="M690" i="3"/>
  <c r="J690" i="3"/>
  <c r="O690" i="3"/>
  <c r="Q690" i="3" s="1"/>
  <c r="N690" i="3"/>
  <c r="K690" i="3"/>
  <c r="L690" i="3"/>
  <c r="N686" i="3"/>
  <c r="L686" i="3"/>
  <c r="M686" i="3"/>
  <c r="K686" i="3"/>
  <c r="O686" i="3"/>
  <c r="Q686" i="3" s="1"/>
  <c r="J686" i="3"/>
  <c r="N682" i="3"/>
  <c r="K682" i="3"/>
  <c r="M682" i="3"/>
  <c r="O682" i="3"/>
  <c r="Q682" i="3" s="1"/>
  <c r="L682" i="3"/>
  <c r="J682" i="3"/>
  <c r="N678" i="3"/>
  <c r="K678" i="3"/>
  <c r="O678" i="3"/>
  <c r="Q678" i="3" s="1"/>
  <c r="J678" i="3"/>
  <c r="L678" i="3"/>
  <c r="M678" i="3"/>
  <c r="J670" i="3"/>
  <c r="N670" i="3"/>
  <c r="L670" i="3"/>
  <c r="O670" i="3"/>
  <c r="Q670" i="3" s="1"/>
  <c r="K670" i="3"/>
  <c r="M670" i="3"/>
  <c r="J658" i="3"/>
  <c r="K658" i="3"/>
  <c r="O658" i="3"/>
  <c r="Q658" i="3" s="1"/>
  <c r="L658" i="3"/>
  <c r="M658" i="3"/>
  <c r="N658" i="3"/>
  <c r="J654" i="3"/>
  <c r="L654" i="3"/>
  <c r="K654" i="3"/>
  <c r="N654" i="3"/>
  <c r="O654" i="3"/>
  <c r="Q654" i="3" s="1"/>
  <c r="M654" i="3"/>
  <c r="O674" i="3"/>
  <c r="Q674" i="3" s="1"/>
  <c r="K674" i="3"/>
  <c r="J674" i="3"/>
  <c r="N674" i="3"/>
  <c r="M674" i="3"/>
  <c r="L674" i="3"/>
  <c r="O666" i="3"/>
  <c r="Q666" i="3" s="1"/>
  <c r="J666" i="3"/>
  <c r="N666" i="3"/>
  <c r="K666" i="3"/>
  <c r="M666" i="3"/>
  <c r="L666" i="3"/>
  <c r="J662" i="3"/>
  <c r="L662" i="3"/>
  <c r="N662" i="3"/>
  <c r="K662" i="3"/>
  <c r="M662" i="3"/>
  <c r="O662" i="3"/>
  <c r="Q662" i="3" s="1"/>
  <c r="N650" i="3"/>
  <c r="L650" i="3"/>
  <c r="M650" i="3"/>
  <c r="J650" i="3"/>
  <c r="K650" i="3"/>
  <c r="O650" i="3"/>
  <c r="Q650" i="3" s="1"/>
  <c r="J646" i="3"/>
  <c r="N646" i="3"/>
  <c r="L646" i="3"/>
  <c r="K646" i="3"/>
  <c r="O646" i="3"/>
  <c r="Q646" i="3" s="1"/>
  <c r="M646" i="3"/>
  <c r="M642" i="3"/>
  <c r="L642" i="3"/>
  <c r="N642" i="3"/>
  <c r="O642" i="3"/>
  <c r="Q642" i="3" s="1"/>
  <c r="K642" i="3"/>
  <c r="J642" i="3"/>
  <c r="M638" i="3"/>
  <c r="N638" i="3"/>
  <c r="L638" i="3"/>
  <c r="K638" i="3"/>
  <c r="J638" i="3"/>
  <c r="O638" i="3"/>
  <c r="Q638" i="3" s="1"/>
  <c r="O634" i="3"/>
  <c r="Q634" i="3" s="1"/>
  <c r="M634" i="3"/>
  <c r="J634" i="3"/>
  <c r="K634" i="3"/>
  <c r="N634" i="3"/>
  <c r="L634" i="3"/>
  <c r="M631" i="3"/>
  <c r="N631" i="3"/>
  <c r="O631" i="3"/>
  <c r="Q631" i="3" s="1"/>
  <c r="J631" i="3"/>
  <c r="K631" i="3"/>
  <c r="L631" i="3"/>
  <c r="L627" i="3"/>
  <c r="J627" i="3"/>
  <c r="O627" i="3"/>
  <c r="Q627" i="3" s="1"/>
  <c r="K627" i="3"/>
  <c r="N627" i="3"/>
  <c r="M627" i="3"/>
  <c r="O622" i="3"/>
  <c r="Q622" i="3" s="1"/>
  <c r="M622" i="3"/>
  <c r="J622" i="3"/>
  <c r="N622" i="3"/>
  <c r="K622" i="3"/>
  <c r="L622" i="3"/>
  <c r="O618" i="3"/>
  <c r="Q618" i="3" s="1"/>
  <c r="K618" i="3"/>
  <c r="L618" i="3"/>
  <c r="J618" i="3"/>
  <c r="M618" i="3"/>
  <c r="P618" i="3" s="1"/>
  <c r="N618" i="3"/>
  <c r="K614" i="3"/>
  <c r="M614" i="3"/>
  <c r="O614" i="3"/>
  <c r="Q614" i="3" s="1"/>
  <c r="J614" i="3"/>
  <c r="N614" i="3"/>
  <c r="L614" i="3"/>
  <c r="M782" i="3"/>
  <c r="N782" i="3"/>
  <c r="L782" i="3"/>
  <c r="J782" i="3"/>
  <c r="K782" i="3"/>
  <c r="O782" i="3"/>
  <c r="Q782" i="3" s="1"/>
  <c r="O778" i="3"/>
  <c r="Q778" i="3" s="1"/>
  <c r="N778" i="3"/>
  <c r="L778" i="3"/>
  <c r="K778" i="3"/>
  <c r="M778" i="3"/>
  <c r="P778" i="3" s="1"/>
  <c r="J778" i="3"/>
  <c r="N774" i="3"/>
  <c r="M774" i="3"/>
  <c r="J774" i="3"/>
  <c r="K774" i="3"/>
  <c r="O774" i="3"/>
  <c r="Q774" i="3" s="1"/>
  <c r="L774" i="3"/>
  <c r="M770" i="3"/>
  <c r="N770" i="3"/>
  <c r="K770" i="3"/>
  <c r="O770" i="3"/>
  <c r="Q770" i="3" s="1"/>
  <c r="J770" i="3"/>
  <c r="L770" i="3"/>
  <c r="K845" i="3"/>
  <c r="M845" i="3"/>
  <c r="J845" i="3"/>
  <c r="O845" i="3"/>
  <c r="Q845" i="3" s="1"/>
  <c r="N845" i="3"/>
  <c r="L845" i="3"/>
  <c r="M763" i="3"/>
  <c r="J763" i="3"/>
  <c r="O763" i="3"/>
  <c r="Q763" i="3" s="1"/>
  <c r="N763" i="3"/>
  <c r="L763" i="3"/>
  <c r="K763" i="3"/>
  <c r="L759" i="3"/>
  <c r="M759" i="3"/>
  <c r="O759" i="3"/>
  <c r="Q759" i="3" s="1"/>
  <c r="K759" i="3"/>
  <c r="N759" i="3"/>
  <c r="J759" i="3"/>
  <c r="L755" i="3"/>
  <c r="N755" i="3"/>
  <c r="K755" i="3"/>
  <c r="J755" i="3"/>
  <c r="O755" i="3"/>
  <c r="Q755" i="3" s="1"/>
  <c r="M755" i="3"/>
  <c r="O751" i="3"/>
  <c r="Q751" i="3" s="1"/>
  <c r="K751" i="3"/>
  <c r="L751" i="3"/>
  <c r="N751" i="3"/>
  <c r="J751" i="3"/>
  <c r="M751" i="3"/>
  <c r="O747" i="3"/>
  <c r="Q747" i="3" s="1"/>
  <c r="J747" i="3"/>
  <c r="L747" i="3"/>
  <c r="M747" i="3"/>
  <c r="N747" i="3"/>
  <c r="K747" i="3"/>
  <c r="K743" i="3"/>
  <c r="N743" i="3"/>
  <c r="J743" i="3"/>
  <c r="O743" i="3"/>
  <c r="Q743" i="3" s="1"/>
  <c r="L743" i="3"/>
  <c r="M743" i="3"/>
  <c r="O803" i="3"/>
  <c r="Q803" i="3" s="1"/>
  <c r="M803" i="3"/>
  <c r="K803" i="3"/>
  <c r="J803" i="3"/>
  <c r="L803" i="3"/>
  <c r="N803" i="3"/>
  <c r="J799" i="3"/>
  <c r="N799" i="3"/>
  <c r="K799" i="3"/>
  <c r="L799" i="3"/>
  <c r="M799" i="3"/>
  <c r="O799" i="3"/>
  <c r="Q799" i="3" s="1"/>
  <c r="K829" i="3"/>
  <c r="L829" i="3"/>
  <c r="N829" i="3"/>
  <c r="M829" i="3"/>
  <c r="J829" i="3"/>
  <c r="O829" i="3"/>
  <c r="Q829" i="3" s="1"/>
  <c r="M804" i="3"/>
  <c r="O804" i="3"/>
  <c r="Q804" i="3" s="1"/>
  <c r="N804" i="3"/>
  <c r="J804" i="3"/>
  <c r="L804" i="3"/>
  <c r="K804" i="3"/>
  <c r="M797" i="3"/>
  <c r="J797" i="3"/>
  <c r="O797" i="3"/>
  <c r="Q797" i="3" s="1"/>
  <c r="K797" i="3"/>
  <c r="L797" i="3"/>
  <c r="N797" i="3"/>
  <c r="M838" i="3"/>
  <c r="N838" i="3"/>
  <c r="K838" i="3"/>
  <c r="J838" i="3"/>
  <c r="O838" i="3"/>
  <c r="Q838" i="3" s="1"/>
  <c r="L838" i="3"/>
  <c r="K834" i="3"/>
  <c r="N834" i="3"/>
  <c r="J834" i="3"/>
  <c r="L834" i="3"/>
  <c r="M834" i="3"/>
  <c r="O834" i="3"/>
  <c r="Q834" i="3" s="1"/>
  <c r="M842" i="3"/>
  <c r="K842" i="3"/>
  <c r="J842" i="3"/>
  <c r="L842" i="3"/>
  <c r="N842" i="3"/>
  <c r="O842" i="3"/>
  <c r="Q842" i="3" s="1"/>
  <c r="L791" i="3"/>
  <c r="M791" i="3"/>
  <c r="O791" i="3"/>
  <c r="Q791" i="3" s="1"/>
  <c r="K791" i="3"/>
  <c r="J791" i="3"/>
  <c r="N791" i="3"/>
  <c r="L824" i="3"/>
  <c r="K824" i="3"/>
  <c r="O824" i="3"/>
  <c r="Q824" i="3" s="1"/>
  <c r="M824" i="3"/>
  <c r="J824" i="3"/>
  <c r="N824" i="3"/>
  <c r="J816" i="3"/>
  <c r="L816" i="3"/>
  <c r="M816" i="3"/>
  <c r="N816" i="3"/>
  <c r="O816" i="3"/>
  <c r="Q816" i="3" s="1"/>
  <c r="K816" i="3"/>
  <c r="N787" i="3"/>
  <c r="K787" i="3"/>
  <c r="L787" i="3"/>
  <c r="O787" i="3"/>
  <c r="Q787" i="3" s="1"/>
  <c r="M787" i="3"/>
  <c r="J787" i="3"/>
  <c r="K813" i="3"/>
  <c r="L813" i="3"/>
  <c r="M813" i="3"/>
  <c r="O813" i="3"/>
  <c r="Q813" i="3" s="1"/>
  <c r="N813" i="3"/>
  <c r="J813" i="3"/>
  <c r="O811" i="3"/>
  <c r="Q811" i="3" s="1"/>
  <c r="M811" i="3"/>
  <c r="N811" i="3"/>
  <c r="J811" i="3"/>
  <c r="L811" i="3"/>
  <c r="K811" i="3"/>
  <c r="O807" i="3"/>
  <c r="Q807" i="3" s="1"/>
  <c r="J807" i="3"/>
  <c r="K807" i="3"/>
  <c r="L807" i="3"/>
  <c r="M807" i="3"/>
  <c r="P807" i="3" s="1"/>
  <c r="N807" i="3"/>
  <c r="L717" i="3"/>
  <c r="M717" i="3"/>
  <c r="K717" i="3"/>
  <c r="O717" i="3"/>
  <c r="Q717" i="3" s="1"/>
  <c r="J717" i="3"/>
  <c r="N717" i="3"/>
  <c r="M736" i="3"/>
  <c r="L736" i="3"/>
  <c r="J736" i="3"/>
  <c r="K736" i="3"/>
  <c r="N736" i="3"/>
  <c r="O736" i="3"/>
  <c r="Q736" i="3" s="1"/>
  <c r="J732" i="3"/>
  <c r="M732" i="3"/>
  <c r="K732" i="3"/>
  <c r="L732" i="3"/>
  <c r="N732" i="3"/>
  <c r="O732" i="3"/>
  <c r="Q732" i="3" s="1"/>
  <c r="N713" i="3"/>
  <c r="J713" i="3"/>
  <c r="M713" i="3"/>
  <c r="O713" i="3"/>
  <c r="Q713" i="3" s="1"/>
  <c r="L713" i="3"/>
  <c r="K713" i="3"/>
  <c r="M728" i="3"/>
  <c r="N728" i="3"/>
  <c r="K728" i="3"/>
  <c r="L728" i="3"/>
  <c r="J728" i="3"/>
  <c r="O728" i="3"/>
  <c r="Q728" i="3" s="1"/>
  <c r="N724" i="3"/>
  <c r="M724" i="3"/>
  <c r="L724" i="3"/>
  <c r="J724" i="3"/>
  <c r="O724" i="3"/>
  <c r="Q724" i="3" s="1"/>
  <c r="K724" i="3"/>
  <c r="K720" i="3"/>
  <c r="J720" i="3"/>
  <c r="L720" i="3"/>
  <c r="O720" i="3"/>
  <c r="Q720" i="3" s="1"/>
  <c r="N720" i="3"/>
  <c r="M720" i="3"/>
  <c r="M494" i="3"/>
  <c r="N494" i="3"/>
  <c r="L494" i="3"/>
  <c r="J494" i="3"/>
  <c r="O494" i="3"/>
  <c r="Q494" i="3" s="1"/>
  <c r="K494" i="3"/>
  <c r="M495" i="3"/>
  <c r="N495" i="3"/>
  <c r="J495" i="3"/>
  <c r="L495" i="3"/>
  <c r="K495" i="3"/>
  <c r="O495" i="3"/>
  <c r="Q495" i="3" s="1"/>
  <c r="O444" i="3"/>
  <c r="Q444" i="3" s="1"/>
  <c r="N444" i="3"/>
  <c r="K444" i="3"/>
  <c r="M444" i="3"/>
  <c r="J444" i="3"/>
  <c r="L444" i="3"/>
  <c r="L436" i="3"/>
  <c r="N436" i="3"/>
  <c r="J436" i="3"/>
  <c r="K436" i="3"/>
  <c r="M436" i="3"/>
  <c r="O436" i="3"/>
  <c r="Q436" i="3" s="1"/>
  <c r="O531" i="3"/>
  <c r="Q531" i="3" s="1"/>
  <c r="M531" i="3"/>
  <c r="P531" i="3" s="1"/>
  <c r="L531" i="3"/>
  <c r="N531" i="3"/>
  <c r="K531" i="3"/>
  <c r="J531" i="3"/>
  <c r="K527" i="3"/>
  <c r="L527" i="3"/>
  <c r="O527" i="3"/>
  <c r="Q527" i="3" s="1"/>
  <c r="M527" i="3"/>
  <c r="P527" i="3" s="1"/>
  <c r="N527" i="3"/>
  <c r="J527" i="3"/>
  <c r="L443" i="3"/>
  <c r="O443" i="3"/>
  <c r="Q443" i="3" s="1"/>
  <c r="N443" i="3"/>
  <c r="M443" i="3"/>
  <c r="K443" i="3"/>
  <c r="J443" i="3"/>
  <c r="K523" i="3"/>
  <c r="J523" i="3"/>
  <c r="M523" i="3"/>
  <c r="O523" i="3"/>
  <c r="Q523" i="3" s="1"/>
  <c r="N523" i="3"/>
  <c r="L523" i="3"/>
  <c r="J476" i="3"/>
  <c r="O476" i="3"/>
  <c r="Q476" i="3" s="1"/>
  <c r="N476" i="3"/>
  <c r="L476" i="3"/>
  <c r="M476" i="3"/>
  <c r="K476" i="3"/>
  <c r="K472" i="3"/>
  <c r="J472" i="3"/>
  <c r="O472" i="3"/>
  <c r="Q472" i="3" s="1"/>
  <c r="N472" i="3"/>
  <c r="M472" i="3"/>
  <c r="L472" i="3"/>
  <c r="M514" i="3"/>
  <c r="K514" i="3"/>
  <c r="O514" i="3"/>
  <c r="Q514" i="3" s="1"/>
  <c r="J514" i="3"/>
  <c r="L514" i="3"/>
  <c r="N514" i="3"/>
  <c r="M510" i="3"/>
  <c r="L510" i="3"/>
  <c r="J510" i="3"/>
  <c r="K510" i="3"/>
  <c r="N510" i="3"/>
  <c r="O510" i="3"/>
  <c r="Q510" i="3" s="1"/>
  <c r="K483" i="3"/>
  <c r="N483" i="3"/>
  <c r="L483" i="3"/>
  <c r="O483" i="3"/>
  <c r="Q483" i="3" s="1"/>
  <c r="M483" i="3"/>
  <c r="J483" i="3"/>
  <c r="O479" i="3"/>
  <c r="Q479" i="3" s="1"/>
  <c r="N479" i="3"/>
  <c r="M479" i="3"/>
  <c r="L479" i="3"/>
  <c r="K479" i="3"/>
  <c r="J479" i="3"/>
  <c r="M541" i="3"/>
  <c r="K541" i="3"/>
  <c r="L541" i="3"/>
  <c r="J541" i="3"/>
  <c r="O541" i="3"/>
  <c r="Q541" i="3" s="1"/>
  <c r="N541" i="3"/>
  <c r="L457" i="3"/>
  <c r="J457" i="3"/>
  <c r="M457" i="3"/>
  <c r="K457" i="3"/>
  <c r="N457" i="3"/>
  <c r="O457" i="3"/>
  <c r="Q457" i="3" s="1"/>
  <c r="L453" i="3"/>
  <c r="N453" i="3"/>
  <c r="O453" i="3"/>
  <c r="Q453" i="3" s="1"/>
  <c r="J453" i="3"/>
  <c r="K453" i="3"/>
  <c r="M453" i="3"/>
  <c r="O521" i="3"/>
  <c r="Q521" i="3" s="1"/>
  <c r="K521" i="3"/>
  <c r="L521" i="3"/>
  <c r="M521" i="3"/>
  <c r="N521" i="3"/>
  <c r="J521" i="3"/>
  <c r="K471" i="3"/>
  <c r="J471" i="3"/>
  <c r="M471" i="3"/>
  <c r="N471" i="3"/>
  <c r="O471" i="3"/>
  <c r="Q471" i="3" s="1"/>
  <c r="L471" i="3"/>
  <c r="J467" i="3"/>
  <c r="O467" i="3"/>
  <c r="Q467" i="3" s="1"/>
  <c r="K467" i="3"/>
  <c r="M467" i="3"/>
  <c r="N467" i="3"/>
  <c r="L467" i="3"/>
  <c r="K463" i="3"/>
  <c r="N463" i="3"/>
  <c r="M463" i="3"/>
  <c r="L463" i="3"/>
  <c r="O463" i="3"/>
  <c r="Q463" i="3" s="1"/>
  <c r="J463" i="3"/>
  <c r="O537" i="3"/>
  <c r="Q537" i="3" s="1"/>
  <c r="L537" i="3"/>
  <c r="K537" i="3"/>
  <c r="J537" i="3"/>
  <c r="M537" i="3"/>
  <c r="P537" i="3" s="1"/>
  <c r="N537" i="3"/>
  <c r="N501" i="3"/>
  <c r="O501" i="3"/>
  <c r="Q501" i="3" s="1"/>
  <c r="M501" i="3"/>
  <c r="J501" i="3"/>
  <c r="L501" i="3"/>
  <c r="K501" i="3"/>
  <c r="K504" i="3"/>
  <c r="O504" i="3"/>
  <c r="Q504" i="3" s="1"/>
  <c r="N504" i="3"/>
  <c r="L504" i="3"/>
  <c r="J504" i="3"/>
  <c r="M504" i="3"/>
  <c r="P504" i="3" s="1"/>
  <c r="L496" i="3"/>
  <c r="O496" i="3"/>
  <c r="Q496" i="3" s="1"/>
  <c r="J496" i="3"/>
  <c r="K496" i="3"/>
  <c r="N496" i="3"/>
  <c r="M496" i="3"/>
  <c r="P496" i="3" s="1"/>
  <c r="J461" i="3"/>
  <c r="M461" i="3"/>
  <c r="K461" i="3"/>
  <c r="O461" i="3"/>
  <c r="Q461" i="3" s="1"/>
  <c r="N461" i="3"/>
  <c r="L461" i="3"/>
  <c r="L535" i="3"/>
  <c r="K535" i="3"/>
  <c r="M535" i="3"/>
  <c r="O535" i="3"/>
  <c r="Q535" i="3" s="1"/>
  <c r="N535" i="3"/>
  <c r="J535" i="3"/>
  <c r="K490" i="3"/>
  <c r="M490" i="3"/>
  <c r="L490" i="3"/>
  <c r="O490" i="3"/>
  <c r="Q490" i="3" s="1"/>
  <c r="J490" i="3"/>
  <c r="N490" i="3"/>
  <c r="N428" i="3"/>
  <c r="O428" i="3"/>
  <c r="Q428" i="3" s="1"/>
  <c r="L428" i="3"/>
  <c r="M428" i="3"/>
  <c r="K428" i="3"/>
  <c r="J428" i="3"/>
  <c r="O423" i="3"/>
  <c r="Q423" i="3" s="1"/>
  <c r="L423" i="3"/>
  <c r="K423" i="3"/>
  <c r="N423" i="3"/>
  <c r="M423" i="3"/>
  <c r="P423" i="3" s="1"/>
  <c r="J423" i="3"/>
  <c r="O358" i="3"/>
  <c r="Q358" i="3" s="1"/>
  <c r="N358" i="3"/>
  <c r="M358" i="3"/>
  <c r="J358" i="3"/>
  <c r="L358" i="3"/>
  <c r="K358" i="3"/>
  <c r="J353" i="3"/>
  <c r="K353" i="3"/>
  <c r="M353" i="3"/>
  <c r="O353" i="3"/>
  <c r="Q353" i="3" s="1"/>
  <c r="R356" i="3" s="1"/>
  <c r="L353" i="3"/>
  <c r="N353" i="3"/>
  <c r="N349" i="3"/>
  <c r="J349" i="3"/>
  <c r="K349" i="3"/>
  <c r="O349" i="3"/>
  <c r="Q349" i="3" s="1"/>
  <c r="M349" i="3"/>
  <c r="L349" i="3"/>
  <c r="K345" i="3"/>
  <c r="L345" i="3"/>
  <c r="J345" i="3"/>
  <c r="M345" i="3"/>
  <c r="O345" i="3"/>
  <c r="Q345" i="3" s="1"/>
  <c r="N345" i="3"/>
  <c r="J341" i="3"/>
  <c r="N341" i="3"/>
  <c r="L341" i="3"/>
  <c r="K341" i="3"/>
  <c r="M341" i="3"/>
  <c r="O341" i="3"/>
  <c r="Q341" i="3" s="1"/>
  <c r="M337" i="3"/>
  <c r="N337" i="3"/>
  <c r="J337" i="3"/>
  <c r="K337" i="3"/>
  <c r="L337" i="3"/>
  <c r="O337" i="3"/>
  <c r="Q337" i="3" s="1"/>
  <c r="M333" i="3"/>
  <c r="O333" i="3"/>
  <c r="Q333" i="3" s="1"/>
  <c r="L333" i="3"/>
  <c r="N333" i="3"/>
  <c r="J333" i="3"/>
  <c r="K333" i="3"/>
  <c r="O329" i="3"/>
  <c r="Q329" i="3" s="1"/>
  <c r="N329" i="3"/>
  <c r="K329" i="3"/>
  <c r="L329" i="3"/>
  <c r="M329" i="3"/>
  <c r="P329" i="3" s="1"/>
  <c r="J329" i="3"/>
  <c r="K325" i="3"/>
  <c r="J325" i="3"/>
  <c r="N325" i="3"/>
  <c r="L325" i="3"/>
  <c r="O325" i="3"/>
  <c r="Q325" i="3" s="1"/>
  <c r="M325" i="3"/>
  <c r="M321" i="3"/>
  <c r="K321" i="3"/>
  <c r="L321" i="3"/>
  <c r="J321" i="3"/>
  <c r="O321" i="3"/>
  <c r="Q321" i="3" s="1"/>
  <c r="N321" i="3"/>
  <c r="O317" i="3"/>
  <c r="Q317" i="3" s="1"/>
  <c r="K317" i="3"/>
  <c r="M317" i="3"/>
  <c r="L317" i="3"/>
  <c r="N317" i="3"/>
  <c r="J317" i="3"/>
  <c r="J313" i="3"/>
  <c r="O313" i="3"/>
  <c r="Q313" i="3" s="1"/>
  <c r="N313" i="3"/>
  <c r="K313" i="3"/>
  <c r="M313" i="3"/>
  <c r="L313" i="3"/>
  <c r="L309" i="3"/>
  <c r="K309" i="3"/>
  <c r="N309" i="3"/>
  <c r="O309" i="3"/>
  <c r="Q309" i="3" s="1"/>
  <c r="J309" i="3"/>
  <c r="M309" i="3"/>
  <c r="J305" i="3"/>
  <c r="L305" i="3"/>
  <c r="O305" i="3"/>
  <c r="Q305" i="3" s="1"/>
  <c r="K305" i="3"/>
  <c r="N305" i="3"/>
  <c r="M305" i="3"/>
  <c r="M301" i="3"/>
  <c r="L301" i="3"/>
  <c r="N301" i="3"/>
  <c r="O301" i="3"/>
  <c r="Q301" i="3" s="1"/>
  <c r="J301" i="3"/>
  <c r="K301" i="3"/>
  <c r="O297" i="3"/>
  <c r="Q297" i="3" s="1"/>
  <c r="M297" i="3"/>
  <c r="N297" i="3"/>
  <c r="K297" i="3"/>
  <c r="L297" i="3"/>
  <c r="J297" i="3"/>
  <c r="O374" i="3"/>
  <c r="Q374" i="3" s="1"/>
  <c r="N374" i="3"/>
  <c r="K374" i="3"/>
  <c r="J374" i="3"/>
  <c r="M374" i="3"/>
  <c r="L374" i="3"/>
  <c r="N368" i="3"/>
  <c r="O368" i="3"/>
  <c r="Q368" i="3" s="1"/>
  <c r="L368" i="3"/>
  <c r="K368" i="3"/>
  <c r="M368" i="3"/>
  <c r="J368" i="3"/>
  <c r="M383" i="3"/>
  <c r="K383" i="3"/>
  <c r="O383" i="3"/>
  <c r="Q383" i="3" s="1"/>
  <c r="N383" i="3"/>
  <c r="J383" i="3"/>
  <c r="L383" i="3"/>
  <c r="L379" i="3"/>
  <c r="O379" i="3"/>
  <c r="Q379" i="3" s="1"/>
  <c r="J379" i="3"/>
  <c r="M379" i="3"/>
  <c r="K379" i="3"/>
  <c r="N379" i="3"/>
  <c r="K357" i="3"/>
  <c r="J357" i="3"/>
  <c r="N357" i="3"/>
  <c r="L357" i="3"/>
  <c r="M357" i="3"/>
  <c r="O357" i="3"/>
  <c r="Q357" i="3" s="1"/>
  <c r="N412" i="3"/>
  <c r="L412" i="3"/>
  <c r="J412" i="3"/>
  <c r="K412" i="3"/>
  <c r="O412" i="3"/>
  <c r="Q412" i="3" s="1"/>
  <c r="M412" i="3"/>
  <c r="M406" i="3"/>
  <c r="J406" i="3"/>
  <c r="N406" i="3"/>
  <c r="O406" i="3"/>
  <c r="Q406" i="3" s="1"/>
  <c r="L406" i="3"/>
  <c r="K406" i="3"/>
  <c r="O370" i="3"/>
  <c r="Q370" i="3" s="1"/>
  <c r="L370" i="3"/>
  <c r="J370" i="3"/>
  <c r="M370" i="3"/>
  <c r="N370" i="3"/>
  <c r="K370" i="3"/>
  <c r="O403" i="3"/>
  <c r="Q403" i="3" s="1"/>
  <c r="M403" i="3"/>
  <c r="P403" i="3" s="1"/>
  <c r="N403" i="3"/>
  <c r="K403" i="3"/>
  <c r="L403" i="3"/>
  <c r="J403" i="3"/>
  <c r="L390" i="3"/>
  <c r="K390" i="3"/>
  <c r="M390" i="3"/>
  <c r="N390" i="3"/>
  <c r="J390" i="3"/>
  <c r="O390" i="3"/>
  <c r="Q390" i="3" s="1"/>
  <c r="L386" i="3"/>
  <c r="N386" i="3"/>
  <c r="M386" i="3"/>
  <c r="J386" i="3"/>
  <c r="O386" i="3"/>
  <c r="Q386" i="3" s="1"/>
  <c r="K386" i="3"/>
  <c r="O401" i="3"/>
  <c r="Q401" i="3" s="1"/>
  <c r="L401" i="3"/>
  <c r="J401" i="3"/>
  <c r="N401" i="3"/>
  <c r="K401" i="3"/>
  <c r="M401" i="3"/>
  <c r="N392" i="3"/>
  <c r="L392" i="3"/>
  <c r="J392" i="3"/>
  <c r="K392" i="3"/>
  <c r="O392" i="3"/>
  <c r="Q392" i="3" s="1"/>
  <c r="M392" i="3"/>
  <c r="N394" i="3"/>
  <c r="L394" i="3"/>
  <c r="K394" i="3"/>
  <c r="O394" i="3"/>
  <c r="Q394" i="3" s="1"/>
  <c r="J394" i="3"/>
  <c r="M394" i="3"/>
  <c r="O293" i="3"/>
  <c r="Q293" i="3" s="1"/>
  <c r="N293" i="3"/>
  <c r="L293" i="3"/>
  <c r="K293" i="3"/>
  <c r="M293" i="3"/>
  <c r="J293" i="3"/>
  <c r="J291" i="3"/>
  <c r="M291" i="3"/>
  <c r="O291" i="3"/>
  <c r="N291" i="3"/>
  <c r="K291" i="3"/>
  <c r="L291" i="3"/>
  <c r="K247" i="3"/>
  <c r="N247" i="3"/>
  <c r="O247" i="3"/>
  <c r="Q247" i="3" s="1"/>
  <c r="J247" i="3"/>
  <c r="M247" i="3"/>
  <c r="L247" i="3"/>
  <c r="M280" i="3"/>
  <c r="K280" i="3"/>
  <c r="O280" i="3"/>
  <c r="Q280" i="3" s="1"/>
  <c r="L280" i="3"/>
  <c r="J280" i="3"/>
  <c r="N280" i="3"/>
  <c r="O246" i="3"/>
  <c r="Q246" i="3" s="1"/>
  <c r="K246" i="3"/>
  <c r="L246" i="3"/>
  <c r="M246" i="3"/>
  <c r="J246" i="3"/>
  <c r="N246" i="3"/>
  <c r="M243" i="3"/>
  <c r="N243" i="3"/>
  <c r="L243" i="3"/>
  <c r="O243" i="3"/>
  <c r="Q243" i="3" s="1"/>
  <c r="K243" i="3"/>
  <c r="J243" i="3"/>
  <c r="L238" i="3"/>
  <c r="K238" i="3"/>
  <c r="O238" i="3"/>
  <c r="Q238" i="3" s="1"/>
  <c r="N238" i="3"/>
  <c r="M238" i="3"/>
  <c r="J238" i="3"/>
  <c r="J234" i="3"/>
  <c r="M234" i="3"/>
  <c r="L234" i="3"/>
  <c r="N234" i="3"/>
  <c r="O234" i="3"/>
  <c r="K234" i="3"/>
  <c r="L259" i="3"/>
  <c r="O259" i="3"/>
  <c r="Q259" i="3" s="1"/>
  <c r="N259" i="3"/>
  <c r="M259" i="3"/>
  <c r="J259" i="3"/>
  <c r="K259" i="3"/>
  <c r="J277" i="3"/>
  <c r="O277" i="3"/>
  <c r="Q277" i="3" s="1"/>
  <c r="M277" i="3"/>
  <c r="K277" i="3"/>
  <c r="L277" i="3"/>
  <c r="N277" i="3"/>
  <c r="M276" i="3"/>
  <c r="N276" i="3"/>
  <c r="J276" i="3"/>
  <c r="L276" i="3"/>
  <c r="K276" i="3"/>
  <c r="O276" i="3"/>
  <c r="Q276" i="3" s="1"/>
  <c r="J268" i="3"/>
  <c r="K268" i="3"/>
  <c r="O268" i="3"/>
  <c r="Q268" i="3" s="1"/>
  <c r="N268" i="3"/>
  <c r="L268" i="3"/>
  <c r="M268" i="3"/>
  <c r="N272" i="3"/>
  <c r="M272" i="3"/>
  <c r="O272" i="3"/>
  <c r="Q272" i="3" s="1"/>
  <c r="J272" i="3"/>
  <c r="K272" i="3"/>
  <c r="L272" i="3"/>
  <c r="N271" i="3"/>
  <c r="K271" i="3"/>
  <c r="M271" i="3"/>
  <c r="O271" i="3"/>
  <c r="Q271" i="3" s="1"/>
  <c r="L271" i="3"/>
  <c r="J271" i="3"/>
  <c r="K232" i="3"/>
  <c r="F25" i="36" s="1"/>
  <c r="O232" i="3"/>
  <c r="Q232" i="3" s="1"/>
  <c r="M232" i="3"/>
  <c r="J232" i="3"/>
  <c r="D25" i="36" s="1"/>
  <c r="L232" i="3"/>
  <c r="N232" i="3"/>
  <c r="O92" i="3"/>
  <c r="Q92" i="3" s="1"/>
  <c r="N92" i="3"/>
  <c r="M92" i="3"/>
  <c r="K92" i="3"/>
  <c r="J92" i="3"/>
  <c r="L92" i="3"/>
  <c r="J97" i="3"/>
  <c r="O97" i="3"/>
  <c r="Q97" i="3" s="1"/>
  <c r="M97" i="3"/>
  <c r="L97" i="3"/>
  <c r="K97" i="3"/>
  <c r="N97" i="3"/>
  <c r="N100" i="3"/>
  <c r="M100" i="3"/>
  <c r="O100" i="3"/>
  <c r="Q100" i="3" s="1"/>
  <c r="J100" i="3"/>
  <c r="L100" i="3"/>
  <c r="K100" i="3"/>
  <c r="O121" i="3"/>
  <c r="Q121" i="3" s="1"/>
  <c r="N121" i="3"/>
  <c r="J121" i="3"/>
  <c r="K121" i="3"/>
  <c r="M121" i="3"/>
  <c r="L121" i="3"/>
  <c r="O117" i="3"/>
  <c r="Q117" i="3" s="1"/>
  <c r="K117" i="3"/>
  <c r="M117" i="3"/>
  <c r="N117" i="3"/>
  <c r="J117" i="3"/>
  <c r="L117" i="3"/>
  <c r="K113" i="3"/>
  <c r="M113" i="3"/>
  <c r="O113" i="3"/>
  <c r="Q113" i="3" s="1"/>
  <c r="L113" i="3"/>
  <c r="N113" i="3"/>
  <c r="J113" i="3"/>
  <c r="K109" i="3"/>
  <c r="J109" i="3"/>
  <c r="M109" i="3"/>
  <c r="L109" i="3"/>
  <c r="N109" i="3"/>
  <c r="O109" i="3"/>
  <c r="Q109" i="3" s="1"/>
  <c r="O105" i="3"/>
  <c r="Q105" i="3" s="1"/>
  <c r="J105" i="3"/>
  <c r="M105" i="3"/>
  <c r="L105" i="3"/>
  <c r="K105" i="3"/>
  <c r="N105" i="3"/>
  <c r="N134" i="3"/>
  <c r="O134" i="3"/>
  <c r="Q134" i="3" s="1"/>
  <c r="M134" i="3"/>
  <c r="J134" i="3"/>
  <c r="L134" i="3"/>
  <c r="K134" i="3"/>
  <c r="L133" i="3"/>
  <c r="N133" i="3"/>
  <c r="O133" i="3"/>
  <c r="Q133" i="3" s="1"/>
  <c r="M133" i="3"/>
  <c r="K133" i="3"/>
  <c r="J133" i="3"/>
  <c r="N145" i="3"/>
  <c r="K145" i="3"/>
  <c r="M145" i="3"/>
  <c r="L145" i="3"/>
  <c r="J145" i="3"/>
  <c r="O145" i="3"/>
  <c r="Q145" i="3" s="1"/>
  <c r="K139" i="3"/>
  <c r="M139" i="3"/>
  <c r="N139" i="3"/>
  <c r="J139" i="3"/>
  <c r="L139" i="3"/>
  <c r="O139" i="3"/>
  <c r="Q139" i="3" s="1"/>
  <c r="M150" i="3"/>
  <c r="L150" i="3"/>
  <c r="J150" i="3"/>
  <c r="K150" i="3"/>
  <c r="O150" i="3"/>
  <c r="Q150" i="3" s="1"/>
  <c r="N150" i="3"/>
  <c r="L128" i="3"/>
  <c r="K128" i="3"/>
  <c r="N128" i="3"/>
  <c r="J128" i="3"/>
  <c r="M128" i="3"/>
  <c r="O128" i="3"/>
  <c r="Q128" i="3" s="1"/>
  <c r="O124" i="3"/>
  <c r="Q124" i="3" s="1"/>
  <c r="N124" i="3"/>
  <c r="J124" i="3"/>
  <c r="K124" i="3"/>
  <c r="M124" i="3"/>
  <c r="L124" i="3"/>
  <c r="J196" i="3"/>
  <c r="O196" i="3"/>
  <c r="Q196" i="3" s="1"/>
  <c r="M196" i="3"/>
  <c r="K196" i="3"/>
  <c r="N196" i="3"/>
  <c r="L196" i="3"/>
  <c r="O192" i="3"/>
  <c r="Q192" i="3" s="1"/>
  <c r="M192" i="3"/>
  <c r="L192" i="3"/>
  <c r="J192" i="3"/>
  <c r="K192" i="3"/>
  <c r="N192" i="3"/>
  <c r="O206" i="3"/>
  <c r="Q206" i="3" s="1"/>
  <c r="L206" i="3"/>
  <c r="M206" i="3"/>
  <c r="K206" i="3"/>
  <c r="J206" i="3"/>
  <c r="N206" i="3"/>
  <c r="K170" i="3"/>
  <c r="L170" i="3"/>
  <c r="N170" i="3"/>
  <c r="J170" i="3"/>
  <c r="M170" i="3"/>
  <c r="O170" i="3"/>
  <c r="Q170" i="3" s="1"/>
  <c r="O166" i="3"/>
  <c r="Q166" i="3" s="1"/>
  <c r="R167" i="3" s="1"/>
  <c r="M166" i="3"/>
  <c r="P166" i="3" s="1"/>
  <c r="L166" i="3"/>
  <c r="K166" i="3"/>
  <c r="J166" i="3"/>
  <c r="N166" i="3"/>
  <c r="L200" i="3"/>
  <c r="O200" i="3"/>
  <c r="Q200" i="3" s="1"/>
  <c r="N200" i="3"/>
  <c r="M200" i="3"/>
  <c r="K200" i="3"/>
  <c r="J200" i="3"/>
  <c r="O164" i="3"/>
  <c r="Q164" i="3" s="1"/>
  <c r="L164" i="3"/>
  <c r="J164" i="3"/>
  <c r="M164" i="3"/>
  <c r="N164" i="3"/>
  <c r="K164" i="3"/>
  <c r="M160" i="3"/>
  <c r="J160" i="3"/>
  <c r="N160" i="3"/>
  <c r="L160" i="3"/>
  <c r="O160" i="3"/>
  <c r="Q160" i="3" s="1"/>
  <c r="K160" i="3"/>
  <c r="M155" i="3"/>
  <c r="O155" i="3"/>
  <c r="Q155" i="3" s="1"/>
  <c r="N155" i="3"/>
  <c r="L155" i="3"/>
  <c r="K155" i="3"/>
  <c r="J155" i="3"/>
  <c r="L187" i="3"/>
  <c r="O187" i="3"/>
  <c r="Q187" i="3" s="1"/>
  <c r="M187" i="3"/>
  <c r="J187" i="3"/>
  <c r="N187" i="3"/>
  <c r="K187" i="3"/>
  <c r="O183" i="3"/>
  <c r="Q183" i="3" s="1"/>
  <c r="L183" i="3"/>
  <c r="J183" i="3"/>
  <c r="N183" i="3"/>
  <c r="K183" i="3"/>
  <c r="M183" i="3"/>
  <c r="K179" i="3"/>
  <c r="N179" i="3"/>
  <c r="O179" i="3"/>
  <c r="Q179" i="3" s="1"/>
  <c r="J179" i="3"/>
  <c r="M179" i="3"/>
  <c r="L179" i="3"/>
  <c r="N129" i="3"/>
  <c r="J129" i="3"/>
  <c r="O129" i="3"/>
  <c r="Q129" i="3" s="1"/>
  <c r="L129" i="3"/>
  <c r="K129" i="3"/>
  <c r="M129" i="3"/>
  <c r="N174" i="3"/>
  <c r="L174" i="3"/>
  <c r="O174" i="3"/>
  <c r="Q174" i="3" s="1"/>
  <c r="R175" i="3" s="1"/>
  <c r="K174" i="3"/>
  <c r="M174" i="3"/>
  <c r="J174" i="3"/>
  <c r="O211" i="3"/>
  <c r="Q211" i="3" s="1"/>
  <c r="K211" i="3"/>
  <c r="M211" i="3"/>
  <c r="N211" i="3"/>
  <c r="J211" i="3"/>
  <c r="L211" i="3"/>
  <c r="O223" i="3"/>
  <c r="Q223" i="3" s="1"/>
  <c r="K223" i="3"/>
  <c r="N223" i="3"/>
  <c r="L223" i="3"/>
  <c r="M223" i="3"/>
  <c r="P223" i="3" s="1"/>
  <c r="J223" i="3"/>
  <c r="J213" i="3"/>
  <c r="L213" i="3"/>
  <c r="N213" i="3"/>
  <c r="M213" i="3"/>
  <c r="K213" i="3"/>
  <c r="O213" i="3"/>
  <c r="Q213" i="3" s="1"/>
  <c r="N218" i="3"/>
  <c r="M218" i="3"/>
  <c r="K218" i="3"/>
  <c r="L218" i="3"/>
  <c r="O218" i="3"/>
  <c r="Q218" i="3" s="1"/>
  <c r="J218" i="3"/>
  <c r="N59" i="3"/>
  <c r="L59" i="3"/>
  <c r="J59" i="3"/>
  <c r="M59" i="3"/>
  <c r="K59" i="3"/>
  <c r="O59" i="3"/>
  <c r="Q59" i="3" s="1"/>
  <c r="M62" i="3"/>
  <c r="L62" i="3"/>
  <c r="O62" i="3"/>
  <c r="Q62" i="3" s="1"/>
  <c r="N62" i="3"/>
  <c r="K62" i="3"/>
  <c r="J62" i="3"/>
  <c r="J66" i="3"/>
  <c r="N66" i="3"/>
  <c r="O66" i="3"/>
  <c r="Q66" i="3" s="1"/>
  <c r="K66" i="3"/>
  <c r="M66" i="3"/>
  <c r="L66" i="3"/>
  <c r="K80" i="3"/>
  <c r="O80" i="3"/>
  <c r="Q80" i="3" s="1"/>
  <c r="J80" i="3"/>
  <c r="M80" i="3"/>
  <c r="N80" i="3"/>
  <c r="L80" i="3"/>
  <c r="L34" i="3"/>
  <c r="O34" i="3"/>
  <c r="Q34" i="3" s="1"/>
  <c r="J34" i="3"/>
  <c r="M34" i="3"/>
  <c r="N34" i="3"/>
  <c r="K34" i="3"/>
  <c r="K18" i="3"/>
  <c r="J18" i="3"/>
  <c r="N18" i="3"/>
  <c r="M18" i="3"/>
  <c r="O18" i="3"/>
  <c r="Q18" i="3" s="1"/>
  <c r="L18" i="3"/>
  <c r="K14" i="3"/>
  <c r="N14" i="3"/>
  <c r="J14" i="3"/>
  <c r="L14" i="3"/>
  <c r="O14" i="3"/>
  <c r="Q14" i="3" s="1"/>
  <c r="M14" i="3"/>
  <c r="O31" i="3"/>
  <c r="Q31" i="3" s="1"/>
  <c r="M31" i="3"/>
  <c r="J31" i="3"/>
  <c r="N31" i="3"/>
  <c r="K31" i="3"/>
  <c r="L31" i="3"/>
  <c r="M27" i="3"/>
  <c r="O27" i="3"/>
  <c r="Q27" i="3" s="1"/>
  <c r="N27" i="3"/>
  <c r="L27" i="3"/>
  <c r="K27" i="3"/>
  <c r="J27" i="3"/>
  <c r="L23" i="3"/>
  <c r="J23" i="3"/>
  <c r="M23" i="3"/>
  <c r="O23" i="3"/>
  <c r="Q23" i="3" s="1"/>
  <c r="N23" i="3"/>
  <c r="K23" i="3"/>
  <c r="K10" i="3"/>
  <c r="L10" i="3"/>
  <c r="J10" i="3"/>
  <c r="M10" i="3"/>
  <c r="N10" i="3"/>
  <c r="O10" i="3"/>
  <c r="Q10" i="3" s="1"/>
  <c r="L6" i="3"/>
  <c r="M6" i="3"/>
  <c r="J6" i="3"/>
  <c r="O6" i="3"/>
  <c r="Q6" i="3" s="1"/>
  <c r="N6" i="3"/>
  <c r="K6" i="3"/>
  <c r="M47" i="3"/>
  <c r="N47" i="3"/>
  <c r="O47" i="3"/>
  <c r="Q47" i="3" s="1"/>
  <c r="L47" i="3"/>
  <c r="J47" i="3"/>
  <c r="K47" i="3"/>
  <c r="L43" i="3"/>
  <c r="J43" i="3"/>
  <c r="N43" i="3"/>
  <c r="K43" i="3"/>
  <c r="O43" i="3"/>
  <c r="Q43" i="3" s="1"/>
  <c r="M43" i="3"/>
  <c r="K39" i="3"/>
  <c r="L39" i="3"/>
  <c r="M39" i="3"/>
  <c r="J39" i="3"/>
  <c r="O39" i="3"/>
  <c r="Q39" i="3" s="1"/>
  <c r="N39" i="3"/>
  <c r="L35" i="3"/>
  <c r="O35" i="3"/>
  <c r="Q35" i="3" s="1"/>
  <c r="J35" i="3"/>
  <c r="N35" i="3"/>
  <c r="M35" i="3"/>
  <c r="K35" i="3"/>
  <c r="M58" i="3"/>
  <c r="N58" i="3"/>
  <c r="L58" i="3"/>
  <c r="O58" i="3"/>
  <c r="Q58" i="3" s="1"/>
  <c r="J58" i="3"/>
  <c r="K58" i="3"/>
  <c r="L54" i="3"/>
  <c r="N54" i="3"/>
  <c r="J54" i="3"/>
  <c r="K54" i="3"/>
  <c r="M54" i="3"/>
  <c r="O54" i="3"/>
  <c r="Q54" i="3" s="1"/>
  <c r="O51" i="3"/>
  <c r="Q51" i="3" s="1"/>
  <c r="N51" i="3"/>
  <c r="L51" i="3"/>
  <c r="J51" i="3"/>
  <c r="K51" i="3"/>
  <c r="M51" i="3"/>
  <c r="O74" i="3"/>
  <c r="Q74" i="3" s="1"/>
  <c r="K74" i="3"/>
  <c r="L74" i="3"/>
  <c r="N74" i="3"/>
  <c r="J74" i="3"/>
  <c r="M74" i="3"/>
  <c r="L70" i="3"/>
  <c r="J70" i="3"/>
  <c r="O70" i="3"/>
  <c r="Q70" i="3" s="1"/>
  <c r="N70" i="3"/>
  <c r="M70" i="3"/>
  <c r="K70" i="3"/>
  <c r="O1362" i="3"/>
  <c r="Q1362" i="3" s="1"/>
  <c r="M1362" i="3"/>
  <c r="K1362" i="3"/>
  <c r="J1362" i="3"/>
  <c r="N1362" i="3"/>
  <c r="L1362" i="3"/>
  <c r="K1354" i="3"/>
  <c r="O1354" i="3"/>
  <c r="Q1354" i="3" s="1"/>
  <c r="M1354" i="3"/>
  <c r="L1354" i="3"/>
  <c r="N1354" i="3"/>
  <c r="J1354" i="3"/>
  <c r="O1313" i="3"/>
  <c r="Q1313" i="3" s="1"/>
  <c r="L1313" i="3"/>
  <c r="N1313" i="3"/>
  <c r="K1313" i="3"/>
  <c r="M1313" i="3"/>
  <c r="J1313" i="3"/>
  <c r="N1317" i="3"/>
  <c r="L1317" i="3"/>
  <c r="O1317" i="3"/>
  <c r="Q1317" i="3" s="1"/>
  <c r="K1317" i="3"/>
  <c r="M1317" i="3"/>
  <c r="J1317" i="3"/>
  <c r="K1310" i="3"/>
  <c r="O1310" i="3"/>
  <c r="Q1310" i="3" s="1"/>
  <c r="M1310" i="3"/>
  <c r="J1310" i="3"/>
  <c r="N1310" i="3"/>
  <c r="L1310" i="3"/>
  <c r="O1307" i="3"/>
  <c r="Q1307" i="3" s="1"/>
  <c r="K1307" i="3"/>
  <c r="M1307" i="3"/>
  <c r="N1307" i="3"/>
  <c r="J1307" i="3"/>
  <c r="L1307" i="3"/>
  <c r="N1323" i="3"/>
  <c r="O1323" i="3"/>
  <c r="Q1323" i="3" s="1"/>
  <c r="M1323" i="3"/>
  <c r="K1323" i="3"/>
  <c r="J1323" i="3"/>
  <c r="L1323" i="3"/>
  <c r="N1328" i="3"/>
  <c r="J1328" i="3"/>
  <c r="O1328" i="3"/>
  <c r="Q1328" i="3" s="1"/>
  <c r="K1328" i="3"/>
  <c r="L1328" i="3"/>
  <c r="M1328" i="3"/>
  <c r="O1352" i="3"/>
  <c r="Q1352" i="3" s="1"/>
  <c r="J1352" i="3"/>
  <c r="N1352" i="3"/>
  <c r="M1352" i="3"/>
  <c r="L1352" i="3"/>
  <c r="K1352" i="3"/>
  <c r="O1348" i="3"/>
  <c r="Q1348" i="3" s="1"/>
  <c r="M1348" i="3"/>
  <c r="L1348" i="3"/>
  <c r="J1348" i="3"/>
  <c r="N1348" i="3"/>
  <c r="K1348" i="3"/>
  <c r="J1344" i="3"/>
  <c r="M1344" i="3"/>
  <c r="K1344" i="3"/>
  <c r="N1344" i="3"/>
  <c r="O1344" i="3"/>
  <c r="Q1344" i="3" s="1"/>
  <c r="L1344" i="3"/>
  <c r="K1338" i="3"/>
  <c r="N1338" i="3"/>
  <c r="J1338" i="3"/>
  <c r="O1338" i="3"/>
  <c r="Q1338" i="3" s="1"/>
  <c r="M1338" i="3"/>
  <c r="L1338" i="3"/>
  <c r="O1336" i="3"/>
  <c r="Q1336" i="3" s="1"/>
  <c r="L1336" i="3"/>
  <c r="N1336" i="3"/>
  <c r="K1336" i="3"/>
  <c r="M1336" i="3"/>
  <c r="J1336" i="3"/>
  <c r="L1332" i="3"/>
  <c r="N1332" i="3"/>
  <c r="J1332" i="3"/>
  <c r="O1332" i="3"/>
  <c r="Q1332" i="3" s="1"/>
  <c r="K1332" i="3"/>
  <c r="M1332" i="3"/>
  <c r="M1287" i="3"/>
  <c r="N1287" i="3"/>
  <c r="K1287" i="3"/>
  <c r="J1287" i="3"/>
  <c r="O1287" i="3"/>
  <c r="Q1287" i="3" s="1"/>
  <c r="L1287" i="3"/>
  <c r="J1283" i="3"/>
  <c r="K1283" i="3"/>
  <c r="M1283" i="3"/>
  <c r="O1283" i="3"/>
  <c r="Q1283" i="3" s="1"/>
  <c r="L1283" i="3"/>
  <c r="N1283" i="3"/>
  <c r="J1289" i="3"/>
  <c r="O1289" i="3"/>
  <c r="Q1289" i="3" s="1"/>
  <c r="K1289" i="3"/>
  <c r="M1289" i="3"/>
  <c r="L1289" i="3"/>
  <c r="N1289" i="3"/>
  <c r="J1295" i="3"/>
  <c r="M1295" i="3"/>
  <c r="N1295" i="3"/>
  <c r="L1295" i="3"/>
  <c r="K1295" i="3"/>
  <c r="O1295" i="3"/>
  <c r="Q1295" i="3" s="1"/>
  <c r="J1280" i="3"/>
  <c r="O1280" i="3"/>
  <c r="Q1280" i="3" s="1"/>
  <c r="M1280" i="3"/>
  <c r="N1280" i="3"/>
  <c r="L1280" i="3"/>
  <c r="K1280" i="3"/>
  <c r="M1297" i="3"/>
  <c r="L1297" i="3"/>
  <c r="J1297" i="3"/>
  <c r="N1297" i="3"/>
  <c r="O1297" i="3"/>
  <c r="Q1297" i="3" s="1"/>
  <c r="K1297" i="3"/>
  <c r="M1299" i="3"/>
  <c r="L1299" i="3"/>
  <c r="N1299" i="3"/>
  <c r="K1299" i="3"/>
  <c r="J1299" i="3"/>
  <c r="O1299" i="3"/>
  <c r="Q1299" i="3" s="1"/>
  <c r="N1268" i="3"/>
  <c r="O1268" i="3"/>
  <c r="Q1268" i="3" s="1"/>
  <c r="K1268" i="3"/>
  <c r="J1268" i="3"/>
  <c r="M1268" i="3"/>
  <c r="L1268" i="3"/>
  <c r="N1271" i="3"/>
  <c r="O1271" i="3"/>
  <c r="Q1271" i="3" s="1"/>
  <c r="M1271" i="3"/>
  <c r="K1271" i="3"/>
  <c r="J1271" i="3"/>
  <c r="L1271" i="3"/>
  <c r="O1217" i="3"/>
  <c r="Q1217" i="3" s="1"/>
  <c r="K1217" i="3"/>
  <c r="M1217" i="3"/>
  <c r="L1217" i="3"/>
  <c r="N1217" i="3"/>
  <c r="J1217" i="3"/>
  <c r="O1226" i="3"/>
  <c r="Q1226" i="3" s="1"/>
  <c r="L1226" i="3"/>
  <c r="M1226" i="3"/>
  <c r="K1226" i="3"/>
  <c r="N1226" i="3"/>
  <c r="J1226" i="3"/>
  <c r="J1231" i="3"/>
  <c r="K1231" i="3"/>
  <c r="N1231" i="3"/>
  <c r="O1231" i="3"/>
  <c r="Q1231" i="3" s="1"/>
  <c r="L1231" i="3"/>
  <c r="M1231" i="3"/>
  <c r="O1233" i="3"/>
  <c r="Q1233" i="3" s="1"/>
  <c r="K1233" i="3"/>
  <c r="M1233" i="3"/>
  <c r="L1233" i="3"/>
  <c r="J1233" i="3"/>
  <c r="N1233" i="3"/>
  <c r="O1222" i="3"/>
  <c r="Q1222" i="3" s="1"/>
  <c r="L1222" i="3"/>
  <c r="K1222" i="3"/>
  <c r="M1222" i="3"/>
  <c r="J1222" i="3"/>
  <c r="N1222" i="3"/>
  <c r="N1259" i="3"/>
  <c r="J1259" i="3"/>
  <c r="L1259" i="3"/>
  <c r="K1259" i="3"/>
  <c r="O1259" i="3"/>
  <c r="Q1259" i="3" s="1"/>
  <c r="M1259" i="3"/>
  <c r="L1255" i="3"/>
  <c r="K1255" i="3"/>
  <c r="M1255" i="3"/>
  <c r="N1255" i="3"/>
  <c r="O1255" i="3"/>
  <c r="Q1255" i="3" s="1"/>
  <c r="J1255" i="3"/>
  <c r="N1251" i="3"/>
  <c r="J1251" i="3"/>
  <c r="K1251" i="3"/>
  <c r="O1251" i="3"/>
  <c r="Q1251" i="3" s="1"/>
  <c r="M1251" i="3"/>
  <c r="L1251" i="3"/>
  <c r="J1247" i="3"/>
  <c r="N1247" i="3"/>
  <c r="O1247" i="3"/>
  <c r="Q1247" i="3" s="1"/>
  <c r="M1247" i="3"/>
  <c r="K1247" i="3"/>
  <c r="L1247" i="3"/>
  <c r="J1243" i="3"/>
  <c r="M1243" i="3"/>
  <c r="K1243" i="3"/>
  <c r="N1243" i="3"/>
  <c r="O1243" i="3"/>
  <c r="Q1243" i="3" s="1"/>
  <c r="L1243" i="3"/>
  <c r="L1239" i="3"/>
  <c r="M1239" i="3"/>
  <c r="K1239" i="3"/>
  <c r="O1239" i="3"/>
  <c r="Q1239" i="3" s="1"/>
  <c r="J1239" i="3"/>
  <c r="N1239" i="3"/>
  <c r="J1235" i="3"/>
  <c r="N1235" i="3"/>
  <c r="L1235" i="3"/>
  <c r="M1235" i="3"/>
  <c r="O1235" i="3"/>
  <c r="Q1235" i="3" s="1"/>
  <c r="K1235" i="3"/>
  <c r="N1140" i="3"/>
  <c r="J1140" i="3"/>
  <c r="M1140" i="3"/>
  <c r="K1140" i="3"/>
  <c r="L1140" i="3"/>
  <c r="O1140" i="3"/>
  <c r="Q1140" i="3" s="1"/>
  <c r="J1208" i="3"/>
  <c r="N1208" i="3"/>
  <c r="K1208" i="3"/>
  <c r="M1208" i="3"/>
  <c r="O1208" i="3"/>
  <c r="Q1208" i="3" s="1"/>
  <c r="L1208" i="3"/>
  <c r="L1204" i="3"/>
  <c r="J1204" i="3"/>
  <c r="N1204" i="3"/>
  <c r="K1204" i="3"/>
  <c r="M1204" i="3"/>
  <c r="O1204" i="3"/>
  <c r="Q1204" i="3" s="1"/>
  <c r="N1212" i="3"/>
  <c r="M1212" i="3"/>
  <c r="O1212" i="3"/>
  <c r="Q1212" i="3" s="1"/>
  <c r="J1212" i="3"/>
  <c r="L1212" i="3"/>
  <c r="K1212" i="3"/>
  <c r="J1197" i="3"/>
  <c r="M1197" i="3"/>
  <c r="N1197" i="3"/>
  <c r="L1197" i="3"/>
  <c r="O1197" i="3"/>
  <c r="Q1197" i="3" s="1"/>
  <c r="K1197" i="3"/>
  <c r="L1193" i="3"/>
  <c r="K1193" i="3"/>
  <c r="O1193" i="3"/>
  <c r="Q1193" i="3" s="1"/>
  <c r="M1193" i="3"/>
  <c r="N1193" i="3"/>
  <c r="J1193" i="3"/>
  <c r="J1189" i="3"/>
  <c r="K1189" i="3"/>
  <c r="N1189" i="3"/>
  <c r="L1189" i="3"/>
  <c r="M1189" i="3"/>
  <c r="O1189" i="3"/>
  <c r="Q1189" i="3" s="1"/>
  <c r="L1185" i="3"/>
  <c r="K1185" i="3"/>
  <c r="O1185" i="3"/>
  <c r="Q1185" i="3" s="1"/>
  <c r="M1185" i="3"/>
  <c r="P1185" i="3" s="1"/>
  <c r="N1185" i="3"/>
  <c r="J1185" i="3"/>
  <c r="O1177" i="3"/>
  <c r="Q1177" i="3" s="1"/>
  <c r="M1177" i="3"/>
  <c r="N1177" i="3"/>
  <c r="J1177" i="3"/>
  <c r="L1177" i="3"/>
  <c r="K1177" i="3"/>
  <c r="J1173" i="3"/>
  <c r="K1173" i="3"/>
  <c r="N1173" i="3"/>
  <c r="M1173" i="3"/>
  <c r="L1173" i="3"/>
  <c r="O1173" i="3"/>
  <c r="Q1173" i="3" s="1"/>
  <c r="L1169" i="3"/>
  <c r="K1169" i="3"/>
  <c r="O1169" i="3"/>
  <c r="Q1169" i="3" s="1"/>
  <c r="M1169" i="3"/>
  <c r="N1169" i="3"/>
  <c r="J1169" i="3"/>
  <c r="J1181" i="3"/>
  <c r="M1181" i="3"/>
  <c r="O1181" i="3"/>
  <c r="Q1181" i="3" s="1"/>
  <c r="N1181" i="3"/>
  <c r="L1181" i="3"/>
  <c r="K1181" i="3"/>
  <c r="J1165" i="3"/>
  <c r="M1165" i="3"/>
  <c r="N1165" i="3"/>
  <c r="L1165" i="3"/>
  <c r="O1165" i="3"/>
  <c r="Q1165" i="3" s="1"/>
  <c r="K1165" i="3"/>
  <c r="J1162" i="3"/>
  <c r="K1162" i="3"/>
  <c r="M1162" i="3"/>
  <c r="O1162" i="3"/>
  <c r="Q1162" i="3" s="1"/>
  <c r="L1162" i="3"/>
  <c r="N1162" i="3"/>
  <c r="L1154" i="3"/>
  <c r="J1154" i="3"/>
  <c r="K1154" i="3"/>
  <c r="M1154" i="3"/>
  <c r="O1154" i="3"/>
  <c r="Q1154" i="3" s="1"/>
  <c r="N1154" i="3"/>
  <c r="K1150" i="3"/>
  <c r="L1150" i="3"/>
  <c r="M1150" i="3"/>
  <c r="O1150" i="3"/>
  <c r="Q1150" i="3" s="1"/>
  <c r="N1150" i="3"/>
  <c r="J1150" i="3"/>
  <c r="L1158" i="3"/>
  <c r="O1158" i="3"/>
  <c r="Q1158" i="3" s="1"/>
  <c r="J1158" i="3"/>
  <c r="K1158" i="3"/>
  <c r="M1158" i="3"/>
  <c r="N1158" i="3"/>
  <c r="J1149" i="3"/>
  <c r="M1149" i="3"/>
  <c r="O1149" i="3"/>
  <c r="Q1149" i="3" s="1"/>
  <c r="N1149" i="3"/>
  <c r="L1149" i="3"/>
  <c r="K1149" i="3"/>
  <c r="J1145" i="3"/>
  <c r="L1145" i="3"/>
  <c r="O1145" i="3"/>
  <c r="Q1145" i="3" s="1"/>
  <c r="M1145" i="3"/>
  <c r="K1145" i="3"/>
  <c r="N1145" i="3"/>
  <c r="J1060" i="3"/>
  <c r="M1060" i="3"/>
  <c r="L1060" i="3"/>
  <c r="N1060" i="3"/>
  <c r="O1060" i="3"/>
  <c r="Q1060" i="3" s="1"/>
  <c r="K1060" i="3"/>
  <c r="K1021" i="3"/>
  <c r="M1021" i="3"/>
  <c r="L1021" i="3"/>
  <c r="O1021" i="3"/>
  <c r="Q1021" i="3" s="1"/>
  <c r="J1021" i="3"/>
  <c r="N1021" i="3"/>
  <c r="J1019" i="3"/>
  <c r="K1019" i="3"/>
  <c r="O1019" i="3"/>
  <c r="Q1019" i="3" s="1"/>
  <c r="N1019" i="3"/>
  <c r="M1019" i="3"/>
  <c r="L1019" i="3"/>
  <c r="L1043" i="3"/>
  <c r="N1043" i="3"/>
  <c r="M1043" i="3"/>
  <c r="K1043" i="3"/>
  <c r="J1043" i="3"/>
  <c r="O1043" i="3"/>
  <c r="Q1043" i="3" s="1"/>
  <c r="M1051" i="3"/>
  <c r="J1051" i="3"/>
  <c r="N1051" i="3"/>
  <c r="K1051" i="3"/>
  <c r="L1051" i="3"/>
  <c r="O1051" i="3"/>
  <c r="Q1051" i="3" s="1"/>
  <c r="N1015" i="3"/>
  <c r="L1015" i="3"/>
  <c r="K1015" i="3"/>
  <c r="O1015" i="3"/>
  <c r="Q1015" i="3" s="1"/>
  <c r="M1015" i="3"/>
  <c r="J1015" i="3"/>
  <c r="L1038" i="3"/>
  <c r="O1038" i="3"/>
  <c r="Q1038" i="3" s="1"/>
  <c r="M1038" i="3"/>
  <c r="K1038" i="3"/>
  <c r="J1038" i="3"/>
  <c r="N1038" i="3"/>
  <c r="J1013" i="3"/>
  <c r="L1013" i="3"/>
  <c r="K1013" i="3"/>
  <c r="M1013" i="3"/>
  <c r="O1013" i="3"/>
  <c r="Q1013" i="3" s="1"/>
  <c r="N1013" i="3"/>
  <c r="L1011" i="3"/>
  <c r="O1011" i="3"/>
  <c r="Q1011" i="3" s="1"/>
  <c r="K1011" i="3"/>
  <c r="J1011" i="3"/>
  <c r="M1011" i="3"/>
  <c r="N1011" i="3"/>
  <c r="M1031" i="3"/>
  <c r="L1031" i="3"/>
  <c r="N1031" i="3"/>
  <c r="J1031" i="3"/>
  <c r="O1031" i="3"/>
  <c r="Q1031" i="3" s="1"/>
  <c r="K1031" i="3"/>
  <c r="K1027" i="3"/>
  <c r="O1027" i="3"/>
  <c r="Q1027" i="3" s="1"/>
  <c r="N1027" i="3"/>
  <c r="L1027" i="3"/>
  <c r="J1027" i="3"/>
  <c r="M1027" i="3"/>
  <c r="P1027" i="3" s="1"/>
  <c r="O1023" i="3"/>
  <c r="Q1023" i="3" s="1"/>
  <c r="J1023" i="3"/>
  <c r="L1023" i="3"/>
  <c r="N1023" i="3"/>
  <c r="K1023" i="3"/>
  <c r="M1023" i="3"/>
  <c r="P1023" i="3" s="1"/>
  <c r="O1039" i="3"/>
  <c r="Q1039" i="3" s="1"/>
  <c r="N1039" i="3"/>
  <c r="L1039" i="3"/>
  <c r="M1039" i="3"/>
  <c r="J1039" i="3"/>
  <c r="K1039" i="3"/>
  <c r="O1133" i="3"/>
  <c r="Q1133" i="3" s="1"/>
  <c r="M1133" i="3"/>
  <c r="K1133" i="3"/>
  <c r="L1133" i="3"/>
  <c r="J1133" i="3"/>
  <c r="N1133" i="3"/>
  <c r="K1129" i="3"/>
  <c r="J1129" i="3"/>
  <c r="M1129" i="3"/>
  <c r="N1129" i="3"/>
  <c r="O1129" i="3"/>
  <c r="Q1129" i="3" s="1"/>
  <c r="L1129" i="3"/>
  <c r="N1125" i="3"/>
  <c r="J1125" i="3"/>
  <c r="O1125" i="3"/>
  <c r="Q1125" i="3" s="1"/>
  <c r="L1125" i="3"/>
  <c r="M1125" i="3"/>
  <c r="K1125" i="3"/>
  <c r="L1121" i="3"/>
  <c r="K1121" i="3"/>
  <c r="J1121" i="3"/>
  <c r="M1121" i="3"/>
  <c r="N1121" i="3"/>
  <c r="O1121" i="3"/>
  <c r="Q1121" i="3" s="1"/>
  <c r="L1117" i="3"/>
  <c r="K1117" i="3"/>
  <c r="O1117" i="3"/>
  <c r="Q1117" i="3" s="1"/>
  <c r="M1117" i="3"/>
  <c r="N1117" i="3"/>
  <c r="J1117" i="3"/>
  <c r="L1113" i="3"/>
  <c r="K1113" i="3"/>
  <c r="J1113" i="3"/>
  <c r="M1113" i="3"/>
  <c r="N1113" i="3"/>
  <c r="O1113" i="3"/>
  <c r="Q1113" i="3" s="1"/>
  <c r="M1109" i="3"/>
  <c r="O1109" i="3"/>
  <c r="Q1109" i="3" s="1"/>
  <c r="K1109" i="3"/>
  <c r="L1109" i="3"/>
  <c r="N1109" i="3"/>
  <c r="J1109" i="3"/>
  <c r="J1093" i="3"/>
  <c r="N1093" i="3"/>
  <c r="O1093" i="3"/>
  <c r="Q1093" i="3" s="1"/>
  <c r="K1093" i="3"/>
  <c r="M1093" i="3"/>
  <c r="L1093" i="3"/>
  <c r="O1105" i="3"/>
  <c r="Q1105" i="3" s="1"/>
  <c r="L1105" i="3"/>
  <c r="K1105" i="3"/>
  <c r="N1105" i="3"/>
  <c r="M1105" i="3"/>
  <c r="J1105" i="3"/>
  <c r="O1089" i="3"/>
  <c r="Q1089" i="3" s="1"/>
  <c r="L1089" i="3"/>
  <c r="J1089" i="3"/>
  <c r="N1089" i="3"/>
  <c r="M1089" i="3"/>
  <c r="P1089" i="3" s="1"/>
  <c r="K1089" i="3"/>
  <c r="O1085" i="3"/>
  <c r="Q1085" i="3" s="1"/>
  <c r="M1085" i="3"/>
  <c r="P1085" i="3" s="1"/>
  <c r="K1085" i="3"/>
  <c r="L1085" i="3"/>
  <c r="N1085" i="3"/>
  <c r="J1085" i="3"/>
  <c r="K1101" i="3"/>
  <c r="L1101" i="3"/>
  <c r="M1101" i="3"/>
  <c r="O1101" i="3"/>
  <c r="Q1101" i="3" s="1"/>
  <c r="J1101" i="3"/>
  <c r="N1101" i="3"/>
  <c r="N1097" i="3"/>
  <c r="M1097" i="3"/>
  <c r="K1097" i="3"/>
  <c r="J1097" i="3"/>
  <c r="O1097" i="3"/>
  <c r="Q1097" i="3" s="1"/>
  <c r="L1097" i="3"/>
  <c r="J1079" i="3"/>
  <c r="N1079" i="3"/>
  <c r="L1079" i="3"/>
  <c r="O1079" i="3"/>
  <c r="Q1079" i="3" s="1"/>
  <c r="M1079" i="3"/>
  <c r="K1079" i="3"/>
  <c r="L1081" i="3"/>
  <c r="N1081" i="3"/>
  <c r="J1081" i="3"/>
  <c r="O1081" i="3"/>
  <c r="Q1081" i="3" s="1"/>
  <c r="M1081" i="3"/>
  <c r="K1081" i="3"/>
  <c r="K1071" i="3"/>
  <c r="J1071" i="3"/>
  <c r="O1071" i="3"/>
  <c r="Q1071" i="3" s="1"/>
  <c r="L1071" i="3"/>
  <c r="N1071" i="3"/>
  <c r="M1071" i="3"/>
  <c r="L1067" i="3"/>
  <c r="J1067" i="3"/>
  <c r="M1067" i="3"/>
  <c r="O1067" i="3"/>
  <c r="Q1067" i="3" s="1"/>
  <c r="K1067" i="3"/>
  <c r="N1067" i="3"/>
  <c r="L1076" i="3"/>
  <c r="J1076" i="3"/>
  <c r="O1076" i="3"/>
  <c r="Q1076" i="3" s="1"/>
  <c r="K1076" i="3"/>
  <c r="M1076" i="3"/>
  <c r="N1076" i="3"/>
  <c r="M1062" i="3"/>
  <c r="J1062" i="3"/>
  <c r="L1062" i="3"/>
  <c r="K1062" i="3"/>
  <c r="N1062" i="3"/>
  <c r="O1062" i="3"/>
  <c r="Q1062" i="3" s="1"/>
  <c r="M1000" i="3"/>
  <c r="O1000" i="3"/>
  <c r="Q1000" i="3" s="1"/>
  <c r="L1000" i="3"/>
  <c r="K1000" i="3"/>
  <c r="N1000" i="3"/>
  <c r="J1000" i="3"/>
  <c r="K998" i="3"/>
  <c r="M998" i="3"/>
  <c r="L998" i="3"/>
  <c r="N998" i="3"/>
  <c r="O998" i="3"/>
  <c r="Q998" i="3" s="1"/>
  <c r="J998" i="3"/>
  <c r="N977" i="3"/>
  <c r="F12" i="36" s="1"/>
  <c r="M977" i="3"/>
  <c r="L977" i="3"/>
  <c r="O977" i="3"/>
  <c r="Q977" i="3" s="1"/>
  <c r="K977" i="3"/>
  <c r="J977" i="3"/>
  <c r="L973" i="3"/>
  <c r="J973" i="3"/>
  <c r="N973" i="3"/>
  <c r="K973" i="3"/>
  <c r="O973" i="3"/>
  <c r="Q973" i="3" s="1"/>
  <c r="M973" i="3"/>
  <c r="N969" i="3"/>
  <c r="K969" i="3"/>
  <c r="J969" i="3"/>
  <c r="O969" i="3"/>
  <c r="Q969" i="3" s="1"/>
  <c r="M969" i="3"/>
  <c r="L969" i="3"/>
  <c r="O965" i="3"/>
  <c r="Q965" i="3" s="1"/>
  <c r="M965" i="3"/>
  <c r="P965" i="3" s="1"/>
  <c r="J965" i="3"/>
  <c r="L965" i="3"/>
  <c r="K965" i="3"/>
  <c r="N965" i="3"/>
  <c r="M981" i="3"/>
  <c r="L981" i="3"/>
  <c r="J981" i="3"/>
  <c r="O981" i="3"/>
  <c r="Q981" i="3" s="1"/>
  <c r="K981" i="3"/>
  <c r="N981" i="3"/>
  <c r="F16" i="36" s="1"/>
  <c r="O1008" i="3"/>
  <c r="Q1008" i="3" s="1"/>
  <c r="L1008" i="3"/>
  <c r="J1008" i="3"/>
  <c r="N1008" i="3"/>
  <c r="K1008" i="3"/>
  <c r="M1008" i="3"/>
  <c r="L993" i="3"/>
  <c r="K993" i="3"/>
  <c r="M993" i="3"/>
  <c r="O993" i="3"/>
  <c r="Q993" i="3" s="1"/>
  <c r="N993" i="3"/>
  <c r="J993" i="3"/>
  <c r="L989" i="3"/>
  <c r="K989" i="3"/>
  <c r="O989" i="3"/>
  <c r="Q989" i="3" s="1"/>
  <c r="J989" i="3"/>
  <c r="N989" i="3"/>
  <c r="M989" i="3"/>
  <c r="O986" i="3"/>
  <c r="Q986" i="3" s="1"/>
  <c r="N986" i="3"/>
  <c r="M986" i="3"/>
  <c r="J986" i="3"/>
  <c r="K986" i="3"/>
  <c r="L986" i="3"/>
  <c r="K1377" i="3"/>
  <c r="M1377" i="3"/>
  <c r="J1377" i="3"/>
  <c r="N1377" i="3"/>
  <c r="O1377" i="3"/>
  <c r="Q1377" i="3" s="1"/>
  <c r="L1377" i="3"/>
  <c r="J1373" i="3"/>
  <c r="O1373" i="3"/>
  <c r="Q1373" i="3" s="1"/>
  <c r="K1373" i="3"/>
  <c r="M1373" i="3"/>
  <c r="L1373" i="3"/>
  <c r="N1373" i="3"/>
  <c r="J1369" i="3"/>
  <c r="L1369" i="3"/>
  <c r="K1369" i="3"/>
  <c r="M1369" i="3"/>
  <c r="O1369" i="3"/>
  <c r="Q1369" i="3" s="1"/>
  <c r="N1369" i="3"/>
  <c r="J1365" i="3"/>
  <c r="L1365" i="3"/>
  <c r="N1365" i="3"/>
  <c r="O1365" i="3"/>
  <c r="Q1365" i="3" s="1"/>
  <c r="K1365" i="3"/>
  <c r="M1365" i="3"/>
  <c r="K1382" i="3"/>
  <c r="M1382" i="3"/>
  <c r="O1382" i="3"/>
  <c r="Q1382" i="3" s="1"/>
  <c r="J1382" i="3"/>
  <c r="N1382" i="3"/>
  <c r="L1382" i="3"/>
  <c r="K1378" i="3"/>
  <c r="J1378" i="3"/>
  <c r="O1378" i="3"/>
  <c r="Q1378" i="3" s="1"/>
  <c r="M1378" i="3"/>
  <c r="L1378" i="3"/>
  <c r="N1378" i="3"/>
  <c r="L879" i="3"/>
  <c r="J879" i="3"/>
  <c r="M879" i="3"/>
  <c r="N879" i="3"/>
  <c r="K879" i="3"/>
  <c r="O879" i="3"/>
  <c r="Q879" i="3" s="1"/>
  <c r="O907" i="3"/>
  <c r="Q907" i="3" s="1"/>
  <c r="K907" i="3"/>
  <c r="J907" i="3"/>
  <c r="N907" i="3"/>
  <c r="L907" i="3"/>
  <c r="M907" i="3"/>
  <c r="M876" i="3"/>
  <c r="K876" i="3"/>
  <c r="O876" i="3"/>
  <c r="Q876" i="3" s="1"/>
  <c r="J876" i="3"/>
  <c r="L876" i="3"/>
  <c r="N876" i="3"/>
  <c r="L870" i="3"/>
  <c r="O870" i="3"/>
  <c r="Q870" i="3" s="1"/>
  <c r="N870" i="3"/>
  <c r="J870" i="3"/>
  <c r="M870" i="3"/>
  <c r="K870" i="3"/>
  <c r="K868" i="3"/>
  <c r="J868" i="3"/>
  <c r="M868" i="3"/>
  <c r="L868" i="3"/>
  <c r="N868" i="3"/>
  <c r="O868" i="3"/>
  <c r="Q868" i="3" s="1"/>
  <c r="O863" i="3"/>
  <c r="Q863" i="3" s="1"/>
  <c r="L863" i="3"/>
  <c r="M863" i="3"/>
  <c r="N863" i="3"/>
  <c r="J863" i="3"/>
  <c r="K863" i="3"/>
  <c r="N872" i="3"/>
  <c r="O872" i="3"/>
  <c r="Q872" i="3" s="1"/>
  <c r="J872" i="3"/>
  <c r="M872" i="3"/>
  <c r="L872" i="3"/>
  <c r="K872" i="3"/>
  <c r="O860" i="3"/>
  <c r="Q860" i="3" s="1"/>
  <c r="L860" i="3"/>
  <c r="M860" i="3"/>
  <c r="K860" i="3"/>
  <c r="N860" i="3"/>
  <c r="J860" i="3"/>
  <c r="L852" i="3"/>
  <c r="K852" i="3"/>
  <c r="N852" i="3"/>
  <c r="M852" i="3"/>
  <c r="O852" i="3"/>
  <c r="Q852" i="3" s="1"/>
  <c r="J852" i="3"/>
  <c r="O959" i="3"/>
  <c r="Q959" i="3" s="1"/>
  <c r="K959" i="3"/>
  <c r="M959" i="3"/>
  <c r="N959" i="3"/>
  <c r="L959" i="3"/>
  <c r="J959" i="3"/>
  <c r="N955" i="3"/>
  <c r="J955" i="3"/>
  <c r="O955" i="3"/>
  <c r="Q955" i="3" s="1"/>
  <c r="K955" i="3"/>
  <c r="M955" i="3"/>
  <c r="L955" i="3"/>
  <c r="L951" i="3"/>
  <c r="N951" i="3"/>
  <c r="J951" i="3"/>
  <c r="M951" i="3"/>
  <c r="K951" i="3"/>
  <c r="O951" i="3"/>
  <c r="Q951" i="3" s="1"/>
  <c r="O947" i="3"/>
  <c r="Q947" i="3" s="1"/>
  <c r="L947" i="3"/>
  <c r="N947" i="3"/>
  <c r="M947" i="3"/>
  <c r="J947" i="3"/>
  <c r="K947" i="3"/>
  <c r="M943" i="3"/>
  <c r="N943" i="3"/>
  <c r="O943" i="3"/>
  <c r="Q943" i="3" s="1"/>
  <c r="J943" i="3"/>
  <c r="L943" i="3"/>
  <c r="K943" i="3"/>
  <c r="M939" i="3"/>
  <c r="J939" i="3"/>
  <c r="K939" i="3"/>
  <c r="O939" i="3"/>
  <c r="Q939" i="3" s="1"/>
  <c r="N939" i="3"/>
  <c r="L939" i="3"/>
  <c r="L927" i="3"/>
  <c r="N927" i="3"/>
  <c r="K927" i="3"/>
  <c r="J927" i="3"/>
  <c r="M927" i="3"/>
  <c r="O927" i="3"/>
  <c r="Q927" i="3" s="1"/>
  <c r="L923" i="3"/>
  <c r="J923" i="3"/>
  <c r="K923" i="3"/>
  <c r="M923" i="3"/>
  <c r="N923" i="3"/>
  <c r="O923" i="3"/>
  <c r="Q923" i="3" s="1"/>
  <c r="M919" i="3"/>
  <c r="L919" i="3"/>
  <c r="O919" i="3"/>
  <c r="Q919" i="3" s="1"/>
  <c r="J919" i="3"/>
  <c r="K919" i="3"/>
  <c r="N919" i="3"/>
  <c r="M911" i="3"/>
  <c r="J911" i="3"/>
  <c r="O911" i="3"/>
  <c r="Q911" i="3" s="1"/>
  <c r="K911" i="3"/>
  <c r="N911" i="3"/>
  <c r="L911" i="3"/>
  <c r="J935" i="3"/>
  <c r="O935" i="3"/>
  <c r="Q935" i="3" s="1"/>
  <c r="K935" i="3"/>
  <c r="N935" i="3"/>
  <c r="L935" i="3"/>
  <c r="M935" i="3"/>
  <c r="P935" i="3" s="1"/>
  <c r="M931" i="3"/>
  <c r="O931" i="3"/>
  <c r="Q931" i="3" s="1"/>
  <c r="L931" i="3"/>
  <c r="K931" i="3"/>
  <c r="N931" i="3"/>
  <c r="J931" i="3"/>
  <c r="M915" i="3"/>
  <c r="J915" i="3"/>
  <c r="O915" i="3"/>
  <c r="Q915" i="3" s="1"/>
  <c r="N915" i="3"/>
  <c r="K915" i="3"/>
  <c r="L915" i="3"/>
  <c r="L888" i="3"/>
  <c r="M888" i="3"/>
  <c r="N888" i="3"/>
  <c r="O888" i="3"/>
  <c r="Q888" i="3" s="1"/>
  <c r="K888" i="3"/>
  <c r="J888" i="3"/>
  <c r="N900" i="3"/>
  <c r="J900" i="3"/>
  <c r="O900" i="3"/>
  <c r="Q900" i="3" s="1"/>
  <c r="K900" i="3"/>
  <c r="L900" i="3"/>
  <c r="M900" i="3"/>
  <c r="O894" i="3"/>
  <c r="Q894" i="3" s="1"/>
  <c r="M894" i="3"/>
  <c r="P894" i="3" s="1"/>
  <c r="J894" i="3"/>
  <c r="N894" i="3"/>
  <c r="L894" i="3"/>
  <c r="K894" i="3"/>
  <c r="L885" i="3"/>
  <c r="J885" i="3"/>
  <c r="N885" i="3"/>
  <c r="O885" i="3"/>
  <c r="Q885" i="3" s="1"/>
  <c r="M885" i="3"/>
  <c r="K885" i="3"/>
  <c r="L883" i="3"/>
  <c r="N883" i="3"/>
  <c r="O883" i="3"/>
  <c r="Q883" i="3" s="1"/>
  <c r="K883" i="3"/>
  <c r="J883" i="3"/>
  <c r="M883" i="3"/>
  <c r="O849" i="3"/>
  <c r="Q849" i="3" s="1"/>
  <c r="L849" i="3"/>
  <c r="N849" i="3"/>
  <c r="M849" i="3"/>
  <c r="K849" i="3"/>
  <c r="J849" i="3"/>
  <c r="M599" i="3"/>
  <c r="J599" i="3"/>
  <c r="K599" i="3"/>
  <c r="N599" i="3"/>
  <c r="O599" i="3"/>
  <c r="Q599" i="3" s="1"/>
  <c r="L599" i="3"/>
  <c r="L609" i="3"/>
  <c r="O609" i="3"/>
  <c r="Q609" i="3" s="1"/>
  <c r="M609" i="3"/>
  <c r="N609" i="3"/>
  <c r="J609" i="3"/>
  <c r="K609" i="3"/>
  <c r="L573" i="3"/>
  <c r="M573" i="3"/>
  <c r="K573" i="3"/>
  <c r="O573" i="3"/>
  <c r="Q573" i="3" s="1"/>
  <c r="N573" i="3"/>
  <c r="J573" i="3"/>
  <c r="K605" i="3"/>
  <c r="N605" i="3"/>
  <c r="J605" i="3"/>
  <c r="M605" i="3"/>
  <c r="L605" i="3"/>
  <c r="O605" i="3"/>
  <c r="Q605" i="3" s="1"/>
  <c r="M593" i="3"/>
  <c r="N593" i="3"/>
  <c r="O593" i="3"/>
  <c r="Q593" i="3" s="1"/>
  <c r="J593" i="3"/>
  <c r="L593" i="3"/>
  <c r="K593" i="3"/>
  <c r="K568" i="3"/>
  <c r="J568" i="3"/>
  <c r="O568" i="3"/>
  <c r="Q568" i="3" s="1"/>
  <c r="L568" i="3"/>
  <c r="M568" i="3"/>
  <c r="N568" i="3"/>
  <c r="J601" i="3"/>
  <c r="N601" i="3"/>
  <c r="O601" i="3"/>
  <c r="Q601" i="3" s="1"/>
  <c r="M601" i="3"/>
  <c r="L601" i="3"/>
  <c r="K601" i="3"/>
  <c r="K589" i="3"/>
  <c r="M589" i="3"/>
  <c r="J589" i="3"/>
  <c r="O589" i="3"/>
  <c r="Q589" i="3" s="1"/>
  <c r="N589" i="3"/>
  <c r="L589" i="3"/>
  <c r="J547" i="3"/>
  <c r="M547" i="3"/>
  <c r="O547" i="3"/>
  <c r="Q547" i="3" s="1"/>
  <c r="K547" i="3"/>
  <c r="N547" i="3"/>
  <c r="L547" i="3"/>
  <c r="M565" i="3"/>
  <c r="J565" i="3"/>
  <c r="O565" i="3"/>
  <c r="Q565" i="3" s="1"/>
  <c r="N565" i="3"/>
  <c r="K565" i="3"/>
  <c r="L565" i="3"/>
  <c r="K585" i="3"/>
  <c r="J585" i="3"/>
  <c r="O585" i="3"/>
  <c r="Q585" i="3" s="1"/>
  <c r="L585" i="3"/>
  <c r="M585" i="3"/>
  <c r="N585" i="3"/>
  <c r="L581" i="3"/>
  <c r="O581" i="3"/>
  <c r="Q581" i="3" s="1"/>
  <c r="J581" i="3"/>
  <c r="N581" i="3"/>
  <c r="M581" i="3"/>
  <c r="K581" i="3"/>
  <c r="J560" i="3"/>
  <c r="M560" i="3"/>
  <c r="K560" i="3"/>
  <c r="L560" i="3"/>
  <c r="O560" i="3"/>
  <c r="Q560" i="3" s="1"/>
  <c r="N560" i="3"/>
  <c r="N580" i="3"/>
  <c r="J580" i="3"/>
  <c r="M580" i="3"/>
  <c r="L580" i="3"/>
  <c r="O580" i="3"/>
  <c r="Q580" i="3" s="1"/>
  <c r="K580" i="3"/>
  <c r="K576" i="3"/>
  <c r="J576" i="3"/>
  <c r="L576" i="3"/>
  <c r="O576" i="3"/>
  <c r="Q576" i="3" s="1"/>
  <c r="N576" i="3"/>
  <c r="M576" i="3"/>
  <c r="O553" i="3"/>
  <c r="Q553" i="3" s="1"/>
  <c r="N553" i="3"/>
  <c r="K553" i="3"/>
  <c r="M553" i="3"/>
  <c r="J553" i="3"/>
  <c r="L553" i="3"/>
  <c r="J549" i="3"/>
  <c r="N549" i="3"/>
  <c r="K549" i="3"/>
  <c r="L549" i="3"/>
  <c r="O549" i="3"/>
  <c r="Q549" i="3" s="1"/>
  <c r="M549" i="3"/>
  <c r="O710" i="3"/>
  <c r="Q710" i="3" s="1"/>
  <c r="J710" i="3"/>
  <c r="L710" i="3"/>
  <c r="K710" i="3"/>
  <c r="M710" i="3"/>
  <c r="N710" i="3"/>
  <c r="N706" i="3"/>
  <c r="J706" i="3"/>
  <c r="M706" i="3"/>
  <c r="O706" i="3"/>
  <c r="Q706" i="3" s="1"/>
  <c r="K706" i="3"/>
  <c r="L706" i="3"/>
  <c r="O702" i="3"/>
  <c r="Q702" i="3" s="1"/>
  <c r="N702" i="3"/>
  <c r="J702" i="3"/>
  <c r="K702" i="3"/>
  <c r="M702" i="3"/>
  <c r="L702" i="3"/>
  <c r="K698" i="3"/>
  <c r="O698" i="3"/>
  <c r="Q698" i="3" s="1"/>
  <c r="M698" i="3"/>
  <c r="N698" i="3"/>
  <c r="L698" i="3"/>
  <c r="J698" i="3"/>
  <c r="O694" i="3"/>
  <c r="Q694" i="3" s="1"/>
  <c r="J694" i="3"/>
  <c r="L694" i="3"/>
  <c r="M694" i="3"/>
  <c r="N694" i="3"/>
  <c r="K694" i="3"/>
  <c r="K689" i="3"/>
  <c r="L689" i="3"/>
  <c r="O689" i="3"/>
  <c r="Q689" i="3" s="1"/>
  <c r="M689" i="3"/>
  <c r="J689" i="3"/>
  <c r="N689" i="3"/>
  <c r="K685" i="3"/>
  <c r="L685" i="3"/>
  <c r="O685" i="3"/>
  <c r="Q685" i="3" s="1"/>
  <c r="M685" i="3"/>
  <c r="P685" i="3" s="1"/>
  <c r="J685" i="3"/>
  <c r="N685" i="3"/>
  <c r="N681" i="3"/>
  <c r="K681" i="3"/>
  <c r="L681" i="3"/>
  <c r="J681" i="3"/>
  <c r="M681" i="3"/>
  <c r="O681" i="3"/>
  <c r="Q681" i="3" s="1"/>
  <c r="M677" i="3"/>
  <c r="N677" i="3"/>
  <c r="J677" i="3"/>
  <c r="L677" i="3"/>
  <c r="O677" i="3"/>
  <c r="Q677" i="3" s="1"/>
  <c r="K677" i="3"/>
  <c r="L669" i="3"/>
  <c r="O669" i="3"/>
  <c r="Q669" i="3" s="1"/>
  <c r="N669" i="3"/>
  <c r="K669" i="3"/>
  <c r="M669" i="3"/>
  <c r="J669" i="3"/>
  <c r="N657" i="3"/>
  <c r="O657" i="3"/>
  <c r="Q657" i="3" s="1"/>
  <c r="M657" i="3"/>
  <c r="J657" i="3"/>
  <c r="L657" i="3"/>
  <c r="K657" i="3"/>
  <c r="O653" i="3"/>
  <c r="Q653" i="3" s="1"/>
  <c r="L653" i="3"/>
  <c r="J653" i="3"/>
  <c r="N653" i="3"/>
  <c r="K653" i="3"/>
  <c r="M653" i="3"/>
  <c r="P653" i="3" s="1"/>
  <c r="J673" i="3"/>
  <c r="M673" i="3"/>
  <c r="O673" i="3"/>
  <c r="Q673" i="3" s="1"/>
  <c r="N673" i="3"/>
  <c r="L673" i="3"/>
  <c r="K673" i="3"/>
  <c r="O665" i="3"/>
  <c r="Q665" i="3" s="1"/>
  <c r="N665" i="3"/>
  <c r="K665" i="3"/>
  <c r="J665" i="3"/>
  <c r="L665" i="3"/>
  <c r="M665" i="3"/>
  <c r="P665" i="3" s="1"/>
  <c r="O661" i="3"/>
  <c r="Q661" i="3" s="1"/>
  <c r="M661" i="3"/>
  <c r="N661" i="3"/>
  <c r="J661" i="3"/>
  <c r="L661" i="3"/>
  <c r="K661" i="3"/>
  <c r="M649" i="3"/>
  <c r="K649" i="3"/>
  <c r="O649" i="3"/>
  <c r="Q649" i="3" s="1"/>
  <c r="N649" i="3"/>
  <c r="J649" i="3"/>
  <c r="L649" i="3"/>
  <c r="N645" i="3"/>
  <c r="K645" i="3"/>
  <c r="O645" i="3"/>
  <c r="Q645" i="3" s="1"/>
  <c r="L645" i="3"/>
  <c r="J645" i="3"/>
  <c r="M645" i="3"/>
  <c r="O641" i="3"/>
  <c r="Q641" i="3" s="1"/>
  <c r="M641" i="3"/>
  <c r="K641" i="3"/>
  <c r="L641" i="3"/>
  <c r="J641" i="3"/>
  <c r="N641" i="3"/>
  <c r="N637" i="3"/>
  <c r="K637" i="3"/>
  <c r="M637" i="3"/>
  <c r="J637" i="3"/>
  <c r="O637" i="3"/>
  <c r="Q637" i="3" s="1"/>
  <c r="L637" i="3"/>
  <c r="L633" i="3"/>
  <c r="M633" i="3"/>
  <c r="K633" i="3"/>
  <c r="O633" i="3"/>
  <c r="Q633" i="3" s="1"/>
  <c r="J633" i="3"/>
  <c r="N633" i="3"/>
  <c r="N630" i="3"/>
  <c r="K630" i="3"/>
  <c r="M630" i="3"/>
  <c r="O630" i="3"/>
  <c r="Q630" i="3" s="1"/>
  <c r="J630" i="3"/>
  <c r="L630" i="3"/>
  <c r="K626" i="3"/>
  <c r="M626" i="3"/>
  <c r="N626" i="3"/>
  <c r="L626" i="3"/>
  <c r="O626" i="3"/>
  <c r="Q626" i="3" s="1"/>
  <c r="J626" i="3"/>
  <c r="K621" i="3"/>
  <c r="J621" i="3"/>
  <c r="M621" i="3"/>
  <c r="L621" i="3"/>
  <c r="O621" i="3"/>
  <c r="Q621" i="3" s="1"/>
  <c r="N621" i="3"/>
  <c r="M617" i="3"/>
  <c r="O617" i="3"/>
  <c r="Q617" i="3" s="1"/>
  <c r="J617" i="3"/>
  <c r="L617" i="3"/>
  <c r="N617" i="3"/>
  <c r="K617" i="3"/>
  <c r="M613" i="3"/>
  <c r="O613" i="3"/>
  <c r="Q613" i="3" s="1"/>
  <c r="N613" i="3"/>
  <c r="K613" i="3"/>
  <c r="J613" i="3"/>
  <c r="L613" i="3"/>
  <c r="O781" i="3"/>
  <c r="Q781" i="3" s="1"/>
  <c r="M781" i="3"/>
  <c r="K781" i="3"/>
  <c r="L781" i="3"/>
  <c r="J781" i="3"/>
  <c r="N781" i="3"/>
  <c r="M777" i="3"/>
  <c r="J777" i="3"/>
  <c r="N777" i="3"/>
  <c r="O777" i="3"/>
  <c r="Q777" i="3" s="1"/>
  <c r="L777" i="3"/>
  <c r="K777" i="3"/>
  <c r="M773" i="3"/>
  <c r="J773" i="3"/>
  <c r="L773" i="3"/>
  <c r="K773" i="3"/>
  <c r="O773" i="3"/>
  <c r="Q773" i="3" s="1"/>
  <c r="N773" i="3"/>
  <c r="J769" i="3"/>
  <c r="O769" i="3"/>
  <c r="Q769" i="3" s="1"/>
  <c r="L769" i="3"/>
  <c r="K769" i="3"/>
  <c r="M769" i="3"/>
  <c r="N769" i="3"/>
  <c r="M766" i="3"/>
  <c r="J766" i="3"/>
  <c r="L766" i="3"/>
  <c r="O766" i="3"/>
  <c r="Q766" i="3" s="1"/>
  <c r="K766" i="3"/>
  <c r="N766" i="3"/>
  <c r="K762" i="3"/>
  <c r="L762" i="3"/>
  <c r="M762" i="3"/>
  <c r="O762" i="3"/>
  <c r="Q762" i="3" s="1"/>
  <c r="N762" i="3"/>
  <c r="J762" i="3"/>
  <c r="O758" i="3"/>
  <c r="Q758" i="3" s="1"/>
  <c r="K758" i="3"/>
  <c r="J758" i="3"/>
  <c r="M758" i="3"/>
  <c r="N758" i="3"/>
  <c r="L758" i="3"/>
  <c r="N754" i="3"/>
  <c r="O754" i="3"/>
  <c r="Q754" i="3" s="1"/>
  <c r="K754" i="3"/>
  <c r="M754" i="3"/>
  <c r="J754" i="3"/>
  <c r="L754" i="3"/>
  <c r="K750" i="3"/>
  <c r="M750" i="3"/>
  <c r="L750" i="3"/>
  <c r="N750" i="3"/>
  <c r="O750" i="3"/>
  <c r="Q750" i="3" s="1"/>
  <c r="J750" i="3"/>
  <c r="N746" i="3"/>
  <c r="L746" i="3"/>
  <c r="O746" i="3"/>
  <c r="Q746" i="3" s="1"/>
  <c r="J746" i="3"/>
  <c r="K746" i="3"/>
  <c r="M746" i="3"/>
  <c r="O742" i="3"/>
  <c r="Q742" i="3" s="1"/>
  <c r="M742" i="3"/>
  <c r="K742" i="3"/>
  <c r="N742" i="3"/>
  <c r="J742" i="3"/>
  <c r="L742" i="3"/>
  <c r="O802" i="3"/>
  <c r="Q802" i="3" s="1"/>
  <c r="M802" i="3"/>
  <c r="J802" i="3"/>
  <c r="N802" i="3"/>
  <c r="L802" i="3"/>
  <c r="K802" i="3"/>
  <c r="K831" i="3"/>
  <c r="J831" i="3"/>
  <c r="N831" i="3"/>
  <c r="M831" i="3"/>
  <c r="O831" i="3"/>
  <c r="Q831" i="3" s="1"/>
  <c r="L831" i="3"/>
  <c r="N828" i="3"/>
  <c r="J828" i="3"/>
  <c r="M828" i="3"/>
  <c r="K828" i="3"/>
  <c r="L828" i="3"/>
  <c r="O828" i="3"/>
  <c r="Q828" i="3" s="1"/>
  <c r="J840" i="3"/>
  <c r="K840" i="3"/>
  <c r="M840" i="3"/>
  <c r="O840" i="3"/>
  <c r="Q840" i="3" s="1"/>
  <c r="L840" i="3"/>
  <c r="N840" i="3"/>
  <c r="J796" i="3"/>
  <c r="O796" i="3"/>
  <c r="Q796" i="3" s="1"/>
  <c r="K796" i="3"/>
  <c r="L796" i="3"/>
  <c r="N796" i="3"/>
  <c r="M796" i="3"/>
  <c r="P796" i="3" s="1"/>
  <c r="L837" i="3"/>
  <c r="O837" i="3"/>
  <c r="Q837" i="3" s="1"/>
  <c r="M837" i="3"/>
  <c r="J837" i="3"/>
  <c r="K837" i="3"/>
  <c r="N837" i="3"/>
  <c r="M833" i="3"/>
  <c r="J833" i="3"/>
  <c r="O833" i="3"/>
  <c r="Q833" i="3" s="1"/>
  <c r="N833" i="3"/>
  <c r="L833" i="3"/>
  <c r="K833" i="3"/>
  <c r="O841" i="3"/>
  <c r="Q841" i="3" s="1"/>
  <c r="L841" i="3"/>
  <c r="N841" i="3"/>
  <c r="K841" i="3"/>
  <c r="M841" i="3"/>
  <c r="P841" i="3" s="1"/>
  <c r="J841" i="3"/>
  <c r="J790" i="3"/>
  <c r="K790" i="3"/>
  <c r="N790" i="3"/>
  <c r="L790" i="3"/>
  <c r="O790" i="3"/>
  <c r="Q790" i="3" s="1"/>
  <c r="M790" i="3"/>
  <c r="L823" i="3"/>
  <c r="J823" i="3"/>
  <c r="M823" i="3"/>
  <c r="K823" i="3"/>
  <c r="O823" i="3"/>
  <c r="Q823" i="3" s="1"/>
  <c r="N823" i="3"/>
  <c r="J815" i="3"/>
  <c r="L815" i="3"/>
  <c r="K815" i="3"/>
  <c r="M815" i="3"/>
  <c r="N815" i="3"/>
  <c r="O815" i="3"/>
  <c r="Q815" i="3" s="1"/>
  <c r="L786" i="3"/>
  <c r="J786" i="3"/>
  <c r="N786" i="3"/>
  <c r="O786" i="3"/>
  <c r="Q786" i="3" s="1"/>
  <c r="K786" i="3"/>
  <c r="M786" i="3"/>
  <c r="J821" i="3"/>
  <c r="N821" i="3"/>
  <c r="M821" i="3"/>
  <c r="K821" i="3"/>
  <c r="O821" i="3"/>
  <c r="Q821" i="3" s="1"/>
  <c r="L821" i="3"/>
  <c r="O810" i="3"/>
  <c r="Q810" i="3" s="1"/>
  <c r="K810" i="3"/>
  <c r="M810" i="3"/>
  <c r="N810" i="3"/>
  <c r="J810" i="3"/>
  <c r="L810" i="3"/>
  <c r="M806" i="3"/>
  <c r="N806" i="3"/>
  <c r="J806" i="3"/>
  <c r="O806" i="3"/>
  <c r="Q806" i="3" s="1"/>
  <c r="K806" i="3"/>
  <c r="L806" i="3"/>
  <c r="N739" i="3"/>
  <c r="L739" i="3"/>
  <c r="K739" i="3"/>
  <c r="O739" i="3"/>
  <c r="Q739" i="3" s="1"/>
  <c r="J739" i="3"/>
  <c r="M739" i="3"/>
  <c r="K735" i="3"/>
  <c r="O735" i="3"/>
  <c r="Q735" i="3" s="1"/>
  <c r="L735" i="3"/>
  <c r="J735" i="3"/>
  <c r="M735" i="3"/>
  <c r="N735" i="3"/>
  <c r="L716" i="3"/>
  <c r="O716" i="3"/>
  <c r="Q716" i="3" s="1"/>
  <c r="K716" i="3"/>
  <c r="M716" i="3"/>
  <c r="N716" i="3"/>
  <c r="J716" i="3"/>
  <c r="O731" i="3"/>
  <c r="Q731" i="3" s="1"/>
  <c r="K731" i="3"/>
  <c r="N731" i="3"/>
  <c r="M731" i="3"/>
  <c r="L731" i="3"/>
  <c r="J731" i="3"/>
  <c r="M727" i="3"/>
  <c r="K727" i="3"/>
  <c r="O727" i="3"/>
  <c r="Q727" i="3" s="1"/>
  <c r="N727" i="3"/>
  <c r="L727" i="3"/>
  <c r="J727" i="3"/>
  <c r="M723" i="3"/>
  <c r="K723" i="3"/>
  <c r="J723" i="3"/>
  <c r="N723" i="3"/>
  <c r="L723" i="3"/>
  <c r="O723" i="3"/>
  <c r="Q723" i="3" s="1"/>
  <c r="M719" i="3"/>
  <c r="J719" i="3"/>
  <c r="N719" i="3"/>
  <c r="L719" i="3"/>
  <c r="K719" i="3"/>
  <c r="O719" i="3"/>
  <c r="Q719" i="3" s="1"/>
  <c r="L493" i="3"/>
  <c r="K493" i="3"/>
  <c r="N493" i="3"/>
  <c r="J493" i="3"/>
  <c r="O493" i="3"/>
  <c r="Q493" i="3" s="1"/>
  <c r="M493" i="3"/>
  <c r="N492" i="3"/>
  <c r="K492" i="3"/>
  <c r="M492" i="3"/>
  <c r="O492" i="3"/>
  <c r="Q492" i="3" s="1"/>
  <c r="L492" i="3"/>
  <c r="J492" i="3"/>
  <c r="L439" i="3"/>
  <c r="N439" i="3"/>
  <c r="J439" i="3"/>
  <c r="M439" i="3"/>
  <c r="O439" i="3"/>
  <c r="Q439" i="3" s="1"/>
  <c r="K439" i="3"/>
  <c r="M435" i="3"/>
  <c r="N435" i="3"/>
  <c r="J435" i="3"/>
  <c r="L435" i="3"/>
  <c r="K435" i="3"/>
  <c r="O435" i="3"/>
  <c r="Q435" i="3" s="1"/>
  <c r="N530" i="3"/>
  <c r="M530" i="3"/>
  <c r="O530" i="3"/>
  <c r="Q530" i="3" s="1"/>
  <c r="L530" i="3"/>
  <c r="J530" i="3"/>
  <c r="K530" i="3"/>
  <c r="N526" i="3"/>
  <c r="O526" i="3"/>
  <c r="Q526" i="3" s="1"/>
  <c r="M526" i="3"/>
  <c r="L526" i="3"/>
  <c r="K526" i="3"/>
  <c r="J526" i="3"/>
  <c r="M442" i="3"/>
  <c r="N442" i="3"/>
  <c r="L442" i="3"/>
  <c r="O442" i="3"/>
  <c r="Q442" i="3" s="1"/>
  <c r="K442" i="3"/>
  <c r="J442" i="3"/>
  <c r="L522" i="3"/>
  <c r="N522" i="3"/>
  <c r="K522" i="3"/>
  <c r="M522" i="3"/>
  <c r="O522" i="3"/>
  <c r="Q522" i="3" s="1"/>
  <c r="J522" i="3"/>
  <c r="O475" i="3"/>
  <c r="Q475" i="3" s="1"/>
  <c r="J475" i="3"/>
  <c r="L475" i="3"/>
  <c r="M475" i="3"/>
  <c r="K475" i="3"/>
  <c r="N475" i="3"/>
  <c r="N460" i="3"/>
  <c r="M460" i="3"/>
  <c r="O460" i="3"/>
  <c r="Q460" i="3" s="1"/>
  <c r="K460" i="3"/>
  <c r="J460" i="3"/>
  <c r="L460" i="3"/>
  <c r="M513" i="3"/>
  <c r="K513" i="3"/>
  <c r="J513" i="3"/>
  <c r="N513" i="3"/>
  <c r="L513" i="3"/>
  <c r="O513" i="3"/>
  <c r="Q513" i="3" s="1"/>
  <c r="K509" i="3"/>
  <c r="J509" i="3"/>
  <c r="N509" i="3"/>
  <c r="L509" i="3"/>
  <c r="M509" i="3"/>
  <c r="O509" i="3"/>
  <c r="Q509" i="3" s="1"/>
  <c r="L482" i="3"/>
  <c r="J482" i="3"/>
  <c r="M482" i="3"/>
  <c r="K482" i="3"/>
  <c r="N482" i="3"/>
  <c r="O482" i="3"/>
  <c r="Q482" i="3" s="1"/>
  <c r="N478" i="3"/>
  <c r="L478" i="3"/>
  <c r="O478" i="3"/>
  <c r="Q478" i="3" s="1"/>
  <c r="J478" i="3"/>
  <c r="M478" i="3"/>
  <c r="K478" i="3"/>
  <c r="J540" i="3"/>
  <c r="K540" i="3"/>
  <c r="M540" i="3"/>
  <c r="N540" i="3"/>
  <c r="O540" i="3"/>
  <c r="Q540" i="3" s="1"/>
  <c r="L540" i="3"/>
  <c r="O456" i="3"/>
  <c r="Q456" i="3" s="1"/>
  <c r="M456" i="3"/>
  <c r="L456" i="3"/>
  <c r="N456" i="3"/>
  <c r="J456" i="3"/>
  <c r="K456" i="3"/>
  <c r="O452" i="3"/>
  <c r="Q452" i="3" s="1"/>
  <c r="M452" i="3"/>
  <c r="L452" i="3"/>
  <c r="J452" i="3"/>
  <c r="N452" i="3"/>
  <c r="K452" i="3"/>
  <c r="L520" i="3"/>
  <c r="K520" i="3"/>
  <c r="M520" i="3"/>
  <c r="J520" i="3"/>
  <c r="O520" i="3"/>
  <c r="Q520" i="3" s="1"/>
  <c r="N520" i="3"/>
  <c r="L470" i="3"/>
  <c r="O470" i="3"/>
  <c r="Q470" i="3" s="1"/>
  <c r="M470" i="3"/>
  <c r="J470" i="3"/>
  <c r="N470" i="3"/>
  <c r="K470" i="3"/>
  <c r="N466" i="3"/>
  <c r="K466" i="3"/>
  <c r="J466" i="3"/>
  <c r="O466" i="3"/>
  <c r="Q466" i="3" s="1"/>
  <c r="M466" i="3"/>
  <c r="L466" i="3"/>
  <c r="J517" i="3"/>
  <c r="K517" i="3"/>
  <c r="L517" i="3"/>
  <c r="N517" i="3"/>
  <c r="M517" i="3"/>
  <c r="O517" i="3"/>
  <c r="Q517" i="3" s="1"/>
  <c r="K536" i="3"/>
  <c r="N536" i="3"/>
  <c r="M536" i="3"/>
  <c r="O536" i="3"/>
  <c r="Q536" i="3" s="1"/>
  <c r="L536" i="3"/>
  <c r="J536" i="3"/>
  <c r="J500" i="3"/>
  <c r="N500" i="3"/>
  <c r="M500" i="3"/>
  <c r="K500" i="3"/>
  <c r="L500" i="3"/>
  <c r="O500" i="3"/>
  <c r="Q500" i="3" s="1"/>
  <c r="M499" i="3"/>
  <c r="O499" i="3"/>
  <c r="Q499" i="3" s="1"/>
  <c r="N499" i="3"/>
  <c r="K499" i="3"/>
  <c r="L499" i="3"/>
  <c r="J499" i="3"/>
  <c r="O487" i="3"/>
  <c r="Q487" i="3" s="1"/>
  <c r="N487" i="3"/>
  <c r="L487" i="3"/>
  <c r="K487" i="3"/>
  <c r="M487" i="3"/>
  <c r="P487" i="3" s="1"/>
  <c r="J487" i="3"/>
  <c r="K450" i="3"/>
  <c r="L450" i="3"/>
  <c r="M450" i="3"/>
  <c r="O450" i="3"/>
  <c r="Q450" i="3" s="1"/>
  <c r="J450" i="3"/>
  <c r="N450" i="3"/>
  <c r="O534" i="3"/>
  <c r="Q534" i="3" s="1"/>
  <c r="K534" i="3"/>
  <c r="L534" i="3"/>
  <c r="M534" i="3"/>
  <c r="N534" i="3"/>
  <c r="J534" i="3"/>
  <c r="O488" i="3"/>
  <c r="Q488" i="3" s="1"/>
  <c r="J488" i="3"/>
  <c r="K488" i="3"/>
  <c r="L488" i="3"/>
  <c r="M488" i="3"/>
  <c r="N488" i="3"/>
  <c r="J427" i="3"/>
  <c r="O427" i="3"/>
  <c r="Q427" i="3" s="1"/>
  <c r="N427" i="3"/>
  <c r="M427" i="3"/>
  <c r="L427" i="3"/>
  <c r="K427" i="3"/>
  <c r="K422" i="3"/>
  <c r="M422" i="3"/>
  <c r="O422" i="3"/>
  <c r="Q422" i="3" s="1"/>
  <c r="J422" i="3"/>
  <c r="N422" i="3"/>
  <c r="L422" i="3"/>
  <c r="J359" i="3"/>
  <c r="L359" i="3"/>
  <c r="M359" i="3"/>
  <c r="O359" i="3"/>
  <c r="Q359" i="3" s="1"/>
  <c r="K359" i="3"/>
  <c r="N359" i="3"/>
  <c r="O352" i="3"/>
  <c r="Q352" i="3" s="1"/>
  <c r="J352" i="3"/>
  <c r="N352" i="3"/>
  <c r="M352" i="3"/>
  <c r="K352" i="3"/>
  <c r="L352" i="3"/>
  <c r="M348" i="3"/>
  <c r="K348" i="3"/>
  <c r="L348" i="3"/>
  <c r="J348" i="3"/>
  <c r="O348" i="3"/>
  <c r="Q348" i="3" s="1"/>
  <c r="N348" i="3"/>
  <c r="O344" i="3"/>
  <c r="Q344" i="3" s="1"/>
  <c r="N344" i="3"/>
  <c r="K344" i="3"/>
  <c r="M344" i="3"/>
  <c r="L344" i="3"/>
  <c r="J344" i="3"/>
  <c r="K340" i="3"/>
  <c r="M340" i="3"/>
  <c r="O340" i="3"/>
  <c r="Q340" i="3" s="1"/>
  <c r="L340" i="3"/>
  <c r="N340" i="3"/>
  <c r="J340" i="3"/>
  <c r="K336" i="3"/>
  <c r="N336" i="3"/>
  <c r="M336" i="3"/>
  <c r="L336" i="3"/>
  <c r="J336" i="3"/>
  <c r="O336" i="3"/>
  <c r="Q336" i="3" s="1"/>
  <c r="N332" i="3"/>
  <c r="K332" i="3"/>
  <c r="J332" i="3"/>
  <c r="O332" i="3"/>
  <c r="Q332" i="3" s="1"/>
  <c r="M332" i="3"/>
  <c r="L332" i="3"/>
  <c r="J328" i="3"/>
  <c r="K328" i="3"/>
  <c r="M328" i="3"/>
  <c r="L328" i="3"/>
  <c r="O328" i="3"/>
  <c r="Q328" i="3" s="1"/>
  <c r="N328" i="3"/>
  <c r="J324" i="3"/>
  <c r="K324" i="3"/>
  <c r="O324" i="3"/>
  <c r="Q324" i="3" s="1"/>
  <c r="M324" i="3"/>
  <c r="N324" i="3"/>
  <c r="L324" i="3"/>
  <c r="M320" i="3"/>
  <c r="L320" i="3"/>
  <c r="K320" i="3"/>
  <c r="O320" i="3"/>
  <c r="Q320" i="3" s="1"/>
  <c r="N320" i="3"/>
  <c r="J320" i="3"/>
  <c r="O316" i="3"/>
  <c r="Q316" i="3" s="1"/>
  <c r="K316" i="3"/>
  <c r="N316" i="3"/>
  <c r="J316" i="3"/>
  <c r="M316" i="3"/>
  <c r="P316" i="3" s="1"/>
  <c r="L316" i="3"/>
  <c r="O312" i="3"/>
  <c r="Q312" i="3" s="1"/>
  <c r="N312" i="3"/>
  <c r="M312" i="3"/>
  <c r="J312" i="3"/>
  <c r="L312" i="3"/>
  <c r="K312" i="3"/>
  <c r="K308" i="3"/>
  <c r="N308" i="3"/>
  <c r="O308" i="3"/>
  <c r="Q308" i="3" s="1"/>
  <c r="J308" i="3"/>
  <c r="M308" i="3"/>
  <c r="L308" i="3"/>
  <c r="L304" i="3"/>
  <c r="O304" i="3"/>
  <c r="Q304" i="3" s="1"/>
  <c r="J304" i="3"/>
  <c r="N304" i="3"/>
  <c r="M304" i="3"/>
  <c r="K304" i="3"/>
  <c r="J300" i="3"/>
  <c r="O300" i="3"/>
  <c r="Q300" i="3" s="1"/>
  <c r="N300" i="3"/>
  <c r="L300" i="3"/>
  <c r="M300" i="3"/>
  <c r="K300" i="3"/>
  <c r="J296" i="3"/>
  <c r="L296" i="3"/>
  <c r="N296" i="3"/>
  <c r="O296" i="3"/>
  <c r="Q296" i="3" s="1"/>
  <c r="K296" i="3"/>
  <c r="M296" i="3"/>
  <c r="O373" i="3"/>
  <c r="Q373" i="3" s="1"/>
  <c r="M373" i="3"/>
  <c r="J373" i="3"/>
  <c r="L373" i="3"/>
  <c r="N373" i="3"/>
  <c r="K373" i="3"/>
  <c r="O367" i="3"/>
  <c r="Q367" i="3" s="1"/>
  <c r="K367" i="3"/>
  <c r="L367" i="3"/>
  <c r="J367" i="3"/>
  <c r="N367" i="3"/>
  <c r="M367" i="3"/>
  <c r="J382" i="3"/>
  <c r="N382" i="3"/>
  <c r="O382" i="3"/>
  <c r="Q382" i="3" s="1"/>
  <c r="M382" i="3"/>
  <c r="P382" i="3" s="1"/>
  <c r="K382" i="3"/>
  <c r="L382" i="3"/>
  <c r="N378" i="3"/>
  <c r="K378" i="3"/>
  <c r="J378" i="3"/>
  <c r="M378" i="3"/>
  <c r="L378" i="3"/>
  <c r="O378" i="3"/>
  <c r="Q378" i="3" s="1"/>
  <c r="J356" i="3"/>
  <c r="K356" i="3"/>
  <c r="L356" i="3"/>
  <c r="O356" i="3"/>
  <c r="Q356" i="3" s="1"/>
  <c r="N356" i="3"/>
  <c r="M356" i="3"/>
  <c r="J411" i="3"/>
  <c r="N411" i="3"/>
  <c r="O411" i="3"/>
  <c r="Q411" i="3" s="1"/>
  <c r="L411" i="3"/>
  <c r="K411" i="3"/>
  <c r="M411" i="3"/>
  <c r="O405" i="3"/>
  <c r="Q405" i="3" s="1"/>
  <c r="N405" i="3"/>
  <c r="M405" i="3"/>
  <c r="L405" i="3"/>
  <c r="J405" i="3"/>
  <c r="K405" i="3"/>
  <c r="O369" i="3"/>
  <c r="Q369" i="3" s="1"/>
  <c r="N369" i="3"/>
  <c r="L369" i="3"/>
  <c r="M369" i="3"/>
  <c r="K369" i="3"/>
  <c r="J369" i="3"/>
  <c r="J409" i="3"/>
  <c r="M409" i="3"/>
  <c r="N409" i="3"/>
  <c r="K409" i="3"/>
  <c r="L409" i="3"/>
  <c r="O409" i="3"/>
  <c r="Q409" i="3" s="1"/>
  <c r="L389" i="3"/>
  <c r="O389" i="3"/>
  <c r="Q389" i="3" s="1"/>
  <c r="M389" i="3"/>
  <c r="K389" i="3"/>
  <c r="J389" i="3"/>
  <c r="N389" i="3"/>
  <c r="N397" i="3"/>
  <c r="K397" i="3"/>
  <c r="M397" i="3"/>
  <c r="J397" i="3"/>
  <c r="L397" i="3"/>
  <c r="O397" i="3"/>
  <c r="Q397" i="3" s="1"/>
  <c r="J393" i="3"/>
  <c r="K393" i="3"/>
  <c r="L393" i="3"/>
  <c r="O393" i="3"/>
  <c r="Q393" i="3" s="1"/>
  <c r="M393" i="3"/>
  <c r="N393" i="3"/>
  <c r="L385" i="3"/>
  <c r="J385" i="3"/>
  <c r="N385" i="3"/>
  <c r="M385" i="3"/>
  <c r="O385" i="3"/>
  <c r="Q385" i="3" s="1"/>
  <c r="K385" i="3"/>
  <c r="O361" i="3"/>
  <c r="Q361" i="3" s="1"/>
  <c r="N361" i="3"/>
  <c r="L361" i="3"/>
  <c r="K361" i="3"/>
  <c r="M361" i="3"/>
  <c r="P361" i="3" s="1"/>
  <c r="J361" i="3"/>
  <c r="L288" i="3"/>
  <c r="N288" i="3"/>
  <c r="J288" i="3"/>
  <c r="K288" i="3"/>
  <c r="M288" i="3"/>
  <c r="O288" i="3"/>
  <c r="Q288" i="3" s="1"/>
  <c r="K284" i="3"/>
  <c r="J284" i="3"/>
  <c r="L284" i="3"/>
  <c r="N284" i="3"/>
  <c r="M284" i="3"/>
  <c r="O284" i="3"/>
  <c r="Q284" i="3" s="1"/>
  <c r="K250" i="3"/>
  <c r="J250" i="3"/>
  <c r="L250" i="3"/>
  <c r="M250" i="3"/>
  <c r="N250" i="3"/>
  <c r="O250" i="3"/>
  <c r="Q250" i="3" s="1"/>
  <c r="M281" i="3"/>
  <c r="N281" i="3"/>
  <c r="O281" i="3"/>
  <c r="Q281" i="3" s="1"/>
  <c r="L281" i="3"/>
  <c r="J281" i="3"/>
  <c r="K281" i="3"/>
  <c r="O245" i="3"/>
  <c r="Q245" i="3" s="1"/>
  <c r="M245" i="3"/>
  <c r="K245" i="3"/>
  <c r="N245" i="3"/>
  <c r="L245" i="3"/>
  <c r="J245" i="3"/>
  <c r="J241" i="3"/>
  <c r="L241" i="3"/>
  <c r="K241" i="3"/>
  <c r="O241" i="3"/>
  <c r="Q241" i="3" s="1"/>
  <c r="M241" i="3"/>
  <c r="N241" i="3"/>
  <c r="L237" i="3"/>
  <c r="M237" i="3"/>
  <c r="K237" i="3"/>
  <c r="F30" i="36" s="1"/>
  <c r="N237" i="3"/>
  <c r="J237" i="3"/>
  <c r="D30" i="36" s="1"/>
  <c r="O237" i="3"/>
  <c r="Q237" i="3" s="1"/>
  <c r="O262" i="3"/>
  <c r="Q262" i="3" s="1"/>
  <c r="L262" i="3"/>
  <c r="M262" i="3"/>
  <c r="K262" i="3"/>
  <c r="J262" i="3"/>
  <c r="N262" i="3"/>
  <c r="O258" i="3"/>
  <c r="Q258" i="3" s="1"/>
  <c r="L258" i="3"/>
  <c r="K258" i="3"/>
  <c r="J258" i="3"/>
  <c r="M258" i="3"/>
  <c r="P258" i="3" s="1"/>
  <c r="N258" i="3"/>
  <c r="N253" i="3"/>
  <c r="L253" i="3"/>
  <c r="J253" i="3"/>
  <c r="O253" i="3"/>
  <c r="Q253" i="3" s="1"/>
  <c r="K253" i="3"/>
  <c r="M253" i="3"/>
  <c r="M275" i="3"/>
  <c r="J275" i="3"/>
  <c r="K275" i="3"/>
  <c r="N275" i="3"/>
  <c r="O275" i="3"/>
  <c r="Q275" i="3" s="1"/>
  <c r="L275" i="3"/>
  <c r="O257" i="3"/>
  <c r="Q257" i="3" s="1"/>
  <c r="M257" i="3"/>
  <c r="N257" i="3"/>
  <c r="J257" i="3"/>
  <c r="K257" i="3"/>
  <c r="L257" i="3"/>
  <c r="J267" i="3"/>
  <c r="K267" i="3"/>
  <c r="L267" i="3"/>
  <c r="O267" i="3"/>
  <c r="Q267" i="3" s="1"/>
  <c r="M267" i="3"/>
  <c r="N267" i="3"/>
  <c r="M270" i="3"/>
  <c r="L270" i="3"/>
  <c r="J270" i="3"/>
  <c r="K270" i="3"/>
  <c r="O270" i="3"/>
  <c r="Q270" i="3" s="1"/>
  <c r="N270" i="3"/>
  <c r="O231" i="3"/>
  <c r="Q231" i="3" s="1"/>
  <c r="K231" i="3"/>
  <c r="N231" i="3"/>
  <c r="M231" i="3"/>
  <c r="J231" i="3"/>
  <c r="L231" i="3"/>
  <c r="M94" i="3"/>
  <c r="K94" i="3"/>
  <c r="L94" i="3"/>
  <c r="O94" i="3"/>
  <c r="Q94" i="3" s="1"/>
  <c r="N94" i="3"/>
  <c r="J94" i="3"/>
  <c r="M96" i="3"/>
  <c r="N96" i="3"/>
  <c r="K96" i="3"/>
  <c r="L96" i="3"/>
  <c r="J96" i="3"/>
  <c r="O96" i="3"/>
  <c r="Q96" i="3" s="1"/>
  <c r="M102" i="3"/>
  <c r="J102" i="3"/>
  <c r="N102" i="3"/>
  <c r="L102" i="3"/>
  <c r="K102" i="3"/>
  <c r="O102" i="3"/>
  <c r="Q102" i="3" s="1"/>
  <c r="N120" i="3"/>
  <c r="K120" i="3"/>
  <c r="O120" i="3"/>
  <c r="Q120" i="3" s="1"/>
  <c r="M120" i="3"/>
  <c r="L120" i="3"/>
  <c r="J120" i="3"/>
  <c r="O116" i="3"/>
  <c r="Q116" i="3" s="1"/>
  <c r="K116" i="3"/>
  <c r="N116" i="3"/>
  <c r="M116" i="3"/>
  <c r="J116" i="3"/>
  <c r="L116" i="3"/>
  <c r="J112" i="3"/>
  <c r="L112" i="3"/>
  <c r="K112" i="3"/>
  <c r="O112" i="3"/>
  <c r="Q112" i="3" s="1"/>
  <c r="N112" i="3"/>
  <c r="M112" i="3"/>
  <c r="N108" i="3"/>
  <c r="K108" i="3"/>
  <c r="M108" i="3"/>
  <c r="J108" i="3"/>
  <c r="O108" i="3"/>
  <c r="Q108" i="3" s="1"/>
  <c r="L108" i="3"/>
  <c r="O104" i="3"/>
  <c r="Q104" i="3" s="1"/>
  <c r="K104" i="3"/>
  <c r="L104" i="3"/>
  <c r="N104" i="3"/>
  <c r="M104" i="3"/>
  <c r="P104" i="3" s="1"/>
  <c r="J104" i="3"/>
  <c r="J144" i="3"/>
  <c r="K144" i="3"/>
  <c r="L144" i="3"/>
  <c r="M144" i="3"/>
  <c r="N144" i="3"/>
  <c r="O144" i="3"/>
  <c r="Q144" i="3" s="1"/>
  <c r="R146" i="3" s="1"/>
  <c r="N148" i="3"/>
  <c r="O148" i="3"/>
  <c r="Q148" i="3" s="1"/>
  <c r="J148" i="3"/>
  <c r="L148" i="3"/>
  <c r="K148" i="3"/>
  <c r="M148" i="3"/>
  <c r="N140" i="3"/>
  <c r="L140" i="3"/>
  <c r="J140" i="3"/>
  <c r="K140" i="3"/>
  <c r="M140" i="3"/>
  <c r="O140" i="3"/>
  <c r="Q140" i="3" s="1"/>
  <c r="M137" i="3"/>
  <c r="J137" i="3"/>
  <c r="N137" i="3"/>
  <c r="K137" i="3"/>
  <c r="O137" i="3"/>
  <c r="Q137" i="3" s="1"/>
  <c r="L137" i="3"/>
  <c r="K152" i="3"/>
  <c r="J152" i="3"/>
  <c r="N152" i="3"/>
  <c r="L152" i="3"/>
  <c r="O152" i="3"/>
  <c r="Q152" i="3" s="1"/>
  <c r="M152" i="3"/>
  <c r="P152" i="3" s="1"/>
  <c r="O127" i="3"/>
  <c r="Q127" i="3" s="1"/>
  <c r="J127" i="3"/>
  <c r="N127" i="3"/>
  <c r="L127" i="3"/>
  <c r="M127" i="3"/>
  <c r="P127" i="3" s="1"/>
  <c r="K127" i="3"/>
  <c r="N123" i="3"/>
  <c r="M123" i="3"/>
  <c r="L123" i="3"/>
  <c r="K123" i="3"/>
  <c r="J123" i="3"/>
  <c r="O123" i="3"/>
  <c r="Q123" i="3" s="1"/>
  <c r="N195" i="3"/>
  <c r="M195" i="3"/>
  <c r="L195" i="3"/>
  <c r="O195" i="3"/>
  <c r="Q195" i="3" s="1"/>
  <c r="K195" i="3"/>
  <c r="J195" i="3"/>
  <c r="K191" i="3"/>
  <c r="L191" i="3"/>
  <c r="O191" i="3"/>
  <c r="Q191" i="3" s="1"/>
  <c r="J191" i="3"/>
  <c r="N191" i="3"/>
  <c r="M191" i="3"/>
  <c r="N205" i="3"/>
  <c r="K205" i="3"/>
  <c r="O205" i="3"/>
  <c r="Q205" i="3" s="1"/>
  <c r="L205" i="3"/>
  <c r="J205" i="3"/>
  <c r="M205" i="3"/>
  <c r="J169" i="3"/>
  <c r="L169" i="3"/>
  <c r="N169" i="3"/>
  <c r="M169" i="3"/>
  <c r="O169" i="3"/>
  <c r="Q169" i="3" s="1"/>
  <c r="K169" i="3"/>
  <c r="L203" i="3"/>
  <c r="J203" i="3"/>
  <c r="M203" i="3"/>
  <c r="N203" i="3"/>
  <c r="O203" i="3"/>
  <c r="Q203" i="3" s="1"/>
  <c r="K203" i="3"/>
  <c r="N199" i="3"/>
  <c r="F22" i="36" s="1"/>
  <c r="M199" i="3"/>
  <c r="K199" i="3"/>
  <c r="O199" i="3"/>
  <c r="Q199" i="3" s="1"/>
  <c r="J199" i="3"/>
  <c r="L199" i="3"/>
  <c r="O163" i="3"/>
  <c r="Q163" i="3" s="1"/>
  <c r="J163" i="3"/>
  <c r="K163" i="3"/>
  <c r="M163" i="3"/>
  <c r="L163" i="3"/>
  <c r="N163" i="3"/>
  <c r="L158" i="3"/>
  <c r="K158" i="3"/>
  <c r="N158" i="3"/>
  <c r="M158" i="3"/>
  <c r="O158" i="3"/>
  <c r="Q158" i="3" s="1"/>
  <c r="J158" i="3"/>
  <c r="N154" i="3"/>
  <c r="J154" i="3"/>
  <c r="L154" i="3"/>
  <c r="K154" i="3"/>
  <c r="M154" i="3"/>
  <c r="O154" i="3"/>
  <c r="Q154" i="3" s="1"/>
  <c r="N186" i="3"/>
  <c r="O186" i="3"/>
  <c r="Q186" i="3" s="1"/>
  <c r="J186" i="3"/>
  <c r="K186" i="3"/>
  <c r="L186" i="3"/>
  <c r="M186" i="3"/>
  <c r="P186" i="3" s="1"/>
  <c r="N182" i="3"/>
  <c r="O182" i="3"/>
  <c r="Q182" i="3" s="1"/>
  <c r="J182" i="3"/>
  <c r="M182" i="3"/>
  <c r="K182" i="3"/>
  <c r="L182" i="3"/>
  <c r="O178" i="3"/>
  <c r="Q178" i="3" s="1"/>
  <c r="K178" i="3"/>
  <c r="J178" i="3"/>
  <c r="L178" i="3"/>
  <c r="N178" i="3"/>
  <c r="M178" i="3"/>
  <c r="P178" i="3" s="1"/>
  <c r="M177" i="3"/>
  <c r="J177" i="3"/>
  <c r="O177" i="3"/>
  <c r="Q177" i="3" s="1"/>
  <c r="N177" i="3"/>
  <c r="K177" i="3"/>
  <c r="L177" i="3"/>
  <c r="L173" i="3"/>
  <c r="N173" i="3"/>
  <c r="K173" i="3"/>
  <c r="F11" i="36" s="1"/>
  <c r="O173" i="3"/>
  <c r="Q173" i="3" s="1"/>
  <c r="J173" i="3"/>
  <c r="D11" i="36" s="1"/>
  <c r="M173" i="3"/>
  <c r="N209" i="3"/>
  <c r="O209" i="3"/>
  <c r="Q209" i="3" s="1"/>
  <c r="L209" i="3"/>
  <c r="M209" i="3"/>
  <c r="K209" i="3"/>
  <c r="J209" i="3"/>
  <c r="L222" i="3"/>
  <c r="M222" i="3"/>
  <c r="O222" i="3"/>
  <c r="Q222" i="3" s="1"/>
  <c r="N222" i="3"/>
  <c r="J222" i="3"/>
  <c r="K222" i="3"/>
  <c r="O221" i="3"/>
  <c r="Q221" i="3" s="1"/>
  <c r="N221" i="3"/>
  <c r="M221" i="3"/>
  <c r="J221" i="3"/>
  <c r="L221" i="3"/>
  <c r="K221" i="3"/>
  <c r="M215" i="3"/>
  <c r="N215" i="3"/>
  <c r="J215" i="3"/>
  <c r="L215" i="3"/>
  <c r="O215" i="3"/>
  <c r="Q215" i="3" s="1"/>
  <c r="K215" i="3"/>
  <c r="L61" i="3"/>
  <c r="J61" i="3"/>
  <c r="N61" i="3"/>
  <c r="K61" i="3"/>
  <c r="M61" i="3"/>
  <c r="O61" i="3"/>
  <c r="Q61" i="3" s="1"/>
  <c r="M65" i="3"/>
  <c r="O65" i="3"/>
  <c r="Q65" i="3" s="1"/>
  <c r="N65" i="3"/>
  <c r="K65" i="3"/>
  <c r="L65" i="3"/>
  <c r="J65" i="3"/>
  <c r="J68" i="3"/>
  <c r="K68" i="3"/>
  <c r="O68" i="3"/>
  <c r="Q68" i="3" s="1"/>
  <c r="N68" i="3"/>
  <c r="L68" i="3"/>
  <c r="M68" i="3"/>
  <c r="M79" i="3"/>
  <c r="K79" i="3"/>
  <c r="O79" i="3"/>
  <c r="Q79" i="3" s="1"/>
  <c r="N79" i="3"/>
  <c r="J79" i="3"/>
  <c r="L79" i="3"/>
  <c r="K33" i="3"/>
  <c r="J33" i="3"/>
  <c r="O33" i="3"/>
  <c r="Q33" i="3" s="1"/>
  <c r="L33" i="3"/>
  <c r="M33" i="3"/>
  <c r="N33" i="3"/>
  <c r="O17" i="3"/>
  <c r="Q17" i="3" s="1"/>
  <c r="J17" i="3"/>
  <c r="L17" i="3"/>
  <c r="M17" i="3"/>
  <c r="N17" i="3"/>
  <c r="K17" i="3"/>
  <c r="J13" i="3"/>
  <c r="M13" i="3"/>
  <c r="L13" i="3"/>
  <c r="N13" i="3"/>
  <c r="O13" i="3"/>
  <c r="Q13" i="3" s="1"/>
  <c r="K13" i="3"/>
  <c r="J30" i="3"/>
  <c r="M30" i="3"/>
  <c r="K30" i="3"/>
  <c r="L30" i="3"/>
  <c r="N30" i="3"/>
  <c r="O30" i="3"/>
  <c r="Q30" i="3" s="1"/>
  <c r="O26" i="3"/>
  <c r="Q26" i="3" s="1"/>
  <c r="M26" i="3"/>
  <c r="L26" i="3"/>
  <c r="N26" i="3"/>
  <c r="K26" i="3"/>
  <c r="J26" i="3"/>
  <c r="J22" i="3"/>
  <c r="N22" i="3"/>
  <c r="L22" i="3"/>
  <c r="M22" i="3"/>
  <c r="O22" i="3"/>
  <c r="Q22" i="3" s="1"/>
  <c r="K22" i="3"/>
  <c r="O9" i="3"/>
  <c r="Q9" i="3" s="1"/>
  <c r="K9" i="3"/>
  <c r="M9" i="3"/>
  <c r="N9" i="3"/>
  <c r="J9" i="3"/>
  <c r="L9" i="3"/>
  <c r="J5" i="3"/>
  <c r="K5" i="3"/>
  <c r="O5" i="3"/>
  <c r="Q5" i="3" s="1"/>
  <c r="N5" i="3"/>
  <c r="L5" i="3"/>
  <c r="M5" i="3"/>
  <c r="L46" i="3"/>
  <c r="K46" i="3"/>
  <c r="O46" i="3"/>
  <c r="Q46" i="3" s="1"/>
  <c r="N46" i="3"/>
  <c r="M46" i="3"/>
  <c r="J46" i="3"/>
  <c r="J42" i="3"/>
  <c r="M42" i="3"/>
  <c r="O42" i="3"/>
  <c r="Q42" i="3" s="1"/>
  <c r="L42" i="3"/>
  <c r="N42" i="3"/>
  <c r="K42" i="3"/>
  <c r="J38" i="3"/>
  <c r="M38" i="3"/>
  <c r="O38" i="3"/>
  <c r="Q38" i="3" s="1"/>
  <c r="L38" i="3"/>
  <c r="N38" i="3"/>
  <c r="K38" i="3"/>
  <c r="J90" i="3"/>
  <c r="M90" i="3"/>
  <c r="O90" i="3"/>
  <c r="Q90" i="3" s="1"/>
  <c r="K90" i="3"/>
  <c r="L90" i="3"/>
  <c r="N90" i="3"/>
  <c r="J57" i="3"/>
  <c r="M57" i="3"/>
  <c r="K57" i="3"/>
  <c r="O57" i="3"/>
  <c r="Q57" i="3" s="1"/>
  <c r="L57" i="3"/>
  <c r="N57" i="3"/>
  <c r="L53" i="3"/>
  <c r="J53" i="3"/>
  <c r="K53" i="3"/>
  <c r="M53" i="3"/>
  <c r="O53" i="3"/>
  <c r="Q53" i="3" s="1"/>
  <c r="N53" i="3"/>
  <c r="N77" i="3"/>
  <c r="K77" i="3"/>
  <c r="M77" i="3"/>
  <c r="L77" i="3"/>
  <c r="O77" i="3"/>
  <c r="Q77" i="3" s="1"/>
  <c r="J77" i="3"/>
  <c r="L73" i="3"/>
  <c r="M73" i="3"/>
  <c r="K73" i="3"/>
  <c r="N73" i="3"/>
  <c r="O73" i="3"/>
  <c r="Q73" i="3" s="1"/>
  <c r="J73" i="3"/>
  <c r="O69" i="3"/>
  <c r="Q69" i="3" s="1"/>
  <c r="M69" i="3"/>
  <c r="N69" i="3"/>
  <c r="K69" i="3"/>
  <c r="J69" i="3"/>
  <c r="L69" i="3"/>
  <c r="M1361" i="3"/>
  <c r="L1361" i="3"/>
  <c r="O1361" i="3"/>
  <c r="Q1361" i="3" s="1"/>
  <c r="N1361" i="3"/>
  <c r="J1361" i="3"/>
  <c r="K1361" i="3"/>
  <c r="J1357" i="3"/>
  <c r="O1357" i="3"/>
  <c r="Q1357" i="3" s="1"/>
  <c r="K1357" i="3"/>
  <c r="M1357" i="3"/>
  <c r="L1357" i="3"/>
  <c r="N1357" i="3"/>
  <c r="K1314" i="3"/>
  <c r="J1314" i="3"/>
  <c r="O1314" i="3"/>
  <c r="Q1314" i="3" s="1"/>
  <c r="M1314" i="3"/>
  <c r="L1314" i="3"/>
  <c r="N1314" i="3"/>
  <c r="K1309" i="3"/>
  <c r="M1309" i="3"/>
  <c r="O1309" i="3"/>
  <c r="Q1309" i="3" s="1"/>
  <c r="N1309" i="3"/>
  <c r="L1309" i="3"/>
  <c r="J1309" i="3"/>
  <c r="O1308" i="3"/>
  <c r="Q1308" i="3" s="1"/>
  <c r="J1308" i="3"/>
  <c r="L1308" i="3"/>
  <c r="K1308" i="3"/>
  <c r="M1308" i="3"/>
  <c r="P1308" i="3" s="1"/>
  <c r="N1308" i="3"/>
  <c r="O1306" i="3"/>
  <c r="Q1306" i="3" s="1"/>
  <c r="L1306" i="3"/>
  <c r="M1306" i="3"/>
  <c r="K1306" i="3"/>
  <c r="N1306" i="3"/>
  <c r="J1306" i="3"/>
  <c r="K1322" i="3"/>
  <c r="J1322" i="3"/>
  <c r="O1322" i="3"/>
  <c r="Q1322" i="3" s="1"/>
  <c r="L1322" i="3"/>
  <c r="M1322" i="3"/>
  <c r="N1322" i="3"/>
  <c r="N1327" i="3"/>
  <c r="O1327" i="3"/>
  <c r="Q1327" i="3" s="1"/>
  <c r="K1327" i="3"/>
  <c r="J1327" i="3"/>
  <c r="M1327" i="3"/>
  <c r="L1327" i="3"/>
  <c r="K1351" i="3"/>
  <c r="M1351" i="3"/>
  <c r="O1351" i="3"/>
  <c r="Q1351" i="3" s="1"/>
  <c r="N1351" i="3"/>
  <c r="J1351" i="3"/>
  <c r="L1351" i="3"/>
  <c r="J1347" i="3"/>
  <c r="O1347" i="3"/>
  <c r="Q1347" i="3" s="1"/>
  <c r="K1347" i="3"/>
  <c r="N1347" i="3"/>
  <c r="L1347" i="3"/>
  <c r="M1347" i="3"/>
  <c r="P1347" i="3" s="1"/>
  <c r="K1343" i="3"/>
  <c r="M1343" i="3"/>
  <c r="O1343" i="3"/>
  <c r="Q1343" i="3" s="1"/>
  <c r="N1343" i="3"/>
  <c r="J1343" i="3"/>
  <c r="L1343" i="3"/>
  <c r="K1337" i="3"/>
  <c r="M1337" i="3"/>
  <c r="O1337" i="3"/>
  <c r="Q1337" i="3" s="1"/>
  <c r="J1337" i="3"/>
  <c r="N1337" i="3"/>
  <c r="L1337" i="3"/>
  <c r="N1335" i="3"/>
  <c r="L1335" i="3"/>
  <c r="O1335" i="3"/>
  <c r="Q1335" i="3" s="1"/>
  <c r="K1335" i="3"/>
  <c r="M1335" i="3"/>
  <c r="J1335" i="3"/>
  <c r="M1331" i="3"/>
  <c r="L1331" i="3"/>
  <c r="K1331" i="3"/>
  <c r="J1331" i="3"/>
  <c r="N1331" i="3"/>
  <c r="O1331" i="3"/>
  <c r="Q1331" i="3" s="1"/>
  <c r="L1285" i="3"/>
  <c r="O1285" i="3"/>
  <c r="Q1285" i="3" s="1"/>
  <c r="K1285" i="3"/>
  <c r="M1285" i="3"/>
  <c r="J1285" i="3"/>
  <c r="N1285" i="3"/>
  <c r="O1282" i="3"/>
  <c r="Q1282" i="3" s="1"/>
  <c r="M1282" i="3"/>
  <c r="N1282" i="3"/>
  <c r="L1282" i="3"/>
  <c r="K1282" i="3"/>
  <c r="J1282" i="3"/>
  <c r="K1292" i="3"/>
  <c r="O1292" i="3"/>
  <c r="Q1292" i="3" s="1"/>
  <c r="M1292" i="3"/>
  <c r="N1292" i="3"/>
  <c r="L1292" i="3"/>
  <c r="J1292" i="3"/>
  <c r="O1294" i="3"/>
  <c r="Q1294" i="3" s="1"/>
  <c r="L1294" i="3"/>
  <c r="K1294" i="3"/>
  <c r="M1294" i="3"/>
  <c r="N1294" i="3"/>
  <c r="J1294" i="3"/>
  <c r="N1279" i="3"/>
  <c r="O1279" i="3"/>
  <c r="Q1279" i="3" s="1"/>
  <c r="J1279" i="3"/>
  <c r="M1279" i="3"/>
  <c r="K1279" i="3"/>
  <c r="L1279" i="3"/>
  <c r="K1302" i="3"/>
  <c r="J1302" i="3"/>
  <c r="O1302" i="3"/>
  <c r="Q1302" i="3" s="1"/>
  <c r="M1302" i="3"/>
  <c r="L1302" i="3"/>
  <c r="N1302" i="3"/>
  <c r="J1276" i="3"/>
  <c r="L1276" i="3"/>
  <c r="O1276" i="3"/>
  <c r="Q1276" i="3" s="1"/>
  <c r="M1276" i="3"/>
  <c r="N1276" i="3"/>
  <c r="K1276" i="3"/>
  <c r="L1269" i="3"/>
  <c r="K1269" i="3"/>
  <c r="M1269" i="3"/>
  <c r="O1269" i="3"/>
  <c r="Q1269" i="3" s="1"/>
  <c r="J1269" i="3"/>
  <c r="N1269" i="3"/>
  <c r="K1270" i="3"/>
  <c r="J1270" i="3"/>
  <c r="O1270" i="3"/>
  <c r="Q1270" i="3" s="1"/>
  <c r="L1270" i="3"/>
  <c r="M1270" i="3"/>
  <c r="N1270" i="3"/>
  <c r="O1218" i="3"/>
  <c r="Q1218" i="3" s="1"/>
  <c r="L1218" i="3"/>
  <c r="K1218" i="3"/>
  <c r="J1218" i="3"/>
  <c r="M1218" i="3"/>
  <c r="N1218" i="3"/>
  <c r="O1225" i="3"/>
  <c r="Q1225" i="3" s="1"/>
  <c r="K1225" i="3"/>
  <c r="M1225" i="3"/>
  <c r="L1225" i="3"/>
  <c r="N1225" i="3"/>
  <c r="J1225" i="3"/>
  <c r="M1229" i="3"/>
  <c r="L1229" i="3"/>
  <c r="K1229" i="3"/>
  <c r="N1229" i="3"/>
  <c r="J1229" i="3"/>
  <c r="O1229" i="3"/>
  <c r="Q1229" i="3" s="1"/>
  <c r="L1223" i="3"/>
  <c r="M1223" i="3"/>
  <c r="O1223" i="3"/>
  <c r="Q1223" i="3" s="1"/>
  <c r="N1223" i="3"/>
  <c r="J1223" i="3"/>
  <c r="K1223" i="3"/>
  <c r="O1221" i="3"/>
  <c r="Q1221" i="3" s="1"/>
  <c r="K1221" i="3"/>
  <c r="M1221" i="3"/>
  <c r="L1221" i="3"/>
  <c r="J1221" i="3"/>
  <c r="N1221" i="3"/>
  <c r="K1258" i="3"/>
  <c r="L1258" i="3"/>
  <c r="O1258" i="3"/>
  <c r="Q1258" i="3" s="1"/>
  <c r="M1258" i="3"/>
  <c r="J1258" i="3"/>
  <c r="N1258" i="3"/>
  <c r="O1254" i="3"/>
  <c r="Q1254" i="3" s="1"/>
  <c r="M1254" i="3"/>
  <c r="K1254" i="3"/>
  <c r="L1254" i="3"/>
  <c r="N1254" i="3"/>
  <c r="J1254" i="3"/>
  <c r="K1250" i="3"/>
  <c r="M1250" i="3"/>
  <c r="O1250" i="3"/>
  <c r="Q1250" i="3" s="1"/>
  <c r="L1250" i="3"/>
  <c r="J1250" i="3"/>
  <c r="N1250" i="3"/>
  <c r="O1246" i="3"/>
  <c r="Q1246" i="3" s="1"/>
  <c r="L1246" i="3"/>
  <c r="N1246" i="3"/>
  <c r="M1246" i="3"/>
  <c r="K1246" i="3"/>
  <c r="J1246" i="3"/>
  <c r="N1242" i="3"/>
  <c r="K1242" i="3"/>
  <c r="L1242" i="3"/>
  <c r="O1242" i="3"/>
  <c r="Q1242" i="3" s="1"/>
  <c r="M1242" i="3"/>
  <c r="J1242" i="3"/>
  <c r="M1238" i="3"/>
  <c r="J1238" i="3"/>
  <c r="O1238" i="3"/>
  <c r="Q1238" i="3" s="1"/>
  <c r="N1238" i="3"/>
  <c r="K1238" i="3"/>
  <c r="L1238" i="3"/>
  <c r="K1234" i="3"/>
  <c r="N1234" i="3"/>
  <c r="O1234" i="3"/>
  <c r="Q1234" i="3" s="1"/>
  <c r="L1234" i="3"/>
  <c r="M1234" i="3"/>
  <c r="J1234" i="3"/>
  <c r="O1142" i="3"/>
  <c r="Q1142" i="3" s="1"/>
  <c r="J1142" i="3"/>
  <c r="L1142" i="3"/>
  <c r="K1142" i="3"/>
  <c r="M1142" i="3"/>
  <c r="P1142" i="3" s="1"/>
  <c r="N1142" i="3"/>
  <c r="O1207" i="3"/>
  <c r="Q1207" i="3" s="1"/>
  <c r="L1207" i="3"/>
  <c r="K1207" i="3"/>
  <c r="M1207" i="3"/>
  <c r="J1207" i="3"/>
  <c r="N1207" i="3"/>
  <c r="K1203" i="3"/>
  <c r="M1203" i="3"/>
  <c r="O1203" i="3"/>
  <c r="Q1203" i="3" s="1"/>
  <c r="J1203" i="3"/>
  <c r="N1203" i="3"/>
  <c r="L1203" i="3"/>
  <c r="J1211" i="3"/>
  <c r="N1211" i="3"/>
  <c r="O1211" i="3"/>
  <c r="Q1211" i="3" s="1"/>
  <c r="K1211" i="3"/>
  <c r="L1211" i="3"/>
  <c r="M1211" i="3"/>
  <c r="N1196" i="3"/>
  <c r="L1196" i="3"/>
  <c r="K1196" i="3"/>
  <c r="M1196" i="3"/>
  <c r="O1196" i="3"/>
  <c r="Q1196" i="3" s="1"/>
  <c r="J1196" i="3"/>
  <c r="L1192" i="3"/>
  <c r="M1192" i="3"/>
  <c r="O1192" i="3"/>
  <c r="Q1192" i="3" s="1"/>
  <c r="N1192" i="3"/>
  <c r="J1192" i="3"/>
  <c r="K1192" i="3"/>
  <c r="O1188" i="3"/>
  <c r="Q1188" i="3" s="1"/>
  <c r="J1188" i="3"/>
  <c r="N1188" i="3"/>
  <c r="M1188" i="3"/>
  <c r="K1188" i="3"/>
  <c r="L1188" i="3"/>
  <c r="O1184" i="3"/>
  <c r="Q1184" i="3" s="1"/>
  <c r="J1184" i="3"/>
  <c r="K1184" i="3"/>
  <c r="L1184" i="3"/>
  <c r="N1184" i="3"/>
  <c r="M1184" i="3"/>
  <c r="K1176" i="3"/>
  <c r="L1176" i="3"/>
  <c r="M1176" i="3"/>
  <c r="N1176" i="3"/>
  <c r="O1176" i="3"/>
  <c r="Q1176" i="3" s="1"/>
  <c r="J1176" i="3"/>
  <c r="K1172" i="3"/>
  <c r="J1172" i="3"/>
  <c r="N1172" i="3"/>
  <c r="M1172" i="3"/>
  <c r="O1172" i="3"/>
  <c r="Q1172" i="3" s="1"/>
  <c r="L1172" i="3"/>
  <c r="O1168" i="3"/>
  <c r="Q1168" i="3" s="1"/>
  <c r="J1168" i="3"/>
  <c r="L1168" i="3"/>
  <c r="N1168" i="3"/>
  <c r="K1168" i="3"/>
  <c r="M1168" i="3"/>
  <c r="L1180" i="3"/>
  <c r="J1180" i="3"/>
  <c r="N1180" i="3"/>
  <c r="K1180" i="3"/>
  <c r="M1180" i="3"/>
  <c r="O1180" i="3"/>
  <c r="Q1180" i="3" s="1"/>
  <c r="J1164" i="3"/>
  <c r="M1164" i="3"/>
  <c r="N1164" i="3"/>
  <c r="K1164" i="3"/>
  <c r="L1164" i="3"/>
  <c r="O1164" i="3"/>
  <c r="Q1164" i="3" s="1"/>
  <c r="L1161" i="3"/>
  <c r="K1161" i="3"/>
  <c r="O1161" i="3"/>
  <c r="Q1161" i="3" s="1"/>
  <c r="M1161" i="3"/>
  <c r="N1161" i="3"/>
  <c r="J1161" i="3"/>
  <c r="O1153" i="3"/>
  <c r="Q1153" i="3" s="1"/>
  <c r="M1153" i="3"/>
  <c r="N1153" i="3"/>
  <c r="J1153" i="3"/>
  <c r="K1153" i="3"/>
  <c r="L1153" i="3"/>
  <c r="L1202" i="3"/>
  <c r="O1202" i="3"/>
  <c r="Q1202" i="3" s="1"/>
  <c r="K1202" i="3"/>
  <c r="M1202" i="3"/>
  <c r="J1202" i="3"/>
  <c r="N1202" i="3"/>
  <c r="M1157" i="3"/>
  <c r="J1157" i="3"/>
  <c r="K1157" i="3"/>
  <c r="L1157" i="3"/>
  <c r="N1157" i="3"/>
  <c r="O1157" i="3"/>
  <c r="Q1157" i="3" s="1"/>
  <c r="N1148" i="3"/>
  <c r="L1148" i="3"/>
  <c r="M1148" i="3"/>
  <c r="O1148" i="3"/>
  <c r="Q1148" i="3" s="1"/>
  <c r="K1148" i="3"/>
  <c r="J1148" i="3"/>
  <c r="N1144" i="3"/>
  <c r="L1144" i="3"/>
  <c r="M1144" i="3"/>
  <c r="K1144" i="3"/>
  <c r="J1144" i="3"/>
  <c r="O1144" i="3"/>
  <c r="Q1144" i="3" s="1"/>
  <c r="M1058" i="3"/>
  <c r="K1058" i="3"/>
  <c r="O1058" i="3"/>
  <c r="Q1058" i="3" s="1"/>
  <c r="L1058" i="3"/>
  <c r="J1058" i="3"/>
  <c r="N1058" i="3"/>
  <c r="L1056" i="3"/>
  <c r="M1056" i="3"/>
  <c r="K1056" i="3"/>
  <c r="O1056" i="3"/>
  <c r="Q1056" i="3" s="1"/>
  <c r="J1056" i="3"/>
  <c r="N1056" i="3"/>
  <c r="M1046" i="3"/>
  <c r="O1046" i="3"/>
  <c r="Q1046" i="3" s="1"/>
  <c r="L1046" i="3"/>
  <c r="J1046" i="3"/>
  <c r="K1046" i="3"/>
  <c r="N1046" i="3"/>
  <c r="M1054" i="3"/>
  <c r="J1054" i="3"/>
  <c r="K1054" i="3"/>
  <c r="O1054" i="3"/>
  <c r="Q1054" i="3" s="1"/>
  <c r="N1054" i="3"/>
  <c r="L1054" i="3"/>
  <c r="O1018" i="3"/>
  <c r="Q1018" i="3" s="1"/>
  <c r="J1018" i="3"/>
  <c r="K1018" i="3"/>
  <c r="L1018" i="3"/>
  <c r="M1018" i="3"/>
  <c r="P1018" i="3" s="1"/>
  <c r="N1018" i="3"/>
  <c r="L1050" i="3"/>
  <c r="K1050" i="3"/>
  <c r="N1050" i="3"/>
  <c r="M1050" i="3"/>
  <c r="J1050" i="3"/>
  <c r="O1050" i="3"/>
  <c r="Q1050" i="3" s="1"/>
  <c r="L1037" i="3"/>
  <c r="K1037" i="3"/>
  <c r="N1037" i="3"/>
  <c r="J1037" i="3"/>
  <c r="M1037" i="3"/>
  <c r="O1037" i="3"/>
  <c r="Q1037" i="3" s="1"/>
  <c r="J1012" i="3"/>
  <c r="M1012" i="3"/>
  <c r="N1012" i="3"/>
  <c r="O1012" i="3"/>
  <c r="Q1012" i="3" s="1"/>
  <c r="K1012" i="3"/>
  <c r="L1012" i="3"/>
  <c r="M1034" i="3"/>
  <c r="O1034" i="3"/>
  <c r="Q1034" i="3" s="1"/>
  <c r="L1034" i="3"/>
  <c r="J1034" i="3"/>
  <c r="K1034" i="3"/>
  <c r="N1034" i="3"/>
  <c r="M1030" i="3"/>
  <c r="L1030" i="3"/>
  <c r="O1030" i="3"/>
  <c r="Q1030" i="3" s="1"/>
  <c r="K1030" i="3"/>
  <c r="J1030" i="3"/>
  <c r="N1030" i="3"/>
  <c r="O1026" i="3"/>
  <c r="Q1026" i="3" s="1"/>
  <c r="J1026" i="3"/>
  <c r="K1026" i="3"/>
  <c r="M1026" i="3"/>
  <c r="N1026" i="3"/>
  <c r="L1026" i="3"/>
  <c r="N1042" i="3"/>
  <c r="L1042" i="3"/>
  <c r="K1042" i="3"/>
  <c r="M1042" i="3"/>
  <c r="O1042" i="3"/>
  <c r="Q1042" i="3" s="1"/>
  <c r="J1042" i="3"/>
  <c r="K1136" i="3"/>
  <c r="J1136" i="3"/>
  <c r="O1136" i="3"/>
  <c r="Q1136" i="3" s="1"/>
  <c r="L1136" i="3"/>
  <c r="M1136" i="3"/>
  <c r="N1136" i="3"/>
  <c r="J1132" i="3"/>
  <c r="O1132" i="3"/>
  <c r="Q1132" i="3" s="1"/>
  <c r="K1132" i="3"/>
  <c r="M1132" i="3"/>
  <c r="L1132" i="3"/>
  <c r="N1132" i="3"/>
  <c r="K1128" i="3"/>
  <c r="L1128" i="3"/>
  <c r="J1128" i="3"/>
  <c r="M1128" i="3"/>
  <c r="O1128" i="3"/>
  <c r="Q1128" i="3" s="1"/>
  <c r="N1128" i="3"/>
  <c r="J1124" i="3"/>
  <c r="M1124" i="3"/>
  <c r="N1124" i="3"/>
  <c r="K1124" i="3"/>
  <c r="L1124" i="3"/>
  <c r="O1124" i="3"/>
  <c r="Q1124" i="3" s="1"/>
  <c r="N1120" i="3"/>
  <c r="M1120" i="3"/>
  <c r="J1120" i="3"/>
  <c r="O1120" i="3"/>
  <c r="Q1120" i="3" s="1"/>
  <c r="L1120" i="3"/>
  <c r="K1120" i="3"/>
  <c r="K1116" i="3"/>
  <c r="J1116" i="3"/>
  <c r="L1116" i="3"/>
  <c r="M1116" i="3"/>
  <c r="N1116" i="3"/>
  <c r="O1116" i="3"/>
  <c r="Q1116" i="3" s="1"/>
  <c r="N1112" i="3"/>
  <c r="J1112" i="3"/>
  <c r="M1112" i="3"/>
  <c r="K1112" i="3"/>
  <c r="L1112" i="3"/>
  <c r="O1112" i="3"/>
  <c r="Q1112" i="3" s="1"/>
  <c r="K1096" i="3"/>
  <c r="J1096" i="3"/>
  <c r="L1096" i="3"/>
  <c r="M1096" i="3"/>
  <c r="N1096" i="3"/>
  <c r="O1096" i="3"/>
  <c r="Q1096" i="3" s="1"/>
  <c r="O1108" i="3"/>
  <c r="Q1108" i="3" s="1"/>
  <c r="L1108" i="3"/>
  <c r="M1108" i="3"/>
  <c r="J1108" i="3"/>
  <c r="K1108" i="3"/>
  <c r="N1108" i="3"/>
  <c r="L1092" i="3"/>
  <c r="J1092" i="3"/>
  <c r="O1092" i="3"/>
  <c r="Q1092" i="3" s="1"/>
  <c r="N1092" i="3"/>
  <c r="K1092" i="3"/>
  <c r="M1092" i="3"/>
  <c r="N1088" i="3"/>
  <c r="K1088" i="3"/>
  <c r="L1088" i="3"/>
  <c r="M1088" i="3"/>
  <c r="O1088" i="3"/>
  <c r="Q1088" i="3" s="1"/>
  <c r="J1088" i="3"/>
  <c r="O1104" i="3"/>
  <c r="Q1104" i="3" s="1"/>
  <c r="L1104" i="3"/>
  <c r="M1104" i="3"/>
  <c r="J1104" i="3"/>
  <c r="N1104" i="3"/>
  <c r="K1104" i="3"/>
  <c r="O1100" i="3"/>
  <c r="Q1100" i="3" s="1"/>
  <c r="L1100" i="3"/>
  <c r="K1100" i="3"/>
  <c r="M1100" i="3"/>
  <c r="N1100" i="3"/>
  <c r="J1100" i="3"/>
  <c r="L1084" i="3"/>
  <c r="J1084" i="3"/>
  <c r="O1084" i="3"/>
  <c r="Q1084" i="3" s="1"/>
  <c r="N1084" i="3"/>
  <c r="M1084" i="3"/>
  <c r="K1084" i="3"/>
  <c r="L1078" i="3"/>
  <c r="O1078" i="3"/>
  <c r="Q1078" i="3" s="1"/>
  <c r="J1078" i="3"/>
  <c r="K1078" i="3"/>
  <c r="N1078" i="3"/>
  <c r="M1078" i="3"/>
  <c r="M1074" i="3"/>
  <c r="L1074" i="3"/>
  <c r="J1074" i="3"/>
  <c r="O1074" i="3"/>
  <c r="Q1074" i="3" s="1"/>
  <c r="K1074" i="3"/>
  <c r="N1074" i="3"/>
  <c r="M1070" i="3"/>
  <c r="L1070" i="3"/>
  <c r="J1070" i="3"/>
  <c r="K1070" i="3"/>
  <c r="N1070" i="3"/>
  <c r="O1070" i="3"/>
  <c r="Q1070" i="3" s="1"/>
  <c r="O1066" i="3"/>
  <c r="Q1066" i="3" s="1"/>
  <c r="J1066" i="3"/>
  <c r="N1066" i="3"/>
  <c r="K1066" i="3"/>
  <c r="M1066" i="3"/>
  <c r="P1066" i="3" s="1"/>
  <c r="L1066" i="3"/>
  <c r="M1075" i="3"/>
  <c r="K1075" i="3"/>
  <c r="N1075" i="3"/>
  <c r="J1075" i="3"/>
  <c r="O1075" i="3"/>
  <c r="Q1075" i="3" s="1"/>
  <c r="L1075" i="3"/>
  <c r="N996" i="3"/>
  <c r="K996" i="3"/>
  <c r="L996" i="3"/>
  <c r="M996" i="3"/>
  <c r="O996" i="3"/>
  <c r="Q996" i="3" s="1"/>
  <c r="J996" i="3"/>
  <c r="N999" i="3"/>
  <c r="M999" i="3"/>
  <c r="K999" i="3"/>
  <c r="J999" i="3"/>
  <c r="L999" i="3"/>
  <c r="O999" i="3"/>
  <c r="Q999" i="3" s="1"/>
  <c r="L997" i="3"/>
  <c r="K997" i="3"/>
  <c r="O997" i="3"/>
  <c r="Q997" i="3" s="1"/>
  <c r="J997" i="3"/>
  <c r="N997" i="3"/>
  <c r="M997" i="3"/>
  <c r="M976" i="3"/>
  <c r="N976" i="3"/>
  <c r="J976" i="3"/>
  <c r="L976" i="3"/>
  <c r="K976" i="3"/>
  <c r="O976" i="3"/>
  <c r="Q976" i="3" s="1"/>
  <c r="J972" i="3"/>
  <c r="L972" i="3"/>
  <c r="K972" i="3"/>
  <c r="M972" i="3"/>
  <c r="O972" i="3"/>
  <c r="Q972" i="3" s="1"/>
  <c r="N972" i="3"/>
  <c r="N968" i="3"/>
  <c r="K968" i="3"/>
  <c r="O968" i="3"/>
  <c r="Q968" i="3" s="1"/>
  <c r="M968" i="3"/>
  <c r="L968" i="3"/>
  <c r="J968" i="3"/>
  <c r="O964" i="3"/>
  <c r="Q964" i="3" s="1"/>
  <c r="J964" i="3"/>
  <c r="K964" i="3"/>
  <c r="L964" i="3"/>
  <c r="N964" i="3"/>
  <c r="M964" i="3"/>
  <c r="O980" i="3"/>
  <c r="Q980" i="3" s="1"/>
  <c r="N980" i="3"/>
  <c r="K980" i="3"/>
  <c r="L980" i="3"/>
  <c r="M980" i="3"/>
  <c r="P980" i="3" s="1"/>
  <c r="J980" i="3"/>
  <c r="J1007" i="3"/>
  <c r="L1007" i="3"/>
  <c r="K1007" i="3"/>
  <c r="M1007" i="3"/>
  <c r="O1007" i="3"/>
  <c r="Q1007" i="3" s="1"/>
  <c r="N1007" i="3"/>
  <c r="O992" i="3"/>
  <c r="Q992" i="3" s="1"/>
  <c r="K992" i="3"/>
  <c r="M992" i="3"/>
  <c r="J992" i="3"/>
  <c r="L992" i="3"/>
  <c r="N992" i="3"/>
  <c r="K988" i="3"/>
  <c r="J988" i="3"/>
  <c r="N988" i="3"/>
  <c r="O988" i="3"/>
  <c r="Q988" i="3" s="1"/>
  <c r="M988" i="3"/>
  <c r="L988" i="3"/>
  <c r="N985" i="3"/>
  <c r="K985" i="3"/>
  <c r="M985" i="3"/>
  <c r="L985" i="3"/>
  <c r="O985" i="3"/>
  <c r="Q985" i="3" s="1"/>
  <c r="J985" i="3"/>
  <c r="L1376" i="3"/>
  <c r="J1376" i="3"/>
  <c r="O1376" i="3"/>
  <c r="Q1376" i="3" s="1"/>
  <c r="K1376" i="3"/>
  <c r="N1376" i="3"/>
  <c r="M1376" i="3"/>
  <c r="M1372" i="3"/>
  <c r="J1372" i="3"/>
  <c r="K1372" i="3"/>
  <c r="L1372" i="3"/>
  <c r="O1372" i="3"/>
  <c r="Q1372" i="3" s="1"/>
  <c r="N1372" i="3"/>
  <c r="N1368" i="3"/>
  <c r="K1368" i="3"/>
  <c r="O1368" i="3"/>
  <c r="Q1368" i="3" s="1"/>
  <c r="M1368" i="3"/>
  <c r="L1368" i="3"/>
  <c r="J1368" i="3"/>
  <c r="J1385" i="3"/>
  <c r="N1385" i="3"/>
  <c r="O1385" i="3"/>
  <c r="Q1385" i="3" s="1"/>
  <c r="K1385" i="3"/>
  <c r="M1385" i="3"/>
  <c r="L1385" i="3"/>
  <c r="N1381" i="3"/>
  <c r="O1381" i="3"/>
  <c r="Q1381" i="3" s="1"/>
  <c r="J1381" i="3"/>
  <c r="L1381" i="3"/>
  <c r="K1381" i="3"/>
  <c r="M1381" i="3"/>
  <c r="M897" i="3"/>
  <c r="N897" i="3"/>
  <c r="O897" i="3"/>
  <c r="Q897" i="3" s="1"/>
  <c r="L897" i="3"/>
  <c r="J897" i="3"/>
  <c r="K897" i="3"/>
  <c r="O909" i="3"/>
  <c r="Q909" i="3" s="1"/>
  <c r="L909" i="3"/>
  <c r="M909" i="3"/>
  <c r="J909" i="3"/>
  <c r="K909" i="3"/>
  <c r="N909" i="3"/>
  <c r="K902" i="3"/>
  <c r="J902" i="3"/>
  <c r="N902" i="3"/>
  <c r="M902" i="3"/>
  <c r="O902" i="3"/>
  <c r="Q902" i="3" s="1"/>
  <c r="L902" i="3"/>
  <c r="M875" i="3"/>
  <c r="N875" i="3"/>
  <c r="O875" i="3"/>
  <c r="Q875" i="3" s="1"/>
  <c r="L875" i="3"/>
  <c r="J875" i="3"/>
  <c r="K875" i="3"/>
  <c r="L866" i="3"/>
  <c r="O866" i="3"/>
  <c r="Q866" i="3" s="1"/>
  <c r="M866" i="3"/>
  <c r="K866" i="3"/>
  <c r="N866" i="3"/>
  <c r="J866" i="3"/>
  <c r="M867" i="3"/>
  <c r="K867" i="3"/>
  <c r="L867" i="3"/>
  <c r="N867" i="3"/>
  <c r="J867" i="3"/>
  <c r="O867" i="3"/>
  <c r="Q867" i="3" s="1"/>
  <c r="O857" i="3"/>
  <c r="Q857" i="3" s="1"/>
  <c r="L857" i="3"/>
  <c r="M857" i="3"/>
  <c r="K857" i="3"/>
  <c r="N857" i="3"/>
  <c r="J857" i="3"/>
  <c r="K871" i="3"/>
  <c r="J871" i="3"/>
  <c r="L871" i="3"/>
  <c r="N871" i="3"/>
  <c r="M871" i="3"/>
  <c r="O871" i="3"/>
  <c r="Q871" i="3" s="1"/>
  <c r="N859" i="3"/>
  <c r="M859" i="3"/>
  <c r="O859" i="3"/>
  <c r="Q859" i="3" s="1"/>
  <c r="J859" i="3"/>
  <c r="L859" i="3"/>
  <c r="K859" i="3"/>
  <c r="K851" i="3"/>
  <c r="L851" i="3"/>
  <c r="M851" i="3"/>
  <c r="O851" i="3"/>
  <c r="Q851" i="3" s="1"/>
  <c r="J851" i="3"/>
  <c r="N851" i="3"/>
  <c r="O958" i="3"/>
  <c r="Q958" i="3" s="1"/>
  <c r="K958" i="3"/>
  <c r="M958" i="3"/>
  <c r="L958" i="3"/>
  <c r="N958" i="3"/>
  <c r="J958" i="3"/>
  <c r="K954" i="3"/>
  <c r="N954" i="3"/>
  <c r="M954" i="3"/>
  <c r="J954" i="3"/>
  <c r="L954" i="3"/>
  <c r="O954" i="3"/>
  <c r="Q954" i="3" s="1"/>
  <c r="K950" i="3"/>
  <c r="M950" i="3"/>
  <c r="O950" i="3"/>
  <c r="Q950" i="3" s="1"/>
  <c r="L950" i="3"/>
  <c r="N950" i="3"/>
  <c r="J950" i="3"/>
  <c r="N946" i="3"/>
  <c r="J946" i="3"/>
  <c r="K946" i="3"/>
  <c r="L946" i="3"/>
  <c r="O946" i="3"/>
  <c r="Q946" i="3" s="1"/>
  <c r="M946" i="3"/>
  <c r="K942" i="3"/>
  <c r="J942" i="3"/>
  <c r="M942" i="3"/>
  <c r="N942" i="3"/>
  <c r="O942" i="3"/>
  <c r="Q942" i="3" s="1"/>
  <c r="L942" i="3"/>
  <c r="M938" i="3"/>
  <c r="K938" i="3"/>
  <c r="N938" i="3"/>
  <c r="L938" i="3"/>
  <c r="O938" i="3"/>
  <c r="Q938" i="3" s="1"/>
  <c r="J938" i="3"/>
  <c r="K926" i="3"/>
  <c r="M926" i="3"/>
  <c r="O926" i="3"/>
  <c r="Q926" i="3" s="1"/>
  <c r="J926" i="3"/>
  <c r="N926" i="3"/>
  <c r="L926" i="3"/>
  <c r="J922" i="3"/>
  <c r="L922" i="3"/>
  <c r="N922" i="3"/>
  <c r="O922" i="3"/>
  <c r="Q922" i="3" s="1"/>
  <c r="M922" i="3"/>
  <c r="K922" i="3"/>
  <c r="L918" i="3"/>
  <c r="M918" i="3"/>
  <c r="N918" i="3"/>
  <c r="K918" i="3"/>
  <c r="O918" i="3"/>
  <c r="Q918" i="3" s="1"/>
  <c r="J918" i="3"/>
  <c r="M910" i="3"/>
  <c r="J910" i="3"/>
  <c r="L910" i="3"/>
  <c r="K910" i="3"/>
  <c r="N910" i="3"/>
  <c r="O910" i="3"/>
  <c r="Q910" i="3" s="1"/>
  <c r="O934" i="3"/>
  <c r="Q934" i="3" s="1"/>
  <c r="L934" i="3"/>
  <c r="N934" i="3"/>
  <c r="J934" i="3"/>
  <c r="K934" i="3"/>
  <c r="M934" i="3"/>
  <c r="J930" i="3"/>
  <c r="O930" i="3"/>
  <c r="Q930" i="3" s="1"/>
  <c r="K930" i="3"/>
  <c r="N930" i="3"/>
  <c r="M930" i="3"/>
  <c r="L930" i="3"/>
  <c r="N914" i="3"/>
  <c r="K914" i="3"/>
  <c r="M914" i="3"/>
  <c r="O914" i="3"/>
  <c r="Q914" i="3" s="1"/>
  <c r="L914" i="3"/>
  <c r="J914" i="3"/>
  <c r="N887" i="3"/>
  <c r="O887" i="3"/>
  <c r="Q887" i="3" s="1"/>
  <c r="L887" i="3"/>
  <c r="M887" i="3"/>
  <c r="K887" i="3"/>
  <c r="J887" i="3"/>
  <c r="K899" i="3"/>
  <c r="M899" i="3"/>
  <c r="O899" i="3"/>
  <c r="Q899" i="3" s="1"/>
  <c r="J899" i="3"/>
  <c r="L899" i="3"/>
  <c r="N899" i="3"/>
  <c r="O893" i="3"/>
  <c r="Q893" i="3" s="1"/>
  <c r="L893" i="3"/>
  <c r="N893" i="3"/>
  <c r="J893" i="3"/>
  <c r="M893" i="3"/>
  <c r="P893" i="3" s="1"/>
  <c r="K893" i="3"/>
  <c r="K905" i="3"/>
  <c r="L905" i="3"/>
  <c r="J905" i="3"/>
  <c r="O905" i="3"/>
  <c r="Q905" i="3" s="1"/>
  <c r="N905" i="3"/>
  <c r="M905" i="3"/>
  <c r="K882" i="3"/>
  <c r="M882" i="3"/>
  <c r="O882" i="3"/>
  <c r="Q882" i="3" s="1"/>
  <c r="L882" i="3"/>
  <c r="J882" i="3"/>
  <c r="N882" i="3"/>
  <c r="M847" i="3"/>
  <c r="L847" i="3"/>
  <c r="K847" i="3"/>
  <c r="O847" i="3"/>
  <c r="Q847" i="3" s="1"/>
  <c r="N847" i="3"/>
  <c r="J847" i="3"/>
  <c r="J598" i="3"/>
  <c r="L598" i="3"/>
  <c r="M598" i="3"/>
  <c r="K598" i="3"/>
  <c r="N598" i="3"/>
  <c r="O598" i="3"/>
  <c r="Q598" i="3" s="1"/>
  <c r="L608" i="3"/>
  <c r="O608" i="3"/>
  <c r="Q608" i="3" s="1"/>
  <c r="K608" i="3"/>
  <c r="M608" i="3"/>
  <c r="J608" i="3"/>
  <c r="N608" i="3"/>
  <c r="L572" i="3"/>
  <c r="N572" i="3"/>
  <c r="J572" i="3"/>
  <c r="K572" i="3"/>
  <c r="O572" i="3"/>
  <c r="Q572" i="3" s="1"/>
  <c r="M572" i="3"/>
  <c r="K604" i="3"/>
  <c r="O604" i="3"/>
  <c r="Q604" i="3" s="1"/>
  <c r="N604" i="3"/>
  <c r="M604" i="3"/>
  <c r="L604" i="3"/>
  <c r="J604" i="3"/>
  <c r="J592" i="3"/>
  <c r="K592" i="3"/>
  <c r="O592" i="3"/>
  <c r="Q592" i="3" s="1"/>
  <c r="M592" i="3"/>
  <c r="L592" i="3"/>
  <c r="N592" i="3"/>
  <c r="J570" i="3"/>
  <c r="N570" i="3"/>
  <c r="L570" i="3"/>
  <c r="O570" i="3"/>
  <c r="Q570" i="3" s="1"/>
  <c r="K570" i="3"/>
  <c r="M570" i="3"/>
  <c r="N600" i="3"/>
  <c r="M600" i="3"/>
  <c r="K600" i="3"/>
  <c r="L600" i="3"/>
  <c r="O600" i="3"/>
  <c r="Q600" i="3" s="1"/>
  <c r="J600" i="3"/>
  <c r="J588" i="3"/>
  <c r="K588" i="3"/>
  <c r="L588" i="3"/>
  <c r="N588" i="3"/>
  <c r="O588" i="3"/>
  <c r="Q588" i="3" s="1"/>
  <c r="M588" i="3"/>
  <c r="M546" i="3"/>
  <c r="J546" i="3"/>
  <c r="O546" i="3"/>
  <c r="Q546" i="3" s="1"/>
  <c r="K546" i="3"/>
  <c r="L546" i="3"/>
  <c r="N546" i="3"/>
  <c r="N564" i="3"/>
  <c r="O564" i="3"/>
  <c r="Q564" i="3" s="1"/>
  <c r="K564" i="3"/>
  <c r="L564" i="3"/>
  <c r="M564" i="3"/>
  <c r="J564" i="3"/>
  <c r="K584" i="3"/>
  <c r="L584" i="3"/>
  <c r="J584" i="3"/>
  <c r="M584" i="3"/>
  <c r="O584" i="3"/>
  <c r="Q584" i="3" s="1"/>
  <c r="N584" i="3"/>
  <c r="K563" i="3"/>
  <c r="L563" i="3"/>
  <c r="N563" i="3"/>
  <c r="J563" i="3"/>
  <c r="M563" i="3"/>
  <c r="O563" i="3"/>
  <c r="Q563" i="3" s="1"/>
  <c r="O559" i="3"/>
  <c r="Q559" i="3" s="1"/>
  <c r="J559" i="3"/>
  <c r="K559" i="3"/>
  <c r="N559" i="3"/>
  <c r="M559" i="3"/>
  <c r="P559" i="3" s="1"/>
  <c r="L559" i="3"/>
  <c r="O579" i="3"/>
  <c r="Q579" i="3" s="1"/>
  <c r="M579" i="3"/>
  <c r="J579" i="3"/>
  <c r="N579" i="3"/>
  <c r="L579" i="3"/>
  <c r="K579" i="3"/>
  <c r="O556" i="3"/>
  <c r="Q556" i="3" s="1"/>
  <c r="K556" i="3"/>
  <c r="J556" i="3"/>
  <c r="M556" i="3"/>
  <c r="N556" i="3"/>
  <c r="L556" i="3"/>
  <c r="J552" i="3"/>
  <c r="O552" i="3"/>
  <c r="Q552" i="3" s="1"/>
  <c r="L552" i="3"/>
  <c r="K552" i="3"/>
  <c r="M552" i="3"/>
  <c r="N552" i="3"/>
  <c r="O548" i="3"/>
  <c r="Q548" i="3" s="1"/>
  <c r="K548" i="3"/>
  <c r="J548" i="3"/>
  <c r="M548" i="3"/>
  <c r="N548" i="3"/>
  <c r="L548" i="3"/>
  <c r="J709" i="3"/>
  <c r="N709" i="3"/>
  <c r="L709" i="3"/>
  <c r="K709" i="3"/>
  <c r="M709" i="3"/>
  <c r="O709" i="3"/>
  <c r="Q709" i="3" s="1"/>
  <c r="O705" i="3"/>
  <c r="Q705" i="3" s="1"/>
  <c r="K705" i="3"/>
  <c r="N705" i="3"/>
  <c r="M705" i="3"/>
  <c r="J705" i="3"/>
  <c r="L705" i="3"/>
  <c r="L701" i="3"/>
  <c r="M701" i="3"/>
  <c r="K701" i="3"/>
  <c r="O701" i="3"/>
  <c r="Q701" i="3" s="1"/>
  <c r="N701" i="3"/>
  <c r="J701" i="3"/>
  <c r="O697" i="3"/>
  <c r="Q697" i="3" s="1"/>
  <c r="J697" i="3"/>
  <c r="M697" i="3"/>
  <c r="L697" i="3"/>
  <c r="N697" i="3"/>
  <c r="K697" i="3"/>
  <c r="J693" i="3"/>
  <c r="N693" i="3"/>
  <c r="O693" i="3"/>
  <c r="Q693" i="3" s="1"/>
  <c r="K693" i="3"/>
  <c r="M693" i="3"/>
  <c r="L693" i="3"/>
  <c r="O688" i="3"/>
  <c r="Q688" i="3" s="1"/>
  <c r="J688" i="3"/>
  <c r="M688" i="3"/>
  <c r="L688" i="3"/>
  <c r="K688" i="3"/>
  <c r="N688" i="3"/>
  <c r="M684" i="3"/>
  <c r="J684" i="3"/>
  <c r="N684" i="3"/>
  <c r="O684" i="3"/>
  <c r="Q684" i="3" s="1"/>
  <c r="K684" i="3"/>
  <c r="L684" i="3"/>
  <c r="K680" i="3"/>
  <c r="N680" i="3"/>
  <c r="O680" i="3"/>
  <c r="Q680" i="3" s="1"/>
  <c r="M680" i="3"/>
  <c r="J680" i="3"/>
  <c r="L680" i="3"/>
  <c r="M676" i="3"/>
  <c r="O676" i="3"/>
  <c r="Q676" i="3" s="1"/>
  <c r="J676" i="3"/>
  <c r="K676" i="3"/>
  <c r="N676" i="3"/>
  <c r="L676" i="3"/>
  <c r="N668" i="3"/>
  <c r="M668" i="3"/>
  <c r="J668" i="3"/>
  <c r="L668" i="3"/>
  <c r="K668" i="3"/>
  <c r="O668" i="3"/>
  <c r="Q668" i="3" s="1"/>
  <c r="N656" i="3"/>
  <c r="L656" i="3"/>
  <c r="O656" i="3"/>
  <c r="Q656" i="3" s="1"/>
  <c r="K656" i="3"/>
  <c r="M656" i="3"/>
  <c r="J656" i="3"/>
  <c r="K652" i="3"/>
  <c r="L652" i="3"/>
  <c r="O652" i="3"/>
  <c r="Q652" i="3" s="1"/>
  <c r="M652" i="3"/>
  <c r="N652" i="3"/>
  <c r="J652" i="3"/>
  <c r="L672" i="3"/>
  <c r="J672" i="3"/>
  <c r="M672" i="3"/>
  <c r="K672" i="3"/>
  <c r="O672" i="3"/>
  <c r="Q672" i="3" s="1"/>
  <c r="N672" i="3"/>
  <c r="K664" i="3"/>
  <c r="M664" i="3"/>
  <c r="O664" i="3"/>
  <c r="Q664" i="3" s="1"/>
  <c r="N664" i="3"/>
  <c r="J664" i="3"/>
  <c r="L664" i="3"/>
  <c r="N660" i="3"/>
  <c r="O660" i="3"/>
  <c r="Q660" i="3" s="1"/>
  <c r="K660" i="3"/>
  <c r="M660" i="3"/>
  <c r="L660" i="3"/>
  <c r="J660" i="3"/>
  <c r="K648" i="3"/>
  <c r="M648" i="3"/>
  <c r="J648" i="3"/>
  <c r="N648" i="3"/>
  <c r="O648" i="3"/>
  <c r="Q648" i="3" s="1"/>
  <c r="L648" i="3"/>
  <c r="N644" i="3"/>
  <c r="O644" i="3"/>
  <c r="Q644" i="3" s="1"/>
  <c r="L644" i="3"/>
  <c r="J644" i="3"/>
  <c r="K644" i="3"/>
  <c r="M644" i="3"/>
  <c r="J640" i="3"/>
  <c r="O640" i="3"/>
  <c r="Q640" i="3" s="1"/>
  <c r="N640" i="3"/>
  <c r="M640" i="3"/>
  <c r="L640" i="3"/>
  <c r="K640" i="3"/>
  <c r="O636" i="3"/>
  <c r="Q636" i="3" s="1"/>
  <c r="M636" i="3"/>
  <c r="K636" i="3"/>
  <c r="L636" i="3"/>
  <c r="N636" i="3"/>
  <c r="J636" i="3"/>
  <c r="O623" i="3"/>
  <c r="Q623" i="3" s="1"/>
  <c r="N623" i="3"/>
  <c r="M623" i="3"/>
  <c r="J623" i="3"/>
  <c r="L623" i="3"/>
  <c r="K623" i="3"/>
  <c r="K629" i="3"/>
  <c r="M629" i="3"/>
  <c r="L629" i="3"/>
  <c r="O629" i="3"/>
  <c r="Q629" i="3" s="1"/>
  <c r="N629" i="3"/>
  <c r="J629" i="3"/>
  <c r="M625" i="3"/>
  <c r="L625" i="3"/>
  <c r="K625" i="3"/>
  <c r="J625" i="3"/>
  <c r="N625" i="3"/>
  <c r="O625" i="3"/>
  <c r="Q625" i="3" s="1"/>
  <c r="J620" i="3"/>
  <c r="L620" i="3"/>
  <c r="O620" i="3"/>
  <c r="Q620" i="3" s="1"/>
  <c r="K620" i="3"/>
  <c r="M620" i="3"/>
  <c r="N620" i="3"/>
  <c r="M616" i="3"/>
  <c r="O616" i="3"/>
  <c r="Q616" i="3" s="1"/>
  <c r="K616" i="3"/>
  <c r="J616" i="3"/>
  <c r="N616" i="3"/>
  <c r="L616" i="3"/>
  <c r="O612" i="3"/>
  <c r="Q612" i="3" s="1"/>
  <c r="K612" i="3"/>
  <c r="M612" i="3"/>
  <c r="N612" i="3"/>
  <c r="L612" i="3"/>
  <c r="J612" i="3"/>
  <c r="J780" i="3"/>
  <c r="O780" i="3"/>
  <c r="Q780" i="3" s="1"/>
  <c r="M780" i="3"/>
  <c r="K780" i="3"/>
  <c r="L780" i="3"/>
  <c r="N780" i="3"/>
  <c r="J776" i="3"/>
  <c r="O776" i="3"/>
  <c r="Q776" i="3" s="1"/>
  <c r="M776" i="3"/>
  <c r="K776" i="3"/>
  <c r="L776" i="3"/>
  <c r="N776" i="3"/>
  <c r="L772" i="3"/>
  <c r="M772" i="3"/>
  <c r="J772" i="3"/>
  <c r="O772" i="3"/>
  <c r="Q772" i="3" s="1"/>
  <c r="K772" i="3"/>
  <c r="N772" i="3"/>
  <c r="L768" i="3"/>
  <c r="N768" i="3"/>
  <c r="J768" i="3"/>
  <c r="M768" i="3"/>
  <c r="K768" i="3"/>
  <c r="O768" i="3"/>
  <c r="Q768" i="3" s="1"/>
  <c r="M765" i="3"/>
  <c r="L765" i="3"/>
  <c r="K765" i="3"/>
  <c r="J765" i="3"/>
  <c r="O765" i="3"/>
  <c r="Q765" i="3" s="1"/>
  <c r="N765" i="3"/>
  <c r="O761" i="3"/>
  <c r="Q761" i="3" s="1"/>
  <c r="N761" i="3"/>
  <c r="J761" i="3"/>
  <c r="K761" i="3"/>
  <c r="L761" i="3"/>
  <c r="M761" i="3"/>
  <c r="O757" i="3"/>
  <c r="Q757" i="3" s="1"/>
  <c r="J757" i="3"/>
  <c r="N757" i="3"/>
  <c r="K757" i="3"/>
  <c r="M757" i="3"/>
  <c r="P757" i="3" s="1"/>
  <c r="L757" i="3"/>
  <c r="M753" i="3"/>
  <c r="O753" i="3"/>
  <c r="Q753" i="3" s="1"/>
  <c r="N753" i="3"/>
  <c r="J753" i="3"/>
  <c r="L753" i="3"/>
  <c r="K753" i="3"/>
  <c r="O749" i="3"/>
  <c r="Q749" i="3" s="1"/>
  <c r="L749" i="3"/>
  <c r="N749" i="3"/>
  <c r="M749" i="3"/>
  <c r="J749" i="3"/>
  <c r="K749" i="3"/>
  <c r="K745" i="3"/>
  <c r="J745" i="3"/>
  <c r="L745" i="3"/>
  <c r="M745" i="3"/>
  <c r="O745" i="3"/>
  <c r="Q745" i="3" s="1"/>
  <c r="N745" i="3"/>
  <c r="L741" i="3"/>
  <c r="O741" i="3"/>
  <c r="Q741" i="3" s="1"/>
  <c r="N741" i="3"/>
  <c r="J741" i="3"/>
  <c r="K741" i="3"/>
  <c r="M741" i="3"/>
  <c r="P741" i="3" s="1"/>
  <c r="N801" i="3"/>
  <c r="M801" i="3"/>
  <c r="J801" i="3"/>
  <c r="K801" i="3"/>
  <c r="L801" i="3"/>
  <c r="O801" i="3"/>
  <c r="Q801" i="3" s="1"/>
  <c r="O830" i="3"/>
  <c r="Q830" i="3" s="1"/>
  <c r="J830" i="3"/>
  <c r="L830" i="3"/>
  <c r="K830" i="3"/>
  <c r="N830" i="3"/>
  <c r="M830" i="3"/>
  <c r="L827" i="3"/>
  <c r="O827" i="3"/>
  <c r="Q827" i="3" s="1"/>
  <c r="M827" i="3"/>
  <c r="J827" i="3"/>
  <c r="N827" i="3"/>
  <c r="K827" i="3"/>
  <c r="J839" i="3"/>
  <c r="K839" i="3"/>
  <c r="O839" i="3"/>
  <c r="Q839" i="3" s="1"/>
  <c r="N839" i="3"/>
  <c r="M839" i="3"/>
  <c r="L839" i="3"/>
  <c r="O795" i="3"/>
  <c r="Q795" i="3" s="1"/>
  <c r="L795" i="3"/>
  <c r="K795" i="3"/>
  <c r="J795" i="3"/>
  <c r="M795" i="3"/>
  <c r="P795" i="3" s="1"/>
  <c r="N795" i="3"/>
  <c r="L836" i="3"/>
  <c r="M836" i="3"/>
  <c r="K836" i="3"/>
  <c r="N836" i="3"/>
  <c r="O836" i="3"/>
  <c r="Q836" i="3" s="1"/>
  <c r="J836" i="3"/>
  <c r="M844" i="3"/>
  <c r="J844" i="3"/>
  <c r="O844" i="3"/>
  <c r="Q844" i="3" s="1"/>
  <c r="K844" i="3"/>
  <c r="N844" i="3"/>
  <c r="L844" i="3"/>
  <c r="L793" i="3"/>
  <c r="O793" i="3"/>
  <c r="Q793" i="3" s="1"/>
  <c r="J793" i="3"/>
  <c r="M793" i="3"/>
  <c r="N793" i="3"/>
  <c r="K793" i="3"/>
  <c r="M789" i="3"/>
  <c r="L789" i="3"/>
  <c r="O789" i="3"/>
  <c r="Q789" i="3" s="1"/>
  <c r="K789" i="3"/>
  <c r="N789" i="3"/>
  <c r="J789" i="3"/>
  <c r="O822" i="3"/>
  <c r="Q822" i="3" s="1"/>
  <c r="J822" i="3"/>
  <c r="N822" i="3"/>
  <c r="L822" i="3"/>
  <c r="K822" i="3"/>
  <c r="M822" i="3"/>
  <c r="L814" i="3"/>
  <c r="N814" i="3"/>
  <c r="K814" i="3"/>
  <c r="J814" i="3"/>
  <c r="O814" i="3"/>
  <c r="Q814" i="3" s="1"/>
  <c r="M814" i="3"/>
  <c r="M785" i="3"/>
  <c r="K785" i="3"/>
  <c r="O785" i="3"/>
  <c r="Q785" i="3" s="1"/>
  <c r="N785" i="3"/>
  <c r="L785" i="3"/>
  <c r="J785" i="3"/>
  <c r="K818" i="3"/>
  <c r="J818" i="3"/>
  <c r="N818" i="3"/>
  <c r="O818" i="3"/>
  <c r="Q818" i="3" s="1"/>
  <c r="L818" i="3"/>
  <c r="M818" i="3"/>
  <c r="O820" i="3"/>
  <c r="Q820" i="3" s="1"/>
  <c r="K820" i="3"/>
  <c r="N820" i="3"/>
  <c r="L820" i="3"/>
  <c r="J820" i="3"/>
  <c r="M820" i="3"/>
  <c r="M809" i="3"/>
  <c r="K809" i="3"/>
  <c r="O809" i="3"/>
  <c r="Q809" i="3" s="1"/>
  <c r="N809" i="3"/>
  <c r="J809" i="3"/>
  <c r="L809" i="3"/>
  <c r="K738" i="3"/>
  <c r="O738" i="3"/>
  <c r="Q738" i="3" s="1"/>
  <c r="M738" i="3"/>
  <c r="N738" i="3"/>
  <c r="J738" i="3"/>
  <c r="L738" i="3"/>
  <c r="J734" i="3"/>
  <c r="K734" i="3"/>
  <c r="O734" i="3"/>
  <c r="Q734" i="3" s="1"/>
  <c r="M734" i="3"/>
  <c r="N734" i="3"/>
  <c r="L734" i="3"/>
  <c r="M715" i="3"/>
  <c r="J715" i="3"/>
  <c r="L715" i="3"/>
  <c r="K715" i="3"/>
  <c r="O715" i="3"/>
  <c r="Q715" i="3" s="1"/>
  <c r="N715" i="3"/>
  <c r="O730" i="3"/>
  <c r="Q730" i="3" s="1"/>
  <c r="N730" i="3"/>
  <c r="L730" i="3"/>
  <c r="K730" i="3"/>
  <c r="M730" i="3"/>
  <c r="J730" i="3"/>
  <c r="K726" i="3"/>
  <c r="M726" i="3"/>
  <c r="O726" i="3"/>
  <c r="Q726" i="3" s="1"/>
  <c r="J726" i="3"/>
  <c r="N726" i="3"/>
  <c r="L726" i="3"/>
  <c r="J722" i="3"/>
  <c r="N722" i="3"/>
  <c r="K722" i="3"/>
  <c r="L722" i="3"/>
  <c r="O722" i="3"/>
  <c r="Q722" i="3" s="1"/>
  <c r="M722" i="3"/>
  <c r="K718" i="3"/>
  <c r="M718" i="3"/>
  <c r="O718" i="3"/>
  <c r="Q718" i="3" s="1"/>
  <c r="J718" i="3"/>
  <c r="L718" i="3"/>
  <c r="N718" i="3"/>
  <c r="M447" i="3"/>
  <c r="J447" i="3"/>
  <c r="N447" i="3"/>
  <c r="O447" i="3"/>
  <c r="Q447" i="3" s="1"/>
  <c r="L447" i="3"/>
  <c r="K447" i="3"/>
  <c r="J489" i="3"/>
  <c r="L489" i="3"/>
  <c r="O489" i="3"/>
  <c r="Q489" i="3" s="1"/>
  <c r="N489" i="3"/>
  <c r="K489" i="3"/>
  <c r="M489" i="3"/>
  <c r="J438" i="3"/>
  <c r="M438" i="3"/>
  <c r="K438" i="3"/>
  <c r="O438" i="3"/>
  <c r="Q438" i="3" s="1"/>
  <c r="N438" i="3"/>
  <c r="L438" i="3"/>
  <c r="K434" i="3"/>
  <c r="O434" i="3"/>
  <c r="Q434" i="3" s="1"/>
  <c r="M434" i="3"/>
  <c r="N434" i="3"/>
  <c r="L434" i="3"/>
  <c r="J434" i="3"/>
  <c r="J529" i="3"/>
  <c r="O529" i="3"/>
  <c r="Q529" i="3" s="1"/>
  <c r="K529" i="3"/>
  <c r="N529" i="3"/>
  <c r="L529" i="3"/>
  <c r="M529" i="3"/>
  <c r="P529" i="3" s="1"/>
  <c r="L525" i="3"/>
  <c r="J525" i="3"/>
  <c r="N525" i="3"/>
  <c r="O525" i="3"/>
  <c r="Q525" i="3" s="1"/>
  <c r="M525" i="3"/>
  <c r="K525" i="3"/>
  <c r="J441" i="3"/>
  <c r="O441" i="3"/>
  <c r="Q441" i="3" s="1"/>
  <c r="L441" i="3"/>
  <c r="M441" i="3"/>
  <c r="N441" i="3"/>
  <c r="K441" i="3"/>
  <c r="M519" i="3"/>
  <c r="L519" i="3"/>
  <c r="J519" i="3"/>
  <c r="O519" i="3"/>
  <c r="Q519" i="3" s="1"/>
  <c r="K519" i="3"/>
  <c r="N519" i="3"/>
  <c r="O474" i="3"/>
  <c r="Q474" i="3" s="1"/>
  <c r="K474" i="3"/>
  <c r="L474" i="3"/>
  <c r="N474" i="3"/>
  <c r="J474" i="3"/>
  <c r="M474" i="3"/>
  <c r="M459" i="3"/>
  <c r="K459" i="3"/>
  <c r="J459" i="3"/>
  <c r="N459" i="3"/>
  <c r="O459" i="3"/>
  <c r="Q459" i="3" s="1"/>
  <c r="L459" i="3"/>
  <c r="K512" i="3"/>
  <c r="J512" i="3"/>
  <c r="L512" i="3"/>
  <c r="O512" i="3"/>
  <c r="Q512" i="3" s="1"/>
  <c r="M512" i="3"/>
  <c r="N512" i="3"/>
  <c r="O508" i="3"/>
  <c r="Q508" i="3" s="1"/>
  <c r="J508" i="3"/>
  <c r="L508" i="3"/>
  <c r="K508" i="3"/>
  <c r="M508" i="3"/>
  <c r="P508" i="3" s="1"/>
  <c r="N508" i="3"/>
  <c r="L481" i="3"/>
  <c r="N481" i="3"/>
  <c r="O481" i="3"/>
  <c r="Q481" i="3" s="1"/>
  <c r="K481" i="3"/>
  <c r="M481" i="3"/>
  <c r="J481" i="3"/>
  <c r="N477" i="3"/>
  <c r="K477" i="3"/>
  <c r="J477" i="3"/>
  <c r="O477" i="3"/>
  <c r="Q477" i="3" s="1"/>
  <c r="M477" i="3"/>
  <c r="L477" i="3"/>
  <c r="J491" i="3"/>
  <c r="L491" i="3"/>
  <c r="M491" i="3"/>
  <c r="N491" i="3"/>
  <c r="K491" i="3"/>
  <c r="O491" i="3"/>
  <c r="Q491" i="3" s="1"/>
  <c r="O455" i="3"/>
  <c r="Q455" i="3" s="1"/>
  <c r="K455" i="3"/>
  <c r="L455" i="3"/>
  <c r="J455" i="3"/>
  <c r="N455" i="3"/>
  <c r="M455" i="3"/>
  <c r="J451" i="3"/>
  <c r="K451" i="3"/>
  <c r="N451" i="3"/>
  <c r="L451" i="3"/>
  <c r="O451" i="3"/>
  <c r="Q451" i="3" s="1"/>
  <c r="M451" i="3"/>
  <c r="K485" i="3"/>
  <c r="N485" i="3"/>
  <c r="M485" i="3"/>
  <c r="J485" i="3"/>
  <c r="L485" i="3"/>
  <c r="O485" i="3"/>
  <c r="Q485" i="3" s="1"/>
  <c r="L469" i="3"/>
  <c r="O469" i="3"/>
  <c r="Q469" i="3" s="1"/>
  <c r="N469" i="3"/>
  <c r="K469" i="3"/>
  <c r="J469" i="3"/>
  <c r="M469" i="3"/>
  <c r="M465" i="3"/>
  <c r="N465" i="3"/>
  <c r="L465" i="3"/>
  <c r="K465" i="3"/>
  <c r="J465" i="3"/>
  <c r="O465" i="3"/>
  <c r="Q465" i="3" s="1"/>
  <c r="N516" i="3"/>
  <c r="O516" i="3"/>
  <c r="Q516" i="3" s="1"/>
  <c r="M516" i="3"/>
  <c r="L516" i="3"/>
  <c r="J516" i="3"/>
  <c r="K516" i="3"/>
  <c r="L503" i="3"/>
  <c r="J503" i="3"/>
  <c r="N503" i="3"/>
  <c r="M503" i="3"/>
  <c r="K503" i="3"/>
  <c r="O503" i="3"/>
  <c r="Q503" i="3" s="1"/>
  <c r="K506" i="3"/>
  <c r="M506" i="3"/>
  <c r="N506" i="3"/>
  <c r="O506" i="3"/>
  <c r="Q506" i="3" s="1"/>
  <c r="L506" i="3"/>
  <c r="J506" i="3"/>
  <c r="N498" i="3"/>
  <c r="M498" i="3"/>
  <c r="J498" i="3"/>
  <c r="L498" i="3"/>
  <c r="K498" i="3"/>
  <c r="O498" i="3"/>
  <c r="Q498" i="3" s="1"/>
  <c r="L486" i="3"/>
  <c r="O486" i="3"/>
  <c r="Q486" i="3" s="1"/>
  <c r="M486" i="3"/>
  <c r="J486" i="3"/>
  <c r="N486" i="3"/>
  <c r="K486" i="3"/>
  <c r="N449" i="3"/>
  <c r="J449" i="3"/>
  <c r="L449" i="3"/>
  <c r="K449" i="3"/>
  <c r="M449" i="3"/>
  <c r="O449" i="3"/>
  <c r="Q449" i="3" s="1"/>
  <c r="K533" i="3"/>
  <c r="M533" i="3"/>
  <c r="L533" i="3"/>
  <c r="J533" i="3"/>
  <c r="N533" i="3"/>
  <c r="O533" i="3"/>
  <c r="Q533" i="3" s="1"/>
  <c r="K431" i="3"/>
  <c r="O431" i="3"/>
  <c r="Q431" i="3" s="1"/>
  <c r="N431" i="3"/>
  <c r="L431" i="3"/>
  <c r="J431" i="3"/>
  <c r="M431" i="3"/>
  <c r="P431" i="3" s="1"/>
  <c r="L425" i="3"/>
  <c r="K425" i="3"/>
  <c r="O425" i="3"/>
  <c r="Q425" i="3" s="1"/>
  <c r="J425" i="3"/>
  <c r="M425" i="3"/>
  <c r="N425" i="3"/>
  <c r="L421" i="3"/>
  <c r="O421" i="3"/>
  <c r="Q421" i="3" s="1"/>
  <c r="J421" i="3"/>
  <c r="K421" i="3"/>
  <c r="M421" i="3"/>
  <c r="N421" i="3"/>
  <c r="L355" i="3"/>
  <c r="K355" i="3"/>
  <c r="M355" i="3"/>
  <c r="N355" i="3"/>
  <c r="J355" i="3"/>
  <c r="O355" i="3"/>
  <c r="Q355" i="3" s="1"/>
  <c r="N351" i="3"/>
  <c r="K351" i="3"/>
  <c r="L351" i="3"/>
  <c r="M351" i="3"/>
  <c r="J351" i="3"/>
  <c r="O351" i="3"/>
  <c r="Q351" i="3" s="1"/>
  <c r="J347" i="3"/>
  <c r="N347" i="3"/>
  <c r="O347" i="3"/>
  <c r="Q347" i="3" s="1"/>
  <c r="L347" i="3"/>
  <c r="M347" i="3"/>
  <c r="K347" i="3"/>
  <c r="K343" i="3"/>
  <c r="L343" i="3"/>
  <c r="M343" i="3"/>
  <c r="J343" i="3"/>
  <c r="N343" i="3"/>
  <c r="O343" i="3"/>
  <c r="Q343" i="3" s="1"/>
  <c r="K339" i="3"/>
  <c r="L339" i="3"/>
  <c r="M339" i="3"/>
  <c r="O339" i="3"/>
  <c r="Q339" i="3" s="1"/>
  <c r="N339" i="3"/>
  <c r="J339" i="3"/>
  <c r="K335" i="3"/>
  <c r="N335" i="3"/>
  <c r="M335" i="3"/>
  <c r="O335" i="3"/>
  <c r="Q335" i="3" s="1"/>
  <c r="L335" i="3"/>
  <c r="J335" i="3"/>
  <c r="M331" i="3"/>
  <c r="O331" i="3"/>
  <c r="Q331" i="3" s="1"/>
  <c r="N331" i="3"/>
  <c r="K331" i="3"/>
  <c r="L331" i="3"/>
  <c r="J331" i="3"/>
  <c r="N327" i="3"/>
  <c r="K327" i="3"/>
  <c r="M327" i="3"/>
  <c r="L327" i="3"/>
  <c r="O327" i="3"/>
  <c r="Q327" i="3" s="1"/>
  <c r="J327" i="3"/>
  <c r="J323" i="3"/>
  <c r="L323" i="3"/>
  <c r="K323" i="3"/>
  <c r="O323" i="3"/>
  <c r="Q323" i="3" s="1"/>
  <c r="M323" i="3"/>
  <c r="N323" i="3"/>
  <c r="J319" i="3"/>
  <c r="M319" i="3"/>
  <c r="O319" i="3"/>
  <c r="Q319" i="3" s="1"/>
  <c r="K319" i="3"/>
  <c r="L319" i="3"/>
  <c r="N319" i="3"/>
  <c r="N315" i="3"/>
  <c r="O315" i="3"/>
  <c r="Q315" i="3" s="1"/>
  <c r="L315" i="3"/>
  <c r="K315" i="3"/>
  <c r="M315" i="3"/>
  <c r="J315" i="3"/>
  <c r="J311" i="3"/>
  <c r="O311" i="3"/>
  <c r="Q311" i="3" s="1"/>
  <c r="L311" i="3"/>
  <c r="M311" i="3"/>
  <c r="N311" i="3"/>
  <c r="K311" i="3"/>
  <c r="M307" i="3"/>
  <c r="L307" i="3"/>
  <c r="K307" i="3"/>
  <c r="N307" i="3"/>
  <c r="O307" i="3"/>
  <c r="Q307" i="3" s="1"/>
  <c r="J307" i="3"/>
  <c r="K303" i="3"/>
  <c r="O303" i="3"/>
  <c r="Q303" i="3" s="1"/>
  <c r="M303" i="3"/>
  <c r="L303" i="3"/>
  <c r="J303" i="3"/>
  <c r="N303" i="3"/>
  <c r="N299" i="3"/>
  <c r="M299" i="3"/>
  <c r="O299" i="3"/>
  <c r="Q299" i="3" s="1"/>
  <c r="J299" i="3"/>
  <c r="K299" i="3"/>
  <c r="L299" i="3"/>
  <c r="M376" i="3"/>
  <c r="N376" i="3"/>
  <c r="J376" i="3"/>
  <c r="K376" i="3"/>
  <c r="O376" i="3"/>
  <c r="Q376" i="3" s="1"/>
  <c r="L376" i="3"/>
  <c r="M372" i="3"/>
  <c r="J372" i="3"/>
  <c r="L372" i="3"/>
  <c r="N372" i="3"/>
  <c r="K372" i="3"/>
  <c r="O372" i="3"/>
  <c r="Q372" i="3" s="1"/>
  <c r="J366" i="3"/>
  <c r="K366" i="3"/>
  <c r="O366" i="3"/>
  <c r="Q366" i="3" s="1"/>
  <c r="N366" i="3"/>
  <c r="M366" i="3"/>
  <c r="L366" i="3"/>
  <c r="O381" i="3"/>
  <c r="Q381" i="3" s="1"/>
  <c r="J381" i="3"/>
  <c r="L381" i="3"/>
  <c r="M381" i="3"/>
  <c r="K381" i="3"/>
  <c r="N381" i="3"/>
  <c r="L377" i="3"/>
  <c r="J377" i="3"/>
  <c r="K377" i="3"/>
  <c r="O377" i="3"/>
  <c r="Q377" i="3" s="1"/>
  <c r="M377" i="3"/>
  <c r="N377" i="3"/>
  <c r="M414" i="3"/>
  <c r="O414" i="3"/>
  <c r="Q414" i="3" s="1"/>
  <c r="J414" i="3"/>
  <c r="N414" i="3"/>
  <c r="K414" i="3"/>
  <c r="L414" i="3"/>
  <c r="J408" i="3"/>
  <c r="L408" i="3"/>
  <c r="K408" i="3"/>
  <c r="N408" i="3"/>
  <c r="M408" i="3"/>
  <c r="O408" i="3"/>
  <c r="Q408" i="3" s="1"/>
  <c r="K404" i="3"/>
  <c r="N404" i="3"/>
  <c r="M404" i="3"/>
  <c r="O404" i="3"/>
  <c r="Q404" i="3" s="1"/>
  <c r="J404" i="3"/>
  <c r="L404" i="3"/>
  <c r="J363" i="3"/>
  <c r="M363" i="3"/>
  <c r="N363" i="3"/>
  <c r="K363" i="3"/>
  <c r="O363" i="3"/>
  <c r="Q363" i="3" s="1"/>
  <c r="L363" i="3"/>
  <c r="O410" i="3"/>
  <c r="Q410" i="3" s="1"/>
  <c r="N410" i="3"/>
  <c r="J410" i="3"/>
  <c r="M410" i="3"/>
  <c r="L410" i="3"/>
  <c r="K410" i="3"/>
  <c r="J388" i="3"/>
  <c r="O388" i="3"/>
  <c r="Q388" i="3" s="1"/>
  <c r="M388" i="3"/>
  <c r="N388" i="3"/>
  <c r="K388" i="3"/>
  <c r="L388" i="3"/>
  <c r="J396" i="3"/>
  <c r="O396" i="3"/>
  <c r="Q396" i="3" s="1"/>
  <c r="L396" i="3"/>
  <c r="K396" i="3"/>
  <c r="N396" i="3"/>
  <c r="M396" i="3"/>
  <c r="P396" i="3" s="1"/>
  <c r="L391" i="3"/>
  <c r="N391" i="3"/>
  <c r="M391" i="3"/>
  <c r="K391" i="3"/>
  <c r="J391" i="3"/>
  <c r="O391" i="3"/>
  <c r="Q391" i="3" s="1"/>
  <c r="N399" i="3"/>
  <c r="J399" i="3"/>
  <c r="K399" i="3"/>
  <c r="M399" i="3"/>
  <c r="O399" i="3"/>
  <c r="Q399" i="3" s="1"/>
  <c r="L399" i="3"/>
  <c r="N360" i="3"/>
  <c r="J360" i="3"/>
  <c r="L360" i="3"/>
  <c r="O360" i="3"/>
  <c r="Q360" i="3" s="1"/>
  <c r="M360" i="3"/>
  <c r="K360" i="3"/>
  <c r="O289" i="3"/>
  <c r="Q289" i="3" s="1"/>
  <c r="K289" i="3"/>
  <c r="M289" i="3"/>
  <c r="L289" i="3"/>
  <c r="N289" i="3"/>
  <c r="J289" i="3"/>
  <c r="K228" i="3"/>
  <c r="O228" i="3"/>
  <c r="N228" i="3"/>
  <c r="L228" i="3"/>
  <c r="M228" i="3"/>
  <c r="J228" i="3"/>
  <c r="O249" i="3"/>
  <c r="Q249" i="3" s="1"/>
  <c r="J249" i="3"/>
  <c r="L249" i="3"/>
  <c r="M249" i="3"/>
  <c r="N249" i="3"/>
  <c r="K249" i="3"/>
  <c r="M254" i="3"/>
  <c r="N254" i="3"/>
  <c r="O254" i="3"/>
  <c r="Q254" i="3" s="1"/>
  <c r="J254" i="3"/>
  <c r="L254" i="3"/>
  <c r="K254" i="3"/>
  <c r="J244" i="3"/>
  <c r="K244" i="3"/>
  <c r="L244" i="3"/>
  <c r="M244" i="3"/>
  <c r="N244" i="3"/>
  <c r="O244" i="3"/>
  <c r="Q244" i="3" s="1"/>
  <c r="J240" i="3"/>
  <c r="O240" i="3"/>
  <c r="Q240" i="3" s="1"/>
  <c r="N240" i="3"/>
  <c r="K240" i="3"/>
  <c r="L240" i="3"/>
  <c r="M240" i="3"/>
  <c r="P240" i="3" s="1"/>
  <c r="J236" i="3"/>
  <c r="M236" i="3"/>
  <c r="N236" i="3"/>
  <c r="K236" i="3"/>
  <c r="O236" i="3"/>
  <c r="Q236" i="3" s="1"/>
  <c r="L236" i="3"/>
  <c r="K261" i="3"/>
  <c r="J261" i="3"/>
  <c r="M261" i="3"/>
  <c r="N261" i="3"/>
  <c r="L261" i="3"/>
  <c r="O261" i="3"/>
  <c r="Q261" i="3" s="1"/>
  <c r="J255" i="3"/>
  <c r="M255" i="3"/>
  <c r="K255" i="3"/>
  <c r="O255" i="3"/>
  <c r="Q255" i="3" s="1"/>
  <c r="L255" i="3"/>
  <c r="N255" i="3"/>
  <c r="M252" i="3"/>
  <c r="O252" i="3"/>
  <c r="Q252" i="3" s="1"/>
  <c r="J252" i="3"/>
  <c r="N252" i="3"/>
  <c r="K252" i="3"/>
  <c r="L252" i="3"/>
  <c r="K274" i="3"/>
  <c r="N274" i="3"/>
  <c r="L274" i="3"/>
  <c r="O274" i="3"/>
  <c r="Q274" i="3" s="1"/>
  <c r="J274" i="3"/>
  <c r="M274" i="3"/>
  <c r="J256" i="3"/>
  <c r="L256" i="3"/>
  <c r="N256" i="3"/>
  <c r="K256" i="3"/>
  <c r="O256" i="3"/>
  <c r="Q256" i="3" s="1"/>
  <c r="M256" i="3"/>
  <c r="N266" i="3"/>
  <c r="J266" i="3"/>
  <c r="M266" i="3"/>
  <c r="L266" i="3"/>
  <c r="O266" i="3"/>
  <c r="Q266" i="3" s="1"/>
  <c r="K266" i="3"/>
  <c r="N264" i="3"/>
  <c r="L264" i="3"/>
  <c r="M264" i="3"/>
  <c r="K264" i="3"/>
  <c r="O264" i="3"/>
  <c r="Q264" i="3" s="1"/>
  <c r="J264" i="3"/>
  <c r="L230" i="3"/>
  <c r="K230" i="3"/>
  <c r="J230" i="3"/>
  <c r="N230" i="3"/>
  <c r="M230" i="3"/>
  <c r="O230" i="3"/>
  <c r="Q230" i="3" s="1"/>
  <c r="K93" i="3"/>
  <c r="N93" i="3"/>
  <c r="M93" i="3"/>
  <c r="L93" i="3"/>
  <c r="O93" i="3"/>
  <c r="Q93" i="3" s="1"/>
  <c r="J93" i="3"/>
  <c r="O95" i="3"/>
  <c r="Q95" i="3" s="1"/>
  <c r="K95" i="3"/>
  <c r="M95" i="3"/>
  <c r="L95" i="3"/>
  <c r="J95" i="3"/>
  <c r="N95" i="3"/>
  <c r="L101" i="3"/>
  <c r="K101" i="3"/>
  <c r="J101" i="3"/>
  <c r="N101" i="3"/>
  <c r="O101" i="3"/>
  <c r="Q101" i="3" s="1"/>
  <c r="M101" i="3"/>
  <c r="O119" i="3"/>
  <c r="Q119" i="3" s="1"/>
  <c r="M119" i="3"/>
  <c r="K119" i="3"/>
  <c r="J119" i="3"/>
  <c r="N119" i="3"/>
  <c r="L119" i="3"/>
  <c r="M115" i="3"/>
  <c r="J115" i="3"/>
  <c r="N115" i="3"/>
  <c r="O115" i="3"/>
  <c r="Q115" i="3" s="1"/>
  <c r="K115" i="3"/>
  <c r="L115" i="3"/>
  <c r="O111" i="3"/>
  <c r="Q111" i="3" s="1"/>
  <c r="N111" i="3"/>
  <c r="L111" i="3"/>
  <c r="M111" i="3"/>
  <c r="J111" i="3"/>
  <c r="K111" i="3"/>
  <c r="N107" i="3"/>
  <c r="K107" i="3"/>
  <c r="L107" i="3"/>
  <c r="J107" i="3"/>
  <c r="M107" i="3"/>
  <c r="O107" i="3"/>
  <c r="Q107" i="3" s="1"/>
  <c r="K135" i="3"/>
  <c r="J135" i="3"/>
  <c r="N135" i="3"/>
  <c r="L135" i="3"/>
  <c r="M135" i="3"/>
  <c r="O135" i="3"/>
  <c r="Q135" i="3" s="1"/>
  <c r="L149" i="3"/>
  <c r="O149" i="3"/>
  <c r="Q149" i="3" s="1"/>
  <c r="N149" i="3"/>
  <c r="J149" i="3"/>
  <c r="K149" i="3"/>
  <c r="M149" i="3"/>
  <c r="N147" i="3"/>
  <c r="L147" i="3"/>
  <c r="O147" i="3"/>
  <c r="Q147" i="3" s="1"/>
  <c r="M147" i="3"/>
  <c r="J147" i="3"/>
  <c r="K147" i="3"/>
  <c r="L143" i="3"/>
  <c r="M143" i="3"/>
  <c r="K143" i="3"/>
  <c r="J143" i="3"/>
  <c r="O143" i="3"/>
  <c r="Q143" i="3" s="1"/>
  <c r="N143" i="3"/>
  <c r="O138" i="3"/>
  <c r="Q138" i="3" s="1"/>
  <c r="K138" i="3"/>
  <c r="M138" i="3"/>
  <c r="L138" i="3"/>
  <c r="J138" i="3"/>
  <c r="N138" i="3"/>
  <c r="O151" i="3"/>
  <c r="Q151" i="3" s="1"/>
  <c r="M151" i="3"/>
  <c r="L151" i="3"/>
  <c r="J151" i="3"/>
  <c r="N151" i="3"/>
  <c r="K151" i="3"/>
  <c r="M126" i="3"/>
  <c r="L126" i="3"/>
  <c r="K126" i="3"/>
  <c r="N126" i="3"/>
  <c r="J126" i="3"/>
  <c r="O126" i="3"/>
  <c r="Q126" i="3" s="1"/>
  <c r="J198" i="3"/>
  <c r="K198" i="3"/>
  <c r="L198" i="3"/>
  <c r="M198" i="3"/>
  <c r="O198" i="3"/>
  <c r="Q198" i="3" s="1"/>
  <c r="N198" i="3"/>
  <c r="M194" i="3"/>
  <c r="O194" i="3"/>
  <c r="Q194" i="3" s="1"/>
  <c r="J194" i="3"/>
  <c r="K194" i="3"/>
  <c r="L194" i="3"/>
  <c r="N194" i="3"/>
  <c r="M190" i="3"/>
  <c r="N190" i="3"/>
  <c r="O190" i="3"/>
  <c r="Q190" i="3" s="1"/>
  <c r="L190" i="3"/>
  <c r="J190" i="3"/>
  <c r="K190" i="3"/>
  <c r="O204" i="3"/>
  <c r="Q204" i="3" s="1"/>
  <c r="J204" i="3"/>
  <c r="K204" i="3"/>
  <c r="M204" i="3"/>
  <c r="L204" i="3"/>
  <c r="N204" i="3"/>
  <c r="J168" i="3"/>
  <c r="L168" i="3"/>
  <c r="K168" i="3"/>
  <c r="M168" i="3"/>
  <c r="N168" i="3"/>
  <c r="O168" i="3"/>
  <c r="Q168" i="3" s="1"/>
  <c r="M202" i="3"/>
  <c r="J202" i="3"/>
  <c r="K202" i="3"/>
  <c r="L202" i="3"/>
  <c r="O202" i="3"/>
  <c r="Q202" i="3" s="1"/>
  <c r="N202" i="3"/>
  <c r="M159" i="3"/>
  <c r="O159" i="3"/>
  <c r="Q159" i="3" s="1"/>
  <c r="N159" i="3"/>
  <c r="K159" i="3"/>
  <c r="J159" i="3"/>
  <c r="L159" i="3"/>
  <c r="J162" i="3"/>
  <c r="N162" i="3"/>
  <c r="L162" i="3"/>
  <c r="O162" i="3"/>
  <c r="Q162" i="3" s="1"/>
  <c r="M162" i="3"/>
  <c r="K162" i="3"/>
  <c r="K157" i="3"/>
  <c r="L157" i="3"/>
  <c r="N157" i="3"/>
  <c r="O157" i="3"/>
  <c r="Q157" i="3" s="1"/>
  <c r="J157" i="3"/>
  <c r="M157" i="3"/>
  <c r="O189" i="3"/>
  <c r="Q189" i="3" s="1"/>
  <c r="J189" i="3"/>
  <c r="L189" i="3"/>
  <c r="M189" i="3"/>
  <c r="K189" i="3"/>
  <c r="N189" i="3"/>
  <c r="N185" i="3"/>
  <c r="K185" i="3"/>
  <c r="L185" i="3"/>
  <c r="O185" i="3"/>
  <c r="Q185" i="3" s="1"/>
  <c r="J185" i="3"/>
  <c r="M185" i="3"/>
  <c r="N181" i="3"/>
  <c r="K181" i="3"/>
  <c r="L181" i="3"/>
  <c r="J181" i="3"/>
  <c r="M181" i="3"/>
  <c r="O181" i="3"/>
  <c r="Q181" i="3" s="1"/>
  <c r="O131" i="3"/>
  <c r="Q131" i="3" s="1"/>
  <c r="L131" i="3"/>
  <c r="M131" i="3"/>
  <c r="K131" i="3"/>
  <c r="N131" i="3"/>
  <c r="J131" i="3"/>
  <c r="M176" i="3"/>
  <c r="N176" i="3"/>
  <c r="L176" i="3"/>
  <c r="K176" i="3"/>
  <c r="O176" i="3"/>
  <c r="Q176" i="3" s="1"/>
  <c r="J176" i="3"/>
  <c r="K172" i="3"/>
  <c r="O172" i="3"/>
  <c r="Q172" i="3" s="1"/>
  <c r="N172" i="3"/>
  <c r="L172" i="3"/>
  <c r="J172" i="3"/>
  <c r="M172" i="3"/>
  <c r="P172" i="3" s="1"/>
  <c r="O210" i="3"/>
  <c r="Q210" i="3" s="1"/>
  <c r="M210" i="3"/>
  <c r="N210" i="3"/>
  <c r="J210" i="3"/>
  <c r="K210" i="3"/>
  <c r="L210" i="3"/>
  <c r="L217" i="3"/>
  <c r="M217" i="3"/>
  <c r="O217" i="3"/>
  <c r="Q217" i="3" s="1"/>
  <c r="N217" i="3"/>
  <c r="J217" i="3"/>
  <c r="K217" i="3"/>
  <c r="N220" i="3"/>
  <c r="M220" i="3"/>
  <c r="K220" i="3"/>
  <c r="J220" i="3"/>
  <c r="O220" i="3"/>
  <c r="Q220" i="3" s="1"/>
  <c r="L220" i="3"/>
  <c r="J214" i="3"/>
  <c r="M214" i="3"/>
  <c r="K214" i="3"/>
  <c r="O214" i="3"/>
  <c r="Q214" i="3" s="1"/>
  <c r="L214" i="3"/>
  <c r="N214" i="3"/>
  <c r="K60" i="3"/>
  <c r="L60" i="3"/>
  <c r="M60" i="3"/>
  <c r="O60" i="3"/>
  <c r="Q60" i="3" s="1"/>
  <c r="J60" i="3"/>
  <c r="N60" i="3"/>
  <c r="L64" i="3"/>
  <c r="K64" i="3"/>
  <c r="N64" i="3"/>
  <c r="O64" i="3"/>
  <c r="Q64" i="3" s="1"/>
  <c r="J64" i="3"/>
  <c r="M64" i="3"/>
  <c r="O78" i="3"/>
  <c r="Q78" i="3" s="1"/>
  <c r="J78" i="3"/>
  <c r="L78" i="3"/>
  <c r="N78" i="3"/>
  <c r="M78" i="3"/>
  <c r="P78" i="3" s="1"/>
  <c r="K78" i="3"/>
  <c r="L87" i="3"/>
  <c r="O87" i="3"/>
  <c r="Q87" i="3" s="1"/>
  <c r="J87" i="3"/>
  <c r="K87" i="3"/>
  <c r="N87" i="3"/>
  <c r="M87" i="3"/>
  <c r="O32" i="3"/>
  <c r="Q32" i="3" s="1"/>
  <c r="J32" i="3"/>
  <c r="M32" i="3"/>
  <c r="N32" i="3"/>
  <c r="L32" i="3"/>
  <c r="K32" i="3"/>
  <c r="N16" i="3"/>
  <c r="M16" i="3"/>
  <c r="L16" i="3"/>
  <c r="O16" i="3"/>
  <c r="Q16" i="3" s="1"/>
  <c r="J16" i="3"/>
  <c r="K16" i="3"/>
  <c r="K12" i="3"/>
  <c r="M12" i="3"/>
  <c r="N12" i="3"/>
  <c r="L12" i="3"/>
  <c r="J12" i="3"/>
  <c r="O12" i="3"/>
  <c r="Q12" i="3" s="1"/>
  <c r="N29" i="3"/>
  <c r="M29" i="3"/>
  <c r="L29" i="3"/>
  <c r="O29" i="3"/>
  <c r="Q29" i="3" s="1"/>
  <c r="J29" i="3"/>
  <c r="K29" i="3"/>
  <c r="K25" i="3"/>
  <c r="L25" i="3"/>
  <c r="M25" i="3"/>
  <c r="O25" i="3"/>
  <c r="Q25" i="3" s="1"/>
  <c r="N25" i="3"/>
  <c r="J25" i="3"/>
  <c r="L21" i="3"/>
  <c r="K21" i="3"/>
  <c r="J21" i="3"/>
  <c r="N21" i="3"/>
  <c r="M21" i="3"/>
  <c r="O21" i="3"/>
  <c r="Q21" i="3" s="1"/>
  <c r="O8" i="3"/>
  <c r="Q8" i="3" s="1"/>
  <c r="N8" i="3"/>
  <c r="J8" i="3"/>
  <c r="M8" i="3"/>
  <c r="K8" i="3"/>
  <c r="L8" i="3"/>
  <c r="J49" i="3"/>
  <c r="L49" i="3"/>
  <c r="M49" i="3"/>
  <c r="K49" i="3"/>
  <c r="O49" i="3"/>
  <c r="Q49" i="3" s="1"/>
  <c r="N49" i="3"/>
  <c r="N45" i="3"/>
  <c r="L45" i="3"/>
  <c r="O45" i="3"/>
  <c r="Q45" i="3" s="1"/>
  <c r="J45" i="3"/>
  <c r="M45" i="3"/>
  <c r="K45" i="3"/>
  <c r="K41" i="3"/>
  <c r="N41" i="3"/>
  <c r="M41" i="3"/>
  <c r="J41" i="3"/>
  <c r="O41" i="3"/>
  <c r="Q41" i="3" s="1"/>
  <c r="L41" i="3"/>
  <c r="N37" i="3"/>
  <c r="L37" i="3"/>
  <c r="J37" i="3"/>
  <c r="K37" i="3"/>
  <c r="O37" i="3"/>
  <c r="Q37" i="3" s="1"/>
  <c r="M37" i="3"/>
  <c r="L89" i="3"/>
  <c r="K89" i="3"/>
  <c r="N89" i="3"/>
  <c r="J89" i="3"/>
  <c r="M89" i="3"/>
  <c r="O89" i="3"/>
  <c r="Q89" i="3" s="1"/>
  <c r="N56" i="3"/>
  <c r="M56" i="3"/>
  <c r="K56" i="3"/>
  <c r="L56" i="3"/>
  <c r="O56" i="3"/>
  <c r="Q56" i="3" s="1"/>
  <c r="J56" i="3"/>
  <c r="K86" i="3"/>
  <c r="M86" i="3"/>
  <c r="J86" i="3"/>
  <c r="N86" i="3"/>
  <c r="L86" i="3"/>
  <c r="O86" i="3"/>
  <c r="Q86" i="3" s="1"/>
  <c r="J76" i="3"/>
  <c r="L76" i="3"/>
  <c r="M76" i="3"/>
  <c r="K76" i="3"/>
  <c r="O76" i="3"/>
  <c r="Q76" i="3" s="1"/>
  <c r="N76" i="3"/>
  <c r="O72" i="3"/>
  <c r="Q72" i="3" s="1"/>
  <c r="M72" i="3"/>
  <c r="L72" i="3"/>
  <c r="J72" i="3"/>
  <c r="K72" i="3"/>
  <c r="N72" i="3"/>
  <c r="M85" i="3"/>
  <c r="N85" i="3"/>
  <c r="L85" i="3"/>
  <c r="K85" i="3"/>
  <c r="O85" i="3"/>
  <c r="Q85" i="3" s="1"/>
  <c r="J85" i="3"/>
  <c r="P37" i="3" l="1"/>
  <c r="P198" i="3"/>
  <c r="P119" i="3"/>
  <c r="R232" i="3"/>
  <c r="P451" i="3"/>
  <c r="P474" i="3"/>
  <c r="P761" i="3"/>
  <c r="P652" i="3"/>
  <c r="P548" i="3"/>
  <c r="P556" i="3"/>
  <c r="P579" i="3"/>
  <c r="P584" i="3"/>
  <c r="P588" i="3"/>
  <c r="P899" i="3"/>
  <c r="P934" i="3"/>
  <c r="P918" i="3"/>
  <c r="P950" i="3"/>
  <c r="P972" i="3"/>
  <c r="P1042" i="3"/>
  <c r="P1188" i="3"/>
  <c r="P42" i="3"/>
  <c r="P5" i="3"/>
  <c r="P222" i="3"/>
  <c r="P163" i="3"/>
  <c r="P191" i="3"/>
  <c r="P231" i="3"/>
  <c r="P411" i="3"/>
  <c r="P422" i="3"/>
  <c r="P534" i="3"/>
  <c r="P475" i="3"/>
  <c r="P694" i="3"/>
  <c r="P553" i="3"/>
  <c r="P560" i="3"/>
  <c r="P849" i="3"/>
  <c r="P883" i="3"/>
  <c r="P998" i="3"/>
  <c r="P1039" i="3"/>
  <c r="P1165" i="3"/>
  <c r="P1193" i="3"/>
  <c r="P1197" i="3"/>
  <c r="P1208" i="3"/>
  <c r="P1235" i="3"/>
  <c r="P1352" i="3"/>
  <c r="P1328" i="3"/>
  <c r="P18" i="3"/>
  <c r="P129" i="3"/>
  <c r="P183" i="3"/>
  <c r="P370" i="3"/>
  <c r="P521" i="3"/>
  <c r="P453" i="3"/>
  <c r="P724" i="3"/>
  <c r="P824" i="3"/>
  <c r="P755" i="3"/>
  <c r="P614" i="3"/>
  <c r="P622" i="3"/>
  <c r="P550" i="3"/>
  <c r="P582" i="3"/>
  <c r="P886" i="3"/>
  <c r="P924" i="3"/>
  <c r="P1379" i="3"/>
  <c r="P1366" i="3"/>
  <c r="P1374" i="3"/>
  <c r="P1061" i="3"/>
  <c r="P1080" i="3"/>
  <c r="P1090" i="3"/>
  <c r="P1035" i="3"/>
  <c r="P1236" i="3"/>
  <c r="P1272" i="3"/>
  <c r="P1339" i="3"/>
  <c r="P1363" i="3"/>
  <c r="P50" i="3"/>
  <c r="P413" i="3"/>
  <c r="P365" i="3"/>
  <c r="P350" i="3"/>
  <c r="P464" i="3"/>
  <c r="P929" i="3"/>
  <c r="P1371" i="3"/>
  <c r="P1127" i="3"/>
  <c r="P1131" i="3"/>
  <c r="P1163" i="3"/>
  <c r="P1187" i="3"/>
  <c r="P1261" i="3"/>
  <c r="P1316" i="3"/>
  <c r="P168" i="3"/>
  <c r="P274" i="3"/>
  <c r="P311" i="3"/>
  <c r="P533" i="3"/>
  <c r="P793" i="3"/>
  <c r="P801" i="3"/>
  <c r="P629" i="3"/>
  <c r="P701" i="3"/>
  <c r="P887" i="3"/>
  <c r="P1116" i="3"/>
  <c r="P1120" i="3"/>
  <c r="P1357" i="3"/>
  <c r="P173" i="3"/>
  <c r="P199" i="3"/>
  <c r="P253" i="3"/>
  <c r="P250" i="3"/>
  <c r="P786" i="3"/>
  <c r="P754" i="3"/>
  <c r="P605" i="3"/>
  <c r="P573" i="3"/>
  <c r="P1373" i="3"/>
  <c r="P1231" i="3"/>
  <c r="P1289" i="3"/>
  <c r="P1332" i="3"/>
  <c r="P80" i="3"/>
  <c r="P467" i="3"/>
  <c r="P606" i="3"/>
  <c r="P1001" i="3"/>
  <c r="P1028" i="3"/>
  <c r="P1020" i="3"/>
  <c r="P1296" i="3"/>
  <c r="P1329" i="3"/>
  <c r="P83" i="3"/>
  <c r="P118" i="3"/>
  <c r="P462" i="3"/>
  <c r="P484" i="3"/>
  <c r="P555" i="3"/>
  <c r="P545" i="3"/>
  <c r="P995" i="3"/>
  <c r="P1107" i="3"/>
  <c r="P1195" i="3"/>
  <c r="P1141" i="3"/>
  <c r="P388" i="3"/>
  <c r="P323" i="3"/>
  <c r="P512" i="3"/>
  <c r="P447" i="3"/>
  <c r="P738" i="3"/>
  <c r="P598" i="3"/>
  <c r="P847" i="3"/>
  <c r="P466" i="3"/>
  <c r="P766" i="3"/>
  <c r="P657" i="3"/>
  <c r="P609" i="3"/>
  <c r="P1271" i="3"/>
  <c r="P1280" i="3"/>
  <c r="P1323" i="3"/>
  <c r="P1310" i="3"/>
  <c r="P58" i="3"/>
  <c r="P187" i="3"/>
  <c r="P109" i="3"/>
  <c r="P301" i="3"/>
  <c r="P349" i="3"/>
  <c r="P457" i="3"/>
  <c r="P483" i="3"/>
  <c r="P602" i="3"/>
  <c r="P1003" i="3"/>
  <c r="P1024" i="3"/>
  <c r="P1358" i="3"/>
  <c r="P52" i="3"/>
  <c r="P224" i="3"/>
  <c r="P207" i="3"/>
  <c r="P767" i="3"/>
  <c r="P651" i="3"/>
  <c r="P558" i="3"/>
  <c r="P963" i="3"/>
  <c r="P1025" i="3"/>
  <c r="P1273" i="3"/>
  <c r="P25" i="3"/>
  <c r="P60" i="3"/>
  <c r="P252" i="3"/>
  <c r="P228" i="3"/>
  <c r="P404" i="3"/>
  <c r="R301" i="3"/>
  <c r="P339" i="3"/>
  <c r="P421" i="3"/>
  <c r="P465" i="3"/>
  <c r="P616" i="3"/>
  <c r="P625" i="3"/>
  <c r="P914" i="3"/>
  <c r="P930" i="3"/>
  <c r="P871" i="3"/>
  <c r="P867" i="3"/>
  <c r="P1148" i="3"/>
  <c r="P1157" i="3"/>
  <c r="P1331" i="3"/>
  <c r="P1327" i="3"/>
  <c r="P61" i="3"/>
  <c r="P154" i="3"/>
  <c r="P288" i="3"/>
  <c r="P300" i="3"/>
  <c r="P536" i="3"/>
  <c r="P492" i="3"/>
  <c r="P735" i="3"/>
  <c r="P840" i="3"/>
  <c r="P769" i="3"/>
  <c r="P706" i="3"/>
  <c r="P581" i="3"/>
  <c r="P927" i="3"/>
  <c r="P870" i="3"/>
  <c r="P1000" i="3"/>
  <c r="P1067" i="3"/>
  <c r="P1011" i="3"/>
  <c r="P1283" i="3"/>
  <c r="P170" i="3"/>
  <c r="P368" i="3"/>
  <c r="P313" i="3"/>
  <c r="P436" i="3"/>
  <c r="P713" i="3"/>
  <c r="P813" i="3"/>
  <c r="P566" i="3"/>
  <c r="P895" i="3"/>
  <c r="P944" i="3"/>
  <c r="P978" i="3"/>
  <c r="P1114" i="3"/>
  <c r="P1059" i="3"/>
  <c r="P1146" i="3"/>
  <c r="P1178" i="3"/>
  <c r="P1240" i="3"/>
  <c r="P1260" i="3"/>
  <c r="P1232" i="3"/>
  <c r="P84" i="3"/>
  <c r="P141" i="3"/>
  <c r="P298" i="3"/>
  <c r="P524" i="3"/>
  <c r="P817" i="3"/>
  <c r="P752" i="3"/>
  <c r="P957" i="3"/>
  <c r="P961" i="3"/>
  <c r="P967" i="3"/>
  <c r="P12" i="3"/>
  <c r="P123" i="3"/>
  <c r="P1293" i="3"/>
  <c r="P85" i="3"/>
  <c r="P45" i="3"/>
  <c r="P49" i="3"/>
  <c r="P93" i="3"/>
  <c r="P264" i="3"/>
  <c r="P481" i="3"/>
  <c r="P809" i="3"/>
  <c r="P844" i="3"/>
  <c r="P688" i="3"/>
  <c r="P693" i="3"/>
  <c r="P697" i="3"/>
  <c r="P897" i="3"/>
  <c r="P1385" i="3"/>
  <c r="P1058" i="3"/>
  <c r="P1144" i="3"/>
  <c r="P1176" i="3"/>
  <c r="P1234" i="3"/>
  <c r="P1335" i="3"/>
  <c r="P9" i="3"/>
  <c r="P79" i="3"/>
  <c r="P221" i="3"/>
  <c r="P94" i="3"/>
  <c r="P281" i="3"/>
  <c r="P393" i="3"/>
  <c r="P405" i="3"/>
  <c r="P478" i="3"/>
  <c r="P727" i="3"/>
  <c r="P821" i="3"/>
  <c r="P580" i="3"/>
  <c r="P585" i="3"/>
  <c r="P863" i="3"/>
  <c r="P986" i="3"/>
  <c r="P1129" i="3"/>
  <c r="P1233" i="3"/>
  <c r="P1226" i="3"/>
  <c r="P66" i="3"/>
  <c r="P117" i="3"/>
  <c r="P92" i="3"/>
  <c r="P247" i="3"/>
  <c r="P479" i="3"/>
  <c r="P514" i="3"/>
  <c r="P494" i="3"/>
  <c r="P631" i="3"/>
  <c r="P699" i="3"/>
  <c r="P1086" i="3"/>
  <c r="P1022" i="3"/>
  <c r="P1227" i="3"/>
  <c r="P1286" i="3"/>
  <c r="P1345" i="3"/>
  <c r="P165" i="3"/>
  <c r="P136" i="3"/>
  <c r="P756" i="3"/>
  <c r="P1005" i="3"/>
  <c r="P194" i="3"/>
  <c r="P414" i="3"/>
  <c r="P563" i="3"/>
  <c r="P270" i="3"/>
  <c r="P681" i="3"/>
  <c r="P1062" i="3"/>
  <c r="P1101" i="3"/>
  <c r="P353" i="3"/>
  <c r="P682" i="3"/>
  <c r="P76" i="3"/>
  <c r="P32" i="3"/>
  <c r="P138" i="3"/>
  <c r="P115" i="3"/>
  <c r="P254" i="3"/>
  <c r="P289" i="3"/>
  <c r="P377" i="3"/>
  <c r="P376" i="3"/>
  <c r="P491" i="3"/>
  <c r="P477" i="3"/>
  <c r="P459" i="3"/>
  <c r="P519" i="3"/>
  <c r="P785" i="3"/>
  <c r="P827" i="3"/>
  <c r="P765" i="3"/>
  <c r="P612" i="3"/>
  <c r="P922" i="3"/>
  <c r="P958" i="3"/>
  <c r="P857" i="3"/>
  <c r="P866" i="3"/>
  <c r="P875" i="3"/>
  <c r="P992" i="3"/>
  <c r="P1074" i="3"/>
  <c r="P1084" i="3"/>
  <c r="P1108" i="3"/>
  <c r="P1054" i="3"/>
  <c r="P1238" i="3"/>
  <c r="P1292" i="3"/>
  <c r="P33" i="3"/>
  <c r="P108" i="3"/>
  <c r="P389" i="3"/>
  <c r="P308" i="3"/>
  <c r="P312" i="3"/>
  <c r="P332" i="3"/>
  <c r="P806" i="3"/>
  <c r="P823" i="3"/>
  <c r="P837" i="3"/>
  <c r="P677" i="3"/>
  <c r="P698" i="3"/>
  <c r="P565" i="3"/>
  <c r="P568" i="3"/>
  <c r="P981" i="3"/>
  <c r="P1079" i="3"/>
  <c r="P1043" i="3"/>
  <c r="P1019" i="3"/>
  <c r="P1255" i="3"/>
  <c r="P1287" i="3"/>
  <c r="P1354" i="3"/>
  <c r="P39" i="3"/>
  <c r="P999" i="3"/>
  <c r="P1325" i="3"/>
  <c r="P99" i="3"/>
  <c r="P239" i="3"/>
  <c r="P571" i="3"/>
  <c r="R199" i="3"/>
  <c r="P126" i="3"/>
  <c r="P315" i="3"/>
  <c r="P331" i="3"/>
  <c r="P709" i="3"/>
  <c r="P552" i="3"/>
  <c r="P564" i="3"/>
  <c r="P976" i="3"/>
  <c r="P1070" i="3"/>
  <c r="P1034" i="3"/>
  <c r="P1037" i="3"/>
  <c r="P1046" i="3"/>
  <c r="P1180" i="3"/>
  <c r="P1269" i="3"/>
  <c r="P65" i="3"/>
  <c r="P284" i="3"/>
  <c r="P304" i="3"/>
  <c r="P773" i="3"/>
  <c r="P669" i="3"/>
  <c r="P993" i="3"/>
  <c r="P1158" i="3"/>
  <c r="P1150" i="3"/>
  <c r="P1268" i="3"/>
  <c r="P1297" i="3"/>
  <c r="P23" i="3"/>
  <c r="P27" i="3"/>
  <c r="P271" i="3"/>
  <c r="P357" i="3"/>
  <c r="P333" i="3"/>
  <c r="P341" i="3"/>
  <c r="P476" i="3"/>
  <c r="P662" i="3"/>
  <c r="P891" i="3"/>
  <c r="P901" i="3"/>
  <c r="P936" i="3"/>
  <c r="P1072" i="3"/>
  <c r="P1174" i="3"/>
  <c r="P1277" i="3"/>
  <c r="P28" i="3"/>
  <c r="P282" i="3"/>
  <c r="P310" i="3"/>
  <c r="P342" i="3"/>
  <c r="P454" i="3"/>
  <c r="P437" i="3"/>
  <c r="P991" i="3"/>
  <c r="P1091" i="3"/>
  <c r="P1041" i="3"/>
  <c r="P1053" i="3"/>
  <c r="P1210" i="3"/>
  <c r="P1249" i="3"/>
  <c r="P1253" i="3"/>
  <c r="P1216" i="3"/>
  <c r="P72" i="3"/>
  <c r="P8" i="3"/>
  <c r="P29" i="3"/>
  <c r="P16" i="3"/>
  <c r="P64" i="3"/>
  <c r="P211" i="3"/>
  <c r="P179" i="3"/>
  <c r="P150" i="3"/>
  <c r="P105" i="3"/>
  <c r="P97" i="3"/>
  <c r="P386" i="3"/>
  <c r="P317" i="3"/>
  <c r="P321" i="3"/>
  <c r="P358" i="3"/>
  <c r="P471" i="3"/>
  <c r="P472" i="3"/>
  <c r="P787" i="3"/>
  <c r="P838" i="3"/>
  <c r="P642" i="3"/>
  <c r="P690" i="3"/>
  <c r="P586" i="3"/>
  <c r="P569" i="3"/>
  <c r="P574" i="3"/>
  <c r="P928" i="3"/>
  <c r="P873" i="3"/>
  <c r="P982" i="3"/>
  <c r="P1214" i="3"/>
  <c r="P1311" i="3"/>
  <c r="P20" i="3"/>
  <c r="P24" i="3"/>
  <c r="P395" i="3"/>
  <c r="P338" i="3"/>
  <c r="P346" i="3"/>
  <c r="P424" i="3"/>
  <c r="P826" i="3"/>
  <c r="P619" i="3"/>
  <c r="P663" i="3"/>
  <c r="P595" i="3"/>
  <c r="P597" i="3"/>
  <c r="P933" i="3"/>
  <c r="P854" i="3"/>
  <c r="P862" i="3"/>
  <c r="P1152" i="3"/>
  <c r="P1237" i="3"/>
  <c r="P1334" i="3"/>
  <c r="P189" i="3"/>
  <c r="P157" i="3"/>
  <c r="R170" i="3"/>
  <c r="P204" i="3"/>
  <c r="P151" i="3"/>
  <c r="P147" i="3"/>
  <c r="P111" i="3"/>
  <c r="P101" i="3"/>
  <c r="P244" i="3"/>
  <c r="P249" i="3"/>
  <c r="P410" i="3"/>
  <c r="P319" i="3"/>
  <c r="P498" i="3"/>
  <c r="P489" i="3"/>
  <c r="P718" i="3"/>
  <c r="P734" i="3"/>
  <c r="P822" i="3"/>
  <c r="P830" i="3"/>
  <c r="P745" i="3"/>
  <c r="P768" i="3"/>
  <c r="P664" i="3"/>
  <c r="P668" i="3"/>
  <c r="P600" i="3"/>
  <c r="P604" i="3"/>
  <c r="P882" i="3"/>
  <c r="P902" i="3"/>
  <c r="P1376" i="3"/>
  <c r="P968" i="3"/>
  <c r="P1088" i="3"/>
  <c r="P1092" i="3"/>
  <c r="P1124" i="3"/>
  <c r="P1202" i="3"/>
  <c r="P1279" i="3"/>
  <c r="P1285" i="3"/>
  <c r="P1337" i="3"/>
  <c r="P1309" i="3"/>
  <c r="P69" i="3"/>
  <c r="P57" i="3"/>
  <c r="P38" i="3"/>
  <c r="P22" i="3"/>
  <c r="P26" i="3"/>
  <c r="P13" i="3"/>
  <c r="P17" i="3"/>
  <c r="P68" i="3"/>
  <c r="P158" i="3"/>
  <c r="P205" i="3"/>
  <c r="P195" i="3"/>
  <c r="P112" i="3"/>
  <c r="P237" i="3"/>
  <c r="P409" i="3"/>
  <c r="P369" i="3"/>
  <c r="P356" i="3"/>
  <c r="P378" i="3"/>
  <c r="P373" i="3"/>
  <c r="P340" i="3"/>
  <c r="P344" i="3"/>
  <c r="P452" i="3"/>
  <c r="P522" i="3"/>
  <c r="P530" i="3"/>
  <c r="P493" i="3"/>
  <c r="P746" i="3"/>
  <c r="P645" i="3"/>
  <c r="P900" i="3"/>
  <c r="P947" i="3"/>
  <c r="P852" i="3"/>
  <c r="P907" i="3"/>
  <c r="P1365" i="3"/>
  <c r="P977" i="3"/>
  <c r="P1071" i="3"/>
  <c r="P1013" i="3"/>
  <c r="P1145" i="3"/>
  <c r="P1154" i="3"/>
  <c r="P1181" i="3"/>
  <c r="P1247" i="3"/>
  <c r="P1259" i="3"/>
  <c r="P1222" i="3"/>
  <c r="P74" i="3"/>
  <c r="P218" i="3"/>
  <c r="P213" i="3"/>
  <c r="P164" i="3"/>
  <c r="P100" i="3"/>
  <c r="P268" i="3"/>
  <c r="P246" i="3"/>
  <c r="P291" i="3"/>
  <c r="P394" i="3"/>
  <c r="P412" i="3"/>
  <c r="P297" i="3"/>
  <c r="P305" i="3"/>
  <c r="P490" i="3"/>
  <c r="P461" i="3"/>
  <c r="P444" i="3"/>
  <c r="P717" i="3"/>
  <c r="P811" i="3"/>
  <c r="P747" i="3"/>
  <c r="P751" i="3"/>
  <c r="P759" i="3"/>
  <c r="P634" i="3"/>
  <c r="P654" i="3"/>
  <c r="P670" i="3"/>
  <c r="P703" i="3"/>
  <c r="P610" i="3"/>
  <c r="P912" i="3"/>
  <c r="P960" i="3"/>
  <c r="P966" i="3"/>
  <c r="P974" i="3"/>
  <c r="P1082" i="3"/>
  <c r="P1106" i="3"/>
  <c r="P1014" i="3"/>
  <c r="P1199" i="3"/>
  <c r="P1159" i="3"/>
  <c r="P1198" i="3"/>
  <c r="P1256" i="3"/>
  <c r="P1264" i="3"/>
  <c r="P1284" i="3"/>
  <c r="P1290" i="3"/>
  <c r="P1333" i="3"/>
  <c r="P1320" i="3"/>
  <c r="P1315" i="3"/>
  <c r="P1356" i="3"/>
  <c r="P11" i="3"/>
  <c r="P219" i="3"/>
  <c r="P175" i="3"/>
  <c r="P130" i="3"/>
  <c r="P125" i="3"/>
  <c r="P265" i="3"/>
  <c r="P269" i="3"/>
  <c r="P279" i="3"/>
  <c r="P302" i="3"/>
  <c r="P306" i="3"/>
  <c r="P318" i="3"/>
  <c r="P532" i="3"/>
  <c r="P505" i="3"/>
  <c r="P480" i="3"/>
  <c r="P511" i="3"/>
  <c r="P473" i="3"/>
  <c r="P432" i="3"/>
  <c r="P729" i="3"/>
  <c r="P808" i="3"/>
  <c r="P819" i="3"/>
  <c r="P812" i="3"/>
  <c r="P805" i="3"/>
  <c r="P832" i="3"/>
  <c r="P764" i="3"/>
  <c r="P775" i="3"/>
  <c r="P635" i="3"/>
  <c r="P639" i="3"/>
  <c r="P903" i="3"/>
  <c r="P925" i="3"/>
  <c r="P941" i="3"/>
  <c r="P949" i="3"/>
  <c r="P856" i="3"/>
  <c r="P878" i="3"/>
  <c r="P896" i="3"/>
  <c r="P987" i="3"/>
  <c r="P979" i="3"/>
  <c r="P1099" i="3"/>
  <c r="P1119" i="3"/>
  <c r="P1047" i="3"/>
  <c r="P1179" i="3"/>
  <c r="P1171" i="3"/>
  <c r="P1191" i="3"/>
  <c r="P1206" i="3"/>
  <c r="P1220" i="3"/>
  <c r="P1228" i="3"/>
  <c r="P1266" i="3"/>
  <c r="P1301" i="3"/>
  <c r="P1350" i="3"/>
  <c r="P1326" i="3"/>
  <c r="P1305" i="3"/>
  <c r="P1355" i="3"/>
  <c r="S259" i="3"/>
  <c r="P327" i="3"/>
  <c r="R115" i="3"/>
  <c r="P149" i="3"/>
  <c r="P56" i="3"/>
  <c r="P89" i="3"/>
  <c r="P41" i="3"/>
  <c r="P210" i="3"/>
  <c r="P176" i="3"/>
  <c r="P181" i="3"/>
  <c r="P185" i="3"/>
  <c r="P162" i="3"/>
  <c r="P202" i="3"/>
  <c r="P143" i="3"/>
  <c r="R160" i="3"/>
  <c r="P135" i="3"/>
  <c r="P255" i="3"/>
  <c r="Q228" i="3"/>
  <c r="R229" i="3"/>
  <c r="P399" i="3"/>
  <c r="P363" i="3"/>
  <c r="P408" i="3"/>
  <c r="P366" i="3"/>
  <c r="P372" i="3"/>
  <c r="P299" i="3"/>
  <c r="P303" i="3"/>
  <c r="P307" i="3"/>
  <c r="P351" i="3"/>
  <c r="P355" i="3"/>
  <c r="P425" i="3"/>
  <c r="P486" i="3"/>
  <c r="P516" i="3"/>
  <c r="P525" i="3"/>
  <c r="P434" i="3"/>
  <c r="P722" i="3"/>
  <c r="P726" i="3"/>
  <c r="P820" i="3"/>
  <c r="P818" i="3"/>
  <c r="P814" i="3"/>
  <c r="P789" i="3"/>
  <c r="P749" i="3"/>
  <c r="P772" i="3"/>
  <c r="P776" i="3"/>
  <c r="P780" i="3"/>
  <c r="P620" i="3"/>
  <c r="P636" i="3"/>
  <c r="P640" i="3"/>
  <c r="P644" i="3"/>
  <c r="P648" i="3"/>
  <c r="P656" i="3"/>
  <c r="P680" i="3"/>
  <c r="P705" i="3"/>
  <c r="P570" i="3"/>
  <c r="P905" i="3"/>
  <c r="P910" i="3"/>
  <c r="P954" i="3"/>
  <c r="P909" i="3"/>
  <c r="P1368" i="3"/>
  <c r="P964" i="3"/>
  <c r="P997" i="3"/>
  <c r="P1078" i="3"/>
  <c r="P1104" i="3"/>
  <c r="P1096" i="3"/>
  <c r="P1128" i="3"/>
  <c r="P1026" i="3"/>
  <c r="P1050" i="3"/>
  <c r="P1161" i="3"/>
  <c r="P1168" i="3"/>
  <c r="P1172" i="3"/>
  <c r="P1184" i="3"/>
  <c r="P1192" i="3"/>
  <c r="P1211" i="3"/>
  <c r="P1258" i="3"/>
  <c r="P1302" i="3"/>
  <c r="P1306" i="3"/>
  <c r="P1314" i="3"/>
  <c r="P90" i="3"/>
  <c r="P46" i="3"/>
  <c r="P30" i="3"/>
  <c r="P209" i="3"/>
  <c r="P169" i="3"/>
  <c r="P140" i="3"/>
  <c r="P148" i="3"/>
  <c r="P144" i="3"/>
  <c r="P241" i="3"/>
  <c r="P397" i="3"/>
  <c r="P320" i="3"/>
  <c r="P324" i="3"/>
  <c r="P328" i="3"/>
  <c r="P336" i="3"/>
  <c r="P348" i="3"/>
  <c r="P352" i="3"/>
  <c r="P427" i="3"/>
  <c r="P450" i="3"/>
  <c r="P499" i="3"/>
  <c r="P500" i="3"/>
  <c r="P470" i="3"/>
  <c r="P520" i="3"/>
  <c r="P482" i="3"/>
  <c r="P526" i="3"/>
  <c r="P719" i="3"/>
  <c r="P716" i="3"/>
  <c r="P833" i="3"/>
  <c r="P831" i="3"/>
  <c r="P802" i="3"/>
  <c r="P762" i="3"/>
  <c r="P621" i="3"/>
  <c r="P637" i="3"/>
  <c r="P673" i="3"/>
  <c r="P689" i="3"/>
  <c r="P549" i="3"/>
  <c r="P601" i="3"/>
  <c r="P885" i="3"/>
  <c r="P951" i="3"/>
  <c r="P868" i="3"/>
  <c r="P1378" i="3"/>
  <c r="P989" i="3"/>
  <c r="P1008" i="3"/>
  <c r="P973" i="3"/>
  <c r="P1117" i="3"/>
  <c r="P1140" i="3"/>
  <c r="P1307" i="3"/>
  <c r="P51" i="3"/>
  <c r="P54" i="3"/>
  <c r="P35" i="3"/>
  <c r="P31" i="3"/>
  <c r="P59" i="3"/>
  <c r="P155" i="3"/>
  <c r="P128" i="3"/>
  <c r="P276" i="3"/>
  <c r="P277" i="3"/>
  <c r="Q234" i="3"/>
  <c r="R237" i="3"/>
  <c r="P234" i="3"/>
  <c r="P238" i="3"/>
  <c r="P293" i="3"/>
  <c r="R378" i="3"/>
  <c r="P379" i="3"/>
  <c r="P309" i="3"/>
  <c r="P345" i="3"/>
  <c r="P541" i="3"/>
  <c r="P523" i="3"/>
  <c r="P720" i="3"/>
  <c r="P736" i="3"/>
  <c r="P791" i="3"/>
  <c r="P834" i="3"/>
  <c r="P797" i="3"/>
  <c r="P829" i="3"/>
  <c r="P770" i="3"/>
  <c r="P774" i="3"/>
  <c r="P627" i="3"/>
  <c r="P658" i="3"/>
  <c r="P678" i="3"/>
  <c r="P707" i="3"/>
  <c r="P711" i="3"/>
  <c r="P554" i="3"/>
  <c r="P544" i="3"/>
  <c r="P590" i="3"/>
  <c r="P594" i="3"/>
  <c r="P916" i="3"/>
  <c r="P853" i="3"/>
  <c r="P880" i="3"/>
  <c r="P1383" i="3"/>
  <c r="P1370" i="3"/>
  <c r="P1068" i="3"/>
  <c r="P1098" i="3"/>
  <c r="P1040" i="3"/>
  <c r="P1032" i="3"/>
  <c r="P1016" i="3"/>
  <c r="P1052" i="3"/>
  <c r="P1044" i="3"/>
  <c r="P1139" i="3"/>
  <c r="P1244" i="3"/>
  <c r="P1248" i="3"/>
  <c r="P1252" i="3"/>
  <c r="P1230" i="3"/>
  <c r="P1300" i="3"/>
  <c r="P1340" i="3"/>
  <c r="P55" i="3"/>
  <c r="P40" i="3"/>
  <c r="P44" i="3"/>
  <c r="P7" i="3"/>
  <c r="P67" i="3"/>
  <c r="P184" i="3"/>
  <c r="P201" i="3"/>
  <c r="P171" i="3"/>
  <c r="P98" i="3"/>
  <c r="P278" i="3"/>
  <c r="P235" i="3"/>
  <c r="P314" i="3"/>
  <c r="P322" i="3"/>
  <c r="R444" i="3"/>
  <c r="P448" i="3"/>
  <c r="P497" i="3"/>
  <c r="P502" i="3"/>
  <c r="P539" i="3"/>
  <c r="P518" i="3"/>
  <c r="P788" i="3"/>
  <c r="P843" i="3"/>
  <c r="P798" i="3"/>
  <c r="P783" i="3"/>
  <c r="P667" i="3"/>
  <c r="P675" i="3"/>
  <c r="P578" i="3"/>
  <c r="P562" i="3"/>
  <c r="P603" i="3"/>
  <c r="P607" i="3"/>
  <c r="P611" i="3"/>
  <c r="P937" i="3"/>
  <c r="P865" i="3"/>
  <c r="P858" i="3"/>
  <c r="P971" i="3"/>
  <c r="P1065" i="3"/>
  <c r="P1073" i="3"/>
  <c r="P1083" i="3"/>
  <c r="P1095" i="3"/>
  <c r="P1049" i="3"/>
  <c r="P1160" i="3"/>
  <c r="P1245" i="3"/>
  <c r="P1257" i="3"/>
  <c r="P1321" i="3"/>
  <c r="P1319" i="3"/>
  <c r="P1360" i="3"/>
  <c r="R279" i="3"/>
  <c r="P261" i="3"/>
  <c r="P360" i="3"/>
  <c r="P391" i="3"/>
  <c r="P343" i="3"/>
  <c r="P506" i="3"/>
  <c r="P469" i="3"/>
  <c r="P546" i="3"/>
  <c r="P592" i="3"/>
  <c r="P942" i="3"/>
  <c r="P946" i="3"/>
  <c r="P859" i="3"/>
  <c r="P1381" i="3"/>
  <c r="P985" i="3"/>
  <c r="P988" i="3"/>
  <c r="P1112" i="3"/>
  <c r="R88" i="3"/>
  <c r="P215" i="3"/>
  <c r="P177" i="3"/>
  <c r="R143" i="3"/>
  <c r="P1377" i="3"/>
  <c r="P1038" i="3"/>
  <c r="P1015" i="3"/>
  <c r="P1162" i="3"/>
  <c r="P1204" i="3"/>
  <c r="P1251" i="3"/>
  <c r="P1217" i="3"/>
  <c r="P1295" i="3"/>
  <c r="P1344" i="3"/>
  <c r="P1317" i="3"/>
  <c r="P1313" i="3"/>
  <c r="P70" i="3"/>
  <c r="P43" i="3"/>
  <c r="P10" i="3"/>
  <c r="P14" i="3"/>
  <c r="P34" i="3"/>
  <c r="P62" i="3"/>
  <c r="P174" i="3"/>
  <c r="P160" i="3"/>
  <c r="P200" i="3"/>
  <c r="P206" i="3"/>
  <c r="P192" i="3"/>
  <c r="P196" i="3"/>
  <c r="P139" i="3"/>
  <c r="P145" i="3"/>
  <c r="P133" i="3"/>
  <c r="P113" i="3"/>
  <c r="P121" i="3"/>
  <c r="P232" i="3"/>
  <c r="P272" i="3"/>
  <c r="P259" i="3"/>
  <c r="P243" i="3"/>
  <c r="P392" i="3"/>
  <c r="P401" i="3"/>
  <c r="P390" i="3"/>
  <c r="P374" i="3"/>
  <c r="P325" i="3"/>
  <c r="P428" i="3"/>
  <c r="P535" i="3"/>
  <c r="P501" i="3"/>
  <c r="P443" i="3"/>
  <c r="P495" i="3"/>
  <c r="P728" i="3"/>
  <c r="P842" i="3"/>
  <c r="P804" i="3"/>
  <c r="P799" i="3"/>
  <c r="P743" i="3"/>
  <c r="P845" i="3"/>
  <c r="P782" i="3"/>
  <c r="P646" i="3"/>
  <c r="P650" i="3"/>
  <c r="P666" i="3"/>
  <c r="P674" i="3"/>
  <c r="P695" i="3"/>
  <c r="P577" i="3"/>
  <c r="P557" i="3"/>
  <c r="P561" i="3"/>
  <c r="P889" i="3"/>
  <c r="P932" i="3"/>
  <c r="P920" i="3"/>
  <c r="P940" i="3"/>
  <c r="P861" i="3"/>
  <c r="P877" i="3"/>
  <c r="P994" i="3"/>
  <c r="P1009" i="3"/>
  <c r="P1094" i="3"/>
  <c r="P1118" i="3"/>
  <c r="P1126" i="3"/>
  <c r="P1130" i="3"/>
  <c r="P1134" i="3"/>
  <c r="P1201" i="3"/>
  <c r="P1166" i="3"/>
  <c r="P1182" i="3"/>
  <c r="P1170" i="3"/>
  <c r="P1186" i="3"/>
  <c r="P1190" i="3"/>
  <c r="P1194" i="3"/>
  <c r="P1213" i="3"/>
  <c r="P1205" i="3"/>
  <c r="P1304" i="3"/>
  <c r="P71" i="3"/>
  <c r="P75" i="3"/>
  <c r="P88" i="3"/>
  <c r="P36" i="3"/>
  <c r="P48" i="3"/>
  <c r="P15" i="3"/>
  <c r="P81" i="3"/>
  <c r="P63" i="3"/>
  <c r="P216" i="3"/>
  <c r="P180" i="3"/>
  <c r="P188" i="3"/>
  <c r="P156" i="3"/>
  <c r="P161" i="3"/>
  <c r="P193" i="3"/>
  <c r="P197" i="3"/>
  <c r="P142" i="3"/>
  <c r="P132" i="3"/>
  <c r="P114" i="3"/>
  <c r="P103" i="3"/>
  <c r="P226" i="3"/>
  <c r="P251" i="3"/>
  <c r="P248" i="3"/>
  <c r="P286" i="3"/>
  <c r="P387" i="3"/>
  <c r="P384" i="3"/>
  <c r="P362" i="3"/>
  <c r="P402" i="3"/>
  <c r="P364" i="3"/>
  <c r="P371" i="3"/>
  <c r="P375" i="3"/>
  <c r="P330" i="3"/>
  <c r="P354" i="3"/>
  <c r="P420" i="3"/>
  <c r="P429" i="3"/>
  <c r="P507" i="3"/>
  <c r="P440" i="3"/>
  <c r="P528" i="3"/>
  <c r="P445" i="3"/>
  <c r="P433" i="3"/>
  <c r="P721" i="3"/>
  <c r="P725" i="3"/>
  <c r="P737" i="3"/>
  <c r="P825" i="3"/>
  <c r="P792" i="3"/>
  <c r="P800" i="3"/>
  <c r="P744" i="3"/>
  <c r="P771" i="3"/>
  <c r="P615" i="3"/>
  <c r="P628" i="3"/>
  <c r="P643" i="3"/>
  <c r="P647" i="3"/>
  <c r="P659" i="3"/>
  <c r="P671" i="3"/>
  <c r="P679" i="3"/>
  <c r="P687" i="3"/>
  <c r="P691" i="3"/>
  <c r="P696" i="3"/>
  <c r="P700" i="3"/>
  <c r="P708" i="3"/>
  <c r="P692" i="3"/>
  <c r="P551" i="3"/>
  <c r="P587" i="3"/>
  <c r="P567" i="3"/>
  <c r="P904" i="3"/>
  <c r="P892" i="3"/>
  <c r="P874" i="3"/>
  <c r="P908" i="3"/>
  <c r="P1367" i="3"/>
  <c r="P1006" i="3"/>
  <c r="P975" i="3"/>
  <c r="P1103" i="3"/>
  <c r="P1111" i="3"/>
  <c r="P1123" i="3"/>
  <c r="P1135" i="3"/>
  <c r="P1033" i="3"/>
  <c r="P1036" i="3"/>
  <c r="P1017" i="3"/>
  <c r="P1045" i="3"/>
  <c r="P1055" i="3"/>
  <c r="P1143" i="3"/>
  <c r="P1147" i="3"/>
  <c r="P1156" i="3"/>
  <c r="P1200" i="3"/>
  <c r="P1167" i="3"/>
  <c r="P1183" i="3"/>
  <c r="P1209" i="3"/>
  <c r="P1224" i="3"/>
  <c r="P1278" i="3"/>
  <c r="P1342" i="3"/>
  <c r="P214" i="3"/>
  <c r="P21" i="3"/>
  <c r="P159" i="3"/>
  <c r="P485" i="3"/>
  <c r="P836" i="3"/>
  <c r="P672" i="3"/>
  <c r="P684" i="3"/>
  <c r="P1100" i="3"/>
  <c r="P1132" i="3"/>
  <c r="P1136" i="3"/>
  <c r="P1012" i="3"/>
  <c r="P1056" i="3"/>
  <c r="P1153" i="3"/>
  <c r="P1164" i="3"/>
  <c r="P1196" i="3"/>
  <c r="P1203" i="3"/>
  <c r="P1207" i="3"/>
  <c r="P1242" i="3"/>
  <c r="P1246" i="3"/>
  <c r="P1250" i="3"/>
  <c r="P1254" i="3"/>
  <c r="P1223" i="3"/>
  <c r="P1218" i="3"/>
  <c r="P1270" i="3"/>
  <c r="P1276" i="3"/>
  <c r="P1294" i="3"/>
  <c r="P1282" i="3"/>
  <c r="P1343" i="3"/>
  <c r="P1351" i="3"/>
  <c r="P1322" i="3"/>
  <c r="P77" i="3"/>
  <c r="P53" i="3"/>
  <c r="M13" i="36"/>
  <c r="D39" i="36"/>
  <c r="P203" i="3"/>
  <c r="P137" i="3"/>
  <c r="P120" i="3"/>
  <c r="P102" i="3"/>
  <c r="P275" i="3"/>
  <c r="P245" i="3"/>
  <c r="P385" i="3"/>
  <c r="P367" i="3"/>
  <c r="P359" i="3"/>
  <c r="P488" i="3"/>
  <c r="P517" i="3"/>
  <c r="P509" i="3"/>
  <c r="P513" i="3"/>
  <c r="P460" i="3"/>
  <c r="P442" i="3"/>
  <c r="P439" i="3"/>
  <c r="P723" i="3"/>
  <c r="P731" i="3"/>
  <c r="P810" i="3"/>
  <c r="P815" i="3"/>
  <c r="P790" i="3"/>
  <c r="P828" i="3"/>
  <c r="P742" i="3"/>
  <c r="P750" i="3"/>
  <c r="P758" i="3"/>
  <c r="P613" i="3"/>
  <c r="P630" i="3"/>
  <c r="P633" i="3"/>
  <c r="P661" i="3"/>
  <c r="P702" i="3"/>
  <c r="P576" i="3"/>
  <c r="P547" i="3"/>
  <c r="P599" i="3"/>
  <c r="P888" i="3"/>
  <c r="P923" i="3"/>
  <c r="P939" i="3"/>
  <c r="P955" i="3"/>
  <c r="P860" i="3"/>
  <c r="P872" i="3"/>
  <c r="P876" i="3"/>
  <c r="P879" i="3"/>
  <c r="P1382" i="3"/>
  <c r="P969" i="3"/>
  <c r="P1076" i="3"/>
  <c r="P1081" i="3"/>
  <c r="P1097" i="3"/>
  <c r="P1105" i="3"/>
  <c r="P1093" i="3"/>
  <c r="P1109" i="3"/>
  <c r="P1113" i="3"/>
  <c r="P1121" i="3"/>
  <c r="P1125" i="3"/>
  <c r="P1133" i="3"/>
  <c r="P1021" i="3"/>
  <c r="P1060" i="3"/>
  <c r="P1149" i="3"/>
  <c r="P1169" i="3"/>
  <c r="P1173" i="3"/>
  <c r="P1177" i="3"/>
  <c r="P1189" i="3"/>
  <c r="P1212" i="3"/>
  <c r="P1239" i="3"/>
  <c r="P1243" i="3"/>
  <c r="P1336" i="3"/>
  <c r="P1338" i="3"/>
  <c r="P1348" i="3"/>
  <c r="P1362" i="3"/>
  <c r="P47" i="3"/>
  <c r="P6" i="3"/>
  <c r="P124" i="3"/>
  <c r="P134" i="3"/>
  <c r="R255" i="3"/>
  <c r="P280" i="3"/>
  <c r="Q291" i="3"/>
  <c r="R298" i="3"/>
  <c r="P406" i="3"/>
  <c r="P383" i="3"/>
  <c r="R352" i="3"/>
  <c r="P337" i="3"/>
  <c r="P732" i="3"/>
  <c r="P816" i="3"/>
  <c r="P803" i="3"/>
  <c r="P763" i="3"/>
  <c r="P638" i="3"/>
  <c r="P869" i="3"/>
  <c r="P906" i="3"/>
  <c r="P990" i="3"/>
  <c r="P970" i="3"/>
  <c r="P1002" i="3"/>
  <c r="P1102" i="3"/>
  <c r="P1219" i="3"/>
  <c r="P1267" i="3"/>
  <c r="P1318" i="3"/>
  <c r="P19" i="3"/>
  <c r="P212" i="3"/>
  <c r="R165" i="3"/>
  <c r="P146" i="3"/>
  <c r="P106" i="3"/>
  <c r="P110" i="3"/>
  <c r="P263" i="3"/>
  <c r="P294" i="3"/>
  <c r="P398" i="3"/>
  <c r="P380" i="3"/>
  <c r="R316" i="3"/>
  <c r="P538" i="3"/>
  <c r="P458" i="3"/>
  <c r="R460" i="3"/>
  <c r="P714" i="3"/>
  <c r="P760" i="3"/>
  <c r="P624" i="3"/>
  <c r="P704" i="3"/>
  <c r="P583" i="3"/>
  <c r="P591" i="3"/>
  <c r="P575" i="3"/>
  <c r="P898" i="3"/>
  <c r="P953" i="3"/>
  <c r="P1380" i="3"/>
  <c r="P1384" i="3"/>
  <c r="P984" i="3"/>
  <c r="P1004" i="3"/>
  <c r="P1069" i="3"/>
  <c r="P1087" i="3"/>
  <c r="P1029" i="3"/>
  <c r="P1057" i="3"/>
  <c r="P1241" i="3"/>
  <c r="P1288" i="3"/>
  <c r="P1341" i="3"/>
  <c r="P1312" i="3"/>
  <c r="P86" i="3"/>
  <c r="P87" i="3"/>
  <c r="P220" i="3"/>
  <c r="P217" i="3"/>
  <c r="P131" i="3"/>
  <c r="P190" i="3"/>
  <c r="P107" i="3"/>
  <c r="P95" i="3"/>
  <c r="P230" i="3"/>
  <c r="P266" i="3"/>
  <c r="P256" i="3"/>
  <c r="P236" i="3"/>
  <c r="R419" i="3"/>
  <c r="P381" i="3"/>
  <c r="P335" i="3"/>
  <c r="P347" i="3"/>
  <c r="P449" i="3"/>
  <c r="P503" i="3"/>
  <c r="P455" i="3"/>
  <c r="P441" i="3"/>
  <c r="P438" i="3"/>
  <c r="P730" i="3"/>
  <c r="P715" i="3"/>
  <c r="P839" i="3"/>
  <c r="P753" i="3"/>
  <c r="P623" i="3"/>
  <c r="P660" i="3"/>
  <c r="P676" i="3"/>
  <c r="P572" i="3"/>
  <c r="P608" i="3"/>
  <c r="P926" i="3"/>
  <c r="P938" i="3"/>
  <c r="P851" i="3"/>
  <c r="P1372" i="3"/>
  <c r="P1007" i="3"/>
  <c r="P996" i="3"/>
  <c r="P1075" i="3"/>
  <c r="P1030" i="3"/>
  <c r="P1221" i="3"/>
  <c r="P1229" i="3"/>
  <c r="P1225" i="3"/>
  <c r="P1361" i="3"/>
  <c r="P73" i="3"/>
  <c r="P182" i="3"/>
  <c r="P116" i="3"/>
  <c r="P96" i="3"/>
  <c r="P267" i="3"/>
  <c r="P257" i="3"/>
  <c r="P262" i="3"/>
  <c r="P296" i="3"/>
  <c r="P456" i="3"/>
  <c r="P540" i="3"/>
  <c r="P435" i="3"/>
  <c r="P739" i="3"/>
  <c r="P777" i="3"/>
  <c r="P781" i="3"/>
  <c r="P617" i="3"/>
  <c r="P626" i="3"/>
  <c r="P641" i="3"/>
  <c r="P649" i="3"/>
  <c r="P710" i="3"/>
  <c r="P589" i="3"/>
  <c r="P593" i="3"/>
  <c r="P915" i="3"/>
  <c r="P931" i="3"/>
  <c r="P911" i="3"/>
  <c r="P919" i="3"/>
  <c r="P943" i="3"/>
  <c r="P959" i="3"/>
  <c r="P1369" i="3"/>
  <c r="P1031" i="3"/>
  <c r="P1051" i="3"/>
  <c r="P1299" i="3"/>
  <c r="R226" i="3"/>
  <c r="R289" i="3"/>
  <c r="R387" i="3"/>
  <c r="P463" i="3"/>
  <c r="P510" i="3"/>
  <c r="P686" i="3"/>
  <c r="P884" i="3"/>
  <c r="P855" i="3"/>
  <c r="P983" i="3"/>
  <c r="F39" i="36"/>
  <c r="M14" i="36"/>
  <c r="P1110" i="3"/>
  <c r="P1349" i="3"/>
  <c r="R173" i="3"/>
  <c r="P153" i="3"/>
  <c r="P334" i="3"/>
  <c r="R423" i="3"/>
  <c r="P542" i="3"/>
  <c r="P733" i="3"/>
  <c r="P784" i="3"/>
  <c r="P835" i="3"/>
  <c r="P794" i="3"/>
  <c r="P779" i="3"/>
  <c r="P1263" i="3"/>
  <c r="M16" i="36" l="1"/>
  <c r="M19" i="36" s="1"/>
  <c r="M71" i="36"/>
  <c r="M72" i="36" s="1"/>
  <c r="M83" i="36" l="1"/>
  <c r="M75" i="36"/>
  <c r="M76" i="36"/>
  <c r="M81" i="36"/>
  <c r="M77" i="36"/>
  <c r="M82" i="36"/>
  <c r="M84" i="36" l="1"/>
  <c r="N78" i="36"/>
  <c r="N84" i="36"/>
  <c r="M78" i="36"/>
  <c r="F1404" i="3" l="1"/>
  <c r="F1382" i="3"/>
  <c r="BA1382" i="3" s="1"/>
  <c r="F1377" i="3"/>
  <c r="BA1377" i="3" s="1"/>
  <c r="F1371" i="3"/>
  <c r="BA1371" i="3" s="1"/>
  <c r="F1342" i="3"/>
  <c r="BA1342" i="3" s="1"/>
  <c r="F1321" i="3"/>
  <c r="BA1321" i="3" s="1"/>
  <c r="F1316" i="3"/>
  <c r="BA1316" i="3" s="1"/>
  <c r="F1293" i="3"/>
  <c r="BA1293" i="3" s="1"/>
  <c r="F1292" i="3"/>
  <c r="BA1292" i="3" s="1"/>
  <c r="F1283" i="3"/>
  <c r="BA1283" i="3" s="1"/>
  <c r="F1280" i="3"/>
  <c r="BA1280" i="3" s="1"/>
  <c r="F1233" i="3"/>
  <c r="BA1233" i="3" s="1"/>
  <c r="F1155" i="3"/>
  <c r="BA1155" i="3" s="1"/>
  <c r="F1028" i="3"/>
  <c r="BA1028" i="3" s="1"/>
  <c r="F980" i="3"/>
  <c r="BA980" i="3" s="1"/>
  <c r="F868" i="3"/>
  <c r="BA868" i="3" s="1"/>
  <c r="F866" i="3"/>
  <c r="BA866" i="3" s="1"/>
  <c r="F864" i="3"/>
  <c r="BA864" i="3" s="1"/>
  <c r="F758" i="3"/>
  <c r="BA758" i="3" s="1"/>
  <c r="F730" i="3"/>
  <c r="BA730" i="3" s="1"/>
  <c r="F561" i="3"/>
  <c r="BA561" i="3" s="1"/>
  <c r="F448" i="3"/>
  <c r="BA448" i="3" s="1"/>
  <c r="F444" i="3"/>
  <c r="BA444" i="3" s="1"/>
  <c r="F437" i="3"/>
  <c r="BA437" i="3" s="1"/>
  <c r="F436" i="3"/>
  <c r="BA436" i="3" s="1"/>
  <c r="F435" i="3"/>
  <c r="BA435" i="3" s="1"/>
  <c r="F434" i="3"/>
  <c r="BA434" i="3" s="1"/>
  <c r="F433" i="3"/>
  <c r="BA433" i="3" s="1"/>
  <c r="F297" i="3"/>
  <c r="BA297" i="3" s="1"/>
  <c r="F294" i="3"/>
  <c r="BA294" i="3" s="1"/>
  <c r="F292" i="3"/>
  <c r="BA292" i="3" s="1"/>
  <c r="F289" i="3"/>
  <c r="BA289" i="3" s="1"/>
  <c r="F287" i="3"/>
  <c r="BA287" i="3" s="1"/>
  <c r="F285" i="3"/>
  <c r="BA285" i="3" s="1"/>
  <c r="F233" i="3"/>
  <c r="BA233" i="3" s="1"/>
  <c r="F229" i="3"/>
  <c r="BA229" i="3" s="1"/>
  <c r="F227" i="3"/>
  <c r="BA227" i="3" s="1"/>
  <c r="F225" i="3"/>
  <c r="BA225" i="3" s="1"/>
  <c r="F208" i="3"/>
  <c r="BA208" i="3" s="1"/>
  <c r="F122" i="3"/>
  <c r="BA122" i="3" s="1"/>
  <c r="F91" i="3"/>
  <c r="BA91" i="3" s="1"/>
  <c r="BA1404" i="3" l="1"/>
  <c r="G9" i="36"/>
  <c r="CA17" i="38" s="1"/>
  <c r="CB17" i="38" s="1"/>
  <c r="CC17"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Siphamandla Sithole</author>
  </authors>
  <commentList>
    <comment ref="K4" authorId="0" shapeId="0" xr:uid="{00000000-0006-0000-0000-000001000000}">
      <text>
        <r>
          <rPr>
            <b/>
            <sz val="9"/>
            <color indexed="81"/>
            <rFont val="Tahoma"/>
            <family val="2"/>
          </rPr>
          <t>=Manager limit * 1,03</t>
        </r>
      </text>
    </comment>
    <comment ref="L4" authorId="0" shapeId="0" xr:uid="{00000000-0006-0000-0000-000002000000}">
      <text>
        <r>
          <rPr>
            <b/>
            <sz val="9"/>
            <color indexed="81"/>
            <rFont val="Tahoma"/>
            <family val="2"/>
          </rPr>
          <t>will be entered manually by Eren</t>
        </r>
      </text>
    </comment>
    <comment ref="N4" authorId="0" shapeId="0" xr:uid="{00000000-0006-0000-0000-000003000000}">
      <text>
        <r>
          <rPr>
            <b/>
            <sz val="9"/>
            <color indexed="81"/>
            <rFont val="Tahoma"/>
            <family val="2"/>
          </rPr>
          <t>=Manager limit * 1,03</t>
        </r>
      </text>
    </comment>
    <comment ref="O4" authorId="0" shapeId="0" xr:uid="{00000000-0006-0000-0000-000004000000}">
      <text>
        <r>
          <rPr>
            <b/>
            <sz val="9"/>
            <color indexed="81"/>
            <rFont val="Tahoma"/>
            <family val="2"/>
          </rPr>
          <t>will be entered manually by Eren</t>
        </r>
      </text>
    </comment>
    <comment ref="S5" authorId="0" shapeId="0" xr:uid="{00000000-0006-0000-0000-000005000000}">
      <text>
        <r>
          <rPr>
            <b/>
            <sz val="9"/>
            <color indexed="81"/>
            <rFont val="Tahoma"/>
            <family val="2"/>
          </rPr>
          <t>Siphamandla Sithole:</t>
        </r>
        <r>
          <rPr>
            <sz val="9"/>
            <color indexed="81"/>
            <rFont val="Tahoma"/>
            <family val="2"/>
          </rPr>
          <t xml:space="preserve">
these data come from margin stats</t>
        </r>
      </text>
    </comment>
  </commentList>
</comments>
</file>

<file path=xl/sharedStrings.xml><?xml version="1.0" encoding="utf-8"?>
<sst xmlns="http://schemas.openxmlformats.org/spreadsheetml/2006/main" count="2623" uniqueCount="1306">
  <si>
    <t>Chassis Number</t>
  </si>
  <si>
    <t>MODEL</t>
  </si>
  <si>
    <t>Retail Price</t>
  </si>
  <si>
    <t>Salesman Limit</t>
  </si>
  <si>
    <t>Manager Limit</t>
  </si>
  <si>
    <t>OBR</t>
  </si>
  <si>
    <t>CM2</t>
  </si>
  <si>
    <t>CLA-15-2204X2BB-C</t>
  </si>
  <si>
    <t>2016</t>
  </si>
  <si>
    <t>max</t>
  </si>
  <si>
    <t>min</t>
  </si>
  <si>
    <t>ave</t>
  </si>
  <si>
    <t>2017</t>
  </si>
  <si>
    <t>count</t>
  </si>
  <si>
    <t>ave. cost</t>
  </si>
  <si>
    <t>Deal Calculation Sheet</t>
  </si>
  <si>
    <t>SALESMAN BASIC COMMISSION - INDICATIVE</t>
  </si>
  <si>
    <t>Model</t>
  </si>
  <si>
    <t>TOTAL COMMISSION</t>
  </si>
  <si>
    <t>Discount</t>
  </si>
  <si>
    <t>SALES MANAGER BASIC COMMISSION - INDICATIVE</t>
  </si>
  <si>
    <t>Buy back / Trade back Subsidy</t>
  </si>
  <si>
    <t>R&amp;M Subsidy</t>
  </si>
  <si>
    <t>Net Price</t>
  </si>
  <si>
    <t>Cost of Extras</t>
  </si>
  <si>
    <t>OFFER TO PURCHASE</t>
  </si>
  <si>
    <t>I/WE</t>
  </si>
  <si>
    <t>MAKE</t>
  </si>
  <si>
    <t>YEAR</t>
  </si>
  <si>
    <t>DATE</t>
  </si>
  <si>
    <t>NAME</t>
  </si>
  <si>
    <t>SIGNATURE</t>
  </si>
  <si>
    <t>COMFORT SERVICE</t>
  </si>
  <si>
    <t>Cost</t>
  </si>
  <si>
    <t>Customer Price</t>
  </si>
  <si>
    <t>Term (months)</t>
  </si>
  <si>
    <t>Total Retail Price</t>
  </si>
  <si>
    <t>Total Salesman Limit</t>
  </si>
  <si>
    <t>Selling Price</t>
  </si>
  <si>
    <t>Driveline</t>
  </si>
  <si>
    <t>Entire Vehicle</t>
  </si>
  <si>
    <t>Service Care Subsidy</t>
  </si>
  <si>
    <t>Mileage (total)</t>
  </si>
  <si>
    <t>Trade In (Total)</t>
  </si>
  <si>
    <t>KP Numbers from PTN OB</t>
  </si>
  <si>
    <t>Type</t>
  </si>
  <si>
    <t>Period</t>
  </si>
  <si>
    <t>Rate of Exchange</t>
  </si>
  <si>
    <t>R&amp;M Packages</t>
  </si>
  <si>
    <t>Extended Warranty</t>
  </si>
  <si>
    <t>Alpine</t>
  </si>
  <si>
    <t>No</t>
  </si>
  <si>
    <t>Yes</t>
  </si>
  <si>
    <t>Tulisa Park</t>
  </si>
  <si>
    <t>COMFORT CARE</t>
  </si>
  <si>
    <t>Hatfield</t>
  </si>
  <si>
    <t>None</t>
  </si>
  <si>
    <t>Combination</t>
  </si>
  <si>
    <t>Middleburg</t>
  </si>
  <si>
    <t>Factors</t>
  </si>
  <si>
    <t>Hubner Truck &amp; Bus</t>
  </si>
  <si>
    <t>EV</t>
  </si>
  <si>
    <t>DL</t>
  </si>
  <si>
    <t>Combo</t>
  </si>
  <si>
    <t>United Truck Centre</t>
  </si>
  <si>
    <t>Port Elizabeth</t>
  </si>
  <si>
    <t>Extended Scope_Driveline</t>
  </si>
  <si>
    <t>Trade/ Buy Back</t>
  </si>
  <si>
    <t>Terms</t>
  </si>
  <si>
    <t>Mileage</t>
  </si>
  <si>
    <t>Mileages</t>
  </si>
  <si>
    <t>Agreement Type</t>
  </si>
  <si>
    <t>36 MONTHS</t>
  </si>
  <si>
    <t>10 000 KM</t>
  </si>
  <si>
    <t>Trade-Back</t>
  </si>
  <si>
    <t>42 MONTHS</t>
  </si>
  <si>
    <t>20 000 KM</t>
  </si>
  <si>
    <t>48 MONTHS</t>
  </si>
  <si>
    <t>30 000 KM</t>
  </si>
  <si>
    <t>54 MONTHS</t>
  </si>
  <si>
    <t>40 000 KM</t>
  </si>
  <si>
    <t>60 MONTHS</t>
  </si>
  <si>
    <t>50 000 KM</t>
  </si>
  <si>
    <t>60 000 KM</t>
  </si>
  <si>
    <t>70 000 KM</t>
  </si>
  <si>
    <t>80 000 KM</t>
  </si>
  <si>
    <t>90 000 KM</t>
  </si>
  <si>
    <t>100 000 KM</t>
  </si>
  <si>
    <t>110 000 KM</t>
  </si>
  <si>
    <t>120 000 KM</t>
  </si>
  <si>
    <t>130 000 KM</t>
  </si>
  <si>
    <t>140 000 KM</t>
  </si>
  <si>
    <t>150 000 KM</t>
  </si>
  <si>
    <t>160 000 KM</t>
  </si>
  <si>
    <t>170 000 KM</t>
  </si>
  <si>
    <t>180 000 KM</t>
  </si>
  <si>
    <t>This is just an indicative commission calculation. Real commission is calculated considering other parameters at the end of each month.</t>
  </si>
  <si>
    <t>190 000 KM</t>
  </si>
  <si>
    <t>200 000 KM</t>
  </si>
  <si>
    <t>210 000 KM</t>
  </si>
  <si>
    <t>220 000 KM</t>
  </si>
  <si>
    <t>Agreement Type:</t>
  </si>
  <si>
    <t>230 000 KM</t>
  </si>
  <si>
    <t>240 000 KM</t>
  </si>
  <si>
    <t>250 000 KM</t>
  </si>
  <si>
    <t>260 000 KM</t>
  </si>
  <si>
    <t>270 000 KM</t>
  </si>
  <si>
    <t>280 000 KM</t>
  </si>
  <si>
    <t>300 000 KM</t>
  </si>
  <si>
    <t>Extended Package</t>
  </si>
  <si>
    <t>450 000 KM</t>
  </si>
  <si>
    <t>Y</t>
  </si>
  <si>
    <t>360 000 KM</t>
  </si>
  <si>
    <t>24 MONTHS</t>
  </si>
  <si>
    <t>600 000 KM</t>
  </si>
  <si>
    <t>Order Date</t>
  </si>
  <si>
    <t>Unique Code</t>
  </si>
  <si>
    <t>CHASSIS NO.</t>
  </si>
  <si>
    <t>Customer</t>
  </si>
  <si>
    <t>DESIGNATION</t>
  </si>
  <si>
    <t>Code</t>
  </si>
  <si>
    <t>Manager</t>
  </si>
  <si>
    <t>Sales Manager</t>
  </si>
  <si>
    <t>NH</t>
  </si>
  <si>
    <t>Sales Reps - New</t>
  </si>
  <si>
    <t>RBB</t>
  </si>
  <si>
    <t>SR</t>
  </si>
  <si>
    <t>CS</t>
  </si>
  <si>
    <t>JL</t>
  </si>
  <si>
    <t>Sales Reps - New - TBG</t>
  </si>
  <si>
    <t>WS</t>
  </si>
  <si>
    <t>CJS</t>
  </si>
  <si>
    <t>CVNC</t>
  </si>
  <si>
    <t>Dealer Principal</t>
  </si>
  <si>
    <t>HDP</t>
  </si>
  <si>
    <t>IDO</t>
  </si>
  <si>
    <t>BTH</t>
  </si>
  <si>
    <t>Sales Reps - New - KBY</t>
  </si>
  <si>
    <t>JE</t>
  </si>
  <si>
    <t>Sales Reps - New - UPN</t>
  </si>
  <si>
    <t>JME</t>
  </si>
  <si>
    <t>WC</t>
  </si>
  <si>
    <t>Sales Reps - New - EL</t>
  </si>
  <si>
    <t>DB</t>
  </si>
  <si>
    <t>Director</t>
  </si>
  <si>
    <t>BD</t>
  </si>
  <si>
    <t>JLA</t>
  </si>
  <si>
    <t>Sales Rep - New</t>
  </si>
  <si>
    <t>MF</t>
  </si>
  <si>
    <t>DN</t>
  </si>
  <si>
    <t>RM</t>
  </si>
  <si>
    <t>LS</t>
  </si>
  <si>
    <t>HW</t>
  </si>
  <si>
    <t>JH</t>
  </si>
  <si>
    <t>SM</t>
  </si>
  <si>
    <t>AP</t>
  </si>
  <si>
    <t>AA</t>
  </si>
  <si>
    <t>CVE</t>
  </si>
  <si>
    <t>JMK</t>
  </si>
  <si>
    <t>QG</t>
  </si>
  <si>
    <t>FH</t>
  </si>
  <si>
    <t>AF</t>
  </si>
  <si>
    <t>TH</t>
  </si>
  <si>
    <t>QT</t>
  </si>
  <si>
    <t>QGN</t>
  </si>
  <si>
    <t>QTN</t>
  </si>
  <si>
    <t>MJ</t>
  </si>
  <si>
    <t>CMH</t>
  </si>
  <si>
    <t>MK</t>
  </si>
  <si>
    <t>HVH</t>
  </si>
  <si>
    <t>Fleet Sales Manager</t>
  </si>
  <si>
    <t>HD</t>
  </si>
  <si>
    <t>Sales Reps - New (VRG)</t>
  </si>
  <si>
    <t>KB</t>
  </si>
  <si>
    <t>AHO</t>
  </si>
  <si>
    <t>PB</t>
  </si>
  <si>
    <t>CB</t>
  </si>
  <si>
    <t>LR</t>
  </si>
  <si>
    <t>Sales Reps - New (MMT)</t>
  </si>
  <si>
    <t>PF</t>
  </si>
  <si>
    <t>Sales Reps - New (PRO)</t>
  </si>
  <si>
    <t>GC</t>
  </si>
  <si>
    <t>PHE</t>
  </si>
  <si>
    <t>AVDH</t>
  </si>
  <si>
    <t>CVH</t>
  </si>
  <si>
    <t>FEM</t>
  </si>
  <si>
    <t>KW</t>
  </si>
  <si>
    <t>DV</t>
  </si>
  <si>
    <t>JS</t>
  </si>
  <si>
    <t>RB</t>
  </si>
  <si>
    <t>JMUT</t>
  </si>
  <si>
    <t>DM</t>
  </si>
  <si>
    <t>DVT</t>
  </si>
  <si>
    <t>RBT</t>
  </si>
  <si>
    <t>HBT</t>
  </si>
  <si>
    <t>DEPT</t>
  </si>
  <si>
    <t>TRUCK</t>
  </si>
  <si>
    <t>Factory Warranty</t>
  </si>
  <si>
    <t>480 000 KM</t>
  </si>
  <si>
    <t>COMFORT SUPER</t>
  </si>
  <si>
    <t/>
  </si>
  <si>
    <t>700 000 KM</t>
  </si>
  <si>
    <t>720 000 KM</t>
  </si>
  <si>
    <t>800 000 KM</t>
  </si>
  <si>
    <t>75 000 KM</t>
  </si>
  <si>
    <t>125 000 KM</t>
  </si>
  <si>
    <t>225 000 KM</t>
  </si>
  <si>
    <t>375 000 KM</t>
  </si>
  <si>
    <t>400 000 KM</t>
  </si>
  <si>
    <t>500 000 KM</t>
  </si>
  <si>
    <t>625 000 KM</t>
  </si>
  <si>
    <t>750 000 KM</t>
  </si>
  <si>
    <t>1 000 000 KM</t>
  </si>
  <si>
    <t>Supplier</t>
  </si>
  <si>
    <t>Sales Executive</t>
  </si>
  <si>
    <t>Dealership</t>
  </si>
  <si>
    <t>Cape Town</t>
  </si>
  <si>
    <t>Pinetown</t>
  </si>
  <si>
    <t>Bloemfontein</t>
  </si>
  <si>
    <t>Johannesburg</t>
  </si>
  <si>
    <t>Centurion</t>
  </si>
  <si>
    <t>Nelspruit</t>
  </si>
  <si>
    <t>Trade in Quantity</t>
  </si>
  <si>
    <t>TGS-26-4406X4BLS-LX</t>
  </si>
  <si>
    <t>Applications</t>
  </si>
  <si>
    <t>Traction/Distribution</t>
  </si>
  <si>
    <t>TGS-33-3606X4BB-M-K</t>
  </si>
  <si>
    <t>TGS-33-3606X4BB-M-K-TIP</t>
  </si>
  <si>
    <t>TGS-33-3606X4BB-M-TIP</t>
  </si>
  <si>
    <t>TGM-18-2804X2BB-L</t>
  </si>
  <si>
    <t>TGS-26-4806X4BLS-LX</t>
  </si>
  <si>
    <t>TGM-18-2804X2BB-DK-DWA</t>
  </si>
  <si>
    <t>TGS-19-4004X2BLS-L-ALU-PTO</t>
  </si>
  <si>
    <t>TGS-26-4406X4BLS-M</t>
  </si>
  <si>
    <t>Q1</t>
  </si>
  <si>
    <t>Q2</t>
  </si>
  <si>
    <t>Q3</t>
  </si>
  <si>
    <t>Q4</t>
  </si>
  <si>
    <t>Year</t>
  </si>
  <si>
    <t>Quarters</t>
  </si>
  <si>
    <t>Year&amp;Month</t>
  </si>
  <si>
    <t>10-2016</t>
  </si>
  <si>
    <t>2016Q1</t>
  </si>
  <si>
    <t>2016Q2</t>
  </si>
  <si>
    <t>2016Q3</t>
  </si>
  <si>
    <t>2016Q4</t>
  </si>
  <si>
    <t>2017Q1</t>
  </si>
  <si>
    <t>2017Q2</t>
  </si>
  <si>
    <t>2017Q3</t>
  </si>
  <si>
    <t>2017Q4</t>
  </si>
  <si>
    <t>2018Q1</t>
  </si>
  <si>
    <t>2018Q2</t>
  </si>
  <si>
    <t>2018Q3</t>
  </si>
  <si>
    <t>2018Q4</t>
  </si>
  <si>
    <t>01-2016</t>
  </si>
  <si>
    <t>02-2016</t>
  </si>
  <si>
    <t>01-2017</t>
  </si>
  <si>
    <t>03-2016</t>
  </si>
  <si>
    <t>04-2016</t>
  </si>
  <si>
    <t>05-2016</t>
  </si>
  <si>
    <t>06-2016</t>
  </si>
  <si>
    <t>07-2016</t>
  </si>
  <si>
    <t>08-2016</t>
  </si>
  <si>
    <t>09-2016</t>
  </si>
  <si>
    <t>11-2016</t>
  </si>
  <si>
    <t>12-2016</t>
  </si>
  <si>
    <t>02-2017</t>
  </si>
  <si>
    <t>03-2017</t>
  </si>
  <si>
    <t>04-2017</t>
  </si>
  <si>
    <t>05-2017</t>
  </si>
  <si>
    <t>06-2017</t>
  </si>
  <si>
    <t>07-2017</t>
  </si>
  <si>
    <t>08-2017</t>
  </si>
  <si>
    <t>09-2017</t>
  </si>
  <si>
    <t>10-2017</t>
  </si>
  <si>
    <t>11-2017</t>
  </si>
  <si>
    <t>12-2017</t>
  </si>
  <si>
    <t>01-2018</t>
  </si>
  <si>
    <t>02-2018</t>
  </si>
  <si>
    <t>03-2018</t>
  </si>
  <si>
    <t>04-2018</t>
  </si>
  <si>
    <t>05-2018</t>
  </si>
  <si>
    <t>06-2018</t>
  </si>
  <si>
    <t>07-2018</t>
  </si>
  <si>
    <t>08-2018</t>
  </si>
  <si>
    <t>09-2018</t>
  </si>
  <si>
    <t>10-2018</t>
  </si>
  <si>
    <t>11-2018</t>
  </si>
  <si>
    <t>12-2018</t>
  </si>
  <si>
    <t>Standard Warranty</t>
  </si>
  <si>
    <t xml:space="preserve">Model </t>
  </si>
  <si>
    <t>Chassis</t>
  </si>
  <si>
    <t>Reference Chassis</t>
  </si>
  <si>
    <t>Over allowance</t>
  </si>
  <si>
    <t>Warranty Conditions</t>
  </si>
  <si>
    <t>Drop Down Menu</t>
  </si>
  <si>
    <t>Extended Warranty Campaign</t>
  </si>
  <si>
    <t xml:space="preserve">New Customer </t>
  </si>
  <si>
    <t>Other allowances</t>
  </si>
  <si>
    <t>Additional Charge to Customer for Extras</t>
  </si>
  <si>
    <t>Limit</t>
  </si>
  <si>
    <t>ASM</t>
  </si>
  <si>
    <t>Retail Price less Discount</t>
  </si>
  <si>
    <t>ASM1</t>
  </si>
  <si>
    <t>ASM2</t>
  </si>
  <si>
    <t>SM1</t>
  </si>
  <si>
    <t>SM2</t>
  </si>
  <si>
    <t>Totals</t>
  </si>
  <si>
    <t>Chassis List</t>
  </si>
  <si>
    <t>Manager's Limit</t>
  </si>
  <si>
    <t>Description</t>
  </si>
  <si>
    <t>Date:</t>
  </si>
  <si>
    <t>Customer:</t>
  </si>
  <si>
    <t>Dealership:</t>
  </si>
  <si>
    <t>RVP</t>
  </si>
  <si>
    <t>HVHC</t>
  </si>
  <si>
    <t>DC</t>
  </si>
  <si>
    <t>HVHN</t>
  </si>
  <si>
    <t>Head of Truck Sales Division</t>
  </si>
  <si>
    <t>EG</t>
  </si>
  <si>
    <t>Head of Retail Sales</t>
  </si>
  <si>
    <t>Sales Rep</t>
  </si>
  <si>
    <t>Sales Reps</t>
  </si>
  <si>
    <t>Main Dealership</t>
  </si>
  <si>
    <t>Head Office</t>
  </si>
  <si>
    <t>Private Capital Dealers</t>
  </si>
  <si>
    <t>RV</t>
  </si>
  <si>
    <t>50NH00</t>
  </si>
  <si>
    <t>50RBB00</t>
  </si>
  <si>
    <t>50SR00</t>
  </si>
  <si>
    <t>80CS00</t>
  </si>
  <si>
    <t>80JL00</t>
  </si>
  <si>
    <t>80WS00</t>
  </si>
  <si>
    <t>80CJS00</t>
  </si>
  <si>
    <t>80CVNC00</t>
  </si>
  <si>
    <t>60HDP56</t>
  </si>
  <si>
    <t>60BTH56</t>
  </si>
  <si>
    <t>60JE56</t>
  </si>
  <si>
    <t>60JME56</t>
  </si>
  <si>
    <t>60WC56</t>
  </si>
  <si>
    <t>33BD00</t>
  </si>
  <si>
    <t>33JLA00</t>
  </si>
  <si>
    <t>33MF00</t>
  </si>
  <si>
    <t>30RVP00</t>
  </si>
  <si>
    <t>30DN00</t>
  </si>
  <si>
    <t>30RM00</t>
  </si>
  <si>
    <t>30LS00</t>
  </si>
  <si>
    <t>30HW00</t>
  </si>
  <si>
    <t>30JH00</t>
  </si>
  <si>
    <t>60SM56</t>
  </si>
  <si>
    <t>60AP56</t>
  </si>
  <si>
    <t>60AA56</t>
  </si>
  <si>
    <t>60CVE56</t>
  </si>
  <si>
    <t>22HVHC00</t>
  </si>
  <si>
    <t>22JMK00</t>
  </si>
  <si>
    <t>22QG00</t>
  </si>
  <si>
    <t>22FH00</t>
  </si>
  <si>
    <t>22AF00</t>
  </si>
  <si>
    <t>22TH00</t>
  </si>
  <si>
    <t>22QT00</t>
  </si>
  <si>
    <t>22DC00</t>
  </si>
  <si>
    <t>12HVHN40</t>
  </si>
  <si>
    <t>12QGN40</t>
  </si>
  <si>
    <t>12QTN40</t>
  </si>
  <si>
    <t>00MJ28</t>
  </si>
  <si>
    <t>00CMH28</t>
  </si>
  <si>
    <t>00MK28</t>
  </si>
  <si>
    <t>20HVH00</t>
  </si>
  <si>
    <t>20HD00</t>
  </si>
  <si>
    <t>20KB00</t>
  </si>
  <si>
    <t>20AHO00</t>
  </si>
  <si>
    <t>20PB00</t>
  </si>
  <si>
    <t>20CB00</t>
  </si>
  <si>
    <t>10LR50</t>
  </si>
  <si>
    <t>10PF50</t>
  </si>
  <si>
    <t>10GC50</t>
  </si>
  <si>
    <t>10PHE50</t>
  </si>
  <si>
    <t>10AVDH50</t>
  </si>
  <si>
    <t>10CVH50</t>
  </si>
  <si>
    <t>10FEM50</t>
  </si>
  <si>
    <t>10KW50</t>
  </si>
  <si>
    <t>07DV00</t>
  </si>
  <si>
    <t>07JS00</t>
  </si>
  <si>
    <t>07RB00</t>
  </si>
  <si>
    <t>07JMUT00</t>
  </si>
  <si>
    <t>07DM00</t>
  </si>
  <si>
    <t>21DVT97</t>
  </si>
  <si>
    <t>21RBT97</t>
  </si>
  <si>
    <t>21HBT97</t>
  </si>
  <si>
    <t>10EG00</t>
  </si>
  <si>
    <t>10IDO00</t>
  </si>
  <si>
    <t>10RV00</t>
  </si>
  <si>
    <t>Sales Team and Dealerships</t>
  </si>
  <si>
    <t>MAN Dealerships</t>
  </si>
  <si>
    <t>Private Dealers</t>
  </si>
  <si>
    <t>Activator</t>
  </si>
  <si>
    <t>Drop Downs</t>
  </si>
  <si>
    <t xml:space="preserve">MAN Cost </t>
  </si>
  <si>
    <t>Total</t>
  </si>
  <si>
    <t>Warranty Types</t>
  </si>
  <si>
    <t>Buy-Back</t>
  </si>
  <si>
    <t>Alpine Truck And Bus Vw</t>
  </si>
  <si>
    <t>Hatfield Truck And Bus Vw</t>
  </si>
  <si>
    <t xml:space="preserve">Middelburg </t>
  </si>
  <si>
    <t>Tulisa Park Truck And Bus Vw</t>
  </si>
  <si>
    <t>Middelburg / Ermelo</t>
  </si>
  <si>
    <t>Management / Sales</t>
  </si>
  <si>
    <t>Customer :</t>
  </si>
  <si>
    <t>MAN Bloemfontein</t>
  </si>
  <si>
    <t>MAN Cape Town</t>
  </si>
  <si>
    <t>MAN Centurion</t>
  </si>
  <si>
    <t>MAN Johannesburg</t>
  </si>
  <si>
    <t>MAN Nelspruit</t>
  </si>
  <si>
    <t>MAN Pinetown</t>
  </si>
  <si>
    <t>** Please note that estimated offline dates are preliminary.  Please refer to your weekly Magic List for updates.**</t>
  </si>
  <si>
    <t>Days in Stock/Estimated Offline Date</t>
  </si>
  <si>
    <t>DEAL INVOICING PROJECTION</t>
  </si>
  <si>
    <t>Date</t>
  </si>
  <si>
    <t>Month of invoice</t>
  </si>
  <si>
    <t>Units</t>
  </si>
  <si>
    <t>Middelburg</t>
  </si>
  <si>
    <t>Kempston Motor Group Trust</t>
  </si>
  <si>
    <t>Protech</t>
  </si>
  <si>
    <t>AAD Truck &amp; Bus</t>
  </si>
  <si>
    <t>33DB00</t>
  </si>
  <si>
    <t>SalesManager Limit</t>
  </si>
  <si>
    <t>Extended Scope Warranty</t>
  </si>
  <si>
    <t>Sales Manager:</t>
  </si>
  <si>
    <t>TGS-41-4408X4BB-M-DWA</t>
  </si>
  <si>
    <t>MAN Automotive (S.A.) (Pty) Limited</t>
  </si>
  <si>
    <t>EXTRAS</t>
  </si>
  <si>
    <t>Days in Stock/Expected offline date</t>
  </si>
  <si>
    <t>201610Q4</t>
  </si>
  <si>
    <t>Trade-In Total Price</t>
  </si>
  <si>
    <t>CLA-15-2204X2BB-C-CKD</t>
  </si>
  <si>
    <t>CLA-16-2204X2BB-C</t>
  </si>
  <si>
    <t>CLA-20-2804X2BB-C</t>
  </si>
  <si>
    <t>CLA-26-2806X4BB-C-K</t>
  </si>
  <si>
    <t>CLA-26-2806X4BB-C-L</t>
  </si>
  <si>
    <t>CLA-26-2806X4BB-C-M</t>
  </si>
  <si>
    <t>CLA-26-2806X4BBS-L</t>
  </si>
  <si>
    <t>TGM-13-2804X4BB-LA-DK SWA</t>
  </si>
  <si>
    <t>TGM-15-2404X2BL-C</t>
  </si>
  <si>
    <t>TGM-18-2404X2BB-C</t>
  </si>
  <si>
    <t>TGM-18-2404X2BB-C-K</t>
  </si>
  <si>
    <t>TGM-18-2404X4BB-C-DWA</t>
  </si>
  <si>
    <t>TGM-18-2404X4BB-C-SWA</t>
  </si>
  <si>
    <t>TGM-18-2404X4BB-DK-DWA</t>
  </si>
  <si>
    <t>TGM-18-2404X4BB-DK-SWA-TIP</t>
  </si>
  <si>
    <t>TGM-18-2804X2BB-C-K</t>
  </si>
  <si>
    <t>TGM-18-2804X2BB-LX</t>
  </si>
  <si>
    <t>TGM-18-2804X4BB-C-MAN</t>
  </si>
  <si>
    <t>TGM-18-3304X4BB-C-DWA</t>
  </si>
  <si>
    <t>TGM-18-3304X4BB-DK-SWA</t>
  </si>
  <si>
    <t>TGM-25-2806X2BL-L</t>
  </si>
  <si>
    <t>TGM-25-2806X2BL-LX</t>
  </si>
  <si>
    <t>TGS-19-3604X2BLS-L</t>
  </si>
  <si>
    <t>TGS-19-4404X2BLS-LX-EL</t>
  </si>
  <si>
    <t>TGS-25-4406X2BLS-LX</t>
  </si>
  <si>
    <t>TGS-26-3606X4BLS-L</t>
  </si>
  <si>
    <t>TGS-26-4006X4BLS-L</t>
  </si>
  <si>
    <t>TGS-26-4006X4BLS-M</t>
  </si>
  <si>
    <t>TGS-26-4406X4BLS-L</t>
  </si>
  <si>
    <t>TGS-26-4406X4BLS-LX-ADR</t>
  </si>
  <si>
    <t>TGS-26-4406X4BLS-LX-ALU</t>
  </si>
  <si>
    <t>TGS-26-4406X4BLS-LX-ALU-EL</t>
  </si>
  <si>
    <t>TGS-26-4806X4BLS-LX-E5</t>
  </si>
  <si>
    <t>TGS-26-4806X4BLS-LX-EL</t>
  </si>
  <si>
    <t>TGS-26-4806X4BLS-LX-EL-ACC</t>
  </si>
  <si>
    <t>TGS-27-4006X4BBS-L</t>
  </si>
  <si>
    <t>TGS-27-4006X4BBS-L-INT</t>
  </si>
  <si>
    <t>TGS-27-4406X4BBS-L</t>
  </si>
  <si>
    <t>TGS-27-4406X4BBS-L-STEEL</t>
  </si>
  <si>
    <t>TGS-27-4406X4BBS-LX</t>
  </si>
  <si>
    <t>TGS-27-4806X4BBS-L</t>
  </si>
  <si>
    <t>TGS-27-4806X4BBS-LX</t>
  </si>
  <si>
    <t>TGS-27-4806X4BBS-LX-PBS</t>
  </si>
  <si>
    <t>TGS-28-3606X2BLS-L</t>
  </si>
  <si>
    <t>TGS-28-4406X2BLS-LX</t>
  </si>
  <si>
    <t>TGS-33-3606X4BB-M</t>
  </si>
  <si>
    <t>TGS-33-3606X4BBS-L</t>
  </si>
  <si>
    <t>TGS-33-3606X6BB-M-SWA</t>
  </si>
  <si>
    <t>TGS-33-4006X4BB-M-K</t>
  </si>
  <si>
    <t>TGS-33-4006X4BB-M-TIP</t>
  </si>
  <si>
    <t>TGS-33-4006X4BBS-L-MAN</t>
  </si>
  <si>
    <t>TGS-33-4006X4BBS-L-TIP</t>
  </si>
  <si>
    <t>TGS-33-4006X4BBS-L-TIPINT</t>
  </si>
  <si>
    <t>TGS-33-4006X6BB-L</t>
  </si>
  <si>
    <t>TGS-33-4006X6BB-M-DWA</t>
  </si>
  <si>
    <t>TGS-33-4006X6BB-M-SWA</t>
  </si>
  <si>
    <t>TGS-33-4406X4BBS-L</t>
  </si>
  <si>
    <t>TGS-33-4406X4BB-M</t>
  </si>
  <si>
    <t>TGS-33-4406X4BB-M-LHD</t>
  </si>
  <si>
    <t>TGS-33-4406X4BBS-L-AB</t>
  </si>
  <si>
    <t>TGS-33-4406X4BBS-L-TIP</t>
  </si>
  <si>
    <t>TGS-33-4406X6BB-L-DWA</t>
  </si>
  <si>
    <t>TGS-33-4406X6BB-L-SWA</t>
  </si>
  <si>
    <t>TGS-33-4406X6BB-M-SWA</t>
  </si>
  <si>
    <t>TGS-33-4806X4BB-M</t>
  </si>
  <si>
    <t>TGS-33-4806X4BB-M-PBS-MAN</t>
  </si>
  <si>
    <t>TGS-33-4806X4BBS-L</t>
  </si>
  <si>
    <t>TGS-33-4806X4BBS-L-AB</t>
  </si>
  <si>
    <t>TGS-33-4806X4BBS-L-AB-MAN</t>
  </si>
  <si>
    <t>TGS-33-4806X4BBS-L-TIP</t>
  </si>
  <si>
    <t>TGS-33-4806X4BBS-L-TIPINT</t>
  </si>
  <si>
    <t>TGS-33-4806X4BBS-LX</t>
  </si>
  <si>
    <t>TGS-33-4806X6BBS-L</t>
  </si>
  <si>
    <t>TGS-34-3608X4BB-M-DWA</t>
  </si>
  <si>
    <t>TGS-40-4806X4BBS-L-AB</t>
  </si>
  <si>
    <t>TGS-40-4806X4BBS-LX-AB</t>
  </si>
  <si>
    <t>TGS-40-4806X6BB-M-TIP</t>
  </si>
  <si>
    <t>TGS-41-4008X4BB-M-DWA</t>
  </si>
  <si>
    <t>TGS-41-4808X4BB-M-DWA</t>
  </si>
  <si>
    <t>TGX-26-5406X4BLS-XLX</t>
  </si>
  <si>
    <t>TGX-41-6808X4BBS-XXL</t>
  </si>
  <si>
    <t>VW-17-2504X2BB-LR-XLWB</t>
  </si>
  <si>
    <t>VW-19-3204X2BLS-L</t>
  </si>
  <si>
    <t>VW-19-3204X2BLS-LR</t>
  </si>
  <si>
    <t>VW-24-2506X2BBL-LR-LWB</t>
  </si>
  <si>
    <t>Dual</t>
  </si>
  <si>
    <t>Off-Road</t>
  </si>
  <si>
    <t>On-Road</t>
  </si>
  <si>
    <t>RoadType</t>
  </si>
  <si>
    <t>Trade/Buy Back Agreement(Per Chassis)</t>
  </si>
  <si>
    <t>R&amp;M Contract (Per Chassis)</t>
  </si>
  <si>
    <t>Warranties (Per Chassis)</t>
  </si>
  <si>
    <t>Description (Per Chassis)</t>
  </si>
  <si>
    <t xml:space="preserve">Status with
Booking Expiry Date
</t>
  </si>
  <si>
    <t>Days in stock/Expected offline date</t>
  </si>
  <si>
    <t>Fixed Commission - Total</t>
  </si>
  <si>
    <t>Variable Commission - Total</t>
  </si>
  <si>
    <t>New Customer Bonus - Total</t>
  </si>
  <si>
    <t>Support (given by MAN) - Total</t>
  </si>
  <si>
    <t>COMBINATION</t>
  </si>
  <si>
    <t>Trade-In?</t>
  </si>
  <si>
    <t>WIP - 30 Days</t>
  </si>
  <si>
    <t>VAT</t>
  </si>
  <si>
    <t>DEALER</t>
  </si>
  <si>
    <t>CUSTOMER</t>
  </si>
  <si>
    <t>QTY</t>
  </si>
  <si>
    <t>OVER ALLOWANCE</t>
  </si>
  <si>
    <t>STAND IN VALUE</t>
  </si>
  <si>
    <t>MAN Automotive (South Africa) Proprietary Limited</t>
  </si>
  <si>
    <t>Order Management</t>
  </si>
  <si>
    <t>NOTE:  ALL TRADE-INS SUBJECT TO TERMS AND CONDITIONS AS PER TOPUSED</t>
  </si>
  <si>
    <t>COMMENTS</t>
  </si>
  <si>
    <t>REGISTRATION / FLEET NO.</t>
  </si>
  <si>
    <t>AMOUNT OFFERED TO CUSTOMER (Incl VAT)</t>
  </si>
  <si>
    <t>AMOUNT OFFERED TO CUSTOMER (Excl VAT)</t>
  </si>
  <si>
    <t>TOPUSED HANDLING FEE</t>
  </si>
  <si>
    <t>TOTALS</t>
  </si>
  <si>
    <t>APPROVED BY</t>
  </si>
  <si>
    <t>TOP USED TRADE IN</t>
  </si>
  <si>
    <t>IN/OUT TRADE IN</t>
  </si>
  <si>
    <t>DEALER TRADE IN</t>
  </si>
  <si>
    <t>Actual Cost from Top-Used</t>
  </si>
  <si>
    <r>
      <t>Other Allowances (Total)_</t>
    </r>
    <r>
      <rPr>
        <b/>
        <sz val="10"/>
        <color rgb="FFFF0000"/>
        <rFont val="Arial"/>
        <family val="2"/>
      </rPr>
      <t>All Order Management Costs (Previously denoted by "V")</t>
    </r>
  </si>
  <si>
    <t>ITEMS</t>
  </si>
  <si>
    <t>OTHER</t>
  </si>
  <si>
    <t>Actual Cost from Maintenance Dpt</t>
  </si>
  <si>
    <t>VAT (Yes/No)</t>
  </si>
  <si>
    <t>On-Road?</t>
  </si>
  <si>
    <t>Customer Selling Price</t>
  </si>
  <si>
    <t>Extras (Per Chassis)</t>
  </si>
  <si>
    <t>Mileage (Per Month)</t>
  </si>
  <si>
    <t>MAN Automotive (South Africa) (Pty) Ltd</t>
  </si>
  <si>
    <t>Reg. No. 1975/004250/07</t>
  </si>
  <si>
    <t>CONTACT DETAILS</t>
  </si>
  <si>
    <t>VAT Reg. No. 4960273706</t>
  </si>
  <si>
    <t>The Views</t>
  </si>
  <si>
    <t>Founders Hill Office Park</t>
  </si>
  <si>
    <t>18 Centenary Way</t>
  </si>
  <si>
    <t>Modderfontein</t>
  </si>
  <si>
    <t>Cell</t>
  </si>
  <si>
    <t>Fax</t>
  </si>
  <si>
    <t>Tel (011) 928 6800</t>
  </si>
  <si>
    <t>Email</t>
  </si>
  <si>
    <t>Fax (011) 974 1881</t>
  </si>
  <si>
    <t>(hereinafter referred to as the “Purchaser”),  do hereby undertake to purchase from MAN Automotive (S.A.) (Pty) Ltd (hereinafter referred to as the “Supplier”), subject to the terms and stipulations appearing on the face. AND ATTACHED HERETO, with which conditions I acknowledge myself to be familiar, the following items:-</t>
  </si>
  <si>
    <t>VEHICLE DESCRIPTION</t>
  </si>
  <si>
    <t>Quantity</t>
  </si>
  <si>
    <t>VAT (Y/N)</t>
  </si>
  <si>
    <t>Trade In Details</t>
  </si>
  <si>
    <t>BuyBack/Trade Back Details</t>
  </si>
  <si>
    <t>Term (in Months)</t>
  </si>
  <si>
    <t>Repairs &amp; Maintenance Details</t>
  </si>
  <si>
    <t>Package</t>
  </si>
  <si>
    <t>Retail Price after discount</t>
  </si>
  <si>
    <t>Payment Method</t>
  </si>
  <si>
    <t>Payment Terms (If Applicable)</t>
  </si>
  <si>
    <t>PAYMENT, DELIVERY &amp; LICENSING INSTRUCTIONS</t>
  </si>
  <si>
    <t>BALANCE OF PURCHASE PRICE</t>
  </si>
  <si>
    <t>Total cash deposit</t>
  </si>
  <si>
    <t>PURCHASE SUMMARY</t>
  </si>
  <si>
    <t>Unit Price</t>
  </si>
  <si>
    <t>jvanschalwyk@jjt.co.za</t>
  </si>
  <si>
    <t>Tel</t>
  </si>
  <si>
    <t>We, MAN Automotive (South Africa) Pty Ltd, hereby accept the offer herein set forth subject to aforesaid terms, conditions and stipulations.</t>
  </si>
  <si>
    <t>Number Of Trade In's</t>
  </si>
  <si>
    <t>Service Care</t>
  </si>
  <si>
    <t>Total (Excl VAT)</t>
  </si>
  <si>
    <t>On Road?</t>
  </si>
  <si>
    <r>
      <t xml:space="preserve">VALUE ADDED PRODUCTS </t>
    </r>
    <r>
      <rPr>
        <b/>
        <i/>
        <sz val="10"/>
        <color theme="6" tint="-0.249977111117893"/>
        <rFont val="Arial"/>
        <family val="2"/>
      </rPr>
      <t>(PRICES INCLUDED IN THE CONTRACT</t>
    </r>
    <r>
      <rPr>
        <b/>
        <sz val="10"/>
        <color theme="6" tint="-0.249977111117893"/>
        <rFont val="Arial"/>
        <family val="2"/>
      </rPr>
      <t>)</t>
    </r>
  </si>
  <si>
    <t>Total Trade in Value (Excl VAT)</t>
  </si>
  <si>
    <t>CONFIRMED CHASSIS LIST</t>
  </si>
  <si>
    <t>Sales Channel</t>
  </si>
  <si>
    <t>Retail</t>
  </si>
  <si>
    <t>Key Account</t>
  </si>
  <si>
    <t>Private Capital Dealership</t>
  </si>
  <si>
    <t>Date *</t>
  </si>
  <si>
    <t>Address</t>
  </si>
  <si>
    <t>Contact Person *</t>
  </si>
  <si>
    <t>Postal Code</t>
  </si>
  <si>
    <t>Telephone Number</t>
  </si>
  <si>
    <t>Cellphone Number</t>
  </si>
  <si>
    <t>Fax Number</t>
  </si>
  <si>
    <t>Email Address</t>
  </si>
  <si>
    <t>073 123 4567</t>
  </si>
  <si>
    <t>086 669 2700</t>
  </si>
  <si>
    <t>Company Reg. No</t>
  </si>
  <si>
    <t>VAT Reg. No</t>
  </si>
  <si>
    <t>Unit D7 Waterford Court</t>
  </si>
  <si>
    <t>C/o Rabie &amp; Glover Street</t>
  </si>
  <si>
    <t>0157</t>
  </si>
  <si>
    <t>Delivery Month</t>
  </si>
  <si>
    <t>Financed</t>
  </si>
  <si>
    <t>Customer Direct Payment</t>
  </si>
  <si>
    <t>Financial Institution</t>
  </si>
  <si>
    <t>Bank Contact Person</t>
  </si>
  <si>
    <t>Bank Contact Telephone Number</t>
  </si>
  <si>
    <t>Bank Physical address</t>
  </si>
  <si>
    <t>Gerrie Nel</t>
  </si>
  <si>
    <t>Absa</t>
  </si>
  <si>
    <t>110 Cantonments Road</t>
  </si>
  <si>
    <t>Lyttelton</t>
  </si>
  <si>
    <t>Bank Reg. No.</t>
  </si>
  <si>
    <t>30 days</t>
  </si>
  <si>
    <t>If Payment Terms, Credit Check in Process</t>
  </si>
  <si>
    <t>Special Finance Requirements</t>
  </si>
  <si>
    <t>Delivery method</t>
  </si>
  <si>
    <t xml:space="preserve">Deliver </t>
  </si>
  <si>
    <t>Customer to collect</t>
  </si>
  <si>
    <t>No.</t>
  </si>
  <si>
    <t>Delivery Dates (YYYY-MM)</t>
  </si>
  <si>
    <t>Licensing Requirements</t>
  </si>
  <si>
    <t>Please note: Delivery dates may change due to stock availability.</t>
  </si>
  <si>
    <t>DEAL DATA SHEET</t>
  </si>
  <si>
    <t>DELIVERY &amp; LICENSING INSTRUCTIONS</t>
  </si>
  <si>
    <t>**Please specify</t>
  </si>
  <si>
    <t>1987/007/0356</t>
  </si>
  <si>
    <t>Absa Lyttelton Branch</t>
  </si>
  <si>
    <t>CUSTOMER DETAILS</t>
  </si>
  <si>
    <t>FINANCE DETAILS</t>
  </si>
  <si>
    <t>Licensing /Registration Requirements</t>
  </si>
  <si>
    <t>Prefered Delivery Date(s) (YYYY-MM)</t>
  </si>
  <si>
    <t>Extended Warranties (Optional)</t>
  </si>
  <si>
    <t>Diesel Required</t>
  </si>
  <si>
    <t>DEAL DETAILS</t>
  </si>
  <si>
    <t>150 Litres</t>
  </si>
  <si>
    <t>Quantity:</t>
  </si>
  <si>
    <t>Application:</t>
  </si>
  <si>
    <t>Mileage  (in Kilometres)</t>
  </si>
  <si>
    <t>Mileage (in Kilometres)</t>
  </si>
  <si>
    <t>Comment on Month of Invoicing</t>
  </si>
  <si>
    <t>Total VAT</t>
  </si>
  <si>
    <t>Once Signed by at least 1 (One) MAN Automotive (Pty) Ltd Representative, This serves as an order confirmation.</t>
  </si>
  <si>
    <t>Deposit Assistance (If Applicable)</t>
  </si>
  <si>
    <t>MNG</t>
  </si>
  <si>
    <t>WA</t>
  </si>
  <si>
    <t>GE</t>
  </si>
  <si>
    <t>F</t>
  </si>
  <si>
    <t>45YSI93</t>
  </si>
  <si>
    <t>RT82LTW</t>
  </si>
  <si>
    <t>TZR1725</t>
  </si>
  <si>
    <t>RTY157K</t>
  </si>
  <si>
    <t>Stratergic Account</t>
  </si>
  <si>
    <t>FN</t>
  </si>
  <si>
    <t>OTP Number:</t>
  </si>
  <si>
    <t>OTP Number *</t>
  </si>
  <si>
    <t>Centurion Invoicing (BBBEE)</t>
  </si>
  <si>
    <t>Status</t>
  </si>
  <si>
    <t>Deposit Paid (Per Deal)*</t>
  </si>
  <si>
    <t>Deposit Assistance (Per Deal)*</t>
  </si>
  <si>
    <t>KP000516</t>
  </si>
  <si>
    <t>201707Q3</t>
  </si>
  <si>
    <t>TOTAL OVER ALLOWANCE(O/A + HANDLING FEE)</t>
  </si>
  <si>
    <t>Interest Free Period</t>
  </si>
  <si>
    <t>Discount on delivery</t>
  </si>
  <si>
    <t>Customer Province</t>
  </si>
  <si>
    <t>Northern Cape</t>
  </si>
  <si>
    <t>Delivery Instruction</t>
  </si>
  <si>
    <t>Customer to collect from Pinetown</t>
  </si>
  <si>
    <t>adam.fayyaz@za.man-mn.com</t>
  </si>
  <si>
    <t>alfred.hoyer@za.man-mn.com</t>
  </si>
  <si>
    <t>christo.botes@za.man-mn.com</t>
  </si>
  <si>
    <t>christo.vanniekerk@za.man.mn.com</t>
  </si>
  <si>
    <t>CJ.Swanepoel@za.man.mn.com</t>
  </si>
  <si>
    <t>Direen.Chettty@za.man-mn.com</t>
  </si>
  <si>
    <t>dylan.naidoo@za.man-mn.com</t>
  </si>
  <si>
    <t>Fikile.Hlatshwayo@za.man-mn.com</t>
  </si>
  <si>
    <t>hayden.wright@za.man-mn.com</t>
  </si>
  <si>
    <t>jason.holmes@za.man-mn.com</t>
  </si>
  <si>
    <t>johan.mackay@za.man-mn.com</t>
  </si>
  <si>
    <t>juan.labuschagne@za.man-mn.com</t>
  </si>
  <si>
    <t>koos@henter.co.za</t>
  </si>
  <si>
    <t>leon.swart@za.man-mn.com</t>
  </si>
  <si>
    <t>neels.holtzhausen@za.man-mn.com</t>
  </si>
  <si>
    <t>paul.bhengu@za.man-mn.com</t>
  </si>
  <si>
    <t>quentin.theron@za.man-mn.com</t>
  </si>
  <si>
    <t>quinten.gevers@za.man-mn.com</t>
  </si>
  <si>
    <t>richard.barnard@za.man-mn.com</t>
  </si>
  <si>
    <t>runga.moodley@za.man-mn.com</t>
  </si>
  <si>
    <t>shaun.roux@za.man-mn.com</t>
  </si>
  <si>
    <t>tiaan.hartman@za.man-mn.com</t>
  </si>
  <si>
    <t>wayne.smith@za.man-mn.com</t>
  </si>
  <si>
    <t>deborah.brent@kmgt.co.za</t>
  </si>
  <si>
    <t>mfrench@alpinemotors.co.za</t>
  </si>
  <si>
    <t>andrep@aad-pe.co.za</t>
  </si>
  <si>
    <t>andre.alberts@aad-pe.co.za</t>
  </si>
  <si>
    <t>colin@aad-pe.co.za</t>
  </si>
  <si>
    <t>chris@hatfieldman.co.za</t>
  </si>
  <si>
    <t>michael@hatfieldman.co.za</t>
  </si>
  <si>
    <t>philip@manmid.co.za</t>
  </si>
  <si>
    <t>mansales2@skyafrica.co.za</t>
  </si>
  <si>
    <t>mansales3@skyafrica.co.za</t>
  </si>
  <si>
    <t>andries@manmid.co.za</t>
  </si>
  <si>
    <t>christo@manmid.co.za</t>
  </si>
  <si>
    <t>francois@manmid.co.za</t>
  </si>
  <si>
    <t>rblignaut@um.co.za</t>
  </si>
  <si>
    <t>jmuhangane@um.co.za</t>
  </si>
  <si>
    <t>hbakker@um.co.za</t>
  </si>
  <si>
    <t>Eren.Gunduz@za.man-mn.com</t>
  </si>
  <si>
    <t>deon.otto@za.man-mn.com</t>
  </si>
  <si>
    <t>clinton.schweers@za.man-mn.com</t>
  </si>
  <si>
    <t>henk.dique@za.man-mn.com</t>
  </si>
  <si>
    <t>dmolotsi@unitransmotors.co.za</t>
  </si>
  <si>
    <t>jaswanepoel@unitransmotors.co.za</t>
  </si>
  <si>
    <t>manie@hatfieldman.co.za</t>
  </si>
  <si>
    <t>juanl@alpinemotors.co.za</t>
  </si>
  <si>
    <t>saleskby@mannc.co.za</t>
  </si>
  <si>
    <t>bruce@alpinemotors.co.za</t>
  </si>
  <si>
    <t>dvorster@unitransmotors.co.za</t>
  </si>
  <si>
    <t>lambert@skyafrica.co.za</t>
  </si>
  <si>
    <t>sashm@aad-pe.co.za</t>
  </si>
  <si>
    <t>hubner@fvcupt.co.za</t>
  </si>
  <si>
    <t>wayne.crossman@kmgt.co.za</t>
  </si>
  <si>
    <t>muzi.ngema@za.man-mn.com</t>
  </si>
  <si>
    <t>079 885 6977</t>
  </si>
  <si>
    <t>072 185 3267</t>
  </si>
  <si>
    <t>078 451 3493</t>
  </si>
  <si>
    <t>076 522 1054</t>
  </si>
  <si>
    <t>082 756 0261</t>
  </si>
  <si>
    <t>082 697 4353</t>
  </si>
  <si>
    <t>060 980 0975</t>
  </si>
  <si>
    <t>078 900 4762</t>
  </si>
  <si>
    <t>079 691 5093</t>
  </si>
  <si>
    <t>076 941 6319</t>
  </si>
  <si>
    <t>084 019 0333</t>
  </si>
  <si>
    <t>082 370 6797</t>
  </si>
  <si>
    <t>082 849 4797</t>
  </si>
  <si>
    <t>060 991 0314 / 083 653 4673</t>
  </si>
  <si>
    <t>083 251 8536</t>
  </si>
  <si>
    <t>073 175 0099</t>
  </si>
  <si>
    <t>071 317 2535</t>
  </si>
  <si>
    <t>060 972 2801</t>
  </si>
  <si>
    <t>083 679 4075</t>
  </si>
  <si>
    <t>082 447 1916 / 051 503 2507</t>
  </si>
  <si>
    <t xml:space="preserve">064 751 9010 </t>
  </si>
  <si>
    <t>076 522 1038</t>
  </si>
  <si>
    <t>053 841 0635</t>
  </si>
  <si>
    <t>071 166 2272</t>
  </si>
  <si>
    <t>061 485 0798</t>
  </si>
  <si>
    <t>082 492 6273</t>
  </si>
  <si>
    <t>082 698 0974</t>
  </si>
  <si>
    <t>082 591 2979</t>
  </si>
  <si>
    <t>079 843 9842</t>
  </si>
  <si>
    <t>079 126 0247</t>
  </si>
  <si>
    <t>082 929 4367</t>
  </si>
  <si>
    <t>082 775 1369</t>
  </si>
  <si>
    <t>071 525 0979</t>
  </si>
  <si>
    <t>072 741 9077</t>
  </si>
  <si>
    <t>081 505 8612</t>
  </si>
  <si>
    <t>076 785 2891</t>
  </si>
  <si>
    <t>079 879 7073</t>
  </si>
  <si>
    <t>082 553 1851</t>
  </si>
  <si>
    <t>081 868 0384</t>
  </si>
  <si>
    <t>060 997 6186</t>
  </si>
  <si>
    <t>083 409 8090</t>
  </si>
  <si>
    <t>082 459 9985</t>
  </si>
  <si>
    <t>060 850 8448</t>
  </si>
  <si>
    <t>082 808 5877</t>
  </si>
  <si>
    <t>083 277 6530</t>
  </si>
  <si>
    <t>082 3539 257</t>
  </si>
  <si>
    <t xml:space="preserve">076 297 2048 </t>
  </si>
  <si>
    <t>082 878 5092</t>
  </si>
  <si>
    <t>072 878 1760</t>
  </si>
  <si>
    <t>083 450 6227</t>
  </si>
  <si>
    <t>083 292 4466</t>
  </si>
  <si>
    <t>083 626 1707</t>
  </si>
  <si>
    <t>072 253 2069</t>
  </si>
  <si>
    <t>082 927 0297</t>
  </si>
  <si>
    <t>083 427 1650</t>
  </si>
  <si>
    <t>083 277 6534</t>
  </si>
  <si>
    <t>Eastern Cape</t>
  </si>
  <si>
    <t>Deliver</t>
  </si>
  <si>
    <t>Free State</t>
  </si>
  <si>
    <t>Gauteng</t>
  </si>
  <si>
    <t>KwaZulu-Natal</t>
  </si>
  <si>
    <t>Limpopo</t>
  </si>
  <si>
    <t>Mpumalanga</t>
  </si>
  <si>
    <t>North West</t>
  </si>
  <si>
    <t>Western Cape </t>
  </si>
  <si>
    <t>Harm.vanHeerden@za.man-mn.com</t>
  </si>
  <si>
    <t>4500 023 017</t>
  </si>
  <si>
    <t>Changes to Standard Unit</t>
  </si>
  <si>
    <t>Homologation</t>
  </si>
  <si>
    <t>Cents Per Kilometre (CPK)</t>
  </si>
  <si>
    <t>012- 003 1234</t>
  </si>
  <si>
    <t>012 6444 700</t>
  </si>
  <si>
    <t>MAN AUTOMOTIVE (S.A.) (Pty) Limited</t>
  </si>
  <si>
    <t>Quotation Number:</t>
  </si>
  <si>
    <t>Telephone:</t>
  </si>
  <si>
    <t>N/A</t>
  </si>
  <si>
    <t>Thank you for presenting us the opportunity to put forward our quotation on commercial vehicles suitable to your transportation requirements. The offer is as follows:</t>
  </si>
  <si>
    <t>QUANTITY</t>
  </si>
  <si>
    <t>Modderfontein 1609 South Africa</t>
  </si>
  <si>
    <t xml:space="preserve">MAN | Support </t>
  </si>
  <si>
    <t>MAN has globally embarked on an expansive business offensive, to ensure that it attains the number one, two or three position in every market in which it competes. With more than 50% of its annual turnover within the Group derived from the sales and support of commercial vehicles, the company has placed a great deal of focus on various activities which add value to transport operators. These include:</t>
  </si>
  <si>
    <t>Driver Training</t>
  </si>
  <si>
    <t>MAN offers the following range of driver training:</t>
  </si>
  <si>
    <t>o   Vehicle hand-over training</t>
  </si>
  <si>
    <t>o    Product orientation</t>
  </si>
  <si>
    <t>o    Fuel consumption benchmark training</t>
  </si>
  <si>
    <t>o    Train-the-trainer programmes</t>
  </si>
  <si>
    <t>o  Specialised vehicle / operator training</t>
  </si>
  <si>
    <t>Fleet Management Services</t>
  </si>
  <si>
    <t>MAN understands that there are numerous factors which contribute to the total operating cost of your fleet, and the up-time / vehicle productivity factors required to meet the needs of the contract provider.</t>
  </si>
  <si>
    <t>To that end, we are at your disposal to make recommendations on the following Fleet Management Services:</t>
  </si>
  <si>
    <t>o    Vehicle Management Systems (On-Board Computers)</t>
  </si>
  <si>
    <t>o    Driver Management Systems (On-Board Computers)</t>
  </si>
  <si>
    <t>o    Fleet Management Services (Bureau Service)</t>
  </si>
  <si>
    <t>o    Prevailing Residual Values and Trade-Back values</t>
  </si>
  <si>
    <t>Training</t>
  </si>
  <si>
    <t>MAN offers various product and technical training courses at our Isando-based Training Academy. A training schedule for these training courses will be made available upon request.</t>
  </si>
  <si>
    <t xml:space="preserve"> </t>
  </si>
  <si>
    <t>Network Support</t>
  </si>
  <si>
    <t>Sales Region  Africa has under its control the following (see attached addendum):  -</t>
  </si>
  <si>
    <t>·         Seven MAN owned Dealers, all within South Africa</t>
  </si>
  <si>
    <t>·         Twenty-one franchised Service Providers in South Africa</t>
  </si>
  <si>
    <t>·         Twelve franchised Service Providers in Southern Africa</t>
  </si>
  <si>
    <t>·         Seventeen franchised Importers in Northern Africa</t>
  </si>
  <si>
    <t>·         A major CKD Assembly Plant for both trucks and bus chassis in Pinetown, South Africa</t>
  </si>
  <si>
    <t>·         A major Bus Body Building Plant for the design and manufacturing of Bus Bodies in Olifantsfontein</t>
  </si>
  <si>
    <t>·         Various smaller CKD assembly plants in other African countries.</t>
  </si>
  <si>
    <t>Sales Region  Regional Office in Isando also has the overall responsibility for all the strategic aspects of the After Sales functions such as:  -</t>
  </si>
  <si>
    <t>·         The After Sales Organization</t>
  </si>
  <si>
    <t>·         The planning, ordering, and warehousing aspects for all parts supplies</t>
  </si>
  <si>
    <t>·         The provision and co-ordination of all technical training</t>
  </si>
  <si>
    <t>·         All high level Truck and Bus technical support</t>
  </si>
  <si>
    <t xml:space="preserve">·         All controlling (financial) aspects related to the consolidation of the results of the warranty and maintenance contract departments.  </t>
  </si>
  <si>
    <t>·         Our total parts stockholding within Southern Africa is ± R300,000,000.00, and within each of our major South African Dealers we have a Refurbishment Workshop, who provide fully overhauled service exchange engines, gearboxes etc. into our network.</t>
  </si>
  <si>
    <t xml:space="preserve">MAN | Service </t>
  </si>
  <si>
    <t xml:space="preserve">Should you wish to have a service contract or fully-fledged maintenance and repair contract throughout the life of your new vehicle purchased, we will gladly provide you with a suitable quotation or range of options that can be provided by MAN , this also for additional peace of mind on major component failures outside of the quoted warranties.  </t>
  </si>
  <si>
    <t>MAN | Finance</t>
  </si>
  <si>
    <t>Applications and assistance with financing MAN Capital Equipment can be provided by MAN Financial Services - a joint venture Company formed between MAN Truck and Bus AG and ABSA Bank.</t>
  </si>
  <si>
    <t>For this purpose, one of our resident MAN Financial Services consultants will be available to provide assistance with any financial application that you may have, such as:</t>
  </si>
  <si>
    <t>o    On versus Off-Balance Sheet Financing</t>
  </si>
  <si>
    <t>o    Instalment Sale, Lease or Operating Rental</t>
  </si>
  <si>
    <t>o    Ownership or non-ownership after a certain period</t>
  </si>
  <si>
    <t>o    Tax implications</t>
  </si>
  <si>
    <t>o    Contract-based financing</t>
  </si>
  <si>
    <t xml:space="preserve">o    Empowerment Financing Options </t>
  </si>
  <si>
    <t>The majority of the MAN Truck products offered are locally assembled in Pinetown, KZN from CKD (Completely Knocked Down kits), imported from our state-of-the-art MAN production facilities in Europe, although as a part of its globalization strategy, some model ranges are manufactured within the BERIC countries.  Local knowledge of operating conditions, combined with localised Engineering and Product Planning expertise, ensures that our award winning products are suitably adapted and tested for our particular region, and its Operators.</t>
  </si>
  <si>
    <t>We believe that our quotation meets with all the criteria required for your operation, enabling you to favourably evaluate our all-embracing product and services offered.</t>
  </si>
  <si>
    <t>We kindly invite you to contact us with any further requirements that you may have regarding this offer, or any other points which you may wish to clarify regarding MAN AUTOMOTIVE (S.A.) (Pty) Limited in Southern Africa.</t>
  </si>
  <si>
    <t>We look forward to being of further service to you.</t>
  </si>
  <si>
    <t>Thanking you for the opportunity to promote MAN AUTOMOTIVE (S.A.) (Pty) Limited in this way.</t>
  </si>
  <si>
    <t>Yours sincerely</t>
  </si>
  <si>
    <t>QUOTATION NUMBER:</t>
  </si>
  <si>
    <t>ACCEPTED BY :-</t>
  </si>
  <si>
    <t>COMMENTS :</t>
  </si>
  <si>
    <t>TERMS AND CONDITIONS ACCEPTED</t>
  </si>
  <si>
    <t>Jan Van Schalwyk</t>
  </si>
  <si>
    <t>ADAM FAYYAZ</t>
  </si>
  <si>
    <t>ALFRED HOYER</t>
  </si>
  <si>
    <t>CHRISTO BOTES</t>
  </si>
  <si>
    <t>CHRISTO VAN NIEKERK</t>
  </si>
  <si>
    <t>CJ SWANEPOEL</t>
  </si>
  <si>
    <t>DIREEN CHETTY</t>
  </si>
  <si>
    <t>DYLAN NAIDOO</t>
  </si>
  <si>
    <t>FIKILE HLATSHWAYO</t>
  </si>
  <si>
    <t>HAYDEN WRIGHT</t>
  </si>
  <si>
    <t>JASON HOLMES</t>
  </si>
  <si>
    <t>JOHAN MACKAY</t>
  </si>
  <si>
    <t>JUAN LABUSCHAGNE</t>
  </si>
  <si>
    <t>KOOS BOSMAN</t>
  </si>
  <si>
    <t>LEON SWART</t>
  </si>
  <si>
    <t>NEELS HOLTZHAUSEN</t>
  </si>
  <si>
    <t>PAUL BHENGU</t>
  </si>
  <si>
    <t>QUENTIN THERON</t>
  </si>
  <si>
    <t>QUINTEN GEVERS</t>
  </si>
  <si>
    <t>RICHARD BARNARD</t>
  </si>
  <si>
    <t>RUNGA MOODLEY</t>
  </si>
  <si>
    <t>SHAUN ROUX</t>
  </si>
  <si>
    <t>TIAAN HARTMAN</t>
  </si>
  <si>
    <t>WAYNE SMITH</t>
  </si>
  <si>
    <t>JOHAN ESTERHUIZEN</t>
  </si>
  <si>
    <t>JURIE MEYER</t>
  </si>
  <si>
    <t>DEBORAH BRENT</t>
  </si>
  <si>
    <t>MARK FRENCH</t>
  </si>
  <si>
    <t>ANDRE PRETORIUS</t>
  </si>
  <si>
    <t>ANDRE ALBERTS</t>
  </si>
  <si>
    <t>COLIN VAN ECK</t>
  </si>
  <si>
    <t>CHRIS MULLER</t>
  </si>
  <si>
    <t>MICHAEL KERBY</t>
  </si>
  <si>
    <t>PHILIP FOUCHE</t>
  </si>
  <si>
    <t>GREG COOK</t>
  </si>
  <si>
    <t>PHILIP HATTING</t>
  </si>
  <si>
    <t>ANDRIES VAN HEERDEN</t>
  </si>
  <si>
    <t>CHRISTO VAN HEERDEN</t>
  </si>
  <si>
    <t>FRANCOIS EWALD MEYER</t>
  </si>
  <si>
    <t>KOBUS WOLMARANS</t>
  </si>
  <si>
    <t>RYNO BLIGNAUT</t>
  </si>
  <si>
    <t>JUSTICE MUHANGANE</t>
  </si>
  <si>
    <t>HENK BAKKER</t>
  </si>
  <si>
    <t>EREN GUNDUZ</t>
  </si>
  <si>
    <t>DEON OTTO</t>
  </si>
  <si>
    <t>ROBBIE VIRGILI</t>
  </si>
  <si>
    <t>CLINTON SCHWEERS</t>
  </si>
  <si>
    <t>HARM VAN HEERDEN</t>
  </si>
  <si>
    <t>HENK DIQUE</t>
  </si>
  <si>
    <t>DOMINIC MOLOTSI</t>
  </si>
  <si>
    <t>JACQUES SWANEPOEL</t>
  </si>
  <si>
    <t>MANIE JANSEN</t>
  </si>
  <si>
    <t>JUAN LANGE</t>
  </si>
  <si>
    <t>BARNEY THERON</t>
  </si>
  <si>
    <t>BRUCE DICKSON</t>
  </si>
  <si>
    <t>DIRIK VORSTER</t>
  </si>
  <si>
    <t>LAMBERT ROUX</t>
  </si>
  <si>
    <t>SASH MITCHELL</t>
  </si>
  <si>
    <t>HUBNER DU PLESSIS</t>
  </si>
  <si>
    <t>WAYNE CROSSMAN</t>
  </si>
  <si>
    <t>MUZI NGEMA</t>
  </si>
  <si>
    <t>WARREN ATINKSON</t>
  </si>
  <si>
    <t>GREG ERAIN</t>
  </si>
  <si>
    <t>FLORENCE NKGAU</t>
  </si>
  <si>
    <t>Today</t>
  </si>
  <si>
    <t>Offline Date</t>
  </si>
  <si>
    <t>Offline+61 dats</t>
  </si>
  <si>
    <t>MINV+days</t>
  </si>
  <si>
    <t>Dealerships</t>
  </si>
  <si>
    <t>Abbreviations</t>
  </si>
  <si>
    <t>BFN</t>
  </si>
  <si>
    <t>CPT</t>
  </si>
  <si>
    <t>CNO</t>
  </si>
  <si>
    <t>JHB</t>
  </si>
  <si>
    <t>NEL</t>
  </si>
  <si>
    <t>PTN</t>
  </si>
  <si>
    <t>ATB</t>
  </si>
  <si>
    <t>HAT</t>
  </si>
  <si>
    <t>HTB</t>
  </si>
  <si>
    <t>MMT</t>
  </si>
  <si>
    <t>PE</t>
  </si>
  <si>
    <t>TTB</t>
  </si>
  <si>
    <t>UTC</t>
  </si>
  <si>
    <t>Fleet# / Registration Description</t>
  </si>
  <si>
    <t>Alternative Description 1</t>
  </si>
  <si>
    <t>Alternative Description 2</t>
  </si>
  <si>
    <t>Service Interval</t>
  </si>
  <si>
    <t>Service Contract Type</t>
  </si>
  <si>
    <t>MAN Telematics Package</t>
  </si>
  <si>
    <t>3-Month ServiceCare® Trial</t>
  </si>
  <si>
    <t>MAN ServiceCare® SA</t>
  </si>
  <si>
    <t>MAN TeleMatics® SA</t>
  </si>
  <si>
    <t>Cancel contract on Delivery date</t>
  </si>
  <si>
    <t>Due Service Notifications</t>
  </si>
  <si>
    <t>Primary Contact Details</t>
  </si>
  <si>
    <t>Backup Contact Details</t>
  </si>
  <si>
    <t>Title and Name</t>
  </si>
  <si>
    <t>Surname</t>
  </si>
  <si>
    <t>Job Title/Position</t>
  </si>
  <si>
    <t>Office Number</t>
  </si>
  <si>
    <t>Cell Number</t>
  </si>
  <si>
    <t>Signature*</t>
  </si>
  <si>
    <t>Stolen Vehicle Recovery</t>
  </si>
  <si>
    <t xml:space="preserve">No </t>
  </si>
  <si>
    <t>Work-In- Progress</t>
  </si>
  <si>
    <t>Contract Start Date</t>
  </si>
  <si>
    <t>Contract  End Date</t>
  </si>
  <si>
    <t>CPT26H09E9</t>
  </si>
  <si>
    <t xml:space="preserve"> ServiceCare Contract Details</t>
  </si>
  <si>
    <t>Number of Vehicles to be covered</t>
  </si>
  <si>
    <t xml:space="preserve">Service Contract </t>
  </si>
  <si>
    <r>
      <rPr>
        <b/>
        <sz val="11"/>
        <color theme="1"/>
        <rFont val="Calibri"/>
        <family val="2"/>
        <scheme val="minor"/>
      </rPr>
      <t>*Terms and Conditions for the Collection and Processing of Personal Information</t>
    </r>
    <r>
      <rPr>
        <sz val="11"/>
        <color theme="1"/>
        <rFont val="Calibri"/>
        <family val="2"/>
        <scheme val="minor"/>
      </rPr>
      <t xml:space="preserve">
1. Unless inconsistent with, or otherwise indicated by the context, the following expressions will bear the meanings assigned to         them hereunder and cognate expressions have the corresponding meanings: 
1.1. “Act” means the Protection of Personal Information Act No. 4 of 2013; 
1.2. “Data Subject” means any person whose Personal Information is subject to processing as envisaged in any commercial relationship between MAN and the Disclosing Party,;  
1.3. “Disclosing Party” means the Party that is disclosing the Personal Information to MAN; 
1.4. “Personal Information” means personal information as defined in the Act.  
2. MAN acknowledges that the information contained in this form constitutes Personal Information, which is being collected for the purpose of enabling MAN to provide the Disclosing Party with the full suite of its Service Care offering.  
3. The Disclosing Party is responsible for obtaining the consent of the Data Subject/s to the processing of the Personal Information by MAN or otherwise to ensure that the processing of such information is legally justified, prior to providing it to MAN.  
4. MAN undertakes not to – 
4.1.1. divulge, disclose, publish or otherwise make the Personal Information contained herein known to any third party, except for the purpose stipulated in clause 2 above;  
4.1.2. allow any unauthorised third party to copy or have access to the Personal Information; or 
4.1.3. allow the Personal Information to be used or processed in any manner whatsoever, except for the purpose stipulated in clause 2 above.  
5. MAN will endeavour to obtain confidentiality undertakings from any third party to whom it is necessary to disclose the Personal Information for any legitimate purpose and to enact appropriate and legally compliant contractual arrangements with such third party contractors to ensure that the Personal Information is protected and secured at all times.  
</t>
    </r>
  </si>
  <si>
    <t>Month of Invoicing</t>
  </si>
  <si>
    <t>Date/Number</t>
  </si>
  <si>
    <t>Indicator1</t>
  </si>
  <si>
    <t>Indicator2</t>
  </si>
  <si>
    <t>Month of Delivery</t>
  </si>
  <si>
    <t>Model:</t>
  </si>
  <si>
    <t>Expected Payment Date</t>
  </si>
  <si>
    <t>Financial Institution and Payment Terms</t>
  </si>
  <si>
    <t>Contract Signed</t>
  </si>
  <si>
    <t>Selected Package</t>
  </si>
  <si>
    <t>Signed Contract</t>
  </si>
  <si>
    <t>No Contract</t>
  </si>
  <si>
    <t>Selected Type</t>
  </si>
  <si>
    <t>Is Annexure Available?</t>
  </si>
  <si>
    <t>Expected Delivery Date</t>
  </si>
  <si>
    <t>CHASSIS TO BE DELIVERED</t>
  </si>
  <si>
    <t>Items</t>
  </si>
  <si>
    <t>Chassis1</t>
  </si>
  <si>
    <t>Chassis2</t>
  </si>
  <si>
    <t>MC6-3840</t>
  </si>
  <si>
    <t>MC6-3841</t>
  </si>
  <si>
    <t>MC6-3842</t>
  </si>
  <si>
    <t>MC6-3956</t>
  </si>
  <si>
    <t>MC6-3958</t>
  </si>
  <si>
    <t>MC6-3959</t>
  </si>
  <si>
    <t>Signiture:</t>
  </si>
  <si>
    <t>Name:</t>
  </si>
  <si>
    <t>Comments</t>
  </si>
  <si>
    <t>Including VAT</t>
  </si>
  <si>
    <t>MAN Automotive Sales Manager</t>
  </si>
  <si>
    <t>MAN Automotive Head Of Order Management,Planning &amp; Projects</t>
  </si>
  <si>
    <t>Sales Manager confirms the following:</t>
  </si>
  <si>
    <t>Invoicing price is correct and as per approved VSOA</t>
  </si>
  <si>
    <t>Finance Institution is correct</t>
  </si>
  <si>
    <t>All extras are completed and have  correct prices</t>
  </si>
  <si>
    <t xml:space="preserve">Over allowances are corrrect and in line with TopUsed Contract </t>
  </si>
  <si>
    <t>Subsidies for Repair and Maintenance contract are correct as per Costing Sheet</t>
  </si>
  <si>
    <t>Vehicle will be complete,ready and available for delivery</t>
  </si>
  <si>
    <t>Salesman and Dealership</t>
  </si>
  <si>
    <t>Salesman Name:</t>
  </si>
  <si>
    <r>
      <t xml:space="preserve">REQUEST FOR RELEASE </t>
    </r>
    <r>
      <rPr>
        <b/>
        <sz val="12"/>
        <color theme="0" tint="-0.499984740745262"/>
        <rFont val="Arial"/>
        <family val="2"/>
      </rPr>
      <t>(Final Delivery to Customer)</t>
    </r>
  </si>
  <si>
    <t>REQUEST FOR INVOICING</t>
  </si>
  <si>
    <t>Short Chassis</t>
  </si>
  <si>
    <t>Long Chassis Number</t>
  </si>
  <si>
    <t>Engine Number</t>
  </si>
  <si>
    <t>MAN Automotive Order Management</t>
  </si>
  <si>
    <t>INVOICING AMOUNT:
(Per Unit)</t>
  </si>
  <si>
    <t>This card must be complted by the purchaser in the event where a vehicle will not be placed /service within 1 (one ) month from date of delivery. The information durnished herein must be returned to the Warranty Department of MAN Automotive SA with 7 (seven) days from date of delivery. Failure to return this information within the prescribed period may invalidate your warranty.</t>
  </si>
  <si>
    <t>Date of Registration:</t>
  </si>
  <si>
    <t>Information must be provided if avilable at Date of Delivery. Copy of Natis Registartion Document is compulsory and must be submitted in order to validate this application. If the vehicle kilometre reading  exceeds 2 000 KM's (Two thousand kilmetres) on the intended date of registration / date of service. MAN reserve a right to use the Date of Delivery as the date on which the vehicle was placed into operation/service.</t>
  </si>
  <si>
    <t>Reason why the vehicle will not be placed into operation/service within 1 (one) month from date of delivery</t>
  </si>
  <si>
    <t>Start Date:</t>
  </si>
  <si>
    <t>End Date:</t>
  </si>
  <si>
    <t>End Date</t>
  </si>
  <si>
    <t>Start Date</t>
  </si>
  <si>
    <t xml:space="preserve">Power Take-Off (PTO) &amp; Functional Hour Meter </t>
  </si>
  <si>
    <t>Does the Vehicle has (PTO)?</t>
  </si>
  <si>
    <t>Standard Warranty &amp; Service Category</t>
  </si>
  <si>
    <t>Service Category:</t>
  </si>
  <si>
    <t>Category A+</t>
  </si>
  <si>
    <t xml:space="preserve">Category A </t>
  </si>
  <si>
    <t>Category B</t>
  </si>
  <si>
    <t>Category C</t>
  </si>
  <si>
    <t>Term:</t>
  </si>
  <si>
    <t>Mileage:</t>
  </si>
  <si>
    <t>Entire Vehicle Standard Warranty</t>
  </si>
  <si>
    <t>Driveline Standard Warranty</t>
  </si>
  <si>
    <t>Dropdown Menu</t>
  </si>
  <si>
    <t>Category A</t>
  </si>
  <si>
    <t>CLA</t>
  </si>
  <si>
    <t>TGM</t>
  </si>
  <si>
    <t>TGS/X</t>
  </si>
  <si>
    <t>VW</t>
  </si>
  <si>
    <t>Not applicable for TGM models</t>
  </si>
  <si>
    <t>Not applicable for VW models</t>
  </si>
  <si>
    <t>Not applicable for CLA models</t>
  </si>
  <si>
    <r>
      <t xml:space="preserve">MAN Automotive Sales Manager </t>
    </r>
    <r>
      <rPr>
        <i/>
        <sz val="9"/>
        <color theme="1"/>
        <rFont val="Arial"/>
        <family val="2"/>
      </rPr>
      <t>(Use Stamp if available)</t>
    </r>
  </si>
  <si>
    <t>Delivery Date</t>
  </si>
  <si>
    <t>APPLICATION FOR WARRANTY REGISTRATION</t>
  </si>
  <si>
    <t>DELIVERY RECEIPT / NOTE</t>
  </si>
  <si>
    <t>Delivery Date:</t>
  </si>
  <si>
    <t>Long Chassis Number:</t>
  </si>
  <si>
    <t>Engine Number:</t>
  </si>
  <si>
    <t>Received By:</t>
  </si>
  <si>
    <t>On behalf of:</t>
  </si>
  <si>
    <t>Received From:</t>
  </si>
  <si>
    <t>Warranty Conditions:</t>
  </si>
  <si>
    <t>DELIVERY DETAILS</t>
  </si>
  <si>
    <t>Model Year:</t>
  </si>
  <si>
    <t>Items to be checked</t>
  </si>
  <si>
    <r>
      <t>Tick   (</t>
    </r>
    <r>
      <rPr>
        <b/>
        <sz val="14"/>
        <color theme="1"/>
        <rFont val="Arial"/>
        <family val="2"/>
      </rPr>
      <t xml:space="preserve"> </t>
    </r>
    <r>
      <rPr>
        <b/>
        <sz val="14"/>
        <color theme="1"/>
        <rFont val="Calibri"/>
        <family val="2"/>
      </rPr>
      <t>√</t>
    </r>
    <r>
      <rPr>
        <sz val="10"/>
        <color theme="1"/>
        <rFont val="Calibri"/>
        <family val="2"/>
      </rPr>
      <t xml:space="preserve"> )</t>
    </r>
  </si>
  <si>
    <t>Item No.:</t>
  </si>
  <si>
    <t>Rear View Mirror</t>
  </si>
  <si>
    <r>
      <t>Tick  (</t>
    </r>
    <r>
      <rPr>
        <b/>
        <sz val="14"/>
        <color theme="1"/>
        <rFont val="Arial"/>
        <family val="2"/>
      </rPr>
      <t xml:space="preserve"> </t>
    </r>
    <r>
      <rPr>
        <b/>
        <sz val="14"/>
        <color theme="1"/>
        <rFont val="Calibri"/>
        <family val="2"/>
      </rPr>
      <t>√</t>
    </r>
    <r>
      <rPr>
        <sz val="10"/>
        <color theme="1"/>
        <rFont val="Calibri"/>
        <family val="2"/>
      </rPr>
      <t xml:space="preserve"> )</t>
    </r>
  </si>
  <si>
    <t>Head lamps</t>
  </si>
  <si>
    <t>Stop Lamps</t>
  </si>
  <si>
    <t>Tail Lamps</t>
  </si>
  <si>
    <t>Indicators</t>
  </si>
  <si>
    <t>Screen Wipers</t>
  </si>
  <si>
    <t>Reflectors</t>
  </si>
  <si>
    <t>Fuel Quantity</t>
  </si>
  <si>
    <t>Ashtray</t>
  </si>
  <si>
    <t>Ignition Key</t>
  </si>
  <si>
    <t>Door Key</t>
  </si>
  <si>
    <t>Books</t>
  </si>
  <si>
    <t>Seats</t>
  </si>
  <si>
    <t>Triangle</t>
  </si>
  <si>
    <t>Cigarette Lighter</t>
  </si>
  <si>
    <t xml:space="preserve">Battery </t>
  </si>
  <si>
    <t>Tools- Complete Set</t>
  </si>
  <si>
    <t>Jack</t>
  </si>
  <si>
    <t>Jack Handler</t>
  </si>
  <si>
    <t>Cab of Vehicle</t>
  </si>
  <si>
    <t>Upholstery</t>
  </si>
  <si>
    <t>Chassis of Vehicle</t>
  </si>
  <si>
    <t>5th Wheel</t>
  </si>
  <si>
    <t>Subframe</t>
  </si>
  <si>
    <t>Chevron</t>
  </si>
  <si>
    <t>Brake Connections</t>
  </si>
  <si>
    <t>Suzi Hoses</t>
  </si>
  <si>
    <t>Spare Wheel Carrier</t>
  </si>
  <si>
    <t>PTO</t>
  </si>
  <si>
    <t>Wheel Chocks</t>
  </si>
  <si>
    <t>Operator's Manual</t>
  </si>
  <si>
    <t>Tow Hitch</t>
  </si>
  <si>
    <t>Tyres</t>
  </si>
  <si>
    <t>Spare Wheel</t>
  </si>
  <si>
    <t>Other</t>
  </si>
  <si>
    <t>21 Day Permit 
(One per Vehicle)</t>
  </si>
  <si>
    <t>COF</t>
  </si>
  <si>
    <t>Kindly tick in coumn hereunder if satisfied that item is present, functional and in good condition. If NOT, kindly comment under REMARKS</t>
  </si>
  <si>
    <t>DETAILS OF BODY AND/OR EXTRAS:</t>
  </si>
  <si>
    <t>REMARKS:</t>
  </si>
  <si>
    <t>I/We hereby acknowledge and confirm unconditional acceptance on behalf of</t>
  </si>
  <si>
    <t>from MAN Automotive (South Africa) (Pty) Limited., of the abovementioned vehicle and /or equipment. Furthermore I/We hereby confirm that there are no demages or discrepancies other than stated above.</t>
  </si>
  <si>
    <t>COMPANY STAMP</t>
  </si>
  <si>
    <t>NAME:</t>
  </si>
  <si>
    <t>DESIGNATION:</t>
  </si>
  <si>
    <t>SIGNITURE:</t>
  </si>
  <si>
    <t>RECEIVER'S DETAILS</t>
  </si>
  <si>
    <t>MAN Automotive  provides professional driver training on your truck at the point of vehicle handover directly to your driver.</t>
  </si>
  <si>
    <t>Company Name:</t>
  </si>
  <si>
    <t>Name&amp; Surname:</t>
  </si>
  <si>
    <t>Contact Number:</t>
  </si>
  <si>
    <t>Signature:</t>
  </si>
  <si>
    <t>MAN Automotive (S.A.) (Pty) Ltd</t>
  </si>
  <si>
    <t>Founders Hill Office Park, The Views, 18 Centenary Way, Founders Hill,</t>
  </si>
  <si>
    <t>Text and illustrations non-binding.We reserve the right to make changes in the course of technical progress. The information in this brochure corresponds to our  current stste of knowledge at the time printing</t>
  </si>
  <si>
    <t>MAN Automotive- a member of the MAN Group</t>
  </si>
  <si>
    <t>ABCD Transport</t>
  </si>
  <si>
    <t>Refresh the page to update and sort chassis list</t>
  </si>
  <si>
    <t>Please refresh the page to generate NEW OTP number</t>
  </si>
  <si>
    <t>Term (In Months)</t>
  </si>
  <si>
    <t>3 Months Trial</t>
  </si>
  <si>
    <t>12 Months</t>
  </si>
  <si>
    <t>24 Months</t>
  </si>
  <si>
    <t>36 Months</t>
  </si>
  <si>
    <t>48 Months</t>
  </si>
  <si>
    <t>60 Months</t>
  </si>
  <si>
    <t>72 Months</t>
  </si>
  <si>
    <t>I hereby agree to take advantage of this special</t>
  </si>
  <si>
    <r>
      <t xml:space="preserve">Tel: +27 11 928-6800 </t>
    </r>
    <r>
      <rPr>
        <sz val="11"/>
        <color theme="0"/>
        <rFont val="Calibri"/>
        <family val="2"/>
      </rPr>
      <t>● www.mantruckandbus.co.za</t>
    </r>
  </si>
  <si>
    <t>Insert Chassis No.</t>
  </si>
  <si>
    <r>
      <t xml:space="preserve">VALUE ADDED PRODUCTS </t>
    </r>
    <r>
      <rPr>
        <b/>
        <i/>
        <sz val="10"/>
        <color theme="6" tint="-0.249977111117893"/>
        <rFont val="Arial Black"/>
        <family val="2"/>
      </rPr>
      <t>(PRICES INCLUDED IN THE CONTRACT</t>
    </r>
    <r>
      <rPr>
        <b/>
        <sz val="10"/>
        <color theme="6" tint="-0.249977111117893"/>
        <rFont val="Arial Black"/>
        <family val="2"/>
      </rPr>
      <t>)</t>
    </r>
  </si>
  <si>
    <r>
      <rPr>
        <b/>
        <sz val="10"/>
        <color theme="1"/>
        <rFont val="Arial Black"/>
        <family val="2"/>
      </rPr>
      <t>Purchaser
Name:</t>
    </r>
    <r>
      <rPr>
        <sz val="10"/>
        <color theme="1"/>
        <rFont val="Arial Black"/>
        <family val="2"/>
      </rPr>
      <t xml:space="preserve">
Signature:
Date:</t>
    </r>
  </si>
  <si>
    <r>
      <rPr>
        <b/>
        <sz val="10"/>
        <color theme="1"/>
        <rFont val="Arial Black"/>
        <family val="2"/>
      </rPr>
      <t xml:space="preserve">Sales Executive
Name:
</t>
    </r>
    <r>
      <rPr>
        <sz val="10"/>
        <color theme="1"/>
        <rFont val="Arial Black"/>
        <family val="2"/>
      </rPr>
      <t xml:space="preserve">
Signature:
Date:</t>
    </r>
  </si>
  <si>
    <r>
      <rPr>
        <b/>
        <sz val="10"/>
        <color theme="1"/>
        <rFont val="Arial Black"/>
        <family val="2"/>
      </rPr>
      <t xml:space="preserve">Sales Manager
Name
</t>
    </r>
    <r>
      <rPr>
        <sz val="10"/>
        <color theme="1"/>
        <rFont val="Arial Black"/>
        <family val="2"/>
      </rPr>
      <t xml:space="preserve">
Signature:
Date:</t>
    </r>
  </si>
  <si>
    <r>
      <rPr>
        <b/>
        <sz val="10"/>
        <color theme="1"/>
        <rFont val="Arial Black"/>
        <family val="2"/>
      </rPr>
      <t>MAN Automotive Head Office Representative</t>
    </r>
    <r>
      <rPr>
        <sz val="10"/>
        <color theme="1"/>
        <rFont val="Arial Black"/>
        <family val="2"/>
      </rPr>
      <t xml:space="preserve"> 
Name
Signature:
Date:</t>
    </r>
  </si>
  <si>
    <t>Value</t>
  </si>
  <si>
    <t>Deposit Details (Per Chassis)</t>
  </si>
  <si>
    <t>Deposit Paid by customer</t>
  </si>
  <si>
    <t>Deposit assistance (if Applicable)</t>
  </si>
  <si>
    <r>
      <rPr>
        <b/>
        <sz val="10"/>
        <color theme="0"/>
        <rFont val="Arial"/>
        <family val="2"/>
      </rPr>
      <t>In Long Haul Transport</t>
    </r>
    <r>
      <rPr>
        <sz val="10"/>
        <color theme="0"/>
        <rFont val="Arial"/>
        <family val="2"/>
      </rPr>
      <t xml:space="preserve">
The annual distance travel exceeds 100 000KM per year</t>
    </r>
  </si>
  <si>
    <r>
      <rPr>
        <b/>
        <sz val="10"/>
        <color theme="0"/>
        <rFont val="Arial"/>
        <family val="2"/>
      </rPr>
      <t>In Short Haul Transport</t>
    </r>
    <r>
      <rPr>
        <sz val="10"/>
        <color theme="0"/>
        <rFont val="Arial"/>
        <family val="2"/>
      </rPr>
      <t xml:space="preserve">
Covering between 60 000KM to 100 000KM per year</t>
    </r>
  </si>
  <si>
    <r>
      <rPr>
        <b/>
        <sz val="10"/>
        <color theme="0"/>
        <rFont val="Arial"/>
        <family val="2"/>
      </rPr>
      <t>In arduos conditions</t>
    </r>
    <r>
      <rPr>
        <sz val="10"/>
        <color theme="0"/>
        <rFont val="Arial"/>
        <family val="2"/>
      </rPr>
      <t xml:space="preserve">
Or those covering up to 60 000KM per year,e.g. all-wheel drive vehicles, vehicles with machine attachments such as concrete mixers or concrete pumps, refuse,firefighting,recovery and towing vehicles, also vehicle whose engine operating temperature fluates,predominantly around the minimum value and vehicls used predominantly on gravel roads.</t>
    </r>
  </si>
  <si>
    <t>CUSTOMER CONTACT DETAILS</t>
  </si>
  <si>
    <t>QUOTATION</t>
  </si>
  <si>
    <t>Sales Representative:</t>
  </si>
  <si>
    <t>Email:</t>
  </si>
  <si>
    <t>Total per Unit</t>
  </si>
  <si>
    <t>STANDARD PACKAGES</t>
  </si>
  <si>
    <t>Entire Vehicle (EV)</t>
  </si>
  <si>
    <t>Driveline  (DL)</t>
  </si>
  <si>
    <t>Total Term (In Months)</t>
  </si>
  <si>
    <t xml:space="preserve">VALUE ADDED PRODUCTS </t>
  </si>
  <si>
    <t>DELIVERY,PAYMENT &amp; VALIDITY CONDITIONS</t>
  </si>
  <si>
    <t>Delivery</t>
  </si>
  <si>
    <t>A final delivery schedule can be agreed at time of order confirmation</t>
  </si>
  <si>
    <t>Payment Terms</t>
  </si>
  <si>
    <t>The pricing offered in this quotation is based on receiving payment in full on delivery of each vehicle. Any changes to those payment terms must be confirmed in writing.</t>
  </si>
  <si>
    <t>Validity</t>
  </si>
  <si>
    <t>The prices quated in this offer will be held firm for acceptance for a period of 15 days from the date of this quotation, and will be subjected to review thereafter. The quoted price will also be held firm for the duratin of the supply period.</t>
  </si>
  <si>
    <t>Price offered against this quotation are subject to change based on the exchange rate rate from date of submission. The prices quoted include an element of imported content which varies in accordance with the type of vehicle offered.
These prices can be firmed up at the time of order placement with a " forward cover" rate (provided that such a rate can be offered by a registered financial institution for the delivery period). It should be noted that all costs relating to obtaining the forward cover will be for the purchaser. An alternative could be to base the pricing on the MAN AUTOMOTIVE (S.A) (Pty) Limited updated rate of exchange for every quarter.</t>
  </si>
  <si>
    <t>Contract &amp; Order Acceptance</t>
  </si>
  <si>
    <t>Any contract arising from an acceptance  of this offer, and any order for vehicle placed in terms of this Proposal is subject to the prior approval and acceptance by the board of directors of MAN SE in Germsny, the bord of MAN Truck &amp; Bus Ag in Germany and Executive Committee of MAN AUTOMOTIVE (S.A.) (Pty) Limited.</t>
  </si>
  <si>
    <t xml:space="preserve">Quotation Support Documents </t>
  </si>
  <si>
    <t>Quote Number:</t>
  </si>
  <si>
    <r>
      <t xml:space="preserve">MAN  </t>
    </r>
    <r>
      <rPr>
        <sz val="12"/>
        <color rgb="FFFF0000"/>
        <rFont val="Arial Black"/>
        <family val="2"/>
      </rPr>
      <t>TopUsed</t>
    </r>
  </si>
  <si>
    <t>Internationally, MAN | TopUsed  is the arm of our business which has the ability to evaluate and trade-in your used vehicle which have come to the end of their economic life, at fair and market related prices.</t>
  </si>
  <si>
    <t>We are pleased to offer you the following values for your trade-in vehicles, subjected to the MAN | TopUsed conditiond of return, attached hereto:-</t>
  </si>
  <si>
    <t>MODEL:</t>
  </si>
  <si>
    <t>Select Chassis item No.:</t>
  </si>
  <si>
    <t>Total (per Chassis)</t>
  </si>
  <si>
    <t>AAM30X3423PX4353</t>
  </si>
  <si>
    <t>DE32X546</t>
  </si>
  <si>
    <r>
      <rPr>
        <b/>
        <sz val="10"/>
        <color theme="0"/>
        <rFont val="Arial"/>
        <family val="2"/>
      </rPr>
      <t>In Long Haul Transport</t>
    </r>
    <r>
      <rPr>
        <sz val="10"/>
        <color theme="0"/>
        <rFont val="Arial"/>
        <family val="2"/>
      </rPr>
      <t xml:space="preserve">
Covering over 100 000KM per year
Fuel consumption: 48</t>
    </r>
    <r>
      <rPr>
        <sz val="10"/>
        <color theme="0"/>
        <rFont val="Calibri"/>
        <family val="2"/>
      </rPr>
      <t>ℓ</t>
    </r>
    <r>
      <rPr>
        <sz val="10"/>
        <color theme="0"/>
        <rFont val="Arial"/>
        <family val="2"/>
      </rPr>
      <t xml:space="preserve"> -55</t>
    </r>
    <r>
      <rPr>
        <sz val="10"/>
        <color theme="0"/>
        <rFont val="Calibri"/>
        <family val="2"/>
      </rPr>
      <t>ℓ /100KM Fuel
Sulphur below&lt;500ppm
Oil as perM3277 Castrol Vecton 10w-40 sample (wear check) at every service</t>
    </r>
  </si>
  <si>
    <r>
      <rPr>
        <b/>
        <sz val="10"/>
        <color theme="0"/>
        <rFont val="Arial"/>
        <family val="2"/>
      </rPr>
      <t>In Long Haul Transport</t>
    </r>
    <r>
      <rPr>
        <sz val="10"/>
        <color theme="0"/>
        <rFont val="Arial"/>
        <family val="2"/>
      </rPr>
      <t xml:space="preserve">
Covering up to 80 000KM per year</t>
    </r>
  </si>
  <si>
    <r>
      <rPr>
        <b/>
        <sz val="10"/>
        <color theme="0"/>
        <rFont val="Arial"/>
        <family val="2"/>
      </rPr>
      <t>In Short Haul Transport</t>
    </r>
    <r>
      <rPr>
        <sz val="10"/>
        <color theme="0"/>
        <rFont val="Arial"/>
        <family val="2"/>
      </rPr>
      <t xml:space="preserve">
Covering up to 10 000KM to 80 000KM per year</t>
    </r>
  </si>
  <si>
    <r>
      <rPr>
        <b/>
        <sz val="10"/>
        <color theme="0"/>
        <rFont val="Arial"/>
        <family val="2"/>
      </rPr>
      <t>In Short Haul Transport</t>
    </r>
    <r>
      <rPr>
        <sz val="10"/>
        <color theme="0"/>
        <rFont val="Arial"/>
        <family val="2"/>
      </rPr>
      <t xml:space="preserve">
Covering up to 10 000KM to &lt;80 000KM per year</t>
    </r>
  </si>
  <si>
    <r>
      <rPr>
        <b/>
        <sz val="10"/>
        <color theme="0"/>
        <rFont val="Arial"/>
        <family val="2"/>
      </rPr>
      <t>In Short Haul Transport</t>
    </r>
    <r>
      <rPr>
        <sz val="10"/>
        <color theme="0"/>
        <rFont val="Arial"/>
        <family val="2"/>
      </rPr>
      <t xml:space="preserve">
Covering up to 15 000KM to 80 000KM per year</t>
    </r>
  </si>
  <si>
    <r>
      <rPr>
        <b/>
        <sz val="10"/>
        <color theme="0"/>
        <rFont val="Arial"/>
        <family val="2"/>
      </rPr>
      <t>In arduos conditions</t>
    </r>
    <r>
      <rPr>
        <sz val="10"/>
        <color theme="0"/>
        <rFont val="Arial"/>
        <family val="2"/>
      </rPr>
      <t xml:space="preserve">
Or those covering up to 10 000KM per year,e.g. all-wheel drive vehicles, vehicles with machine attachments such as concrete mixers or concrete pumps, refuse,firefighting,recovery and towing vehicles, also vehicle whose engine operating temperature fluates,predominantly around the minimum value and vehicls used predominantly on gravel roads.</t>
    </r>
  </si>
  <si>
    <r>
      <rPr>
        <b/>
        <sz val="10"/>
        <color theme="0"/>
        <rFont val="Arial"/>
        <family val="2"/>
      </rPr>
      <t>In arduos conditions</t>
    </r>
    <r>
      <rPr>
        <sz val="10"/>
        <color theme="0"/>
        <rFont val="Arial"/>
        <family val="2"/>
      </rPr>
      <t xml:space="preserve">
Or those covering up to 15 000KM per year,e.g. all-wheel drive tippers, vehicles with machine attachments such as concrete mixers or concrete pumps, refuse,firefighting,recovery and towing vehicles, also vehicle with long idling periods or vehicle  whose engine operating temperature fluates,predominantly around the minimum value and vehicles used predominantly on gravel roads.</t>
    </r>
  </si>
  <si>
    <t>Cent Per Kilometer</t>
  </si>
  <si>
    <t>Total Mileage (In Kilometers)</t>
  </si>
  <si>
    <t>Mileage (in Kilometers)</t>
  </si>
  <si>
    <t>Mileage  (in Kilometers)</t>
  </si>
  <si>
    <t>Cents Per Kilometers (CPK)</t>
  </si>
  <si>
    <t>Ext</t>
  </si>
  <si>
    <t>Fact</t>
  </si>
  <si>
    <t>TBATG0X1</t>
  </si>
  <si>
    <t>350 000 KM</t>
  </si>
  <si>
    <t>437 500 KM</t>
  </si>
  <si>
    <t>525 000 KM</t>
  </si>
  <si>
    <t>562 500 KM</t>
  </si>
  <si>
    <t>612 500 KM</t>
  </si>
  <si>
    <t>675 000 KM</t>
  </si>
  <si>
    <t>787 500 KM</t>
  </si>
  <si>
    <t>72 MONTHS</t>
  </si>
  <si>
    <t>875 000 KM</t>
  </si>
  <si>
    <t>900 000 KM</t>
  </si>
  <si>
    <t>Longhaul</t>
  </si>
  <si>
    <t xml:space="preserve">1. Definitions
In these Terms and Conditions:
</t>
  </si>
  <si>
    <r>
      <t>1.1.     “</t>
    </r>
    <r>
      <rPr>
        <b/>
        <sz val="12"/>
        <color rgb="FF000000"/>
        <rFont val="Arial"/>
        <family val="2"/>
      </rPr>
      <t>Agreement</t>
    </r>
    <r>
      <rPr>
        <sz val="12"/>
        <color rgb="FF000000"/>
        <rFont val="Arial"/>
        <family val="2"/>
      </rPr>
      <t xml:space="preserve">” means these Terms and Conditions, the OTP, Order Confirmation and Invoice/s in respect of the sale and delivery of Goods by MAN to the Purchaser; </t>
    </r>
  </si>
  <si>
    <t>1.2.     “Goods” means any commercial vehicles including any units contained therein, and any MAN Genuine Parts, MAN Genuine Parts ecoline and MAN Genuine Accessories;</t>
  </si>
  <si>
    <r>
      <t>1.4.     “</t>
    </r>
    <r>
      <rPr>
        <b/>
        <sz val="12"/>
        <color theme="1"/>
        <rFont val="Arial"/>
        <family val="2"/>
      </rPr>
      <t>Order Confirmation</t>
    </r>
    <r>
      <rPr>
        <sz val="12"/>
        <color theme="1"/>
        <rFont val="Arial"/>
        <family val="2"/>
      </rPr>
      <t>” means an order signed by the Purchaser.</t>
    </r>
  </si>
  <si>
    <r>
      <t>1.5.     “</t>
    </r>
    <r>
      <rPr>
        <b/>
        <sz val="12"/>
        <color theme="1"/>
        <rFont val="Arial"/>
        <family val="2"/>
      </rPr>
      <t>OTP</t>
    </r>
    <r>
      <rPr>
        <sz val="12"/>
        <color theme="1"/>
        <rFont val="Arial"/>
        <family val="2"/>
      </rPr>
      <t xml:space="preserve">” means an Offer to Purchase that is duly signed by the authorised representatives of the Purchaser and MAN; </t>
    </r>
  </si>
  <si>
    <r>
      <t>1.6.     “</t>
    </r>
    <r>
      <rPr>
        <b/>
        <sz val="12"/>
        <color theme="1"/>
        <rFont val="Arial"/>
        <family val="2"/>
      </rPr>
      <t>Purchaser</t>
    </r>
    <r>
      <rPr>
        <sz val="12"/>
        <color theme="1"/>
        <rFont val="Arial"/>
        <family val="2"/>
      </rPr>
      <t xml:space="preserve">” means any person or entity which is buying Goods from MAN; </t>
    </r>
  </si>
  <si>
    <r>
      <t>1.8.     “</t>
    </r>
    <r>
      <rPr>
        <b/>
        <sz val="12"/>
        <color theme="1"/>
        <rFont val="Arial"/>
        <family val="2"/>
      </rPr>
      <t>Spare Parts</t>
    </r>
    <r>
      <rPr>
        <sz val="12"/>
        <color theme="1"/>
        <rFont val="Arial"/>
        <family val="2"/>
      </rPr>
      <t xml:space="preserve">” means MAN Genuine Parts, MAN Genuine Parts ecoline and MAN Genuine Accessories; and </t>
    </r>
  </si>
  <si>
    <r>
      <t>1.9.     “</t>
    </r>
    <r>
      <rPr>
        <b/>
        <sz val="12"/>
        <color theme="1"/>
        <rFont val="Arial"/>
        <family val="2"/>
      </rPr>
      <t>Vehicles</t>
    </r>
    <r>
      <rPr>
        <sz val="12"/>
        <color theme="1"/>
        <rFont val="Arial"/>
        <family val="2"/>
      </rPr>
      <t xml:space="preserve">” means new or used commercial trucks and/or buses which are assembled and sold by MAN.  </t>
    </r>
  </si>
  <si>
    <r>
      <t xml:space="preserve">2.    </t>
    </r>
    <r>
      <rPr>
        <b/>
        <sz val="12"/>
        <color theme="1"/>
        <rFont val="Arial"/>
        <family val="2"/>
      </rPr>
      <t>Scope and Application</t>
    </r>
  </si>
  <si>
    <t xml:space="preserve">       2.1.     These Terms and Conditions – </t>
  </si>
  <si>
    <t xml:space="preserve">                   2.1.1.     apply to the sale and delivery of any Goods by MAN to the Purchaser. </t>
  </si>
  <si>
    <t xml:space="preserve">                   2.1.2.     take precedence over any provisions in any document issued by MAN or by the Purchaser, unless otherwise agreed to by the Parties in writing; </t>
  </si>
  <si>
    <t xml:space="preserve">                   2.1.3.     may not be varied except by a written document signed by the duly authorised representatives of MAN.  </t>
  </si>
  <si>
    <t xml:space="preserve">       2.3.     Only Purchasers that are members of MAN’s sales network are allowed to on‑sell the Goods in the normal course and scope of their business.  </t>
  </si>
  <si>
    <r>
      <t xml:space="preserve">3.    </t>
    </r>
    <r>
      <rPr>
        <b/>
        <sz val="12"/>
        <color theme="1"/>
        <rFont val="Arial"/>
        <family val="2"/>
      </rPr>
      <t>Quotations</t>
    </r>
  </si>
  <si>
    <t xml:space="preserve">       3.1.     All quotations issued by MAN are obligation-free unless otherwise expressly stipulated in the quotation.  </t>
  </si>
  <si>
    <t xml:space="preserve">       3.2.     MAN cannot guarantee reservation of used Vehicles without a signed OTP, payment or finance approval. </t>
  </si>
  <si>
    <r>
      <t xml:space="preserve">4.    </t>
    </r>
    <r>
      <rPr>
        <b/>
        <sz val="12"/>
        <color theme="1"/>
        <rFont val="Arial"/>
        <family val="2"/>
      </rPr>
      <t>Effective Date</t>
    </r>
  </si>
  <si>
    <r>
      <t xml:space="preserve">5.    </t>
    </r>
    <r>
      <rPr>
        <b/>
        <sz val="12"/>
        <color theme="1"/>
        <rFont val="Arial"/>
        <family val="2"/>
      </rPr>
      <t>Purchase Price</t>
    </r>
  </si>
  <si>
    <t xml:space="preserve">        5.1.     The Purchase Price payable for the Goods is the price as stipulated in MAN’s invoice, which will be based on the Quotation.  </t>
  </si>
  <si>
    <t xml:space="preserve">        5.2.     Any additional services agreed upon (e.g. transfer costs, packaging, financing costs) will be an extra charge as reflected on MAN’s invoice.  </t>
  </si>
  <si>
    <r>
      <t xml:space="preserve">6.    </t>
    </r>
    <r>
      <rPr>
        <b/>
        <sz val="12"/>
        <color theme="1"/>
        <rFont val="Arial"/>
        <family val="2"/>
      </rPr>
      <t>Payment</t>
    </r>
  </si>
  <si>
    <t xml:space="preserve">       6.1.     For specialised Vehicles the Purchaser must pay an agreed amount as a non‑refundable deposit to MAN and sign-off on the specifications prior to MAN placing an order. </t>
  </si>
  <si>
    <t xml:space="preserve">                   6.2.1.     proof of payment from the Purchaser’s bank;</t>
  </si>
  <si>
    <t xml:space="preserve">                   6.2.2.     release note from a reputable financial institution; or</t>
  </si>
  <si>
    <t xml:space="preserve">                   6.2.3.     any other payment/credit terms as applied for by the Purchaser and approved by MAN subject to MAN’s standard credit approval process.</t>
  </si>
  <si>
    <r>
      <t xml:space="preserve">7.    </t>
    </r>
    <r>
      <rPr>
        <b/>
        <sz val="12"/>
        <color theme="1"/>
        <rFont val="Arial"/>
        <family val="2"/>
      </rPr>
      <t>Interest on Late Payments</t>
    </r>
  </si>
  <si>
    <r>
      <t xml:space="preserve">8.    </t>
    </r>
    <r>
      <rPr>
        <b/>
        <sz val="12"/>
        <color theme="1"/>
        <rFont val="Arial"/>
        <family val="2"/>
      </rPr>
      <t xml:space="preserve">Remedies for non-payment </t>
    </r>
  </si>
  <si>
    <t xml:space="preserve">       If the Purchaser defaults on its payment obligations – </t>
  </si>
  <si>
    <t xml:space="preserve">       8.1.     MAN is entitled to repossess and resell the Goods and accessories on the open market for the best possible price; </t>
  </si>
  <si>
    <t xml:space="preserve">       8.2.     the Purchaser will be liable for any shortfall if the resale price is lower than the Purchase Price.  </t>
  </si>
  <si>
    <t xml:space="preserve">       8.3.     MAN may charge the Purchaser either 5% of the Purchase Price or the sum of all costs arising from the repossession and resale of the Goods, whichever is more.</t>
  </si>
  <si>
    <t xml:space="preserve">       8.4.     MAN is entitled to withhold any deposit made in respect of the above mentioned Goods and accessories purchased. </t>
  </si>
  <si>
    <t xml:space="preserve">       8.5.     If the Purchaser is in default and the transaction is subject to the NCA, MAN may implement the provisions of the NCA to enforce its right in terms of this Agreement.</t>
  </si>
  <si>
    <t xml:space="preserve">               8.6.1.     suspending the delivery and provision of goods and services; </t>
  </si>
  <si>
    <t xml:space="preserve">               8.6.2.     demanding immediate payment of all outstanding amounts; </t>
  </si>
  <si>
    <t xml:space="preserve">               8.6.3.     terminating the Agreement; and</t>
  </si>
  <si>
    <t xml:space="preserve">               8.6.4.     enforcing any security furnished in respect of the Agreement. </t>
  </si>
  <si>
    <t xml:space="preserve">       8.7.     The Purchaser will be liable for all legal costs, as may be permissible in law, in recovering any amount that the Purchaser owes MAN.</t>
  </si>
  <si>
    <r>
      <t xml:space="preserve">9.    </t>
    </r>
    <r>
      <rPr>
        <b/>
        <sz val="12"/>
        <color theme="1"/>
        <rFont val="Arial"/>
        <family val="2"/>
      </rPr>
      <t>Delivery</t>
    </r>
  </si>
  <si>
    <t xml:space="preserve">        9.1.     Delivery dates and periods will be as agreed upon by the Parties in writing. </t>
  </si>
  <si>
    <t xml:space="preserve">        9.3.     MAN will not be liable for any loss or damages resulting from the consequent delay in the delivery caused by the Purchaser.  </t>
  </si>
  <si>
    <t xml:space="preserve">        9.4.     MAN will only be deemed to be in breach of its delivery obligation if it fails to deliver the Goods within 6 (six) weeks after the expiry of the agreed delivery period and MAN 
                    receives written notice from the Purchaser at the end of such period, calling on MAN to deliver.  </t>
  </si>
  <si>
    <t xml:space="preserve">        9.5.     If, MAN fails to deliver the Goods within the period specified in clause 9.4 above, the Purchaser may – </t>
  </si>
  <si>
    <t xml:space="preserve">              9.5.2.     claim specific performance and set a reasonable time period for the delivery of the Goods; and/or </t>
  </si>
  <si>
    <t xml:space="preserve">              9.5.3.     demand compensation from MAN, subject to the provisions of clause 9.6.   </t>
  </si>
  <si>
    <t xml:space="preserve">       9.7.     In the case of force majeure or a disruption of operations as a result of which MAN cannot deliver the Goods within the delivery period through no fault of its own, the
                    periods and deadlines named in this clause 9 will be extended by the duration of the disruption caused by these circumstances.  If such disruptions cause a delay in 
                    performance of more than 6 (six) months, the Purchaser will be entitled to withdraw from the Agreement in the event of which MAN’s liability will be limited to 
                    refunding any amounts actually paid by the Purchaser towards the Purchase Price.</t>
  </si>
  <si>
    <r>
      <t xml:space="preserve">10.     </t>
    </r>
    <r>
      <rPr>
        <b/>
        <sz val="12"/>
        <color theme="1"/>
        <rFont val="Arial"/>
        <family val="2"/>
      </rPr>
      <t>Transfer of Risk</t>
    </r>
    <r>
      <rPr>
        <sz val="12"/>
        <color theme="1"/>
        <rFont val="Arial"/>
        <family val="2"/>
      </rPr>
      <t xml:space="preserve">
           Unless otherwise agreed by the Parties in writing and subject to the provisions of clause 11, all risks in and to the Goods will be transferred to the          
           Purchaser Unless otherwise agreed by the Parties in writing and subject to the provisions of clause 11, all risks in and to the Goods will be transferred to the Purchaser 
            upon dispatch by MAN or collection by the Purchaser. </t>
    </r>
  </si>
  <si>
    <r>
      <t xml:space="preserve">11.     </t>
    </r>
    <r>
      <rPr>
        <b/>
        <sz val="12"/>
        <color theme="1"/>
        <rFont val="Arial"/>
        <family val="2"/>
      </rPr>
      <t>Retention of Title</t>
    </r>
  </si>
  <si>
    <t xml:space="preserve">         11.1.      The Goods remain the property of MAN until the Purchaser has paid the Purchase Price and settled any other claims that MAN has against the Purchaser in full.  </t>
  </si>
  <si>
    <t xml:space="preserve">         11.2.      During the period of retention of title – </t>
  </si>
  <si>
    <t xml:space="preserve">                       11.2.2.      the Goods may not be pledged or transferred or encumbered as security for the Purchaser’s obligations in any way;  </t>
  </si>
  <si>
    <t xml:space="preserve">                       11.2.3.      in the event of writs of execution being exercised in respect of the Goods by the Purchaser’s creditors, the Purchaser must notify MAN immediately and 
                                          notify any persons attempting to execute such writ of MAN’s retention of title thereon; </t>
  </si>
  <si>
    <t xml:space="preserve">                       11.2.6.      the Purchaser is obliged to maintain the Goods in proper working condition and to immediately and professionally conduct any repairs that are necessary.  </t>
  </si>
  <si>
    <r>
      <t xml:space="preserve">12.     </t>
    </r>
    <r>
      <rPr>
        <b/>
        <sz val="12"/>
        <color theme="1"/>
        <rFont val="Arial"/>
        <family val="2"/>
      </rPr>
      <t>Liability for Defects</t>
    </r>
  </si>
  <si>
    <t xml:space="preserve">           12.2.      Any other claims to which the Purchaser is entitled in law, which are not regulated by MAN’s warranty terms and conditions will lapse in accordance with the ordinary 
                           statutory periods for the limitation of liability.  </t>
  </si>
  <si>
    <t xml:space="preserve">           12.3.      Notwithstanding anything to the contrary contained herein or in any other purported written or oral arrangement between the Parties, MAN will not be liable for any indirect
                          or consequential loss or damages howsoever arising, including as a 
                          result of the negligent act or omission by MAN and its employees, authorised dealers, agents, sub‑contractors, cessionaries, assignees or successors-in-title.  </t>
  </si>
  <si>
    <r>
      <t>13.   </t>
    </r>
    <r>
      <rPr>
        <b/>
        <sz val="12"/>
        <color theme="1"/>
        <rFont val="Arial"/>
        <family val="2"/>
      </rPr>
      <t>  Applicable law</t>
    </r>
  </si>
  <si>
    <t xml:space="preserve">         This Agreement is subject to the laws of the Republic of South Africa.  </t>
  </si>
  <si>
    <t xml:space="preserve">Name: _____________________________                                                                                     Date: ______________                                                                                                            Signature: _______________                 </t>
  </si>
  <si>
    <t>2018-06-3</t>
  </si>
  <si>
    <t>1806</t>
  </si>
  <si>
    <t>BFN50H02A5</t>
  </si>
  <si>
    <t>The above special has been commnicated to me</t>
  </si>
  <si>
    <r>
      <rPr>
        <sz val="11"/>
        <color theme="1"/>
        <rFont val="Arial"/>
        <family val="2"/>
      </rPr>
      <t>v.3_January 2018</t>
    </r>
    <r>
      <rPr>
        <sz val="11"/>
        <color theme="1"/>
        <rFont val="Arial Black"/>
        <family val="2"/>
      </rPr>
      <t xml:space="preserve">
 </t>
    </r>
    <r>
      <rPr>
        <b/>
        <sz val="14"/>
        <color theme="1"/>
        <rFont val="Arial Black"/>
        <family val="2"/>
      </rPr>
      <t>Conditions for the Sale and Delivery of Commercial Vehicles, MAN Genuine Parts, 
MAN Genuine Parts ecoline and MAN Genuine Accessories</t>
    </r>
  </si>
  <si>
    <r>
      <t>1.3.     “</t>
    </r>
    <r>
      <rPr>
        <b/>
        <sz val="12"/>
        <color theme="1"/>
        <rFont val="Arial"/>
        <family val="2"/>
      </rPr>
      <t>MAN</t>
    </r>
    <r>
      <rPr>
        <sz val="12"/>
        <color theme="1"/>
        <rFont val="Arial"/>
        <family val="2"/>
      </rPr>
      <t xml:space="preserve">” means MAN Automotive (South Africa) Proprietary Limited with its principal place of business being The Views, Founders Hill Office Park, 18 Centenary Way, Modderfontein, 1613 
              and its cessionaries, assignees or successors-in-title; </t>
    </r>
  </si>
  <si>
    <r>
      <t>1.7.     “</t>
    </r>
    <r>
      <rPr>
        <b/>
        <sz val="12"/>
        <color theme="1"/>
        <rFont val="Arial"/>
        <family val="2"/>
      </rPr>
      <t>Purchase Price</t>
    </r>
    <r>
      <rPr>
        <sz val="12"/>
        <color theme="1"/>
        <rFont val="Arial"/>
        <family val="2"/>
      </rPr>
      <t xml:space="preserve">” means the price of Goods ex-works, without any cash discount or other reductions, plus the price for any additional services agreed upon and the Value-Added Tax applicable on the 
              date of delivery;  </t>
    </r>
  </si>
  <si>
    <t xml:space="preserve">       2.2.     Notwithstanding anything to the contrary herein contained, MAN may, despite acceptance of the OTP, cancel the contract at any time prior to delivery of the Goods, in which case 
                   MAN’s liability will be limited to refunding any amounts actually paid by the Purchaser towards the Purchase Price.  </t>
  </si>
  <si>
    <t xml:space="preserve">       The Agreement will become effective when a duly authorised representative of MAN countersigns the OTP and delivers it to the Purchaser together with the Order Confirmation.  </t>
  </si>
  <si>
    <t xml:space="preserve">       6.2.     The Purchase Price or balance thereof is payable in full and free of set-off or deduction to an account specified by MAN in its invoice on the basis of cash on delivery unless MAN has, at its sole 
                   discretion agreed to effect delivery of the Goods  upon receipt by  MAN of –</t>
  </si>
  <si>
    <t xml:space="preserve">       If any amount due to MAN is not paid to MAN on the due date for such amount, then the total amount which is due, owing and payable to MAN will, without prejudice to any of MAN's rights under this Agreement 
       and/or at law, bear interest from such due date to the date of actual receipt of such amount by MAN in full (both dates inclusive) at 3% above the Prime Rate, or at the maximum prescribed interest rate if this 
       Agreement is subject to the National Credit Act 34 of 2005 (“NCA”) and the total amount plus  interest will be payable on demand.  The term “Prime Rate” means the prime overdraft rate of interest as publicly 
       quoted by Nedbank Limited (or its successor in title),  </t>
  </si>
  <si>
    <t xml:space="preserve">       8.6.     If the Purchaser is in default of this Agreement and this Agreement is not subject to the NCA, MAN may exercise its rights, as may be permissible in law and without prejudice to any of MAN's other 
                   rights, which include any one or more of the following – </t>
  </si>
  <si>
    <t xml:space="preserve">        9.2.     MAN will be deemed to have met the delivery deadline if the Goods are made ready for collection or dispatched by MAN to the Purchaser before the agreed delivery date or expiration of the agreed 
                    delivery period.  The Goods will be deemed to  have been duly delivered when the delivery confirmation is signed by the Purchaser or its appointed agent.  In the case of Spare Parts, they will be 
                   deemed to have been delivered upon collection or dispatch from MAN.  </t>
  </si>
  <si>
    <t xml:space="preserve">              9.5.1.     withdraw from the Agreement in the event of which MAN’s liability will be limited to refunding any amounts actually paid by the Purchaser towards the Purchase Price;  </t>
  </si>
  <si>
    <t xml:space="preserve">       9.6.     MAN will only be liable to compensate the Purchaser for direct damages resulting from a delay in delivery if such delay was caused by the grossly negligent or intentional breach of duty by MAN.  
                  The compensation payable in terms of this clause 9.6 is limited to a maximum of 5% (five percent) of the Purchase Price.  </t>
  </si>
  <si>
    <t xml:space="preserve">                      11.2.1.      MAN’s right to withdraw from this Agreement and to repossess and/or re-sell the Goods may not be limited by any claim that the Goods are required to maintain the Purchaser's business; </t>
  </si>
  <si>
    <t xml:space="preserve">                       11.2.4.      the costs of measures to uplift the writs of execution on the Goods, including the costs of legal proceedings on an attorney and own client scale, will be  borne by the Purchaser if MAN is 
                                          unable to collect such costs from the opposing party; </t>
  </si>
  <si>
    <t xml:space="preserve">                       11.2.5.      the Purchaser must insure the Goods from theft, burglary, fire, third-party liability and damage with the proviso that MAN will be entitled to the rights under the insurance policy until 
                                          full payment of the balance of the Purchase Price is made and proof of the insurance policy and payment of the premium must be submitted to MAN on request; and</t>
  </si>
  <si>
    <t xml:space="preserve">         11.3.      MAN will only waive the retention of title if the Purchaser has incontestably fulfilled all obligations in connection with the Goods or if the Purchaser provides adequate security to the satisfaction of 
                        MAN for any other claims arising from normal business relations.  </t>
  </si>
  <si>
    <t xml:space="preserve">           12.1.      MAN’s liability for defects in the Goods are as stipulated in MAN’s Warranty Conditions which the Purchaser warrants that it has read, understood and agrees with in their  entirety.  </t>
  </si>
  <si>
    <r>
      <t xml:space="preserve">Customer </t>
    </r>
    <r>
      <rPr>
        <i/>
        <sz val="9"/>
        <color theme="1"/>
        <rFont val="Arial"/>
        <family val="2"/>
      </rPr>
      <t>(Use Stamp if available)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</si>
</sst>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R&quot;\ #,##0;&quot;R&quot;\ \-#,##0"/>
    <numFmt numFmtId="165" formatCode="&quot;R&quot;\ #,##0;[Red]&quot;R&quot;\ \-#,##0"/>
    <numFmt numFmtId="166" formatCode="&quot;R&quot;\ #,##0.00;&quot;R&quot;\ \-#,##0.00"/>
    <numFmt numFmtId="167" formatCode="_ &quot;R&quot;\ * #,##0.00_ ;_ &quot;R&quot;\ * \-#,##0.00_ ;_ &quot;R&quot;\ * &quot;-&quot;??_ ;_ @_ "/>
    <numFmt numFmtId="168" formatCode="_ * #,##0.00_ ;_ * \-#,##0.00_ ;_ * &quot;-&quot;??_ ;_ @_ "/>
    <numFmt numFmtId="169" formatCode="_-* #,##0.00_-;\-* #,##0.00_-;_-* &quot;-&quot;??_-;_-@_-"/>
    <numFmt numFmtId="170" formatCode="&quot;R&quot;\ #,##0.00"/>
    <numFmt numFmtId="171" formatCode="&quot;R&quot;\ #,##0"/>
    <numFmt numFmtId="172" formatCode="#,##0_ ;[Red]\-#,##0\ "/>
    <numFmt numFmtId="173" formatCode="0.0%"/>
    <numFmt numFmtId="174" formatCode="_ * #,##0_ ;_ * \-#,##0_ ;_ * &quot;-&quot;??_ ;_ @_ "/>
    <numFmt numFmtId="175" formatCode="[$-409]dd\-mmm\-yy;@"/>
    <numFmt numFmtId="176" formatCode="_(* #,##0.00_);_(* \(#,##0.00\);_(* &quot;-&quot;??_);_(@_)"/>
    <numFmt numFmtId="177" formatCode="#,##0_ ;\-#,##0\ "/>
    <numFmt numFmtId="178" formatCode="m/d/yy;@"/>
    <numFmt numFmtId="179" formatCode="[$-409]mmm\-yy;@"/>
    <numFmt numFmtId="180" formatCode="[$-409]d\-mmm;@"/>
    <numFmt numFmtId="181" formatCode="_(&quot;R&quot;* #,##0.00_);_(&quot;R&quot;* \(#,##0.00\);_(&quot;R&quot;* &quot;-&quot;??_);_(@_)"/>
    <numFmt numFmtId="182" formatCode="0.0"/>
    <numFmt numFmtId="183" formatCode="[$-F800]dddd\,\ mmmm\ dd\,\ yyyy"/>
    <numFmt numFmtId="184" formatCode="mmm\-dd"/>
    <numFmt numFmtId="185" formatCode="mm\-yyyy"/>
    <numFmt numFmtId="186" formatCode="0.0_)"/>
    <numFmt numFmtId="187" formatCode="mmm\-yyyy"/>
    <numFmt numFmtId="188" formatCode="yyyy\-mm\-dd"/>
    <numFmt numFmtId="189" formatCode="#,##0.0000_ ;\-#,##0.0000\ "/>
    <numFmt numFmtId="190" formatCode="0.0000"/>
  </numFmts>
  <fonts count="147">
    <font>
      <sz val="11"/>
      <color theme="1"/>
      <name val="Calibri"/>
      <family val="2"/>
      <scheme val="minor"/>
    </font>
    <font>
      <sz val="11"/>
      <color theme="1"/>
      <name val="Calibri"/>
      <family val="2"/>
      <scheme val="minor"/>
    </font>
    <font>
      <b/>
      <sz val="14"/>
      <name val="Arial"/>
      <family val="2"/>
    </font>
    <font>
      <b/>
      <sz val="9"/>
      <color indexed="81"/>
      <name val="Tahoma"/>
      <family val="2"/>
    </font>
    <font>
      <sz val="12"/>
      <name val="Calibri"/>
      <family val="2"/>
      <scheme val="minor"/>
    </font>
    <font>
      <b/>
      <sz val="12"/>
      <name val="Arial"/>
      <family val="2"/>
    </font>
    <font>
      <b/>
      <sz val="12"/>
      <color theme="1"/>
      <name val="Arial"/>
      <family val="2"/>
    </font>
    <font>
      <sz val="12"/>
      <name val="Arial"/>
      <family val="2"/>
    </font>
    <font>
      <sz val="12"/>
      <color theme="1"/>
      <name val="Arial"/>
      <family val="2"/>
    </font>
    <font>
      <b/>
      <sz val="10"/>
      <color theme="1"/>
      <name val="Arial"/>
      <family val="2"/>
    </font>
    <font>
      <sz val="10"/>
      <color rgb="FFFF0000"/>
      <name val="Arial"/>
      <family val="2"/>
    </font>
    <font>
      <b/>
      <sz val="10"/>
      <color rgb="FFFF0000"/>
      <name val="Arial"/>
      <family val="2"/>
    </font>
    <font>
      <sz val="10"/>
      <color theme="0"/>
      <name val="Arial"/>
      <family val="2"/>
    </font>
    <font>
      <sz val="10"/>
      <name val="Arial"/>
      <family val="2"/>
    </font>
    <font>
      <b/>
      <sz val="10"/>
      <name val="Arial"/>
      <family val="2"/>
    </font>
    <font>
      <b/>
      <sz val="11"/>
      <color theme="1"/>
      <name val="Calibri"/>
      <family val="2"/>
      <scheme val="minor"/>
    </font>
    <font>
      <sz val="9"/>
      <color indexed="81"/>
      <name val="Tahoma"/>
      <family val="2"/>
    </font>
    <font>
      <i/>
      <sz val="10"/>
      <color theme="1"/>
      <name val="Arial"/>
      <family val="2"/>
    </font>
    <font>
      <b/>
      <sz val="18"/>
      <name val="Arial"/>
      <family val="2"/>
    </font>
    <font>
      <b/>
      <sz val="16"/>
      <name val="Arial"/>
      <family val="2"/>
    </font>
    <font>
      <sz val="11"/>
      <name val="Calibri"/>
      <family val="2"/>
      <scheme val="minor"/>
    </font>
    <font>
      <u/>
      <sz val="10"/>
      <color theme="10"/>
      <name val="Arial"/>
      <family val="2"/>
    </font>
    <font>
      <u/>
      <sz val="10"/>
      <color indexed="12"/>
      <name val="Arial"/>
      <family val="2"/>
    </font>
    <font>
      <sz val="10"/>
      <color theme="1"/>
      <name val="Arial"/>
      <family val="2"/>
    </font>
    <font>
      <b/>
      <sz val="11"/>
      <color theme="0"/>
      <name val="Calibri"/>
      <family val="2"/>
      <scheme val="minor"/>
    </font>
    <font>
      <b/>
      <i/>
      <u/>
      <sz val="10"/>
      <color theme="5" tint="-0.249977111117893"/>
      <name val="Arial"/>
      <family val="2"/>
    </font>
    <font>
      <b/>
      <sz val="12"/>
      <color theme="1"/>
      <name val="Calibri"/>
      <family val="2"/>
      <scheme val="minor"/>
    </font>
    <font>
      <sz val="10"/>
      <color indexed="8"/>
      <name val="Arial"/>
      <family val="2"/>
    </font>
    <font>
      <b/>
      <sz val="9"/>
      <color theme="1"/>
      <name val="Arial"/>
      <family val="2"/>
    </font>
    <font>
      <sz val="9"/>
      <color theme="1"/>
      <name val="Arial"/>
      <family val="2"/>
    </font>
    <font>
      <b/>
      <sz val="14"/>
      <color theme="1"/>
      <name val="Arial"/>
      <family val="2"/>
    </font>
    <font>
      <sz val="8"/>
      <color theme="5" tint="0.59999389629810485"/>
      <name val="Calibri"/>
      <family val="2"/>
      <scheme val="minor"/>
    </font>
    <font>
      <sz val="12"/>
      <color theme="0"/>
      <name val="Arial"/>
      <family val="2"/>
    </font>
    <font>
      <b/>
      <sz val="12"/>
      <color theme="0"/>
      <name val="Arial"/>
      <family val="2"/>
    </font>
    <font>
      <b/>
      <sz val="14"/>
      <color rgb="FF0000FF"/>
      <name val="Arial"/>
      <family val="2"/>
    </font>
    <font>
      <sz val="14"/>
      <color rgb="FF0000FF"/>
      <name val="Arial"/>
      <family val="2"/>
    </font>
    <font>
      <sz val="12"/>
      <name val="Arial MT"/>
    </font>
    <font>
      <b/>
      <sz val="28"/>
      <color theme="1"/>
      <name val="Calibri"/>
      <family val="2"/>
      <scheme val="minor"/>
    </font>
    <font>
      <b/>
      <sz val="14"/>
      <color theme="1"/>
      <name val="Calibri"/>
      <family val="2"/>
      <scheme val="minor"/>
    </font>
    <font>
      <b/>
      <sz val="12"/>
      <color rgb="FFFF0000"/>
      <name val="Arial"/>
      <family val="2"/>
    </font>
    <font>
      <b/>
      <sz val="11"/>
      <name val="Arial"/>
      <family val="2"/>
    </font>
    <font>
      <b/>
      <sz val="10"/>
      <color theme="0"/>
      <name val="Arial"/>
      <family val="2"/>
    </font>
    <font>
      <sz val="11"/>
      <color theme="0"/>
      <name val="Calibri"/>
      <family val="2"/>
      <scheme val="minor"/>
    </font>
    <font>
      <sz val="8"/>
      <color theme="0"/>
      <name val="Calibri"/>
      <family val="2"/>
      <scheme val="minor"/>
    </font>
    <font>
      <i/>
      <sz val="10"/>
      <color theme="0"/>
      <name val="Arial"/>
      <family val="2"/>
    </font>
    <font>
      <sz val="11"/>
      <color theme="5" tint="0.59999389629810485"/>
      <name val="Calibri"/>
      <family val="2"/>
      <scheme val="minor"/>
    </font>
    <font>
      <b/>
      <i/>
      <u/>
      <sz val="10"/>
      <color theme="0"/>
      <name val="Arial"/>
      <family val="2"/>
    </font>
    <font>
      <b/>
      <sz val="22"/>
      <name val="Arial"/>
      <family val="2"/>
    </font>
    <font>
      <b/>
      <sz val="22"/>
      <name val="Times New Roman"/>
      <family val="1"/>
    </font>
    <font>
      <b/>
      <u/>
      <sz val="14"/>
      <name val="Arial"/>
      <family val="2"/>
    </font>
    <font>
      <sz val="22"/>
      <name val="Arial"/>
      <family val="2"/>
    </font>
    <font>
      <b/>
      <sz val="18"/>
      <color rgb="FFFF0000"/>
      <name val="Arial"/>
      <family val="2"/>
    </font>
    <font>
      <sz val="12"/>
      <color rgb="FFFF0000"/>
      <name val="Arial"/>
      <family val="2"/>
    </font>
    <font>
      <sz val="12"/>
      <name val="Arial"/>
      <family val="2"/>
    </font>
    <font>
      <b/>
      <sz val="18"/>
      <color indexed="10"/>
      <name val="Arial"/>
      <family val="2"/>
    </font>
    <font>
      <sz val="18"/>
      <name val="Arial"/>
      <family val="2"/>
    </font>
    <font>
      <sz val="22"/>
      <color rgb="FFFF0000"/>
      <name val="Arial"/>
      <family val="2"/>
    </font>
    <font>
      <u/>
      <sz val="9"/>
      <color indexed="12"/>
      <name val="Arial"/>
      <family val="2"/>
    </font>
    <font>
      <i/>
      <sz val="11"/>
      <color theme="0"/>
      <name val="Calibri"/>
      <family val="2"/>
      <scheme val="minor"/>
    </font>
    <font>
      <sz val="11"/>
      <color rgb="FFFF0000"/>
      <name val="Calibri"/>
      <family val="2"/>
      <scheme val="minor"/>
    </font>
    <font>
      <b/>
      <sz val="18"/>
      <color theme="1"/>
      <name val="Arial"/>
      <family val="2"/>
    </font>
    <font>
      <sz val="8"/>
      <color theme="1"/>
      <name val="Arial"/>
      <family val="2"/>
    </font>
    <font>
      <b/>
      <sz val="13"/>
      <name val="Arial"/>
      <family val="2"/>
    </font>
    <font>
      <sz val="10"/>
      <color theme="0" tint="-0.499984740745262"/>
      <name val="Arial"/>
      <family val="2"/>
    </font>
    <font>
      <b/>
      <sz val="10"/>
      <color theme="0" tint="-0.499984740745262"/>
      <name val="Arial"/>
      <family val="2"/>
    </font>
    <font>
      <b/>
      <sz val="10"/>
      <color theme="6" tint="-0.249977111117893"/>
      <name val="Arial"/>
      <family val="2"/>
    </font>
    <font>
      <i/>
      <sz val="10"/>
      <color theme="0" tint="-0.499984740745262"/>
      <name val="Arial"/>
      <family val="2"/>
    </font>
    <font>
      <b/>
      <i/>
      <sz val="10"/>
      <color theme="6" tint="-0.249977111117893"/>
      <name val="Arial"/>
      <family val="2"/>
    </font>
    <font>
      <sz val="9"/>
      <name val="Arial"/>
      <family val="2"/>
    </font>
    <font>
      <b/>
      <sz val="9"/>
      <color theme="6" tint="-0.249977111117893"/>
      <name val="Arial"/>
      <family val="2"/>
    </font>
    <font>
      <b/>
      <i/>
      <sz val="9"/>
      <color theme="1"/>
      <name val="Arial"/>
      <family val="2"/>
    </font>
    <font>
      <i/>
      <sz val="10"/>
      <color theme="6" tint="-0.249977111117893"/>
      <name val="Arial"/>
      <family val="2"/>
    </font>
    <font>
      <b/>
      <i/>
      <sz val="10"/>
      <color theme="0" tint="-0.499984740745262"/>
      <name val="Arial"/>
      <family val="2"/>
    </font>
    <font>
      <b/>
      <sz val="12"/>
      <color rgb="FFFF0000"/>
      <name val="Calibri"/>
      <family val="2"/>
      <scheme val="minor"/>
    </font>
    <font>
      <b/>
      <sz val="11"/>
      <color theme="1"/>
      <name val="Arial"/>
      <family val="2"/>
    </font>
    <font>
      <sz val="8"/>
      <color theme="1"/>
      <name val="Calibri"/>
      <family val="2"/>
      <scheme val="minor"/>
    </font>
    <font>
      <b/>
      <i/>
      <sz val="10"/>
      <color theme="1"/>
      <name val="Arial"/>
      <family val="2"/>
    </font>
    <font>
      <sz val="18"/>
      <color theme="0"/>
      <name val="Arial"/>
      <family val="2"/>
    </font>
    <font>
      <sz val="9"/>
      <color theme="0"/>
      <name val="Segoe UI"/>
      <family val="2"/>
    </font>
    <font>
      <i/>
      <sz val="9"/>
      <color rgb="FFFF0000"/>
      <name val="Arial"/>
      <family val="2"/>
    </font>
    <font>
      <sz val="8"/>
      <color theme="0"/>
      <name val="Arial"/>
      <family val="2"/>
    </font>
    <font>
      <b/>
      <sz val="9"/>
      <color theme="5" tint="-0.249977111117893"/>
      <name val="Arial"/>
      <family val="2"/>
    </font>
    <font>
      <b/>
      <sz val="12"/>
      <color theme="0" tint="-0.499984740745262"/>
      <name val="Arial"/>
      <family val="2"/>
    </font>
    <font>
      <b/>
      <sz val="14"/>
      <color theme="0"/>
      <name val="Arial"/>
      <family val="2"/>
    </font>
    <font>
      <b/>
      <sz val="9"/>
      <color theme="0"/>
      <name val="Arial"/>
      <family val="2"/>
    </font>
    <font>
      <i/>
      <sz val="9"/>
      <color theme="1"/>
      <name val="Arial"/>
      <family val="2"/>
    </font>
    <font>
      <i/>
      <sz val="8"/>
      <color theme="1"/>
      <name val="Arial"/>
      <family val="2"/>
    </font>
    <font>
      <i/>
      <sz val="8"/>
      <color rgb="FFFFCCCC"/>
      <name val="Arial"/>
      <family val="2"/>
    </font>
    <font>
      <sz val="10"/>
      <color theme="1"/>
      <name val="Calibri"/>
      <family val="2"/>
    </font>
    <font>
      <b/>
      <sz val="14"/>
      <color theme="1"/>
      <name val="Calibri"/>
      <family val="2"/>
    </font>
    <font>
      <b/>
      <sz val="18"/>
      <color theme="0"/>
      <name val="Arial"/>
      <family val="2"/>
    </font>
    <font>
      <sz val="10"/>
      <color theme="0"/>
      <name val="Wingdings"/>
      <charset val="2"/>
    </font>
    <font>
      <sz val="14"/>
      <color theme="0"/>
      <name val="Calibri"/>
      <family val="2"/>
      <scheme val="minor"/>
    </font>
    <font>
      <sz val="11"/>
      <color theme="0"/>
      <name val="Calibri"/>
      <family val="2"/>
    </font>
    <font>
      <sz val="14"/>
      <name val="Arial"/>
      <family val="2"/>
    </font>
    <font>
      <sz val="8"/>
      <color rgb="FFFFCCCC"/>
      <name val="Arial"/>
      <family val="2"/>
    </font>
    <font>
      <sz val="16"/>
      <color theme="1"/>
      <name val="Arial"/>
      <family val="2"/>
    </font>
    <font>
      <sz val="10"/>
      <color theme="1"/>
      <name val="Arial Black"/>
      <family val="2"/>
    </font>
    <font>
      <b/>
      <sz val="10"/>
      <color theme="1"/>
      <name val="Arial Black"/>
      <family val="2"/>
    </font>
    <font>
      <i/>
      <sz val="10"/>
      <color theme="1"/>
      <name val="Arial Black"/>
      <family val="2"/>
    </font>
    <font>
      <sz val="10"/>
      <name val="Arial Black"/>
      <family val="2"/>
    </font>
    <font>
      <b/>
      <sz val="18"/>
      <color theme="1"/>
      <name val="Arial Black"/>
      <family val="2"/>
    </font>
    <font>
      <b/>
      <sz val="14"/>
      <color theme="1"/>
      <name val="Arial Black"/>
      <family val="2"/>
    </font>
    <font>
      <sz val="9"/>
      <color theme="1"/>
      <name val="Arial Black"/>
      <family val="2"/>
    </font>
    <font>
      <sz val="8"/>
      <color theme="1"/>
      <name val="Arial Black"/>
      <family val="2"/>
    </font>
    <font>
      <b/>
      <sz val="9"/>
      <color theme="6" tint="-0.249977111117893"/>
      <name val="Arial Black"/>
      <family val="2"/>
    </font>
    <font>
      <b/>
      <sz val="9"/>
      <color theme="1"/>
      <name val="Arial Black"/>
      <family val="2"/>
    </font>
    <font>
      <sz val="9"/>
      <name val="Arial Black"/>
      <family val="2"/>
    </font>
    <font>
      <b/>
      <i/>
      <sz val="9"/>
      <color theme="1"/>
      <name val="Arial Black"/>
      <family val="2"/>
    </font>
    <font>
      <b/>
      <sz val="10"/>
      <color theme="6" tint="-0.249977111117893"/>
      <name val="Arial Black"/>
      <family val="2"/>
    </font>
    <font>
      <b/>
      <i/>
      <sz val="10"/>
      <color theme="6" tint="-0.249977111117893"/>
      <name val="Arial Black"/>
      <family val="2"/>
    </font>
    <font>
      <i/>
      <sz val="10"/>
      <color theme="0" tint="-0.499984740745262"/>
      <name val="Arial Black"/>
      <family val="2"/>
    </font>
    <font>
      <i/>
      <sz val="10"/>
      <color theme="6" tint="-0.249977111117893"/>
      <name val="Arial Black"/>
      <family val="2"/>
    </font>
    <font>
      <sz val="10"/>
      <color theme="0" tint="-0.499984740745262"/>
      <name val="Arial Black"/>
      <family val="2"/>
    </font>
    <font>
      <b/>
      <sz val="10"/>
      <color theme="0" tint="-0.499984740745262"/>
      <name val="Arial Black"/>
      <family val="2"/>
    </font>
    <font>
      <sz val="12"/>
      <color theme="1"/>
      <name val="Arial Black"/>
      <family val="2"/>
    </font>
    <font>
      <sz val="12"/>
      <color theme="0"/>
      <name val="Arial Black"/>
      <family val="2"/>
    </font>
    <font>
      <b/>
      <sz val="12"/>
      <color theme="1"/>
      <name val="Arial Black"/>
      <family val="2"/>
    </font>
    <font>
      <sz val="12"/>
      <name val="Arial Black"/>
      <family val="2"/>
    </font>
    <font>
      <b/>
      <sz val="12"/>
      <color theme="0"/>
      <name val="Arial Black"/>
      <family val="2"/>
    </font>
    <font>
      <i/>
      <sz val="12"/>
      <color theme="1"/>
      <name val="Arial Black"/>
      <family val="2"/>
    </font>
    <font>
      <b/>
      <sz val="20"/>
      <color theme="1"/>
      <name val="Arial Black"/>
      <family val="2"/>
    </font>
    <font>
      <b/>
      <sz val="12"/>
      <color theme="6" tint="-0.249977111117893"/>
      <name val="Arial Black"/>
      <family val="2"/>
    </font>
    <font>
      <b/>
      <i/>
      <sz val="12"/>
      <color theme="1"/>
      <name val="Arial Black"/>
      <family val="2"/>
    </font>
    <font>
      <b/>
      <u/>
      <sz val="16"/>
      <color theme="1"/>
      <name val="Arial Black"/>
      <family val="2"/>
    </font>
    <font>
      <i/>
      <sz val="12"/>
      <color theme="0" tint="-0.499984740745262"/>
      <name val="Arial Black"/>
      <family val="2"/>
    </font>
    <font>
      <sz val="11"/>
      <color theme="1"/>
      <name val="Arial"/>
      <family val="2"/>
    </font>
    <font>
      <b/>
      <sz val="18"/>
      <name val="Arial Black"/>
      <family val="2"/>
    </font>
    <font>
      <i/>
      <sz val="10"/>
      <name val="Arial"/>
      <family val="2"/>
    </font>
    <font>
      <sz val="12"/>
      <color rgb="FFFF0000"/>
      <name val="Arial Black"/>
      <family val="2"/>
    </font>
    <font>
      <i/>
      <sz val="11"/>
      <name val="Arial"/>
      <family val="2"/>
    </font>
    <font>
      <i/>
      <sz val="12"/>
      <color theme="1"/>
      <name val="Arial"/>
      <family val="2"/>
    </font>
    <font>
      <b/>
      <sz val="12"/>
      <name val="Arial Black"/>
      <family val="2"/>
    </font>
    <font>
      <sz val="12"/>
      <color theme="1"/>
      <name val="Calibri"/>
      <family val="2"/>
      <scheme val="minor"/>
    </font>
    <font>
      <sz val="14"/>
      <color theme="1"/>
      <name val="Arial"/>
      <family val="2"/>
    </font>
    <font>
      <i/>
      <sz val="8"/>
      <color theme="1"/>
      <name val="Calibri"/>
      <family val="2"/>
      <scheme val="minor"/>
    </font>
    <font>
      <sz val="14"/>
      <color theme="0"/>
      <name val="Arial"/>
      <family val="2"/>
    </font>
    <font>
      <sz val="10"/>
      <color theme="0"/>
      <name val="Calibri"/>
      <family val="2"/>
    </font>
    <font>
      <sz val="11"/>
      <color theme="0"/>
      <name val="Arial"/>
      <family val="2"/>
    </font>
    <font>
      <b/>
      <sz val="12"/>
      <color theme="0"/>
      <name val="Calibri"/>
      <family val="2"/>
      <scheme val="minor"/>
    </font>
    <font>
      <i/>
      <sz val="10"/>
      <color rgb="FFFF0000"/>
      <name val="Arial"/>
      <family val="2"/>
    </font>
    <font>
      <b/>
      <sz val="8"/>
      <color theme="0"/>
      <name val="Calibri"/>
      <family val="2"/>
      <scheme val="minor"/>
    </font>
    <font>
      <sz val="11"/>
      <color theme="1"/>
      <name val="Arial Black"/>
      <family val="2"/>
    </font>
    <font>
      <i/>
      <sz val="11"/>
      <name val="Arial Black"/>
      <family val="2"/>
    </font>
    <font>
      <b/>
      <u/>
      <sz val="12"/>
      <name val="Arial"/>
      <family val="2"/>
    </font>
    <font>
      <sz val="12"/>
      <color rgb="FF000000"/>
      <name val="Arial"/>
      <family val="2"/>
    </font>
    <font>
      <b/>
      <sz val="12"/>
      <color rgb="FF000000"/>
      <name val="Arial"/>
      <family val="2"/>
    </font>
  </fonts>
  <fills count="2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5" tint="0.79998168889431442"/>
        <bgColor indexed="64"/>
      </patternFill>
    </fill>
    <fill>
      <patternFill patternType="solid">
        <fgColor indexed="9"/>
        <bgColor indexed="64"/>
      </patternFill>
    </fill>
    <fill>
      <patternFill patternType="solid">
        <fgColor rgb="FFFFC00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499984740745262"/>
        <bgColor indexed="64"/>
      </patternFill>
    </fill>
    <fill>
      <patternFill patternType="solid">
        <fgColor rgb="FFDDDDDD"/>
        <bgColor indexed="64"/>
      </patternFill>
    </fill>
    <fill>
      <patternFill patternType="solid">
        <fgColor rgb="FFA5A5A5"/>
      </patternFill>
    </fill>
    <fill>
      <patternFill patternType="solid">
        <fgColor rgb="FFFFFFCC"/>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8" tint="0.59999389629810485"/>
        <bgColor indexed="64"/>
      </patternFill>
    </fill>
  </fills>
  <borders count="133">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indexed="64"/>
      </left>
      <right/>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style="thin">
        <color theme="0"/>
      </bottom>
      <diagonal/>
    </border>
    <border>
      <left/>
      <right style="medium">
        <color indexed="64"/>
      </right>
      <top/>
      <bottom style="thin">
        <color theme="0"/>
      </bottom>
      <diagonal/>
    </border>
    <border>
      <left/>
      <right style="medium">
        <color indexed="64"/>
      </right>
      <top style="thin">
        <color theme="0"/>
      </top>
      <bottom style="thin">
        <color theme="0"/>
      </bottom>
      <diagonal/>
    </border>
    <border>
      <left/>
      <right style="medium">
        <color indexed="64"/>
      </right>
      <top style="medium">
        <color indexed="64"/>
      </top>
      <bottom style="thin">
        <color theme="0"/>
      </bottom>
      <diagonal/>
    </border>
    <border>
      <left/>
      <right/>
      <top style="thin">
        <color theme="0"/>
      </top>
      <bottom/>
      <diagonal/>
    </border>
    <border>
      <left style="medium">
        <color theme="0"/>
      </left>
      <right style="thin">
        <color theme="0"/>
      </right>
      <top style="thin">
        <color theme="0"/>
      </top>
      <bottom style="thin">
        <color theme="0"/>
      </bottom>
      <diagonal/>
    </border>
    <border>
      <left style="thin">
        <color theme="0"/>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thin">
        <color theme="0"/>
      </top>
      <bottom style="medium">
        <color indexed="64"/>
      </bottom>
      <diagonal/>
    </border>
    <border>
      <left style="thin">
        <color theme="0"/>
      </left>
      <right style="medium">
        <color theme="0"/>
      </right>
      <top style="thin">
        <color theme="0"/>
      </top>
      <bottom style="medium">
        <color indexed="64"/>
      </bottom>
      <diagonal/>
    </border>
    <border>
      <left style="medium">
        <color theme="0"/>
      </left>
      <right style="medium">
        <color indexed="64"/>
      </right>
      <top style="thin">
        <color theme="0"/>
      </top>
      <bottom style="medium">
        <color indexed="64"/>
      </bottom>
      <diagonal/>
    </border>
    <border>
      <left style="thin">
        <color theme="0"/>
      </left>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indexed="64"/>
      </right>
      <top/>
      <bottom/>
      <diagonal/>
    </border>
    <border>
      <left style="medium">
        <color indexed="64"/>
      </left>
      <right style="thin">
        <color theme="0"/>
      </right>
      <top style="medium">
        <color indexed="64"/>
      </top>
      <bottom/>
      <diagonal/>
    </border>
    <border>
      <left style="medium">
        <color indexed="64"/>
      </left>
      <right style="thin">
        <color theme="0"/>
      </right>
      <top/>
      <bottom style="medium">
        <color indexed="64"/>
      </bottom>
      <diagonal/>
    </border>
    <border>
      <left style="thin">
        <color theme="0"/>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double">
        <color indexed="64"/>
      </bottom>
      <diagonal/>
    </border>
    <border>
      <left/>
      <right style="thin">
        <color indexed="64"/>
      </right>
      <top style="thin">
        <color theme="0"/>
      </top>
      <bottom/>
      <diagonal/>
    </border>
    <border>
      <left style="thin">
        <color theme="0"/>
      </left>
      <right style="thin">
        <color indexed="64"/>
      </right>
      <top style="thin">
        <color theme="0"/>
      </top>
      <bottom/>
      <diagonal/>
    </border>
    <border>
      <left style="thin">
        <color theme="0"/>
      </left>
      <right style="thin">
        <color indexed="64"/>
      </right>
      <top style="thin">
        <color theme="0"/>
      </top>
      <bottom style="thin">
        <color theme="0"/>
      </bottom>
      <diagonal/>
    </border>
    <border>
      <left style="thin">
        <color theme="0"/>
      </left>
      <right style="thin">
        <color indexed="64"/>
      </right>
      <top/>
      <bottom/>
      <diagonal/>
    </border>
    <border>
      <left style="thin">
        <color theme="0"/>
      </left>
      <right style="thin">
        <color indexed="64"/>
      </right>
      <top/>
      <bottom style="thin">
        <color theme="0"/>
      </bottom>
      <diagonal/>
    </border>
    <border>
      <left style="thin">
        <color theme="0"/>
      </left>
      <right style="thin">
        <color indexed="64"/>
      </right>
      <top style="thin">
        <color theme="0"/>
      </top>
      <bottom style="thin">
        <color indexed="64"/>
      </bottom>
      <diagonal/>
    </border>
    <border>
      <left style="thin">
        <color indexed="64"/>
      </left>
      <right style="thin">
        <color theme="0"/>
      </right>
      <top/>
      <bottom/>
      <diagonal/>
    </border>
    <border>
      <left/>
      <right style="thin">
        <color indexed="64"/>
      </right>
      <top style="thin">
        <color theme="0"/>
      </top>
      <bottom style="thin">
        <color theme="0"/>
      </bottom>
      <diagonal/>
    </border>
    <border>
      <left style="thin">
        <color theme="0"/>
      </left>
      <right/>
      <top/>
      <bottom style="thin">
        <color theme="0"/>
      </bottom>
      <diagonal/>
    </border>
    <border>
      <left/>
      <right style="thin">
        <color theme="0"/>
      </right>
      <top style="medium">
        <color indexed="64"/>
      </top>
      <bottom/>
      <diagonal/>
    </border>
    <border>
      <left/>
      <right style="medium">
        <color indexed="64"/>
      </right>
      <top style="thin">
        <color theme="0"/>
      </top>
      <bottom style="medium">
        <color indexed="64"/>
      </bottom>
      <diagonal/>
    </border>
    <border>
      <left style="thin">
        <color theme="0"/>
      </left>
      <right/>
      <top/>
      <bottom style="thin">
        <color indexed="64"/>
      </bottom>
      <diagonal/>
    </border>
    <border>
      <left style="thin">
        <color theme="0"/>
      </left>
      <right/>
      <top style="thin">
        <color theme="0"/>
      </top>
      <bottom style="thin">
        <color indexed="64"/>
      </bottom>
      <diagonal/>
    </border>
    <border>
      <left style="medium">
        <color indexed="64"/>
      </left>
      <right style="thin">
        <color indexed="64"/>
      </right>
      <top/>
      <bottom style="medium">
        <color indexed="64"/>
      </bottom>
      <diagonal/>
    </border>
    <border>
      <left style="thin">
        <color theme="0"/>
      </left>
      <right/>
      <top style="thin">
        <color theme="0"/>
      </top>
      <bottom style="medium">
        <color indexed="64"/>
      </bottom>
      <diagonal/>
    </border>
    <border>
      <left/>
      <right style="thin">
        <color theme="0"/>
      </right>
      <top style="thin">
        <color theme="0"/>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thin">
        <color indexed="64"/>
      </right>
      <top/>
      <bottom style="thin">
        <color theme="0"/>
      </bottom>
      <diagonal/>
    </border>
    <border>
      <left/>
      <right style="thin">
        <color indexed="64"/>
      </right>
      <top/>
      <bottom style="thin">
        <color theme="0"/>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style="thin">
        <color indexed="64"/>
      </right>
      <top style="thin">
        <color theme="0"/>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style="medium">
        <color indexed="64"/>
      </bottom>
      <diagonal/>
    </border>
    <border>
      <left/>
      <right/>
      <top style="thin">
        <color theme="0"/>
      </top>
      <bottom style="medium">
        <color indexed="64"/>
      </bottom>
      <diagonal/>
    </border>
    <border>
      <left style="medium">
        <color indexed="64"/>
      </left>
      <right/>
      <top/>
      <bottom style="thin">
        <color theme="0"/>
      </bottom>
      <diagonal/>
    </border>
    <border>
      <left style="medium">
        <color indexed="64"/>
      </left>
      <right/>
      <top style="thin">
        <color theme="0"/>
      </top>
      <bottom/>
      <diagonal/>
    </border>
    <border>
      <left style="thin">
        <color indexed="64"/>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style="thin">
        <color theme="0"/>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theme="0"/>
      </left>
      <right style="medium">
        <color indexed="64"/>
      </right>
      <top style="thin">
        <color theme="0"/>
      </top>
      <bottom/>
      <diagonal/>
    </border>
    <border>
      <left style="thin">
        <color theme="0"/>
      </left>
      <right style="medium">
        <color indexed="64"/>
      </right>
      <top/>
      <bottom/>
      <diagonal/>
    </border>
    <border>
      <left/>
      <right style="thin">
        <color theme="0" tint="-0.34998626667073579"/>
      </right>
      <top/>
      <bottom/>
      <diagonal/>
    </border>
    <border>
      <left/>
      <right/>
      <top style="medium">
        <color indexed="64"/>
      </top>
      <bottom style="thin">
        <color theme="0" tint="-0.34998626667073579"/>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top style="medium">
        <color theme="0"/>
      </top>
      <bottom/>
      <diagonal/>
    </border>
    <border>
      <left/>
      <right/>
      <top style="medium">
        <color theme="0"/>
      </top>
      <bottom/>
      <diagonal/>
    </border>
    <border>
      <left/>
      <right/>
      <top style="medium">
        <color theme="0"/>
      </top>
      <bottom style="thin">
        <color theme="0"/>
      </bottom>
      <diagonal/>
    </border>
    <border>
      <left/>
      <right/>
      <top/>
      <bottom style="medium">
        <color theme="0"/>
      </bottom>
      <diagonal/>
    </border>
    <border>
      <left/>
      <right style="medium">
        <color indexed="64"/>
      </right>
      <top style="medium">
        <color theme="0"/>
      </top>
      <bottom style="medium">
        <color indexed="64"/>
      </bottom>
      <diagonal/>
    </border>
    <border>
      <left/>
      <right style="thin">
        <color theme="0"/>
      </right>
      <top/>
      <bottom/>
      <diagonal/>
    </border>
    <border>
      <left style="thin">
        <color theme="0"/>
      </left>
      <right style="medium">
        <color indexed="64"/>
      </right>
      <top/>
      <bottom style="thin">
        <color theme="0"/>
      </bottom>
      <diagonal/>
    </border>
    <border>
      <left style="thin">
        <color theme="0"/>
      </left>
      <right style="medium">
        <color indexed="64"/>
      </right>
      <top style="thin">
        <color theme="0"/>
      </top>
      <bottom style="medium">
        <color indexed="64"/>
      </bottom>
      <diagonal/>
    </border>
  </borders>
  <cellStyleXfs count="32">
    <xf numFmtId="0" fontId="0" fillId="0" borderId="0"/>
    <xf numFmtId="9" fontId="1" fillId="0" borderId="0" applyFont="0" applyFill="0" applyBorder="0" applyAlignment="0" applyProtection="0"/>
    <xf numFmtId="168" fontId="1" fillId="0" borderId="0" applyFont="0" applyFill="0" applyBorder="0" applyAlignment="0" applyProtection="0"/>
    <xf numFmtId="0" fontId="13" fillId="0" borderId="0"/>
    <xf numFmtId="0" fontId="13" fillId="0" borderId="0"/>
    <xf numFmtId="0" fontId="21" fillId="0" borderId="0" applyNumberFormat="0" applyFill="0" applyBorder="0" applyAlignment="0" applyProtection="0"/>
    <xf numFmtId="0" fontId="22" fillId="0" borderId="0" applyNumberFormat="0" applyFill="0" applyBorder="0" applyAlignment="0" applyProtection="0">
      <alignment vertical="top"/>
      <protection locked="0"/>
    </xf>
    <xf numFmtId="0" fontId="23" fillId="0" borderId="0"/>
    <xf numFmtId="169" fontId="27" fillId="0" borderId="0" applyFont="0" applyFill="0" applyBorder="0" applyAlignment="0" applyProtection="0"/>
    <xf numFmtId="0" fontId="1" fillId="0" borderId="0"/>
    <xf numFmtId="181" fontId="13" fillId="0" borderId="0" applyFont="0" applyFill="0" applyBorder="0" applyAlignment="0" applyProtection="0"/>
    <xf numFmtId="9" fontId="23"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36" fillId="0" borderId="0"/>
    <xf numFmtId="0" fontId="41" fillId="15" borderId="45" applyNumberFormat="0" applyAlignment="0" applyProtection="0"/>
    <xf numFmtId="169" fontId="1" fillId="0" borderId="0" applyFont="0" applyFill="0" applyBorder="0" applyAlignment="0" applyProtection="0"/>
    <xf numFmtId="4" fontId="7" fillId="0" borderId="0"/>
    <xf numFmtId="3" fontId="7" fillId="0" borderId="0"/>
    <xf numFmtId="176" fontId="13" fillId="0" borderId="0" applyFont="0" applyFill="0" applyBorder="0" applyAlignment="0" applyProtection="0"/>
    <xf numFmtId="9" fontId="13" fillId="0" borderId="0" applyFont="0" applyFill="0" applyBorder="0" applyAlignment="0" applyProtection="0"/>
    <xf numFmtId="4" fontId="53" fillId="0" borderId="0"/>
    <xf numFmtId="9" fontId="13" fillId="0" borderId="0" applyFont="0" applyFill="0" applyBorder="0" applyAlignment="0" applyProtection="0"/>
    <xf numFmtId="0" fontId="57" fillId="0" borderId="0" applyNumberFormat="0" applyFill="0" applyBorder="0" applyAlignment="0" applyProtection="0">
      <alignment vertical="top"/>
      <protection locked="0"/>
    </xf>
    <xf numFmtId="4" fontId="7" fillId="0" borderId="0"/>
  </cellStyleXfs>
  <cellXfs count="1705">
    <xf numFmtId="0" fontId="0" fillId="0" borderId="0" xfId="0"/>
    <xf numFmtId="0" fontId="6" fillId="0" borderId="0" xfId="0" applyFont="1" applyAlignment="1">
      <alignment horizontal="center" wrapText="1"/>
    </xf>
    <xf numFmtId="49" fontId="8" fillId="2" borderId="0" xfId="0" applyNumberFormat="1" applyFont="1" applyFill="1"/>
    <xf numFmtId="0" fontId="8" fillId="0" borderId="0" xfId="0" applyFont="1"/>
    <xf numFmtId="0" fontId="8" fillId="5" borderId="0" xfId="0" applyFont="1" applyFill="1"/>
    <xf numFmtId="0" fontId="8" fillId="2" borderId="0" xfId="0" applyFont="1" applyFill="1"/>
    <xf numFmtId="171" fontId="5" fillId="6" borderId="2" xfId="0" applyNumberFormat="1" applyFont="1" applyFill="1" applyBorder="1" applyAlignment="1">
      <alignment horizontal="center" vertical="center" wrapText="1"/>
    </xf>
    <xf numFmtId="0" fontId="10" fillId="2" borderId="0" xfId="0" applyFont="1" applyFill="1" applyBorder="1" applyAlignment="1">
      <alignment vertical="center"/>
    </xf>
    <xf numFmtId="172" fontId="5" fillId="6" borderId="2" xfId="0" applyNumberFormat="1" applyFont="1" applyFill="1" applyBorder="1" applyAlignment="1">
      <alignment horizontal="center" vertical="center" wrapText="1"/>
    </xf>
    <xf numFmtId="2" fontId="5" fillId="6" borderId="2" xfId="0" applyNumberFormat="1" applyFont="1" applyFill="1" applyBorder="1" applyAlignment="1">
      <alignment horizontal="center" vertical="center" wrapText="1"/>
    </xf>
    <xf numFmtId="0" fontId="7" fillId="6" borderId="2" xfId="0" applyNumberFormat="1" applyFont="1" applyFill="1" applyBorder="1" applyAlignment="1">
      <alignment horizontal="left" vertical="center"/>
    </xf>
    <xf numFmtId="1" fontId="8" fillId="6" borderId="2" xfId="0" applyNumberFormat="1" applyFont="1" applyFill="1" applyBorder="1" applyAlignment="1">
      <alignment horizontal="center"/>
    </xf>
    <xf numFmtId="0" fontId="8" fillId="6" borderId="0" xfId="0" applyFont="1" applyFill="1" applyAlignment="1">
      <alignment horizontal="left"/>
    </xf>
    <xf numFmtId="0" fontId="8" fillId="6" borderId="0" xfId="0" applyFont="1" applyFill="1"/>
    <xf numFmtId="1" fontId="8" fillId="6" borderId="0" xfId="0" applyNumberFormat="1" applyFont="1" applyFill="1" applyAlignment="1">
      <alignment horizontal="center"/>
    </xf>
    <xf numFmtId="0" fontId="23" fillId="2" borderId="0" xfId="0" applyFont="1" applyFill="1" applyBorder="1" applyAlignment="1">
      <alignment vertical="center"/>
    </xf>
    <xf numFmtId="171" fontId="7" fillId="6" borderId="2" xfId="0" applyNumberFormat="1" applyFont="1" applyFill="1" applyBorder="1" applyAlignment="1">
      <alignment horizontal="center" vertical="center"/>
    </xf>
    <xf numFmtId="171" fontId="8" fillId="6" borderId="0" xfId="0" applyNumberFormat="1" applyFont="1" applyFill="1" applyAlignment="1">
      <alignment horizontal="center" vertical="center"/>
    </xf>
    <xf numFmtId="0" fontId="13" fillId="2" borderId="0" xfId="0" applyFont="1" applyFill="1" applyBorder="1" applyAlignment="1">
      <alignment vertical="center"/>
    </xf>
    <xf numFmtId="0" fontId="12" fillId="2" borderId="0" xfId="0" applyFont="1" applyFill="1" applyBorder="1" applyAlignment="1">
      <alignment vertical="center"/>
    </xf>
    <xf numFmtId="0" fontId="23" fillId="2" borderId="14" xfId="0" applyFont="1" applyFill="1" applyBorder="1" applyAlignment="1">
      <alignment vertical="center"/>
    </xf>
    <xf numFmtId="0" fontId="13" fillId="2" borderId="30" xfId="0" applyFont="1" applyFill="1" applyBorder="1" applyAlignment="1">
      <alignment vertical="center"/>
    </xf>
    <xf numFmtId="0" fontId="13" fillId="2" borderId="0" xfId="0" applyFont="1" applyFill="1" applyBorder="1" applyAlignment="1">
      <alignment horizontal="right" vertical="center"/>
    </xf>
    <xf numFmtId="171" fontId="23" fillId="2" borderId="0" xfId="0" applyNumberFormat="1" applyFont="1" applyFill="1" applyBorder="1" applyAlignment="1">
      <alignment horizontal="center" vertical="center"/>
    </xf>
    <xf numFmtId="177" fontId="13" fillId="2" borderId="0" xfId="2" applyNumberFormat="1" applyFont="1" applyFill="1" applyBorder="1" applyAlignment="1">
      <alignment horizontal="right" vertical="center"/>
    </xf>
    <xf numFmtId="15" fontId="5" fillId="6" borderId="2" xfId="0" applyNumberFormat="1" applyFont="1" applyFill="1" applyBorder="1" applyAlignment="1">
      <alignment horizontal="center" vertical="center" wrapText="1"/>
    </xf>
    <xf numFmtId="15" fontId="8" fillId="6" borderId="2" xfId="0" applyNumberFormat="1" applyFont="1" applyFill="1" applyBorder="1" applyAlignment="1">
      <alignment horizontal="center"/>
    </xf>
    <xf numFmtId="15" fontId="8" fillId="6" borderId="0" xfId="0" applyNumberFormat="1" applyFont="1" applyFill="1" applyAlignment="1">
      <alignment horizontal="center"/>
    </xf>
    <xf numFmtId="0" fontId="13" fillId="0" borderId="0" xfId="3"/>
    <xf numFmtId="171" fontId="23" fillId="2" borderId="3" xfId="0" applyNumberFormat="1" applyFont="1" applyFill="1" applyBorder="1" applyAlignment="1">
      <alignment vertical="center"/>
    </xf>
    <xf numFmtId="0" fontId="6" fillId="2" borderId="0" xfId="0" applyFont="1" applyFill="1" applyAlignment="1">
      <alignment horizontal="center" wrapText="1"/>
    </xf>
    <xf numFmtId="0" fontId="13" fillId="2" borderId="13" xfId="0" applyFont="1" applyFill="1" applyBorder="1" applyAlignment="1">
      <alignment vertical="center"/>
    </xf>
    <xf numFmtId="182" fontId="8" fillId="6" borderId="2" xfId="0" applyNumberFormat="1" applyFont="1" applyFill="1" applyBorder="1" applyAlignment="1">
      <alignment horizontal="center"/>
    </xf>
    <xf numFmtId="182" fontId="5" fillId="6" borderId="2" xfId="0" applyNumberFormat="1" applyFont="1" applyFill="1" applyBorder="1" applyAlignment="1">
      <alignment horizontal="center" vertical="center" wrapText="1"/>
    </xf>
    <xf numFmtId="182" fontId="8" fillId="6" borderId="0" xfId="0" applyNumberFormat="1" applyFont="1" applyFill="1" applyAlignment="1">
      <alignment horizontal="center"/>
    </xf>
    <xf numFmtId="1" fontId="5" fillId="6" borderId="2" xfId="0" applyNumberFormat="1" applyFont="1" applyFill="1" applyBorder="1" applyAlignment="1">
      <alignment horizontal="center" vertical="center" wrapText="1"/>
    </xf>
    <xf numFmtId="1" fontId="7" fillId="6" borderId="2" xfId="0" applyNumberFormat="1" applyFont="1" applyFill="1" applyBorder="1" applyAlignment="1">
      <alignment horizontal="center" vertical="center"/>
    </xf>
    <xf numFmtId="1" fontId="8" fillId="6" borderId="0" xfId="0" applyNumberFormat="1" applyFont="1" applyFill="1"/>
    <xf numFmtId="171" fontId="23" fillId="0" borderId="0" xfId="0" applyNumberFormat="1" applyFont="1" applyFill="1" applyBorder="1" applyAlignment="1">
      <alignment horizontal="center" vertical="center"/>
    </xf>
    <xf numFmtId="171" fontId="8" fillId="0" borderId="0" xfId="0" applyNumberFormat="1" applyFont="1" applyAlignment="1">
      <alignment horizontal="center" vertical="center"/>
    </xf>
    <xf numFmtId="0" fontId="8" fillId="9" borderId="0" xfId="0" applyFont="1" applyFill="1"/>
    <xf numFmtId="0" fontId="8" fillId="0" borderId="0" xfId="0" applyFont="1" applyFill="1"/>
    <xf numFmtId="0" fontId="13" fillId="2" borderId="14" xfId="0" applyFont="1" applyFill="1" applyBorder="1" applyAlignment="1">
      <alignment vertical="center"/>
    </xf>
    <xf numFmtId="0" fontId="13" fillId="2" borderId="32" xfId="0" applyFont="1" applyFill="1" applyBorder="1" applyAlignment="1">
      <alignment vertical="center"/>
    </xf>
    <xf numFmtId="1" fontId="8" fillId="0" borderId="0" xfId="0" applyNumberFormat="1" applyFont="1" applyFill="1"/>
    <xf numFmtId="0" fontId="8" fillId="0" borderId="0" xfId="0" applyFont="1" applyFill="1" applyAlignment="1">
      <alignment horizontal="left"/>
    </xf>
    <xf numFmtId="171" fontId="8" fillId="0" borderId="0" xfId="0" applyNumberFormat="1" applyFont="1" applyFill="1" applyAlignment="1">
      <alignment horizontal="center" vertical="center"/>
    </xf>
    <xf numFmtId="1" fontId="8" fillId="0" borderId="0" xfId="0" applyNumberFormat="1" applyFont="1" applyFill="1" applyAlignment="1">
      <alignment horizontal="center"/>
    </xf>
    <xf numFmtId="182" fontId="8" fillId="0" borderId="0" xfId="0" applyNumberFormat="1" applyFont="1" applyFill="1" applyAlignment="1">
      <alignment horizontal="center"/>
    </xf>
    <xf numFmtId="15" fontId="8" fillId="0" borderId="0" xfId="0" applyNumberFormat="1" applyFont="1" applyFill="1" applyAlignment="1">
      <alignment horizontal="center"/>
    </xf>
    <xf numFmtId="0" fontId="6" fillId="0" borderId="0" xfId="0" applyFont="1" applyFill="1" applyAlignment="1">
      <alignment horizontal="center" wrapText="1"/>
    </xf>
    <xf numFmtId="184" fontId="8" fillId="6" borderId="2" xfId="0" applyNumberFormat="1" applyFont="1" applyFill="1" applyBorder="1" applyAlignment="1">
      <alignment horizontal="center"/>
    </xf>
    <xf numFmtId="0" fontId="7" fillId="0" borderId="0" xfId="0" applyFont="1" applyFill="1"/>
    <xf numFmtId="0" fontId="5" fillId="2" borderId="0" xfId="0" applyFont="1" applyFill="1" applyAlignment="1">
      <alignment horizontal="center" wrapText="1"/>
    </xf>
    <xf numFmtId="0" fontId="7" fillId="2" borderId="0" xfId="0" applyFont="1" applyFill="1"/>
    <xf numFmtId="0" fontId="0" fillId="2" borderId="0" xfId="0" applyFont="1" applyFill="1" applyBorder="1" applyAlignment="1">
      <alignment vertical="center"/>
    </xf>
    <xf numFmtId="174" fontId="0" fillId="2" borderId="0" xfId="2" applyNumberFormat="1" applyFont="1" applyFill="1" applyBorder="1" applyAlignment="1">
      <alignment vertical="center"/>
    </xf>
    <xf numFmtId="175" fontId="0" fillId="2" borderId="0" xfId="0" applyNumberFormat="1" applyFont="1" applyFill="1" applyBorder="1" applyAlignment="1">
      <alignment horizontal="right" vertical="center"/>
    </xf>
    <xf numFmtId="0" fontId="0" fillId="2" borderId="0" xfId="0" applyFont="1" applyFill="1" applyBorder="1" applyAlignment="1">
      <alignment horizontal="right" vertical="center"/>
    </xf>
    <xf numFmtId="0" fontId="31" fillId="2" borderId="0" xfId="0" applyFont="1" applyFill="1" applyBorder="1" applyAlignment="1">
      <alignment horizontal="right" vertical="center"/>
    </xf>
    <xf numFmtId="0" fontId="0" fillId="2" borderId="0" xfId="0" applyFont="1" applyFill="1" applyBorder="1" applyAlignment="1">
      <alignment horizontal="left" vertical="top"/>
    </xf>
    <xf numFmtId="0" fontId="17" fillId="2" borderId="0" xfId="0" applyFont="1" applyFill="1" applyBorder="1" applyAlignment="1">
      <alignment horizontal="left" vertical="top" wrapText="1"/>
    </xf>
    <xf numFmtId="171" fontId="32" fillId="2" borderId="0" xfId="0" applyNumberFormat="1" applyFont="1" applyFill="1"/>
    <xf numFmtId="10" fontId="32" fillId="2" borderId="0" xfId="0" applyNumberFormat="1" applyFont="1" applyFill="1"/>
    <xf numFmtId="0" fontId="32" fillId="2" borderId="0" xfId="0" applyFont="1" applyFill="1"/>
    <xf numFmtId="9" fontId="33" fillId="2" borderId="0" xfId="0" applyNumberFormat="1" applyFont="1" applyFill="1" applyAlignment="1">
      <alignment horizontal="center" wrapText="1"/>
    </xf>
    <xf numFmtId="171" fontId="33" fillId="2" borderId="0" xfId="0" applyNumberFormat="1" applyFont="1" applyFill="1" applyAlignment="1">
      <alignment horizontal="center" wrapText="1"/>
    </xf>
    <xf numFmtId="0" fontId="33" fillId="2" borderId="0" xfId="0" applyFont="1" applyFill="1" applyAlignment="1">
      <alignment horizontal="center" wrapText="1"/>
    </xf>
    <xf numFmtId="9" fontId="32" fillId="2" borderId="0" xfId="0" applyNumberFormat="1" applyFont="1" applyFill="1"/>
    <xf numFmtId="168" fontId="0" fillId="2" borderId="37" xfId="2" applyFont="1" applyFill="1" applyBorder="1" applyAlignment="1">
      <alignment vertical="center"/>
    </xf>
    <xf numFmtId="168" fontId="0" fillId="2" borderId="21" xfId="2" applyFont="1" applyFill="1" applyBorder="1" applyAlignment="1">
      <alignment vertical="center"/>
    </xf>
    <xf numFmtId="1" fontId="6" fillId="13" borderId="17" xfId="0" applyNumberFormat="1" applyFont="1" applyFill="1" applyBorder="1" applyAlignment="1">
      <alignment vertical="center"/>
    </xf>
    <xf numFmtId="0" fontId="26" fillId="12" borderId="17" xfId="0" applyFont="1" applyFill="1" applyBorder="1" applyAlignment="1">
      <alignment horizontal="right" vertical="center"/>
    </xf>
    <xf numFmtId="0" fontId="26" fillId="12" borderId="17" xfId="0" applyFont="1" applyFill="1" applyBorder="1" applyAlignment="1">
      <alignment horizontal="center" vertical="center"/>
    </xf>
    <xf numFmtId="171" fontId="26" fillId="12" borderId="17" xfId="0" applyNumberFormat="1" applyFont="1" applyFill="1" applyBorder="1" applyAlignment="1">
      <alignment horizontal="center" vertical="center"/>
    </xf>
    <xf numFmtId="168" fontId="0" fillId="2" borderId="18" xfId="2" applyFont="1" applyFill="1" applyBorder="1" applyAlignment="1">
      <alignment vertical="center"/>
    </xf>
    <xf numFmtId="1" fontId="23" fillId="2" borderId="35" xfId="0" applyNumberFormat="1" applyFont="1" applyFill="1" applyBorder="1" applyAlignment="1">
      <alignment horizontal="center" vertical="center"/>
    </xf>
    <xf numFmtId="164" fontId="0" fillId="11" borderId="0" xfId="2" applyNumberFormat="1" applyFont="1" applyFill="1" applyBorder="1" applyAlignment="1" applyProtection="1">
      <alignment vertical="center"/>
      <protection locked="0"/>
    </xf>
    <xf numFmtId="0" fontId="0" fillId="11" borderId="0" xfId="0" applyFont="1" applyFill="1" applyBorder="1" applyAlignment="1" applyProtection="1">
      <alignment horizontal="left" vertical="center"/>
      <protection locked="0"/>
    </xf>
    <xf numFmtId="0" fontId="0" fillId="2" borderId="0" xfId="0" applyFont="1" applyFill="1" applyBorder="1" applyAlignment="1">
      <alignment horizontal="left" vertical="center"/>
    </xf>
    <xf numFmtId="0" fontId="9" fillId="2" borderId="25" xfId="0" applyFont="1" applyFill="1" applyBorder="1" applyAlignment="1">
      <alignment vertical="center"/>
    </xf>
    <xf numFmtId="0" fontId="0" fillId="2" borderId="13" xfId="0" applyFont="1" applyFill="1" applyBorder="1" applyAlignment="1">
      <alignment vertical="center"/>
    </xf>
    <xf numFmtId="0" fontId="31" fillId="2" borderId="13" xfId="0" applyFont="1" applyFill="1" applyBorder="1" applyAlignment="1">
      <alignment horizontal="right" vertical="center"/>
    </xf>
    <xf numFmtId="0" fontId="9" fillId="2" borderId="14" xfId="0" applyFont="1" applyFill="1" applyBorder="1" applyAlignment="1">
      <alignment vertical="center"/>
    </xf>
    <xf numFmtId="170" fontId="0" fillId="2" borderId="15" xfId="0" applyNumberFormat="1" applyFont="1" applyFill="1" applyBorder="1" applyAlignment="1">
      <alignment horizontal="right" vertical="center"/>
    </xf>
    <xf numFmtId="164" fontId="0" fillId="2" borderId="15" xfId="2" applyNumberFormat="1" applyFont="1" applyFill="1" applyBorder="1" applyAlignment="1">
      <alignment horizontal="right" vertical="center"/>
    </xf>
    <xf numFmtId="0" fontId="9" fillId="2" borderId="32" xfId="0" applyFont="1" applyFill="1" applyBorder="1" applyAlignment="1">
      <alignment vertical="center"/>
    </xf>
    <xf numFmtId="0" fontId="0" fillId="2" borderId="30" xfId="0" applyFont="1" applyFill="1" applyBorder="1" applyAlignment="1">
      <alignment vertical="center"/>
    </xf>
    <xf numFmtId="164" fontId="0" fillId="2" borderId="31" xfId="2" applyNumberFormat="1" applyFont="1" applyFill="1" applyBorder="1" applyAlignment="1">
      <alignment horizontal="right" vertical="center"/>
    </xf>
    <xf numFmtId="0" fontId="0" fillId="2" borderId="25" xfId="0" applyFont="1" applyFill="1" applyBorder="1" applyAlignment="1">
      <alignment vertical="center"/>
    </xf>
    <xf numFmtId="166" fontId="0" fillId="2" borderId="26" xfId="2" applyNumberFormat="1" applyFont="1" applyFill="1" applyBorder="1" applyAlignment="1">
      <alignment vertical="center"/>
    </xf>
    <xf numFmtId="0" fontId="0" fillId="2" borderId="14" xfId="0" applyFont="1" applyFill="1" applyBorder="1" applyAlignment="1">
      <alignment vertical="center"/>
    </xf>
    <xf numFmtId="0" fontId="9" fillId="2" borderId="30" xfId="0" applyFont="1" applyFill="1" applyBorder="1" applyAlignment="1">
      <alignment vertical="center"/>
    </xf>
    <xf numFmtId="164" fontId="9" fillId="2" borderId="31" xfId="2" applyNumberFormat="1" applyFont="1" applyFill="1" applyBorder="1" applyAlignment="1">
      <alignment vertical="center"/>
    </xf>
    <xf numFmtId="0" fontId="9" fillId="2" borderId="11" xfId="0" applyFont="1" applyFill="1" applyBorder="1" applyAlignment="1">
      <alignment vertical="center"/>
    </xf>
    <xf numFmtId="0" fontId="15" fillId="2" borderId="16" xfId="0" applyFont="1" applyFill="1" applyBorder="1" applyAlignment="1">
      <alignment vertical="center"/>
    </xf>
    <xf numFmtId="0" fontId="0" fillId="2" borderId="16" xfId="0" applyFont="1" applyFill="1" applyBorder="1" applyAlignment="1">
      <alignment vertical="center"/>
    </xf>
    <xf numFmtId="164" fontId="9" fillId="2" borderId="12" xfId="2" applyNumberFormat="1" applyFont="1" applyFill="1" applyBorder="1" applyAlignment="1">
      <alignment vertical="center"/>
    </xf>
    <xf numFmtId="0" fontId="0" fillId="11" borderId="14" xfId="0" applyFont="1" applyFill="1" applyBorder="1" applyAlignment="1" applyProtection="1">
      <alignment horizontal="left" vertical="center"/>
      <protection locked="0"/>
    </xf>
    <xf numFmtId="164" fontId="0" fillId="11" borderId="15" xfId="2" applyNumberFormat="1" applyFont="1" applyFill="1" applyBorder="1" applyAlignment="1" applyProtection="1">
      <alignment vertical="center"/>
      <protection locked="0"/>
    </xf>
    <xf numFmtId="0" fontId="0" fillId="11" borderId="32" xfId="0" applyFont="1" applyFill="1" applyBorder="1" applyAlignment="1" applyProtection="1">
      <alignment horizontal="left" vertical="center"/>
      <protection locked="0"/>
    </xf>
    <xf numFmtId="164" fontId="0" fillId="11" borderId="30" xfId="2" applyNumberFormat="1" applyFont="1" applyFill="1" applyBorder="1" applyAlignment="1" applyProtection="1">
      <alignment vertical="center"/>
      <protection locked="0"/>
    </xf>
    <xf numFmtId="0" fontId="0" fillId="11" borderId="30" xfId="0" applyFont="1" applyFill="1" applyBorder="1" applyAlignment="1" applyProtection="1">
      <alignment horizontal="left" vertical="center"/>
      <protection locked="0"/>
    </xf>
    <xf numFmtId="164" fontId="0" fillId="11" borderId="31" xfId="2" applyNumberFormat="1" applyFont="1" applyFill="1" applyBorder="1" applyAlignment="1" applyProtection="1">
      <alignment vertical="center"/>
      <protection locked="0"/>
    </xf>
    <xf numFmtId="0" fontId="9" fillId="2" borderId="16" xfId="0" applyFont="1" applyFill="1" applyBorder="1" applyAlignment="1">
      <alignment vertical="center"/>
    </xf>
    <xf numFmtId="0" fontId="0" fillId="2" borderId="32" xfId="0" applyFont="1" applyFill="1" applyBorder="1" applyAlignment="1">
      <alignment vertical="center"/>
    </xf>
    <xf numFmtId="164" fontId="0" fillId="2" borderId="26" xfId="2" applyNumberFormat="1" applyFont="1" applyFill="1" applyBorder="1" applyAlignment="1">
      <alignment vertical="center"/>
    </xf>
    <xf numFmtId="0" fontId="9" fillId="2" borderId="11" xfId="0" applyFont="1" applyFill="1" applyBorder="1" applyAlignment="1">
      <alignment horizontal="left" vertical="center"/>
    </xf>
    <xf numFmtId="0" fontId="9" fillId="2" borderId="16" xfId="0" applyFont="1" applyFill="1" applyBorder="1" applyAlignment="1">
      <alignment horizontal="left" vertical="center"/>
    </xf>
    <xf numFmtId="0" fontId="9" fillId="2" borderId="25" xfId="0" applyFont="1" applyFill="1" applyBorder="1" applyAlignment="1">
      <alignment horizontal="left" vertical="center"/>
    </xf>
    <xf numFmtId="174" fontId="0" fillId="2" borderId="13" xfId="2" applyNumberFormat="1" applyFont="1" applyFill="1" applyBorder="1" applyAlignment="1">
      <alignment vertical="center"/>
    </xf>
    <xf numFmtId="0" fontId="9" fillId="2" borderId="14" xfId="0" applyFont="1" applyFill="1" applyBorder="1" applyAlignment="1">
      <alignment horizontal="left" vertical="center"/>
    </xf>
    <xf numFmtId="0" fontId="9" fillId="2" borderId="32" xfId="0" applyFont="1" applyFill="1" applyBorder="1" applyAlignment="1">
      <alignment horizontal="left" vertical="center"/>
    </xf>
    <xf numFmtId="174" fontId="0" fillId="2" borderId="30" xfId="2" applyNumberFormat="1" applyFont="1" applyFill="1" applyBorder="1" applyAlignment="1">
      <alignment vertical="center"/>
    </xf>
    <xf numFmtId="0" fontId="13" fillId="2" borderId="13" xfId="0" applyFont="1" applyFill="1" applyBorder="1" applyAlignment="1">
      <alignment horizontal="right" vertical="center"/>
    </xf>
    <xf numFmtId="0" fontId="14" fillId="2" borderId="13" xfId="0" applyFont="1" applyFill="1" applyBorder="1" applyAlignment="1">
      <alignment vertical="center"/>
    </xf>
    <xf numFmtId="0" fontId="13" fillId="2" borderId="14" xfId="0" applyFont="1" applyFill="1" applyBorder="1" applyAlignment="1">
      <alignment horizontal="left" vertical="center"/>
    </xf>
    <xf numFmtId="174" fontId="13" fillId="2" borderId="15" xfId="2" applyNumberFormat="1" applyFont="1" applyFill="1" applyBorder="1" applyAlignment="1">
      <alignment vertical="center"/>
    </xf>
    <xf numFmtId="0" fontId="14" fillId="2" borderId="32" xfId="0" applyFont="1" applyFill="1" applyBorder="1" applyAlignment="1">
      <alignment vertical="center"/>
    </xf>
    <xf numFmtId="164" fontId="10" fillId="2" borderId="30" xfId="2" applyNumberFormat="1" applyFont="1" applyFill="1" applyBorder="1" applyAlignment="1">
      <alignment horizontal="right" vertical="center"/>
    </xf>
    <xf numFmtId="174" fontId="13" fillId="2" borderId="26" xfId="2" applyNumberFormat="1" applyFont="1" applyFill="1" applyBorder="1" applyAlignment="1">
      <alignment vertical="center"/>
    </xf>
    <xf numFmtId="0" fontId="25" fillId="2" borderId="14" xfId="0" applyFont="1" applyFill="1" applyBorder="1" applyAlignment="1">
      <alignment vertical="center"/>
    </xf>
    <xf numFmtId="164" fontId="13" fillId="2" borderId="15" xfId="2" applyNumberFormat="1" applyFont="1" applyFill="1" applyBorder="1" applyAlignment="1">
      <alignment vertical="center"/>
    </xf>
    <xf numFmtId="174" fontId="23" fillId="2" borderId="15" xfId="2" applyNumberFormat="1" applyFont="1" applyFill="1" applyBorder="1" applyAlignment="1">
      <alignment vertical="center"/>
    </xf>
    <xf numFmtId="0" fontId="9" fillId="2" borderId="12" xfId="0" applyFont="1" applyFill="1" applyBorder="1" applyAlignment="1">
      <alignment vertical="center"/>
    </xf>
    <xf numFmtId="0" fontId="0" fillId="2" borderId="26" xfId="0" applyFont="1" applyFill="1" applyBorder="1" applyAlignment="1">
      <alignment vertical="center"/>
    </xf>
    <xf numFmtId="0" fontId="0" fillId="2" borderId="31" xfId="0" applyFont="1" applyFill="1" applyBorder="1" applyAlignment="1">
      <alignment vertical="center"/>
    </xf>
    <xf numFmtId="0" fontId="15" fillId="2" borderId="17" xfId="0" applyFont="1" applyFill="1" applyBorder="1" applyAlignment="1">
      <alignment horizontal="left" vertical="top"/>
    </xf>
    <xf numFmtId="0" fontId="15" fillId="2" borderId="17" xfId="0" applyFont="1" applyFill="1" applyBorder="1" applyAlignment="1">
      <alignment horizontal="left" vertical="top" wrapText="1"/>
    </xf>
    <xf numFmtId="0" fontId="13" fillId="0" borderId="0" xfId="3" applyAlignment="1">
      <alignment horizontal="left"/>
    </xf>
    <xf numFmtId="0" fontId="34" fillId="0" borderId="0" xfId="3" applyFont="1" applyAlignment="1">
      <alignment vertical="center"/>
    </xf>
    <xf numFmtId="0" fontId="35" fillId="0" borderId="0" xfId="3" applyFont="1" applyAlignment="1">
      <alignment horizontal="center" vertical="center"/>
    </xf>
    <xf numFmtId="0" fontId="7" fillId="0" borderId="0" xfId="3" applyFont="1" applyAlignment="1">
      <alignment horizontal="center" vertical="center"/>
    </xf>
    <xf numFmtId="0" fontId="7" fillId="0" borderId="0" xfId="3" applyFont="1" applyAlignment="1"/>
    <xf numFmtId="0" fontId="7" fillId="0" borderId="0" xfId="3" applyFont="1" applyAlignment="1">
      <alignment horizontal="left"/>
    </xf>
    <xf numFmtId="0" fontId="7" fillId="0" borderId="0" xfId="3" applyFont="1"/>
    <xf numFmtId="0" fontId="13" fillId="0" borderId="0" xfId="3" applyAlignment="1"/>
    <xf numFmtId="0" fontId="13" fillId="0" borderId="0" xfId="3" applyFill="1"/>
    <xf numFmtId="0" fontId="0" fillId="2" borderId="14" xfId="0" applyFont="1" applyFill="1" applyBorder="1" applyAlignment="1">
      <alignment horizontal="left" vertical="center"/>
    </xf>
    <xf numFmtId="0" fontId="0" fillId="2" borderId="32" xfId="0" applyFont="1" applyFill="1" applyBorder="1" applyAlignment="1">
      <alignment horizontal="left" vertical="center"/>
    </xf>
    <xf numFmtId="0" fontId="13" fillId="2" borderId="0" xfId="3" applyFill="1" applyBorder="1" applyAlignment="1">
      <alignment horizontal="left"/>
    </xf>
    <xf numFmtId="0" fontId="13" fillId="2" borderId="15" xfId="3" applyFill="1" applyBorder="1" applyAlignment="1">
      <alignment horizontal="left"/>
    </xf>
    <xf numFmtId="0" fontId="0" fillId="2" borderId="30" xfId="0" applyFont="1" applyFill="1" applyBorder="1" applyAlignment="1">
      <alignment horizontal="left" vertical="center"/>
    </xf>
    <xf numFmtId="0" fontId="13" fillId="2" borderId="30" xfId="3" applyFill="1" applyBorder="1" applyAlignment="1">
      <alignment horizontal="left"/>
    </xf>
    <xf numFmtId="0" fontId="13" fillId="2" borderId="31" xfId="3" applyFill="1" applyBorder="1" applyAlignment="1">
      <alignment horizontal="left"/>
    </xf>
    <xf numFmtId="0" fontId="13" fillId="2" borderId="0" xfId="3" applyFill="1" applyAlignment="1">
      <alignment horizontal="left"/>
    </xf>
    <xf numFmtId="0" fontId="37" fillId="2" borderId="0" xfId="0" applyFont="1" applyFill="1" applyBorder="1" applyAlignment="1">
      <alignment horizontal="center" vertical="center"/>
    </xf>
    <xf numFmtId="0" fontId="13" fillId="0" borderId="0" xfId="3" applyFill="1" applyBorder="1"/>
    <xf numFmtId="0" fontId="13" fillId="2" borderId="13" xfId="3" applyFill="1" applyBorder="1" applyAlignment="1">
      <alignment horizontal="left"/>
    </xf>
    <xf numFmtId="0" fontId="13" fillId="2" borderId="26" xfId="3" applyFill="1" applyBorder="1" applyAlignment="1">
      <alignment horizontal="left"/>
    </xf>
    <xf numFmtId="0" fontId="4" fillId="0" borderId="22" xfId="3" applyFont="1" applyBorder="1" applyAlignment="1">
      <alignment horizontal="center" vertical="center"/>
    </xf>
    <xf numFmtId="0" fontId="13" fillId="2" borderId="25" xfId="3" applyFill="1" applyBorder="1"/>
    <xf numFmtId="0" fontId="13" fillId="2" borderId="13" xfId="3" applyFill="1" applyBorder="1"/>
    <xf numFmtId="0" fontId="13" fillId="2" borderId="14" xfId="3" applyFill="1" applyBorder="1" applyAlignment="1"/>
    <xf numFmtId="0" fontId="13" fillId="2" borderId="0" xfId="3" applyFill="1" applyBorder="1"/>
    <xf numFmtId="0" fontId="13" fillId="14" borderId="9" xfId="3" applyFill="1" applyBorder="1" applyAlignment="1">
      <alignment horizontal="left"/>
    </xf>
    <xf numFmtId="0" fontId="38" fillId="14" borderId="0" xfId="0" applyFont="1" applyFill="1" applyBorder="1" applyAlignment="1">
      <alignment horizontal="left" vertical="center"/>
    </xf>
    <xf numFmtId="0" fontId="13" fillId="2" borderId="14" xfId="3" applyFill="1" applyBorder="1"/>
    <xf numFmtId="0" fontId="13" fillId="14" borderId="4" xfId="3" applyFill="1" applyBorder="1"/>
    <xf numFmtId="0" fontId="23" fillId="2" borderId="14" xfId="0" applyFont="1" applyFill="1" applyBorder="1" applyAlignment="1">
      <alignment horizontal="left" vertical="center"/>
    </xf>
    <xf numFmtId="0" fontId="15" fillId="0" borderId="0" xfId="0" applyFont="1" applyFill="1" applyBorder="1" applyAlignment="1">
      <alignment horizontal="left" vertical="center"/>
    </xf>
    <xf numFmtId="0" fontId="13" fillId="2" borderId="0" xfId="0" applyFont="1" applyFill="1" applyBorder="1" applyAlignment="1">
      <alignment horizontal="left" vertical="center"/>
    </xf>
    <xf numFmtId="0" fontId="14" fillId="2" borderId="30" xfId="0" applyFont="1" applyFill="1" applyBorder="1" applyAlignment="1">
      <alignment vertical="center"/>
    </xf>
    <xf numFmtId="0" fontId="25" fillId="2" borderId="0" xfId="0" applyFont="1" applyFill="1" applyBorder="1" applyAlignment="1">
      <alignment vertical="center"/>
    </xf>
    <xf numFmtId="0" fontId="40" fillId="2" borderId="25" xfId="0" applyFont="1" applyFill="1" applyBorder="1" applyAlignment="1">
      <alignment vertical="center"/>
    </xf>
    <xf numFmtId="0" fontId="42" fillId="2" borderId="0" xfId="0" applyFont="1" applyFill="1" applyBorder="1" applyAlignment="1">
      <alignment vertical="center"/>
    </xf>
    <xf numFmtId="9" fontId="32" fillId="0" borderId="0" xfId="0" applyNumberFormat="1" applyFont="1" applyFill="1"/>
    <xf numFmtId="171" fontId="32" fillId="0" borderId="0" xfId="0" applyNumberFormat="1" applyFont="1" applyFill="1"/>
    <xf numFmtId="10" fontId="32" fillId="0" borderId="0" xfId="0" applyNumberFormat="1" applyFont="1" applyFill="1"/>
    <xf numFmtId="0" fontId="32" fillId="0" borderId="0" xfId="0" applyFont="1" applyFill="1"/>
    <xf numFmtId="49" fontId="32" fillId="2" borderId="0" xfId="0" applyNumberFormat="1" applyFont="1" applyFill="1"/>
    <xf numFmtId="171" fontId="5" fillId="11" borderId="2" xfId="0" applyNumberFormat="1" applyFont="1" applyFill="1" applyBorder="1" applyAlignment="1">
      <alignment horizontal="center" vertical="center" wrapText="1"/>
    </xf>
    <xf numFmtId="171" fontId="5" fillId="7" borderId="2" xfId="0" applyNumberFormat="1" applyFont="1" applyFill="1" applyBorder="1" applyAlignment="1">
      <alignment horizontal="center" vertical="center" wrapText="1"/>
    </xf>
    <xf numFmtId="171" fontId="8" fillId="0" borderId="0" xfId="0" applyNumberFormat="1" applyFont="1" applyFill="1" applyAlignment="1">
      <alignment horizontal="center"/>
    </xf>
    <xf numFmtId="171" fontId="7" fillId="7" borderId="2" xfId="0" applyNumberFormat="1" applyFont="1" applyFill="1" applyBorder="1" applyAlignment="1">
      <alignment horizontal="center" vertical="center"/>
    </xf>
    <xf numFmtId="171" fontId="8" fillId="0" borderId="0" xfId="0" applyNumberFormat="1" applyFont="1" applyAlignment="1">
      <alignment horizontal="center"/>
    </xf>
    <xf numFmtId="171" fontId="8" fillId="6" borderId="0" xfId="0" applyNumberFormat="1" applyFont="1" applyFill="1" applyAlignment="1">
      <alignment horizontal="center"/>
    </xf>
    <xf numFmtId="171" fontId="7" fillId="11" borderId="2" xfId="0" applyNumberFormat="1" applyFont="1" applyFill="1" applyBorder="1" applyAlignment="1">
      <alignment horizontal="center" vertical="center"/>
    </xf>
    <xf numFmtId="171" fontId="11" fillId="0" borderId="30" xfId="0" applyNumberFormat="1" applyFont="1" applyFill="1" applyBorder="1" applyAlignment="1">
      <alignment horizontal="center" vertical="center"/>
    </xf>
    <xf numFmtId="0" fontId="0" fillId="0" borderId="26" xfId="0" applyFont="1" applyFill="1" applyBorder="1" applyAlignment="1" applyProtection="1">
      <alignment horizontal="right" vertical="center"/>
      <protection locked="0"/>
    </xf>
    <xf numFmtId="0" fontId="9" fillId="0" borderId="11" xfId="0" applyFont="1" applyFill="1" applyBorder="1" applyAlignment="1">
      <alignment vertical="center"/>
    </xf>
    <xf numFmtId="0" fontId="15" fillId="0" borderId="16" xfId="0" applyFont="1" applyFill="1" applyBorder="1" applyAlignment="1">
      <alignment vertical="center"/>
    </xf>
    <xf numFmtId="0" fontId="0" fillId="0" borderId="16" xfId="0" applyFont="1" applyFill="1" applyBorder="1" applyAlignment="1">
      <alignment vertical="center"/>
    </xf>
    <xf numFmtId="164" fontId="9" fillId="0" borderId="12" xfId="2" applyNumberFormat="1" applyFont="1" applyFill="1" applyBorder="1" applyAlignment="1">
      <alignment vertical="center"/>
    </xf>
    <xf numFmtId="0" fontId="13" fillId="0" borderId="0" xfId="0" applyFont="1" applyFill="1" applyBorder="1" applyAlignment="1">
      <alignment vertical="center"/>
    </xf>
    <xf numFmtId="0" fontId="31" fillId="0" borderId="0" xfId="0" applyFont="1" applyFill="1" applyBorder="1" applyAlignment="1">
      <alignment horizontal="right" vertical="center"/>
    </xf>
    <xf numFmtId="177" fontId="13" fillId="0" borderId="0" xfId="2" applyNumberFormat="1" applyFont="1" applyFill="1" applyBorder="1" applyAlignment="1">
      <alignment horizontal="right" vertical="center"/>
    </xf>
    <xf numFmtId="171" fontId="11" fillId="0" borderId="0" xfId="0" applyNumberFormat="1" applyFont="1" applyFill="1" applyBorder="1" applyAlignment="1">
      <alignment horizontal="center" vertical="center"/>
    </xf>
    <xf numFmtId="0" fontId="24" fillId="2" borderId="0" xfId="0" applyFont="1" applyFill="1" applyBorder="1" applyAlignment="1">
      <alignment vertical="center"/>
    </xf>
    <xf numFmtId="0" fontId="44" fillId="0" borderId="0" xfId="2" applyNumberFormat="1" applyFont="1" applyFill="1" applyBorder="1" applyAlignment="1">
      <alignment horizontal="right" vertical="center"/>
    </xf>
    <xf numFmtId="0" fontId="45" fillId="2" borderId="0" xfId="0" applyFont="1" applyFill="1" applyBorder="1" applyAlignment="1">
      <alignment horizontal="left" vertical="center"/>
    </xf>
    <xf numFmtId="0" fontId="46" fillId="2" borderId="0" xfId="0" applyFont="1" applyFill="1" applyBorder="1" applyAlignment="1">
      <alignment vertical="center"/>
    </xf>
    <xf numFmtId="177" fontId="12" fillId="2" borderId="0" xfId="2" applyNumberFormat="1" applyFont="1" applyFill="1" applyBorder="1" applyAlignment="1">
      <alignment horizontal="right" vertical="center"/>
    </xf>
    <xf numFmtId="171" fontId="12" fillId="2" borderId="0" xfId="0" applyNumberFormat="1" applyFont="1" applyFill="1" applyBorder="1" applyAlignment="1">
      <alignment horizontal="center" vertical="center"/>
    </xf>
    <xf numFmtId="0" fontId="43" fillId="2" borderId="0" xfId="0" applyFont="1" applyFill="1" applyBorder="1" applyAlignment="1">
      <alignment horizontal="right" vertical="center"/>
    </xf>
    <xf numFmtId="177" fontId="12" fillId="2" borderId="0" xfId="2" applyNumberFormat="1" applyFont="1" applyFill="1" applyBorder="1" applyAlignment="1">
      <alignment horizontal="center" vertical="center"/>
    </xf>
    <xf numFmtId="0" fontId="12" fillId="2" borderId="0" xfId="0" applyFont="1" applyFill="1" applyBorder="1" applyAlignment="1">
      <alignment horizontal="center" vertical="center"/>
    </xf>
    <xf numFmtId="164" fontId="12" fillId="2" borderId="0" xfId="2" applyNumberFormat="1" applyFont="1" applyFill="1" applyBorder="1" applyAlignment="1">
      <alignment vertical="center"/>
    </xf>
    <xf numFmtId="174" fontId="12" fillId="2" borderId="0" xfId="2" applyNumberFormat="1" applyFont="1" applyFill="1" applyBorder="1" applyAlignment="1">
      <alignment vertical="center"/>
    </xf>
    <xf numFmtId="174" fontId="12" fillId="2" borderId="0" xfId="2" applyNumberFormat="1" applyFont="1" applyFill="1" applyBorder="1" applyAlignment="1">
      <alignment horizontal="right" vertical="center"/>
    </xf>
    <xf numFmtId="0" fontId="4" fillId="0" borderId="27" xfId="3" applyFont="1" applyBorder="1" applyAlignment="1">
      <alignment horizontal="center" vertical="center"/>
    </xf>
    <xf numFmtId="0" fontId="11" fillId="2" borderId="30" xfId="0" applyFont="1" applyFill="1" applyBorder="1" applyAlignment="1">
      <alignment vertical="center"/>
    </xf>
    <xf numFmtId="0" fontId="14" fillId="2" borderId="0" xfId="0" applyFont="1" applyFill="1" applyBorder="1" applyAlignment="1">
      <alignment horizontal="center" vertical="center"/>
    </xf>
    <xf numFmtId="0" fontId="14" fillId="2" borderId="0" xfId="0" applyFont="1" applyFill="1" applyBorder="1" applyAlignment="1">
      <alignment horizontal="right" vertical="center"/>
    </xf>
    <xf numFmtId="0" fontId="15" fillId="2" borderId="13" xfId="0" applyFont="1" applyFill="1" applyBorder="1" applyAlignment="1">
      <alignment horizontal="center" vertical="center"/>
    </xf>
    <xf numFmtId="0" fontId="15" fillId="2" borderId="26" xfId="0" applyFont="1" applyFill="1" applyBorder="1" applyAlignment="1">
      <alignment horizontal="right" vertical="center"/>
    </xf>
    <xf numFmtId="170" fontId="0" fillId="11" borderId="15" xfId="2" applyNumberFormat="1" applyFont="1" applyFill="1" applyBorder="1" applyAlignment="1" applyProtection="1">
      <alignment vertical="center"/>
      <protection locked="0"/>
    </xf>
    <xf numFmtId="170" fontId="0" fillId="11" borderId="31" xfId="2" applyNumberFormat="1" applyFont="1" applyFill="1" applyBorder="1" applyAlignment="1" applyProtection="1">
      <alignment vertical="center"/>
      <protection locked="0"/>
    </xf>
    <xf numFmtId="0" fontId="14" fillId="2" borderId="0" xfId="0" applyFont="1" applyFill="1" applyBorder="1" applyAlignment="1">
      <alignment vertical="center"/>
    </xf>
    <xf numFmtId="0" fontId="7" fillId="0" borderId="0" xfId="0" applyFont="1" applyFill="1" applyBorder="1"/>
    <xf numFmtId="168" fontId="7" fillId="0" borderId="0" xfId="2" applyFont="1" applyFill="1" applyBorder="1"/>
    <xf numFmtId="0" fontId="5" fillId="0" borderId="0" xfId="0" applyFont="1" applyFill="1" applyBorder="1" applyAlignment="1">
      <alignment horizontal="center" vertical="center" wrapText="1"/>
    </xf>
    <xf numFmtId="0" fontId="5" fillId="0" borderId="0" xfId="0" applyFont="1" applyFill="1" applyBorder="1" applyAlignment="1">
      <alignment horizontal="center" wrapText="1"/>
    </xf>
    <xf numFmtId="171" fontId="5" fillId="0" borderId="0" xfId="0" applyNumberFormat="1" applyFont="1" applyFill="1" applyBorder="1" applyAlignment="1">
      <alignment horizontal="center" vertical="center" wrapText="1"/>
    </xf>
    <xf numFmtId="0" fontId="5" fillId="0" borderId="0" xfId="0" applyFont="1" applyFill="1" applyBorder="1" applyAlignment="1">
      <alignment horizontal="center" vertical="center"/>
    </xf>
    <xf numFmtId="0" fontId="15" fillId="2" borderId="13" xfId="0" applyFont="1" applyFill="1" applyBorder="1" applyAlignment="1">
      <alignment horizontal="center" vertical="center"/>
    </xf>
    <xf numFmtId="10" fontId="13" fillId="11" borderId="13" xfId="0" applyNumberFormat="1" applyFont="1" applyFill="1" applyBorder="1" applyAlignment="1" applyProtection="1">
      <alignment horizontal="center" vertical="center"/>
      <protection locked="0"/>
    </xf>
    <xf numFmtId="0" fontId="42" fillId="2" borderId="0" xfId="0" applyFont="1" applyFill="1" applyBorder="1" applyAlignment="1">
      <alignment horizontal="center" vertical="center"/>
    </xf>
    <xf numFmtId="4" fontId="47" fillId="0" borderId="0" xfId="24" applyFont="1" applyAlignment="1">
      <alignment vertical="center"/>
    </xf>
    <xf numFmtId="3" fontId="7" fillId="0" borderId="0" xfId="25" applyAlignment="1"/>
    <xf numFmtId="0" fontId="0" fillId="11" borderId="0" xfId="2" applyNumberFormat="1" applyFont="1" applyFill="1" applyBorder="1" applyAlignment="1" applyProtection="1">
      <alignment vertical="center"/>
      <protection locked="0"/>
    </xf>
    <xf numFmtId="0" fontId="0" fillId="11" borderId="30" xfId="2" applyNumberFormat="1" applyFont="1" applyFill="1" applyBorder="1" applyAlignment="1" applyProtection="1">
      <alignment vertical="center"/>
      <protection locked="0"/>
    </xf>
    <xf numFmtId="0" fontId="15" fillId="2" borderId="13" xfId="0" applyFont="1" applyFill="1" applyBorder="1" applyAlignment="1">
      <alignment horizontal="right" vertical="center"/>
    </xf>
    <xf numFmtId="3" fontId="19" fillId="8" borderId="17" xfId="25" applyFont="1" applyFill="1" applyBorder="1" applyAlignment="1">
      <alignment horizontal="center" vertical="center"/>
    </xf>
    <xf numFmtId="3" fontId="7" fillId="0" borderId="0" xfId="25" applyAlignment="1">
      <alignment horizontal="center"/>
    </xf>
    <xf numFmtId="3" fontId="2" fillId="0" borderId="0" xfId="25" applyFont="1" applyBorder="1" applyAlignment="1"/>
    <xf numFmtId="3" fontId="7" fillId="0" borderId="0" xfId="25" applyBorder="1" applyAlignment="1"/>
    <xf numFmtId="3" fontId="52" fillId="0" borderId="0" xfId="25" applyFont="1" applyAlignment="1"/>
    <xf numFmtId="3" fontId="49" fillId="0" borderId="0" xfId="25" applyFont="1" applyBorder="1" applyAlignment="1">
      <alignment horizontal="center" vertical="center"/>
    </xf>
    <xf numFmtId="3" fontId="19" fillId="0" borderId="42" xfId="25" applyFont="1" applyBorder="1" applyAlignment="1">
      <alignment horizontal="left" vertical="center"/>
    </xf>
    <xf numFmtId="3" fontId="19" fillId="8" borderId="42" xfId="25" applyFont="1" applyFill="1" applyBorder="1" applyAlignment="1">
      <alignment horizontal="center" vertical="center"/>
    </xf>
    <xf numFmtId="3" fontId="7" fillId="0" borderId="0" xfId="25" applyAlignment="1">
      <alignment horizontal="center" vertical="center"/>
    </xf>
    <xf numFmtId="3" fontId="18" fillId="0" borderId="0" xfId="25" applyFont="1" applyBorder="1" applyAlignment="1">
      <alignment horizontal="center" vertical="center"/>
    </xf>
    <xf numFmtId="3" fontId="55" fillId="0" borderId="0" xfId="25" applyFont="1" applyAlignment="1">
      <alignment horizontal="center" vertical="center"/>
    </xf>
    <xf numFmtId="3" fontId="7" fillId="0" borderId="0" xfId="25" applyBorder="1" applyAlignment="1">
      <alignment horizontal="center" vertical="center"/>
    </xf>
    <xf numFmtId="3" fontId="19" fillId="0" borderId="17" xfId="25" applyFont="1" applyBorder="1" applyAlignment="1">
      <alignment horizontal="left" vertical="center"/>
    </xf>
    <xf numFmtId="3" fontId="52" fillId="0" borderId="0" xfId="25" applyFont="1" applyBorder="1" applyAlignment="1"/>
    <xf numFmtId="3" fontId="7" fillId="0" borderId="0" xfId="25" applyBorder="1" applyAlignment="1">
      <alignment horizontal="center"/>
    </xf>
    <xf numFmtId="3" fontId="50" fillId="0" borderId="0" xfId="25" applyFont="1" applyAlignment="1"/>
    <xf numFmtId="3" fontId="48" fillId="0" borderId="0" xfId="25" applyFont="1" applyBorder="1" applyAlignment="1"/>
    <xf numFmtId="3" fontId="50" fillId="0" borderId="0" xfId="25" applyFont="1" applyBorder="1" applyAlignment="1"/>
    <xf numFmtId="3" fontId="47" fillId="0" borderId="0" xfId="25" applyFont="1" applyBorder="1" applyAlignment="1"/>
    <xf numFmtId="3" fontId="50" fillId="0" borderId="0" xfId="25" applyFont="1" applyAlignment="1">
      <alignment horizontal="center"/>
    </xf>
    <xf numFmtId="3" fontId="56" fillId="0" borderId="0" xfId="25" applyFont="1" applyAlignment="1"/>
    <xf numFmtId="3" fontId="51" fillId="3" borderId="33" xfId="25" applyFont="1" applyFill="1" applyBorder="1" applyAlignment="1">
      <alignment horizontal="center" vertical="center"/>
    </xf>
    <xf numFmtId="164" fontId="10" fillId="0" borderId="30" xfId="2" applyNumberFormat="1" applyFont="1" applyFill="1" applyBorder="1" applyAlignment="1">
      <alignment horizontal="right" vertical="center"/>
    </xf>
    <xf numFmtId="171" fontId="13" fillId="0" borderId="31" xfId="2" applyNumberFormat="1" applyFont="1" applyFill="1" applyBorder="1" applyAlignment="1">
      <alignment vertical="center"/>
    </xf>
    <xf numFmtId="0" fontId="13" fillId="0" borderId="14" xfId="0" applyFont="1" applyFill="1" applyBorder="1" applyAlignment="1">
      <alignment vertical="center"/>
    </xf>
    <xf numFmtId="171" fontId="23" fillId="0" borderId="55" xfId="0" applyNumberFormat="1" applyFont="1" applyFill="1" applyBorder="1" applyAlignment="1">
      <alignment horizontal="center" vertical="center"/>
    </xf>
    <xf numFmtId="0" fontId="13" fillId="2" borderId="55" xfId="0" applyFont="1" applyFill="1" applyBorder="1" applyAlignment="1">
      <alignment horizontal="center" vertical="center"/>
    </xf>
    <xf numFmtId="0" fontId="13" fillId="2" borderId="51" xfId="0" applyFont="1" applyFill="1" applyBorder="1" applyAlignment="1">
      <alignment horizontal="center" vertical="center"/>
    </xf>
    <xf numFmtId="174" fontId="13" fillId="2" borderId="59" xfId="2" applyNumberFormat="1" applyFont="1" applyFill="1" applyBorder="1" applyAlignment="1">
      <alignment horizontal="right" vertical="center"/>
    </xf>
    <xf numFmtId="0" fontId="31" fillId="2" borderId="59" xfId="0" applyFont="1" applyFill="1" applyBorder="1" applyAlignment="1">
      <alignment horizontal="right" vertical="center"/>
    </xf>
    <xf numFmtId="0" fontId="13" fillId="2" borderId="60" xfId="0" applyFont="1" applyFill="1" applyBorder="1" applyAlignment="1">
      <alignment vertical="center"/>
    </xf>
    <xf numFmtId="0" fontId="0" fillId="2" borderId="57" xfId="0" applyFont="1" applyFill="1" applyBorder="1" applyAlignment="1">
      <alignment vertical="center"/>
    </xf>
    <xf numFmtId="0" fontId="13" fillId="2" borderId="0" xfId="0" applyFont="1" applyFill="1" applyBorder="1" applyAlignment="1">
      <alignment horizontal="center" vertical="center"/>
    </xf>
    <xf numFmtId="0" fontId="0" fillId="2" borderId="13" xfId="0" applyFont="1" applyFill="1" applyBorder="1" applyAlignment="1">
      <alignment horizontal="right" vertical="center"/>
    </xf>
    <xf numFmtId="0" fontId="0" fillId="2" borderId="63" xfId="0" applyFont="1" applyFill="1" applyBorder="1" applyAlignment="1">
      <alignment vertical="center"/>
    </xf>
    <xf numFmtId="3" fontId="5" fillId="0" borderId="0" xfId="25" applyFont="1" applyFill="1" applyBorder="1" applyAlignment="1"/>
    <xf numFmtId="3" fontId="7" fillId="0" borderId="0" xfId="25" applyFill="1" applyBorder="1" applyAlignment="1"/>
    <xf numFmtId="0" fontId="0" fillId="2" borderId="60" xfId="0" applyFont="1" applyFill="1" applyBorder="1" applyAlignment="1">
      <alignment vertical="center"/>
    </xf>
    <xf numFmtId="177" fontId="13" fillId="2" borderId="0" xfId="2" applyNumberFormat="1" applyFont="1" applyFill="1" applyBorder="1" applyAlignment="1">
      <alignment horizontal="center" vertical="center"/>
    </xf>
    <xf numFmtId="0" fontId="13" fillId="2" borderId="0" xfId="0" applyFont="1" applyFill="1" applyBorder="1" applyAlignment="1">
      <alignment horizontal="center" vertical="center"/>
    </xf>
    <xf numFmtId="171" fontId="23" fillId="0" borderId="65" xfId="0" applyNumberFormat="1" applyFont="1" applyFill="1" applyBorder="1" applyAlignment="1">
      <alignment horizontal="center" vertical="center"/>
    </xf>
    <xf numFmtId="0" fontId="13" fillId="0" borderId="15" xfId="2" applyNumberFormat="1" applyFont="1" applyFill="1" applyBorder="1" applyAlignment="1">
      <alignment horizontal="right" vertical="center"/>
    </xf>
    <xf numFmtId="15" fontId="9" fillId="2" borderId="0" xfId="0" applyNumberFormat="1" applyFont="1" applyFill="1" applyBorder="1" applyAlignment="1">
      <alignment horizontal="left" vertical="center"/>
    </xf>
    <xf numFmtId="0" fontId="23" fillId="2" borderId="13" xfId="0" applyFont="1" applyFill="1" applyBorder="1"/>
    <xf numFmtId="0" fontId="23" fillId="2" borderId="26" xfId="0" applyFont="1" applyFill="1" applyBorder="1"/>
    <xf numFmtId="0" fontId="23" fillId="2" borderId="0" xfId="0" applyFont="1" applyFill="1" applyBorder="1"/>
    <xf numFmtId="0" fontId="23" fillId="2" borderId="15" xfId="0" applyFont="1" applyFill="1" applyBorder="1"/>
    <xf numFmtId="0" fontId="23" fillId="2" borderId="14" xfId="0" applyFont="1" applyFill="1" applyBorder="1"/>
    <xf numFmtId="0" fontId="9" fillId="2" borderId="0" xfId="0" applyFont="1" applyFill="1" applyBorder="1"/>
    <xf numFmtId="0" fontId="23" fillId="2" borderId="32" xfId="0" applyFont="1" applyFill="1" applyBorder="1"/>
    <xf numFmtId="0" fontId="23" fillId="2" borderId="30" xfId="0" applyFont="1" applyFill="1" applyBorder="1" applyAlignment="1">
      <alignment vertical="top"/>
    </xf>
    <xf numFmtId="0" fontId="9" fillId="2" borderId="30" xfId="0" applyFont="1" applyFill="1" applyBorder="1" applyAlignment="1">
      <alignment horizontal="center"/>
    </xf>
    <xf numFmtId="0" fontId="23" fillId="2" borderId="30" xfId="0" applyFont="1" applyFill="1" applyBorder="1"/>
    <xf numFmtId="0" fontId="9" fillId="2" borderId="30" xfId="0" applyFont="1" applyFill="1" applyBorder="1"/>
    <xf numFmtId="0" fontId="23" fillId="2" borderId="31" xfId="0" applyFont="1" applyFill="1" applyBorder="1"/>
    <xf numFmtId="0" fontId="23" fillId="2" borderId="0" xfId="0" applyFont="1" applyFill="1"/>
    <xf numFmtId="0" fontId="23" fillId="2" borderId="0" xfId="0" applyFont="1" applyFill="1" applyBorder="1" applyAlignment="1">
      <alignment horizontal="right"/>
    </xf>
    <xf numFmtId="0" fontId="61" fillId="2" borderId="0" xfId="0" applyFont="1" applyFill="1"/>
    <xf numFmtId="170" fontId="9" fillId="2" borderId="0" xfId="0" applyNumberFormat="1" applyFont="1" applyFill="1" applyBorder="1" applyAlignment="1">
      <alignment horizontal="right" vertical="center"/>
    </xf>
    <xf numFmtId="0" fontId="23" fillId="2" borderId="13" xfId="0" applyFont="1" applyFill="1" applyBorder="1" applyAlignment="1">
      <alignment horizontal="center" vertical="center"/>
    </xf>
    <xf numFmtId="0" fontId="9" fillId="2" borderId="0" xfId="0" applyFont="1" applyFill="1" applyBorder="1" applyAlignment="1">
      <alignment horizontal="center" vertical="center"/>
    </xf>
    <xf numFmtId="0" fontId="23" fillId="2" borderId="25" xfId="0" applyFont="1" applyFill="1" applyBorder="1"/>
    <xf numFmtId="0" fontId="23" fillId="2" borderId="15" xfId="0" applyFont="1" applyFill="1" applyBorder="1" applyAlignment="1">
      <alignment horizontal="right"/>
    </xf>
    <xf numFmtId="0" fontId="17" fillId="2" borderId="0" xfId="0" applyFont="1" applyFill="1" applyBorder="1"/>
    <xf numFmtId="3" fontId="23" fillId="2" borderId="0" xfId="0" applyNumberFormat="1" applyFont="1" applyFill="1" applyBorder="1"/>
    <xf numFmtId="49" fontId="23" fillId="2" borderId="0" xfId="0" applyNumberFormat="1" applyFont="1" applyFill="1" applyBorder="1"/>
    <xf numFmtId="0" fontId="61" fillId="2" borderId="14" xfId="0" applyFont="1" applyFill="1" applyBorder="1"/>
    <xf numFmtId="0" fontId="61" fillId="2" borderId="15" xfId="0" applyFont="1" applyFill="1" applyBorder="1"/>
    <xf numFmtId="0" fontId="63" fillId="2" borderId="0" xfId="0" applyFont="1" applyFill="1" applyBorder="1"/>
    <xf numFmtId="0" fontId="64" fillId="2" borderId="0" xfId="0" applyFont="1" applyFill="1" applyBorder="1"/>
    <xf numFmtId="0" fontId="23" fillId="2" borderId="69" xfId="0" applyFont="1" applyFill="1" applyBorder="1"/>
    <xf numFmtId="0" fontId="62" fillId="2" borderId="0" xfId="3" applyFont="1" applyFill="1" applyBorder="1" applyAlignment="1">
      <alignment horizontal="left"/>
    </xf>
    <xf numFmtId="0" fontId="23" fillId="2" borderId="13" xfId="0" applyFont="1" applyFill="1" applyBorder="1" applyAlignment="1">
      <alignment horizontal="left"/>
    </xf>
    <xf numFmtId="0" fontId="17" fillId="2" borderId="15" xfId="0" applyFont="1" applyFill="1" applyBorder="1" applyAlignment="1">
      <alignment horizontal="right"/>
    </xf>
    <xf numFmtId="0" fontId="23" fillId="2" borderId="0" xfId="0" applyFont="1" applyFill="1" applyAlignment="1">
      <alignment horizontal="left"/>
    </xf>
    <xf numFmtId="0" fontId="23" fillId="2" borderId="0" xfId="0" applyNumberFormat="1" applyFont="1" applyFill="1" applyBorder="1"/>
    <xf numFmtId="0" fontId="23" fillId="2" borderId="0" xfId="0" applyNumberFormat="1" applyFont="1" applyFill="1" applyBorder="1" applyAlignment="1">
      <alignment horizontal="left"/>
    </xf>
    <xf numFmtId="0" fontId="13" fillId="2" borderId="0" xfId="5" applyFont="1" applyFill="1" applyBorder="1"/>
    <xf numFmtId="0" fontId="29" fillId="2" borderId="14" xfId="0" applyFont="1" applyFill="1" applyBorder="1" applyAlignment="1">
      <alignment horizontal="right"/>
    </xf>
    <xf numFmtId="0" fontId="29" fillId="2" borderId="0" xfId="0" applyFont="1" applyFill="1" applyBorder="1" applyAlignment="1">
      <alignment horizontal="right"/>
    </xf>
    <xf numFmtId="0" fontId="69" fillId="2" borderId="25" xfId="0" applyFont="1" applyFill="1" applyBorder="1" applyAlignment="1">
      <alignment vertical="center"/>
    </xf>
    <xf numFmtId="0" fontId="29" fillId="2" borderId="0" xfId="0" applyFont="1" applyFill="1" applyBorder="1" applyAlignment="1">
      <alignment horizontal="left"/>
    </xf>
    <xf numFmtId="0" fontId="70" fillId="14" borderId="15" xfId="0" applyFont="1" applyFill="1" applyBorder="1"/>
    <xf numFmtId="179" fontId="13" fillId="2" borderId="15" xfId="3" applyNumberFormat="1" applyFont="1" applyFill="1" applyBorder="1" applyAlignment="1">
      <alignment vertical="center"/>
    </xf>
    <xf numFmtId="0" fontId="12" fillId="2" borderId="0" xfId="0" applyFont="1" applyFill="1" applyBorder="1" applyAlignment="1">
      <alignment horizontal="center"/>
    </xf>
    <xf numFmtId="0" fontId="23" fillId="2" borderId="10" xfId="0" applyFont="1" applyFill="1" applyBorder="1"/>
    <xf numFmtId="0" fontId="12" fillId="2" borderId="46" xfId="0" applyFont="1" applyFill="1" applyBorder="1" applyAlignment="1">
      <alignment horizontal="center"/>
    </xf>
    <xf numFmtId="0" fontId="23" fillId="2" borderId="46" xfId="0" applyFont="1" applyFill="1" applyBorder="1" applyAlignment="1">
      <alignment horizontal="center"/>
    </xf>
    <xf numFmtId="0" fontId="23" fillId="2" borderId="48" xfId="0" applyFont="1" applyFill="1" applyBorder="1" applyAlignment="1">
      <alignment horizontal="center"/>
    </xf>
    <xf numFmtId="0" fontId="23" fillId="2" borderId="50" xfId="0" applyFont="1" applyFill="1" applyBorder="1" applyAlignment="1">
      <alignment horizontal="center"/>
    </xf>
    <xf numFmtId="0" fontId="23" fillId="2" borderId="50" xfId="0" applyFont="1" applyFill="1" applyBorder="1"/>
    <xf numFmtId="0" fontId="9" fillId="2" borderId="2" xfId="0" applyFont="1" applyFill="1" applyBorder="1" applyAlignment="1">
      <alignment horizontal="center" wrapText="1"/>
    </xf>
    <xf numFmtId="0" fontId="23" fillId="2" borderId="46" xfId="0" applyFont="1" applyFill="1" applyBorder="1"/>
    <xf numFmtId="0" fontId="23" fillId="2" borderId="48" xfId="0" applyFont="1" applyFill="1" applyBorder="1"/>
    <xf numFmtId="0" fontId="23" fillId="2" borderId="8" xfId="0" applyFont="1" applyFill="1" applyBorder="1"/>
    <xf numFmtId="0" fontId="23" fillId="2" borderId="9" xfId="0" applyFont="1" applyFill="1" applyBorder="1"/>
    <xf numFmtId="49" fontId="23" fillId="2" borderId="10" xfId="0" applyNumberFormat="1" applyFont="1" applyFill="1" applyBorder="1"/>
    <xf numFmtId="0" fontId="9" fillId="2" borderId="10" xfId="0" applyFont="1" applyFill="1" applyBorder="1"/>
    <xf numFmtId="0" fontId="9" fillId="2" borderId="2" xfId="0" applyFont="1" applyFill="1" applyBorder="1" applyAlignment="1">
      <alignment horizontal="center" vertical="center"/>
    </xf>
    <xf numFmtId="0" fontId="23" fillId="2" borderId="5" xfId="0" applyFont="1" applyFill="1" applyBorder="1"/>
    <xf numFmtId="0" fontId="23" fillId="2" borderId="36" xfId="0" applyNumberFormat="1" applyFont="1" applyFill="1" applyBorder="1" applyAlignment="1">
      <alignment horizontal="left"/>
    </xf>
    <xf numFmtId="0" fontId="23" fillId="2" borderId="49" xfId="0" applyNumberFormat="1" applyFont="1" applyFill="1" applyBorder="1" applyAlignment="1">
      <alignment horizontal="left"/>
    </xf>
    <xf numFmtId="0" fontId="12" fillId="2" borderId="0" xfId="0" applyFont="1" applyFill="1"/>
    <xf numFmtId="0" fontId="12" fillId="2" borderId="0" xfId="0" applyNumberFormat="1" applyFont="1" applyFill="1"/>
    <xf numFmtId="179" fontId="12" fillId="2" borderId="0" xfId="0" applyNumberFormat="1" applyFont="1" applyFill="1"/>
    <xf numFmtId="170" fontId="0" fillId="11" borderId="14" xfId="0" applyNumberFormat="1" applyFont="1" applyFill="1" applyBorder="1" applyAlignment="1" applyProtection="1">
      <alignment horizontal="left" vertical="center"/>
      <protection locked="0"/>
    </xf>
    <xf numFmtId="0" fontId="23" fillId="2" borderId="5" xfId="0" applyFont="1" applyFill="1" applyBorder="1" applyAlignment="1">
      <alignment horizontal="left"/>
    </xf>
    <xf numFmtId="0" fontId="23" fillId="2" borderId="36" xfId="0" applyFont="1" applyFill="1" applyBorder="1" applyAlignment="1">
      <alignment horizontal="left"/>
    </xf>
    <xf numFmtId="0" fontId="23" fillId="2" borderId="49" xfId="0" applyFont="1" applyFill="1" applyBorder="1" applyAlignment="1">
      <alignment horizontal="left"/>
    </xf>
    <xf numFmtId="0" fontId="72" fillId="2" borderId="4" xfId="0" applyFont="1" applyFill="1" applyBorder="1"/>
    <xf numFmtId="0" fontId="68" fillId="2" borderId="0" xfId="0" applyFont="1" applyFill="1" applyBorder="1" applyAlignment="1">
      <alignment horizontal="right"/>
    </xf>
    <xf numFmtId="0" fontId="23" fillId="0" borderId="0" xfId="3" applyFont="1"/>
    <xf numFmtId="0" fontId="23" fillId="0" borderId="0" xfId="3" applyFont="1" applyFill="1" applyBorder="1"/>
    <xf numFmtId="0" fontId="8" fillId="0" borderId="0" xfId="3" applyFont="1" applyAlignment="1">
      <alignment horizontal="center" vertical="center"/>
    </xf>
    <xf numFmtId="0" fontId="8" fillId="0" borderId="0" xfId="3" applyFont="1"/>
    <xf numFmtId="0" fontId="13" fillId="14" borderId="47" xfId="3" applyFill="1" applyBorder="1"/>
    <xf numFmtId="0" fontId="13" fillId="14" borderId="48" xfId="3" applyFill="1" applyBorder="1" applyAlignment="1">
      <alignment horizontal="left"/>
    </xf>
    <xf numFmtId="0" fontId="13" fillId="14" borderId="50" xfId="3" applyFill="1" applyBorder="1" applyAlignment="1">
      <alignment horizontal="left"/>
    </xf>
    <xf numFmtId="0" fontId="23" fillId="2" borderId="0" xfId="0" applyFont="1" applyFill="1" applyBorder="1" applyAlignment="1">
      <alignment horizontal="center" vertical="center"/>
    </xf>
    <xf numFmtId="0" fontId="4" fillId="0" borderId="29" xfId="3" applyFont="1" applyBorder="1" applyAlignment="1">
      <alignment horizontal="center" vertical="center"/>
    </xf>
    <xf numFmtId="179" fontId="12" fillId="2" borderId="0" xfId="3" applyNumberFormat="1" applyFont="1" applyFill="1" applyBorder="1" applyAlignment="1">
      <alignment horizontal="center" vertical="center"/>
    </xf>
    <xf numFmtId="0" fontId="73" fillId="2" borderId="24" xfId="0" applyFont="1" applyFill="1" applyBorder="1" applyAlignment="1">
      <alignment horizontal="left" vertical="center"/>
    </xf>
    <xf numFmtId="0" fontId="73" fillId="2" borderId="28" xfId="0" applyFont="1" applyFill="1" applyBorder="1" applyAlignment="1">
      <alignment horizontal="left" vertical="center"/>
    </xf>
    <xf numFmtId="0" fontId="73" fillId="2" borderId="38" xfId="0" applyFont="1" applyFill="1" applyBorder="1" applyAlignment="1">
      <alignment horizontal="left" vertical="center"/>
    </xf>
    <xf numFmtId="0" fontId="41" fillId="2" borderId="12" xfId="0" applyFont="1" applyFill="1" applyBorder="1" applyAlignment="1">
      <alignment horizontal="left" vertical="center"/>
    </xf>
    <xf numFmtId="0" fontId="23" fillId="2" borderId="76" xfId="0" applyFont="1" applyFill="1" applyBorder="1"/>
    <xf numFmtId="0" fontId="23" fillId="2" borderId="82" xfId="0" applyFont="1" applyFill="1" applyBorder="1"/>
    <xf numFmtId="0" fontId="31" fillId="2" borderId="55" xfId="0" applyFont="1" applyFill="1" applyBorder="1" applyAlignment="1">
      <alignment horizontal="left" vertical="center"/>
    </xf>
    <xf numFmtId="174" fontId="14" fillId="0" borderId="52" xfId="2" applyNumberFormat="1" applyFont="1" applyFill="1" applyBorder="1" applyAlignment="1">
      <alignment horizontal="center" vertical="center"/>
    </xf>
    <xf numFmtId="0" fontId="23" fillId="2" borderId="0" xfId="0" applyFont="1" applyFill="1" applyBorder="1" applyAlignment="1">
      <alignment horizontal="left"/>
    </xf>
    <xf numFmtId="0" fontId="60" fillId="2" borderId="0" xfId="0" applyFont="1" applyFill="1" applyBorder="1" applyAlignment="1">
      <alignment horizontal="center"/>
    </xf>
    <xf numFmtId="0" fontId="23" fillId="2" borderId="30" xfId="0" applyFont="1" applyFill="1" applyBorder="1" applyAlignment="1">
      <alignment horizontal="left"/>
    </xf>
    <xf numFmtId="0" fontId="23" fillId="2" borderId="0" xfId="0" applyFont="1" applyFill="1" applyBorder="1" applyAlignment="1">
      <alignment horizontal="center"/>
    </xf>
    <xf numFmtId="4" fontId="7" fillId="0" borderId="0" xfId="31"/>
    <xf numFmtId="4" fontId="7" fillId="8" borderId="0" xfId="31" applyFill="1"/>
    <xf numFmtId="4" fontId="7" fillId="0" borderId="0" xfId="31" applyAlignment="1">
      <alignment horizontal="center"/>
    </xf>
    <xf numFmtId="49" fontId="7" fillId="0" borderId="0" xfId="31" applyNumberFormat="1" applyBorder="1"/>
    <xf numFmtId="4" fontId="7" fillId="0" borderId="0" xfId="31" applyBorder="1"/>
    <xf numFmtId="4" fontId="52" fillId="0" borderId="0" xfId="31" applyFont="1"/>
    <xf numFmtId="4" fontId="5" fillId="0" borderId="0" xfId="31" applyFont="1" applyBorder="1" applyAlignment="1">
      <alignment horizontal="center" vertical="center" wrapText="1"/>
    </xf>
    <xf numFmtId="3" fontId="5" fillId="16" borderId="39" xfId="31" applyNumberFormat="1" applyFont="1" applyFill="1" applyBorder="1" applyAlignment="1">
      <alignment horizontal="center" vertical="center" wrapText="1"/>
    </xf>
    <xf numFmtId="4" fontId="5" fillId="16" borderId="40" xfId="31" applyNumberFormat="1" applyFont="1" applyFill="1" applyBorder="1" applyAlignment="1">
      <alignment horizontal="center" vertical="center" wrapText="1"/>
    </xf>
    <xf numFmtId="0" fontId="5" fillId="16" borderId="40" xfId="31" applyNumberFormat="1" applyFont="1" applyFill="1" applyBorder="1" applyAlignment="1">
      <alignment horizontal="center" vertical="center" wrapText="1"/>
    </xf>
    <xf numFmtId="49" fontId="5" fillId="16" borderId="40" xfId="31" applyNumberFormat="1" applyFont="1" applyFill="1" applyBorder="1" applyAlignment="1">
      <alignment horizontal="center" vertical="center" wrapText="1"/>
    </xf>
    <xf numFmtId="4" fontId="5" fillId="16" borderId="41" xfId="31" applyNumberFormat="1" applyFont="1" applyFill="1" applyBorder="1" applyAlignment="1">
      <alignment horizontal="center" vertical="center" wrapText="1"/>
    </xf>
    <xf numFmtId="4" fontId="5" fillId="0" borderId="0" xfId="31" applyFont="1" applyAlignment="1">
      <alignment horizontal="center" vertical="center" wrapText="1"/>
    </xf>
    <xf numFmtId="4" fontId="7" fillId="0" borderId="0" xfId="31" applyFont="1" applyBorder="1" applyAlignment="1">
      <alignment vertical="center"/>
    </xf>
    <xf numFmtId="168" fontId="7" fillId="0" borderId="2" xfId="31" applyNumberFormat="1" applyFont="1" applyFill="1" applyBorder="1" applyAlignment="1">
      <alignment horizontal="right" vertical="center"/>
    </xf>
    <xf numFmtId="168" fontId="52" fillId="0" borderId="2" xfId="31" applyNumberFormat="1" applyFont="1" applyFill="1" applyBorder="1" applyAlignment="1">
      <alignment horizontal="right" vertical="center"/>
    </xf>
    <xf numFmtId="4" fontId="7" fillId="0" borderId="0" xfId="31" applyFont="1" applyAlignment="1">
      <alignment vertical="center"/>
    </xf>
    <xf numFmtId="4" fontId="7" fillId="0" borderId="0" xfId="31" applyFont="1" applyFill="1" applyBorder="1" applyAlignment="1">
      <alignment vertical="center"/>
    </xf>
    <xf numFmtId="4" fontId="7" fillId="0" borderId="0" xfId="31" applyFont="1" applyFill="1" applyAlignment="1">
      <alignment vertical="center"/>
    </xf>
    <xf numFmtId="4" fontId="7" fillId="0" borderId="0" xfId="31" applyBorder="1" applyAlignment="1">
      <alignment vertical="center"/>
    </xf>
    <xf numFmtId="167" fontId="5" fillId="0" borderId="31" xfId="31" applyNumberFormat="1" applyFont="1" applyBorder="1" applyAlignment="1">
      <alignment horizontal="right" vertical="center"/>
    </xf>
    <xf numFmtId="167" fontId="5" fillId="0" borderId="33" xfId="31" applyNumberFormat="1" applyFont="1" applyBorder="1" applyAlignment="1">
      <alignment horizontal="right" vertical="center"/>
    </xf>
    <xf numFmtId="167" fontId="39" fillId="0" borderId="33" xfId="31" applyNumberFormat="1" applyFont="1" applyBorder="1" applyAlignment="1">
      <alignment horizontal="right" vertical="center"/>
    </xf>
    <xf numFmtId="4" fontId="7" fillId="0" borderId="0" xfId="31" applyAlignment="1">
      <alignment vertical="center"/>
    </xf>
    <xf numFmtId="4" fontId="7" fillId="0" borderId="0" xfId="31" applyBorder="1" applyAlignment="1"/>
    <xf numFmtId="1" fontId="7" fillId="0" borderId="0" xfId="31" applyNumberFormat="1" applyBorder="1"/>
    <xf numFmtId="4" fontId="7" fillId="0" borderId="0" xfId="31" applyBorder="1" applyAlignment="1">
      <alignment horizontal="center"/>
    </xf>
    <xf numFmtId="4" fontId="52" fillId="0" borderId="0" xfId="31" applyFont="1" applyBorder="1"/>
    <xf numFmtId="4" fontId="7" fillId="0" borderId="0" xfId="31" applyAlignment="1"/>
    <xf numFmtId="1" fontId="7" fillId="0" borderId="0" xfId="31" applyNumberFormat="1" applyBorder="1" applyAlignment="1"/>
    <xf numFmtId="4" fontId="52" fillId="0" borderId="0" xfId="31" applyFont="1" applyAlignment="1"/>
    <xf numFmtId="4" fontId="5" fillId="0" borderId="0" xfId="31" applyFont="1" applyAlignment="1"/>
    <xf numFmtId="1" fontId="5" fillId="0" borderId="0" xfId="31" applyNumberFormat="1" applyFont="1" applyAlignment="1"/>
    <xf numFmtId="4" fontId="7" fillId="0" borderId="25" xfId="31" applyBorder="1" applyAlignment="1"/>
    <xf numFmtId="4" fontId="7" fillId="0" borderId="13" xfId="31" applyBorder="1" applyAlignment="1"/>
    <xf numFmtId="4" fontId="7" fillId="0" borderId="26" xfId="31" applyBorder="1" applyAlignment="1"/>
    <xf numFmtId="1" fontId="7" fillId="0" borderId="0" xfId="31" applyNumberFormat="1" applyAlignment="1"/>
    <xf numFmtId="4" fontId="7" fillId="0" borderId="14" xfId="31" applyBorder="1" applyAlignment="1"/>
    <xf numFmtId="4" fontId="7" fillId="0" borderId="15" xfId="31" applyBorder="1" applyAlignment="1"/>
    <xf numFmtId="4" fontId="7" fillId="0" borderId="32" xfId="31" applyBorder="1" applyAlignment="1"/>
    <xf numFmtId="4" fontId="7" fillId="0" borderId="30" xfId="31" applyBorder="1" applyAlignment="1"/>
    <xf numFmtId="4" fontId="7" fillId="0" borderId="31" xfId="31" applyBorder="1" applyAlignment="1"/>
    <xf numFmtId="4" fontId="5" fillId="0" borderId="0" xfId="31" applyFont="1" applyAlignment="1">
      <alignment horizontal="left"/>
    </xf>
    <xf numFmtId="4" fontId="39" fillId="0" borderId="0" xfId="31" applyFont="1" applyAlignment="1"/>
    <xf numFmtId="164" fontId="0" fillId="2" borderId="15" xfId="2" applyNumberFormat="1" applyFont="1" applyFill="1" applyBorder="1" applyAlignment="1">
      <alignment vertical="center"/>
    </xf>
    <xf numFmtId="0" fontId="15" fillId="2" borderId="0" xfId="0" applyFont="1" applyFill="1" applyBorder="1" applyAlignment="1">
      <alignment vertical="center"/>
    </xf>
    <xf numFmtId="0" fontId="31" fillId="2" borderId="0" xfId="0" applyFont="1" applyFill="1" applyBorder="1" applyAlignment="1">
      <alignment horizontal="left" vertical="center"/>
    </xf>
    <xf numFmtId="0" fontId="13" fillId="11" borderId="68" xfId="0" applyNumberFormat="1" applyFont="1" applyFill="1" applyBorder="1" applyAlignment="1" applyProtection="1">
      <alignment horizontal="right" vertical="center"/>
      <protection locked="0"/>
    </xf>
    <xf numFmtId="0" fontId="0" fillId="11" borderId="68" xfId="0" applyFont="1" applyFill="1" applyBorder="1" applyAlignment="1" applyProtection="1">
      <alignment horizontal="right" vertical="center"/>
      <protection locked="0"/>
    </xf>
    <xf numFmtId="10" fontId="13" fillId="0" borderId="60" xfId="0" applyNumberFormat="1" applyFont="1" applyFill="1" applyBorder="1" applyAlignment="1" applyProtection="1">
      <alignment horizontal="center" vertical="center"/>
      <protection locked="0"/>
    </xf>
    <xf numFmtId="0" fontId="23" fillId="2" borderId="84" xfId="0" applyFont="1" applyFill="1" applyBorder="1" applyAlignment="1">
      <alignment vertical="center"/>
    </xf>
    <xf numFmtId="174" fontId="9" fillId="2" borderId="86" xfId="2" applyNumberFormat="1" applyFont="1" applyFill="1" applyBorder="1" applyAlignment="1">
      <alignment horizontal="right" vertical="center"/>
    </xf>
    <xf numFmtId="0" fontId="23" fillId="0" borderId="10" xfId="0" applyFont="1" applyFill="1" applyBorder="1"/>
    <xf numFmtId="0" fontId="23" fillId="2" borderId="4" xfId="0" applyFont="1" applyFill="1" applyBorder="1"/>
    <xf numFmtId="0" fontId="23" fillId="2" borderId="47" xfId="0" applyFont="1" applyFill="1" applyBorder="1" applyAlignment="1">
      <alignment horizontal="left"/>
    </xf>
    <xf numFmtId="0" fontId="23" fillId="2" borderId="47" xfId="0" applyFont="1" applyFill="1" applyBorder="1"/>
    <xf numFmtId="0" fontId="23" fillId="2" borderId="47" xfId="0" applyNumberFormat="1" applyFont="1" applyFill="1" applyBorder="1"/>
    <xf numFmtId="0" fontId="23" fillId="2" borderId="50" xfId="0" applyFont="1" applyFill="1" applyBorder="1" applyAlignment="1">
      <alignment horizontal="left"/>
    </xf>
    <xf numFmtId="164" fontId="20" fillId="2" borderId="26" xfId="2" applyNumberFormat="1" applyFont="1" applyFill="1" applyBorder="1" applyAlignment="1">
      <alignment vertical="center"/>
    </xf>
    <xf numFmtId="164" fontId="20" fillId="0" borderId="15" xfId="2" applyNumberFormat="1" applyFont="1" applyFill="1" applyBorder="1" applyAlignment="1">
      <alignment vertical="center"/>
    </xf>
    <xf numFmtId="164" fontId="20" fillId="2" borderId="31" xfId="2" applyNumberFormat="1" applyFont="1" applyFill="1" applyBorder="1" applyAlignment="1">
      <alignment vertical="center"/>
    </xf>
    <xf numFmtId="164" fontId="14" fillId="2" borderId="12" xfId="2" applyNumberFormat="1" applyFont="1" applyFill="1" applyBorder="1" applyAlignment="1">
      <alignment vertical="center"/>
    </xf>
    <xf numFmtId="0" fontId="0" fillId="0" borderId="0" xfId="0" applyAlignment="1">
      <alignment horizontal="left"/>
    </xf>
    <xf numFmtId="0" fontId="23" fillId="0" borderId="0" xfId="0" applyFont="1" applyAlignment="1">
      <alignment vertical="center"/>
    </xf>
    <xf numFmtId="0" fontId="9" fillId="0" borderId="0" xfId="0" applyFont="1" applyAlignment="1">
      <alignment vertical="center"/>
    </xf>
    <xf numFmtId="0" fontId="23" fillId="0" borderId="0" xfId="0" applyFont="1" applyAlignment="1">
      <alignment vertical="center" wrapText="1"/>
    </xf>
    <xf numFmtId="0" fontId="75" fillId="0" borderId="0" xfId="0" applyFont="1" applyAlignment="1">
      <alignment horizontal="center" vertical="center"/>
    </xf>
    <xf numFmtId="0" fontId="9" fillId="0" borderId="77" xfId="0" applyFont="1" applyFill="1" applyBorder="1"/>
    <xf numFmtId="0" fontId="23" fillId="0" borderId="78" xfId="0" applyFont="1" applyFill="1" applyBorder="1"/>
    <xf numFmtId="15" fontId="32" fillId="2" borderId="0" xfId="0" applyNumberFormat="1" applyFont="1" applyFill="1" applyBorder="1" applyAlignment="1">
      <alignment horizontal="center"/>
    </xf>
    <xf numFmtId="49" fontId="32" fillId="2" borderId="2" xfId="0" applyNumberFormat="1" applyFont="1" applyFill="1" applyBorder="1" applyAlignment="1">
      <alignment horizontal="center" vertical="center"/>
    </xf>
    <xf numFmtId="17" fontId="32" fillId="2" borderId="2" xfId="0" applyNumberFormat="1" applyFont="1" applyFill="1" applyBorder="1" applyAlignment="1">
      <alignment horizontal="center" vertical="center"/>
    </xf>
    <xf numFmtId="17" fontId="32" fillId="2" borderId="0" xfId="0" applyNumberFormat="1" applyFont="1" applyFill="1"/>
    <xf numFmtId="185" fontId="32" fillId="2" borderId="2" xfId="0" applyNumberFormat="1" applyFont="1" applyFill="1" applyBorder="1" applyAlignment="1">
      <alignment horizontal="center" vertical="center"/>
    </xf>
    <xf numFmtId="0" fontId="32" fillId="2" borderId="2" xfId="0" applyFont="1" applyFill="1" applyBorder="1" applyAlignment="1">
      <alignment horizontal="center" vertical="center"/>
    </xf>
    <xf numFmtId="0" fontId="32" fillId="9" borderId="0" xfId="0" applyFont="1" applyFill="1"/>
    <xf numFmtId="183" fontId="32" fillId="2" borderId="0" xfId="0" applyNumberFormat="1" applyFont="1" applyFill="1"/>
    <xf numFmtId="0" fontId="32" fillId="2" borderId="0" xfId="0" applyNumberFormat="1" applyFont="1" applyFill="1"/>
    <xf numFmtId="0" fontId="32" fillId="0" borderId="51" xfId="0" applyFont="1" applyFill="1" applyBorder="1"/>
    <xf numFmtId="0" fontId="33" fillId="2" borderId="87" xfId="0" applyFont="1" applyFill="1" applyBorder="1" applyAlignment="1">
      <alignment horizontal="center" vertical="center" wrapText="1"/>
    </xf>
    <xf numFmtId="0" fontId="33" fillId="2" borderId="88" xfId="0" applyFont="1" applyFill="1" applyBorder="1" applyAlignment="1">
      <alignment horizontal="center" vertical="center" wrapText="1"/>
    </xf>
    <xf numFmtId="0" fontId="33" fillId="2" borderId="55" xfId="0" applyFont="1" applyFill="1" applyBorder="1" applyAlignment="1">
      <alignment horizontal="center" wrapText="1"/>
    </xf>
    <xf numFmtId="3" fontId="32" fillId="0" borderId="0" xfId="25" applyFont="1" applyAlignment="1">
      <alignment horizontal="left" vertical="center"/>
    </xf>
    <xf numFmtId="4" fontId="32" fillId="0" borderId="0" xfId="31" applyFont="1"/>
    <xf numFmtId="3" fontId="32" fillId="0" borderId="0" xfId="25" applyFont="1" applyAlignment="1"/>
    <xf numFmtId="3" fontId="32" fillId="0" borderId="0" xfId="25" applyFont="1" applyAlignment="1">
      <alignment horizontal="center" vertical="center"/>
    </xf>
    <xf numFmtId="3" fontId="77" fillId="0" borderId="0" xfId="25" applyFont="1" applyAlignment="1">
      <alignment horizontal="center" vertical="center"/>
    </xf>
    <xf numFmtId="0" fontId="33" fillId="0" borderId="0" xfId="0" applyFont="1" applyFill="1" applyAlignment="1">
      <alignment horizontal="center" wrapText="1"/>
    </xf>
    <xf numFmtId="17" fontId="32" fillId="0" borderId="0" xfId="0" applyNumberFormat="1" applyFont="1" applyFill="1"/>
    <xf numFmtId="17" fontId="8" fillId="0" borderId="0" xfId="0" applyNumberFormat="1" applyFont="1" applyFill="1"/>
    <xf numFmtId="0" fontId="0" fillId="11" borderId="2" xfId="0" applyFont="1" applyFill="1" applyBorder="1" applyAlignment="1" applyProtection="1">
      <alignment horizontal="left" vertical="center"/>
      <protection locked="0"/>
    </xf>
    <xf numFmtId="0" fontId="0" fillId="11" borderId="20" xfId="0" applyFont="1" applyFill="1" applyBorder="1" applyAlignment="1" applyProtection="1">
      <alignment horizontal="left" vertical="center"/>
      <protection locked="0"/>
    </xf>
    <xf numFmtId="0" fontId="13" fillId="11" borderId="62" xfId="0" applyFont="1" applyFill="1" applyBorder="1" applyAlignment="1" applyProtection="1">
      <alignment horizontal="center" vertical="center"/>
      <protection locked="0"/>
    </xf>
    <xf numFmtId="0" fontId="13" fillId="11" borderId="55" xfId="0" applyFont="1" applyFill="1" applyBorder="1" applyAlignment="1" applyProtection="1">
      <alignment vertical="center"/>
      <protection locked="0"/>
    </xf>
    <xf numFmtId="171" fontId="23" fillId="11" borderId="53" xfId="0" applyNumberFormat="1" applyFont="1" applyFill="1" applyBorder="1" applyAlignment="1" applyProtection="1">
      <alignment horizontal="center" vertical="center"/>
      <protection locked="0"/>
    </xf>
    <xf numFmtId="177" fontId="13" fillId="11" borderId="56" xfId="2" applyNumberFormat="1" applyFont="1" applyFill="1" applyBorder="1" applyAlignment="1" applyProtection="1">
      <alignment horizontal="center" vertical="center"/>
      <protection locked="0"/>
    </xf>
    <xf numFmtId="174" fontId="13" fillId="11" borderId="57" xfId="2" applyNumberFormat="1" applyFont="1" applyFill="1" applyBorder="1" applyAlignment="1" applyProtection="1">
      <alignment horizontal="right" vertical="center"/>
      <protection locked="0"/>
    </xf>
    <xf numFmtId="164" fontId="13" fillId="11" borderId="58" xfId="2" applyNumberFormat="1" applyFont="1" applyFill="1" applyBorder="1" applyAlignment="1" applyProtection="1">
      <alignment vertical="center"/>
      <protection locked="0"/>
    </xf>
    <xf numFmtId="0" fontId="13" fillId="11" borderId="85" xfId="0" applyFont="1" applyFill="1" applyBorder="1" applyAlignment="1" applyProtection="1">
      <alignment vertical="center" wrapText="1"/>
      <protection locked="0"/>
    </xf>
    <xf numFmtId="177" fontId="13" fillId="11" borderId="56" xfId="2" applyNumberFormat="1" applyFont="1" applyFill="1" applyBorder="1" applyAlignment="1" applyProtection="1">
      <alignment horizontal="right" vertical="center"/>
      <protection locked="0"/>
    </xf>
    <xf numFmtId="174" fontId="23" fillId="4" borderId="68" xfId="2" applyNumberFormat="1" applyFont="1" applyFill="1" applyBorder="1" applyAlignment="1" applyProtection="1">
      <alignment vertical="center"/>
      <protection locked="0"/>
    </xf>
    <xf numFmtId="177" fontId="13" fillId="11" borderId="54" xfId="2" applyNumberFormat="1" applyFont="1" applyFill="1" applyBorder="1" applyAlignment="1" applyProtection="1">
      <alignment horizontal="center" vertical="center"/>
      <protection locked="0"/>
    </xf>
    <xf numFmtId="171" fontId="23" fillId="11" borderId="61" xfId="0" applyNumberFormat="1" applyFont="1" applyFill="1" applyBorder="1" applyAlignment="1" applyProtection="1">
      <alignment horizontal="center" vertical="center"/>
      <protection locked="0"/>
    </xf>
    <xf numFmtId="177" fontId="13" fillId="11" borderId="52" xfId="2" applyNumberFormat="1" applyFont="1" applyFill="1" applyBorder="1" applyAlignment="1" applyProtection="1">
      <alignment horizontal="center" vertical="center"/>
      <protection locked="0"/>
    </xf>
    <xf numFmtId="0" fontId="15" fillId="2" borderId="14" xfId="0" applyFont="1" applyFill="1" applyBorder="1" applyAlignment="1">
      <alignment horizontal="left" vertical="center"/>
    </xf>
    <xf numFmtId="0" fontId="0" fillId="4" borderId="68" xfId="0" applyFont="1" applyFill="1" applyBorder="1" applyAlignment="1" applyProtection="1">
      <alignment vertical="center"/>
      <protection locked="0"/>
    </xf>
    <xf numFmtId="0" fontId="0" fillId="4" borderId="58" xfId="0" applyFont="1" applyFill="1" applyBorder="1" applyAlignment="1" applyProtection="1">
      <alignment vertical="center"/>
      <protection locked="0"/>
    </xf>
    <xf numFmtId="0" fontId="15" fillId="2" borderId="32" xfId="0" applyFont="1" applyFill="1" applyBorder="1" applyAlignment="1">
      <alignment horizontal="left" vertical="center"/>
    </xf>
    <xf numFmtId="0" fontId="31" fillId="2" borderId="72" xfId="0" applyFont="1" applyFill="1" applyBorder="1" applyAlignment="1">
      <alignment horizontal="left" vertical="center"/>
    </xf>
    <xf numFmtId="3" fontId="7" fillId="11" borderId="34" xfId="31" applyNumberFormat="1" applyFont="1" applyFill="1" applyBorder="1" applyAlignment="1" applyProtection="1">
      <alignment horizontal="center" vertical="center"/>
      <protection locked="0"/>
    </xf>
    <xf numFmtId="4" fontId="7" fillId="11" borderId="49" xfId="31" applyNumberFormat="1" applyFont="1" applyFill="1" applyBorder="1" applyAlignment="1" applyProtection="1">
      <alignment horizontal="center" vertical="center"/>
      <protection locked="0"/>
    </xf>
    <xf numFmtId="1" fontId="7" fillId="11" borderId="49" xfId="31" applyNumberFormat="1" applyFont="1" applyFill="1" applyBorder="1" applyAlignment="1" applyProtection="1">
      <alignment horizontal="center" vertical="center"/>
      <protection locked="0"/>
    </xf>
    <xf numFmtId="168" fontId="7" fillId="11" borderId="2" xfId="31" applyNumberFormat="1" applyFont="1" applyFill="1" applyBorder="1" applyAlignment="1" applyProtection="1">
      <alignment horizontal="right" vertical="center"/>
      <protection locked="0"/>
    </xf>
    <xf numFmtId="4" fontId="7" fillId="11" borderId="35" xfId="31" applyNumberFormat="1" applyFont="1" applyFill="1" applyBorder="1" applyAlignment="1" applyProtection="1">
      <alignment vertical="center"/>
      <protection locked="0"/>
    </xf>
    <xf numFmtId="0" fontId="23" fillId="11" borderId="0" xfId="0" applyFont="1" applyFill="1" applyBorder="1" applyProtection="1">
      <protection locked="0"/>
    </xf>
    <xf numFmtId="0" fontId="23" fillId="4" borderId="77" xfId="0" applyFont="1" applyFill="1" applyBorder="1" applyProtection="1">
      <protection locked="0"/>
    </xf>
    <xf numFmtId="0" fontId="23" fillId="4" borderId="78" xfId="0" applyFont="1" applyFill="1" applyBorder="1" applyProtection="1">
      <protection locked="0"/>
    </xf>
    <xf numFmtId="49" fontId="23" fillId="4" borderId="79" xfId="0" applyNumberFormat="1" applyFont="1" applyFill="1" applyBorder="1" applyAlignment="1" applyProtection="1">
      <alignment horizontal="left"/>
      <protection locked="0"/>
    </xf>
    <xf numFmtId="49" fontId="23" fillId="4" borderId="77" xfId="0" applyNumberFormat="1" applyFont="1" applyFill="1" applyBorder="1" applyProtection="1">
      <protection locked="0"/>
    </xf>
    <xf numFmtId="0" fontId="23" fillId="4" borderId="83" xfId="0" applyFont="1" applyFill="1" applyBorder="1" applyProtection="1">
      <protection locked="0"/>
    </xf>
    <xf numFmtId="0" fontId="23" fillId="4" borderId="76" xfId="0" applyFont="1" applyFill="1" applyBorder="1" applyProtection="1">
      <protection locked="0"/>
    </xf>
    <xf numFmtId="0" fontId="23" fillId="4" borderId="79" xfId="0" applyFont="1" applyFill="1" applyBorder="1" applyProtection="1">
      <protection locked="0"/>
    </xf>
    <xf numFmtId="0" fontId="23" fillId="4" borderId="80" xfId="0" applyFont="1" applyFill="1" applyBorder="1" applyProtection="1">
      <protection locked="0"/>
    </xf>
    <xf numFmtId="0" fontId="23" fillId="4" borderId="81" xfId="0" applyFont="1" applyFill="1" applyBorder="1" applyProtection="1">
      <protection locked="0"/>
    </xf>
    <xf numFmtId="49" fontId="23" fillId="4" borderId="78" xfId="0" applyNumberFormat="1" applyFont="1" applyFill="1" applyBorder="1" applyProtection="1">
      <protection locked="0"/>
    </xf>
    <xf numFmtId="49" fontId="23" fillId="4" borderId="76" xfId="0" applyNumberFormat="1" applyFont="1" applyFill="1" applyBorder="1" applyProtection="1">
      <protection locked="0"/>
    </xf>
    <xf numFmtId="49" fontId="23" fillId="4" borderId="78" xfId="0" applyNumberFormat="1" applyFont="1" applyFill="1" applyBorder="1" applyAlignment="1" applyProtection="1">
      <alignment horizontal="left"/>
      <protection locked="0"/>
    </xf>
    <xf numFmtId="0" fontId="23" fillId="4" borderId="80" xfId="0" applyFont="1" applyFill="1" applyBorder="1" applyAlignment="1" applyProtection="1">
      <alignment horizontal="left"/>
      <protection locked="0"/>
    </xf>
    <xf numFmtId="3" fontId="23" fillId="0" borderId="64" xfId="0" applyNumberFormat="1" applyFont="1" applyFill="1" applyBorder="1" applyAlignment="1">
      <alignment horizontal="center" vertical="center"/>
    </xf>
    <xf numFmtId="171" fontId="23" fillId="0" borderId="66" xfId="2" applyNumberFormat="1" applyFont="1" applyFill="1" applyBorder="1" applyAlignment="1">
      <alignment vertical="center"/>
    </xf>
    <xf numFmtId="0" fontId="60" fillId="2" borderId="0" xfId="0" applyFont="1" applyFill="1" applyBorder="1" applyAlignment="1">
      <alignment horizontal="center"/>
    </xf>
    <xf numFmtId="0" fontId="15" fillId="2" borderId="25" xfId="0" applyFont="1" applyFill="1" applyBorder="1" applyAlignment="1">
      <alignment horizontal="left" vertical="center"/>
    </xf>
    <xf numFmtId="15" fontId="15" fillId="2" borderId="13" xfId="0" applyNumberFormat="1" applyFont="1" applyFill="1" applyBorder="1" applyAlignment="1">
      <alignment horizontal="left" vertical="center"/>
    </xf>
    <xf numFmtId="0" fontId="13" fillId="2" borderId="0" xfId="0" applyFont="1" applyFill="1"/>
    <xf numFmtId="14" fontId="78" fillId="0" borderId="0" xfId="0" applyNumberFormat="1" applyFont="1"/>
    <xf numFmtId="14" fontId="12" fillId="2" borderId="0" xfId="0" applyNumberFormat="1" applyFont="1" applyFill="1" applyAlignment="1">
      <alignment horizontal="center" vertical="center"/>
    </xf>
    <xf numFmtId="0" fontId="12" fillId="2" borderId="0" xfId="0" applyFont="1" applyFill="1" applyAlignment="1">
      <alignment horizontal="center" vertical="center"/>
    </xf>
    <xf numFmtId="15" fontId="23" fillId="2" borderId="10" xfId="0" applyNumberFormat="1" applyFont="1" applyFill="1" applyBorder="1" applyAlignment="1">
      <alignment horizontal="left" vertical="center"/>
    </xf>
    <xf numFmtId="15" fontId="7" fillId="6" borderId="2" xfId="0" applyNumberFormat="1" applyFont="1" applyFill="1" applyBorder="1" applyAlignment="1">
      <alignment horizontal="center" vertical="center" wrapText="1"/>
    </xf>
    <xf numFmtId="164" fontId="0" fillId="0" borderId="26" xfId="2" applyNumberFormat="1" applyFont="1" applyFill="1" applyBorder="1" applyAlignment="1" applyProtection="1">
      <alignment vertical="center"/>
    </xf>
    <xf numFmtId="164" fontId="0" fillId="0" borderId="15" xfId="2" applyNumberFormat="1" applyFont="1" applyFill="1" applyBorder="1" applyAlignment="1" applyProtection="1">
      <alignment vertical="center"/>
    </xf>
    <xf numFmtId="164" fontId="0" fillId="0" borderId="31" xfId="2" applyNumberFormat="1" applyFont="1" applyFill="1" applyBorder="1" applyAlignment="1" applyProtection="1">
      <alignment vertical="center"/>
    </xf>
    <xf numFmtId="0" fontId="13" fillId="2" borderId="26" xfId="0" applyFont="1" applyFill="1" applyBorder="1"/>
    <xf numFmtId="0" fontId="13" fillId="2" borderId="15" xfId="0" applyFont="1" applyFill="1" applyBorder="1"/>
    <xf numFmtId="15" fontId="23" fillId="2" borderId="10" xfId="0" applyNumberFormat="1" applyFont="1" applyFill="1" applyBorder="1" applyAlignment="1">
      <alignment horizontal="left"/>
    </xf>
    <xf numFmtId="0" fontId="9" fillId="2" borderId="2" xfId="0" applyFont="1" applyFill="1" applyBorder="1" applyAlignment="1">
      <alignment horizontal="center" vertical="center" wrapText="1"/>
    </xf>
    <xf numFmtId="0" fontId="23" fillId="2" borderId="36" xfId="0" applyFont="1" applyFill="1" applyBorder="1"/>
    <xf numFmtId="0" fontId="23" fillId="2" borderId="78" xfId="0" applyFont="1" applyFill="1" applyBorder="1"/>
    <xf numFmtId="0" fontId="23" fillId="4" borderId="94" xfId="0" applyFont="1" applyFill="1" applyBorder="1" applyProtection="1">
      <protection locked="0"/>
    </xf>
    <xf numFmtId="179" fontId="13" fillId="2" borderId="36" xfId="3" applyNumberFormat="1" applyFont="1" applyFill="1" applyBorder="1" applyAlignment="1">
      <alignment horizontal="center" vertical="center"/>
    </xf>
    <xf numFmtId="0" fontId="23" fillId="4" borderId="95" xfId="0" applyFont="1" applyFill="1" applyBorder="1" applyAlignment="1" applyProtection="1">
      <alignment horizontal="left"/>
      <protection locked="0"/>
    </xf>
    <xf numFmtId="0" fontId="23" fillId="4" borderId="96" xfId="0" applyFont="1" applyFill="1" applyBorder="1" applyAlignment="1" applyProtection="1">
      <alignment horizontal="center"/>
      <protection locked="0"/>
    </xf>
    <xf numFmtId="0" fontId="23" fillId="4" borderId="94" xfId="0" applyFont="1" applyFill="1" applyBorder="1" applyAlignment="1" applyProtection="1">
      <alignment horizontal="left"/>
      <protection locked="0"/>
    </xf>
    <xf numFmtId="0" fontId="23" fillId="2" borderId="46" xfId="0" applyFont="1" applyFill="1" applyBorder="1" applyAlignment="1">
      <alignment wrapText="1"/>
    </xf>
    <xf numFmtId="0" fontId="23" fillId="2" borderId="49" xfId="0" applyFont="1" applyFill="1" applyBorder="1"/>
    <xf numFmtId="0" fontId="72" fillId="2" borderId="2" xfId="0" applyFont="1" applyFill="1" applyBorder="1"/>
    <xf numFmtId="0" fontId="72" fillId="2" borderId="2" xfId="0" applyFont="1" applyFill="1" applyBorder="1" applyAlignment="1">
      <alignment horizontal="center" vertical="center"/>
    </xf>
    <xf numFmtId="0" fontId="23" fillId="4" borderId="96" xfId="0" applyFont="1" applyFill="1" applyBorder="1" applyProtection="1">
      <protection locked="0"/>
    </xf>
    <xf numFmtId="0" fontId="23" fillId="4" borderId="97" xfId="0" applyFont="1" applyFill="1" applyBorder="1" applyProtection="1">
      <protection locked="0"/>
    </xf>
    <xf numFmtId="49" fontId="23" fillId="4" borderId="98" xfId="0" applyNumberFormat="1" applyFont="1" applyFill="1" applyBorder="1" applyProtection="1">
      <protection locked="0"/>
    </xf>
    <xf numFmtId="0" fontId="23" fillId="4" borderId="99" xfId="0" applyFont="1" applyFill="1" applyBorder="1" applyProtection="1">
      <protection locked="0"/>
    </xf>
    <xf numFmtId="179" fontId="13" fillId="2" borderId="49" xfId="3" applyNumberFormat="1" applyFont="1" applyFill="1" applyBorder="1" applyAlignment="1">
      <alignment horizontal="center" vertical="center"/>
    </xf>
    <xf numFmtId="49" fontId="23" fillId="4" borderId="99" xfId="0" applyNumberFormat="1" applyFont="1" applyFill="1" applyBorder="1" applyProtection="1">
      <protection locked="0"/>
    </xf>
    <xf numFmtId="0" fontId="0" fillId="2" borderId="0" xfId="0" applyFont="1" applyFill="1" applyBorder="1" applyAlignment="1">
      <alignment wrapText="1"/>
    </xf>
    <xf numFmtId="0" fontId="0" fillId="2" borderId="30" xfId="0" applyFont="1" applyFill="1" applyBorder="1" applyAlignment="1">
      <alignment wrapText="1"/>
    </xf>
    <xf numFmtId="0" fontId="13" fillId="2" borderId="31" xfId="0" applyFont="1" applyFill="1" applyBorder="1"/>
    <xf numFmtId="0" fontId="13" fillId="2" borderId="0" xfId="0" applyFont="1" applyFill="1" applyBorder="1"/>
    <xf numFmtId="0" fontId="12" fillId="2" borderId="0" xfId="0" applyFont="1" applyFill="1" applyBorder="1" applyAlignment="1">
      <alignment horizontal="center" vertical="center"/>
    </xf>
    <xf numFmtId="0" fontId="12" fillId="0" borderId="15" xfId="2" applyNumberFormat="1" applyFont="1" applyFill="1" applyBorder="1" applyAlignment="1">
      <alignment horizontal="right" vertical="center"/>
    </xf>
    <xf numFmtId="0" fontId="42" fillId="2" borderId="15" xfId="0" applyFont="1" applyFill="1" applyBorder="1" applyAlignment="1">
      <alignment vertical="center"/>
    </xf>
    <xf numFmtId="164" fontId="12" fillId="0" borderId="0" xfId="2" applyNumberFormat="1" applyFont="1" applyFill="1" applyBorder="1" applyAlignment="1">
      <alignment horizontal="center" vertical="center"/>
    </xf>
    <xf numFmtId="164" fontId="12" fillId="2" borderId="15" xfId="2" applyNumberFormat="1" applyFont="1" applyFill="1" applyBorder="1" applyAlignment="1">
      <alignment horizontal="right" vertical="center"/>
    </xf>
    <xf numFmtId="164" fontId="42" fillId="0" borderId="15" xfId="2" applyNumberFormat="1" applyFont="1" applyFill="1" applyBorder="1" applyAlignment="1" applyProtection="1">
      <alignment vertical="center"/>
    </xf>
    <xf numFmtId="0" fontId="9" fillId="2" borderId="1" xfId="0" applyFont="1" applyFill="1" applyBorder="1" applyAlignment="1">
      <alignment vertical="center"/>
    </xf>
    <xf numFmtId="0" fontId="23" fillId="2" borderId="60" xfId="0" applyFont="1" applyFill="1" applyBorder="1" applyAlignment="1">
      <alignment horizontal="left" vertical="center"/>
    </xf>
    <xf numFmtId="0" fontId="65" fillId="2" borderId="11" xfId="0" applyFont="1" applyFill="1" applyBorder="1" applyAlignment="1"/>
    <xf numFmtId="0" fontId="65" fillId="2" borderId="16" xfId="0" applyFont="1" applyFill="1" applyBorder="1" applyAlignment="1"/>
    <xf numFmtId="0" fontId="65" fillId="2" borderId="12" xfId="0" applyFont="1" applyFill="1" applyBorder="1" applyAlignment="1"/>
    <xf numFmtId="0" fontId="23" fillId="2" borderId="103" xfId="0" applyFont="1" applyFill="1" applyBorder="1"/>
    <xf numFmtId="0" fontId="23" fillId="2" borderId="14" xfId="0" applyFont="1" applyFill="1" applyBorder="1" applyAlignment="1"/>
    <xf numFmtId="0" fontId="23" fillId="2" borderId="0" xfId="0" applyFont="1" applyFill="1" applyBorder="1" applyAlignment="1"/>
    <xf numFmtId="0" fontId="66" fillId="2" borderId="0" xfId="0" applyFont="1" applyFill="1" applyBorder="1" applyAlignment="1">
      <alignment horizontal="right"/>
    </xf>
    <xf numFmtId="0" fontId="66" fillId="2" borderId="0" xfId="0" applyFont="1" applyFill="1" applyBorder="1" applyAlignment="1">
      <alignment horizontal="center"/>
    </xf>
    <xf numFmtId="0" fontId="65" fillId="2" borderId="0" xfId="0" applyFont="1" applyFill="1" applyBorder="1" applyAlignment="1">
      <alignment horizontal="center"/>
    </xf>
    <xf numFmtId="0" fontId="23" fillId="0" borderId="15" xfId="0" applyFont="1" applyFill="1" applyBorder="1" applyAlignment="1">
      <alignment vertical="center"/>
    </xf>
    <xf numFmtId="0" fontId="64" fillId="2" borderId="15" xfId="0" applyFont="1" applyFill="1" applyBorder="1" applyAlignment="1"/>
    <xf numFmtId="168" fontId="23" fillId="2" borderId="15" xfId="2" applyFont="1" applyFill="1" applyBorder="1"/>
    <xf numFmtId="170" fontId="23" fillId="2" borderId="15" xfId="2" applyNumberFormat="1" applyFont="1" applyFill="1" applyBorder="1"/>
    <xf numFmtId="15" fontId="23" fillId="2" borderId="0" xfId="0" applyNumberFormat="1" applyFont="1" applyFill="1" applyBorder="1" applyAlignment="1">
      <alignment vertical="center"/>
    </xf>
    <xf numFmtId="0" fontId="71" fillId="2" borderId="0" xfId="0" applyFont="1" applyFill="1" applyBorder="1" applyAlignment="1"/>
    <xf numFmtId="0" fontId="23" fillId="2" borderId="14" xfId="0" applyFont="1" applyFill="1" applyBorder="1" applyAlignment="1">
      <alignment horizontal="left" vertical="center" wrapText="1"/>
    </xf>
    <xf numFmtId="0" fontId="23" fillId="2" borderId="0" xfId="0" applyFont="1" applyFill="1" applyBorder="1" applyAlignment="1">
      <alignment horizontal="left" vertical="center" wrapText="1"/>
    </xf>
    <xf numFmtId="0" fontId="9" fillId="2" borderId="25" xfId="0" applyFont="1" applyFill="1" applyBorder="1" applyAlignment="1">
      <alignment horizontal="center"/>
    </xf>
    <xf numFmtId="0" fontId="9" fillId="2" borderId="13" xfId="0" applyFont="1" applyFill="1" applyBorder="1" applyAlignment="1">
      <alignment horizontal="center"/>
    </xf>
    <xf numFmtId="0" fontId="9" fillId="2" borderId="26" xfId="0" applyFont="1" applyFill="1" applyBorder="1" applyAlignment="1">
      <alignment horizontal="center"/>
    </xf>
    <xf numFmtId="0" fontId="23" fillId="2" borderId="14" xfId="0" applyFont="1" applyFill="1" applyBorder="1" applyAlignment="1">
      <alignment horizontal="left"/>
    </xf>
    <xf numFmtId="0" fontId="23" fillId="2" borderId="0" xfId="0" applyFont="1" applyFill="1" applyBorder="1" applyAlignment="1">
      <alignment horizontal="left"/>
    </xf>
    <xf numFmtId="0" fontId="23" fillId="2" borderId="0" xfId="0" applyFont="1" applyFill="1" applyBorder="1" applyAlignment="1">
      <alignment horizontal="center"/>
    </xf>
    <xf numFmtId="0" fontId="9" fillId="2" borderId="0" xfId="0" applyFont="1" applyFill="1" applyBorder="1" applyAlignment="1">
      <alignment horizontal="left"/>
    </xf>
    <xf numFmtId="0" fontId="9" fillId="2" borderId="0" xfId="0" applyFont="1" applyFill="1" applyBorder="1" applyAlignment="1">
      <alignment horizontal="center"/>
    </xf>
    <xf numFmtId="0" fontId="29" fillId="2" borderId="0" xfId="0" applyFont="1" applyFill="1" applyBorder="1" applyAlignment="1">
      <alignment horizontal="left" vertical="center" wrapText="1"/>
    </xf>
    <xf numFmtId="170" fontId="9" fillId="2" borderId="30" xfId="0" applyNumberFormat="1" applyFont="1" applyFill="1" applyBorder="1" applyAlignment="1">
      <alignment horizontal="right" vertical="center"/>
    </xf>
    <xf numFmtId="170" fontId="9" fillId="2" borderId="31" xfId="0" applyNumberFormat="1" applyFont="1" applyFill="1" applyBorder="1" applyAlignment="1">
      <alignment horizontal="right" vertical="center"/>
    </xf>
    <xf numFmtId="170" fontId="23" fillId="2" borderId="31" xfId="0" applyNumberFormat="1" applyFont="1" applyFill="1" applyBorder="1" applyAlignment="1">
      <alignment horizontal="right"/>
    </xf>
    <xf numFmtId="0" fontId="9" fillId="2" borderId="32" xfId="0" applyFont="1" applyFill="1" applyBorder="1" applyAlignment="1">
      <alignment horizontal="center" vertical="center"/>
    </xf>
    <xf numFmtId="0" fontId="9" fillId="2" borderId="30" xfId="0" applyFont="1" applyFill="1" applyBorder="1" applyAlignment="1">
      <alignment horizontal="center" vertical="center"/>
    </xf>
    <xf numFmtId="15" fontId="23" fillId="2" borderId="0" xfId="0" applyNumberFormat="1" applyFont="1" applyFill="1" applyBorder="1" applyAlignment="1">
      <alignment horizontal="left" vertical="center"/>
    </xf>
    <xf numFmtId="0" fontId="9" fillId="2" borderId="25" xfId="0" applyFont="1" applyFill="1" applyBorder="1" applyAlignment="1">
      <alignment horizontal="left"/>
    </xf>
    <xf numFmtId="0" fontId="30" fillId="2" borderId="0" xfId="0" applyFont="1" applyFill="1" applyBorder="1" applyAlignment="1">
      <alignment horizontal="center" vertical="center"/>
    </xf>
    <xf numFmtId="0" fontId="28" fillId="2" borderId="0" xfId="0" applyFont="1" applyFill="1" applyBorder="1" applyAlignment="1">
      <alignment horizontal="left"/>
    </xf>
    <xf numFmtId="0" fontId="30" fillId="2" borderId="0" xfId="0" applyFont="1" applyFill="1" applyBorder="1" applyAlignment="1">
      <alignment horizontal="center" vertical="center"/>
    </xf>
    <xf numFmtId="0" fontId="80" fillId="2" borderId="0" xfId="0" applyFont="1" applyFill="1"/>
    <xf numFmtId="15" fontId="23" fillId="2" borderId="0" xfId="0" applyNumberFormat="1" applyFont="1" applyFill="1" applyBorder="1" applyAlignment="1">
      <alignment horizontal="center" vertical="center"/>
    </xf>
    <xf numFmtId="0" fontId="23" fillId="2" borderId="14" xfId="0" applyFont="1" applyFill="1" applyBorder="1" applyAlignment="1">
      <alignment horizontal="center" vertical="center" wrapText="1"/>
    </xf>
    <xf numFmtId="15" fontId="23" fillId="2" borderId="15" xfId="0" applyNumberFormat="1" applyFont="1" applyFill="1" applyBorder="1" applyAlignment="1">
      <alignment horizontal="left" vertical="center"/>
    </xf>
    <xf numFmtId="15" fontId="23" fillId="2" borderId="15" xfId="0" applyNumberFormat="1" applyFont="1" applyFill="1" applyBorder="1" applyAlignment="1">
      <alignment horizontal="center" vertical="center"/>
    </xf>
    <xf numFmtId="0" fontId="23" fillId="2" borderId="15" xfId="0" applyFont="1" applyFill="1" applyBorder="1" applyAlignment="1">
      <alignment horizontal="center"/>
    </xf>
    <xf numFmtId="0" fontId="9" fillId="2" borderId="32" xfId="0" applyFont="1" applyFill="1" applyBorder="1" applyAlignment="1">
      <alignment horizontal="center"/>
    </xf>
    <xf numFmtId="0" fontId="9" fillId="2" borderId="31" xfId="0" applyFont="1" applyFill="1" applyBorder="1" applyAlignment="1">
      <alignment horizontal="center"/>
    </xf>
    <xf numFmtId="0" fontId="23" fillId="2" borderId="15" xfId="0" applyFont="1" applyFill="1" applyBorder="1" applyAlignment="1">
      <alignment horizontal="left"/>
    </xf>
    <xf numFmtId="0" fontId="23" fillId="2" borderId="31" xfId="0" applyFont="1" applyFill="1" applyBorder="1" applyAlignment="1">
      <alignment horizontal="left"/>
    </xf>
    <xf numFmtId="179" fontId="13" fillId="2" borderId="8" xfId="3" applyNumberFormat="1" applyFont="1" applyFill="1" applyBorder="1" applyAlignment="1">
      <alignment horizontal="center" vertical="center"/>
    </xf>
    <xf numFmtId="0" fontId="23" fillId="2" borderId="14" xfId="0" applyFont="1" applyFill="1" applyBorder="1" applyAlignment="1">
      <alignment horizontal="left"/>
    </xf>
    <xf numFmtId="0" fontId="23" fillId="2" borderId="0" xfId="0" applyFont="1" applyFill="1" applyBorder="1" applyAlignment="1">
      <alignment horizontal="left"/>
    </xf>
    <xf numFmtId="0" fontId="29" fillId="2" borderId="0" xfId="0" applyFont="1" applyFill="1" applyBorder="1" applyAlignment="1">
      <alignment horizontal="left" vertical="center" wrapText="1"/>
    </xf>
    <xf numFmtId="0" fontId="9" fillId="2" borderId="0" xfId="0" applyFont="1" applyFill="1" applyBorder="1" applyAlignment="1">
      <alignment horizontal="center"/>
    </xf>
    <xf numFmtId="0" fontId="23" fillId="2" borderId="0" xfId="0" applyFont="1" applyFill="1" applyBorder="1" applyAlignment="1">
      <alignment horizontal="center"/>
    </xf>
    <xf numFmtId="0" fontId="9" fillId="2" borderId="0" xfId="0" applyFont="1" applyFill="1" applyBorder="1" applyAlignment="1">
      <alignment horizontal="left"/>
    </xf>
    <xf numFmtId="0" fontId="23" fillId="2" borderId="14" xfId="0" applyFont="1" applyFill="1" applyBorder="1" applyAlignment="1">
      <alignment horizontal="left" vertical="center" wrapText="1"/>
    </xf>
    <xf numFmtId="0" fontId="23" fillId="2" borderId="0" xfId="0" applyFont="1" applyFill="1" applyBorder="1" applyAlignment="1">
      <alignment horizontal="left" vertical="center" wrapText="1"/>
    </xf>
    <xf numFmtId="0" fontId="23" fillId="2" borderId="32" xfId="0" applyFont="1" applyFill="1" applyBorder="1" applyAlignment="1">
      <alignment horizontal="left"/>
    </xf>
    <xf numFmtId="0" fontId="23" fillId="2" borderId="30" xfId="0" applyFont="1" applyFill="1" applyBorder="1" applyAlignment="1">
      <alignment horizontal="left"/>
    </xf>
    <xf numFmtId="0" fontId="28" fillId="2" borderId="0" xfId="0" applyFont="1" applyFill="1" applyBorder="1" applyAlignment="1">
      <alignment horizontal="left"/>
    </xf>
    <xf numFmtId="0" fontId="9" fillId="2" borderId="25" xfId="0" applyFont="1" applyFill="1" applyBorder="1" applyAlignment="1">
      <alignment horizontal="left"/>
    </xf>
    <xf numFmtId="0" fontId="9" fillId="2" borderId="13" xfId="0" applyFont="1" applyFill="1" applyBorder="1" applyAlignment="1">
      <alignment horizontal="left"/>
    </xf>
    <xf numFmtId="0" fontId="9" fillId="2" borderId="26" xfId="0" applyFont="1" applyFill="1" applyBorder="1" applyAlignment="1">
      <alignment horizontal="left"/>
    </xf>
    <xf numFmtId="15" fontId="23" fillId="2" borderId="0" xfId="0" applyNumberFormat="1" applyFont="1" applyFill="1" applyBorder="1" applyAlignment="1">
      <alignment horizontal="center" vertical="center"/>
    </xf>
    <xf numFmtId="15" fontId="23" fillId="2" borderId="15" xfId="0" applyNumberFormat="1" applyFont="1" applyFill="1" applyBorder="1" applyAlignment="1">
      <alignment horizontal="center" vertical="center"/>
    </xf>
    <xf numFmtId="0" fontId="23" fillId="2" borderId="15" xfId="0" applyFont="1" applyFill="1" applyBorder="1" applyAlignment="1">
      <alignment horizontal="center"/>
    </xf>
    <xf numFmtId="0" fontId="23" fillId="2" borderId="0" xfId="0" applyFont="1" applyFill="1" applyBorder="1" applyAlignment="1">
      <alignment horizontal="left" vertical="center" wrapText="1"/>
    </xf>
    <xf numFmtId="0" fontId="23" fillId="2" borderId="0" xfId="0" applyFont="1" applyFill="1" applyBorder="1" applyAlignment="1">
      <alignment horizontal="left"/>
    </xf>
    <xf numFmtId="0" fontId="9" fillId="2" borderId="0" xfId="0" applyFont="1" applyFill="1" applyBorder="1" applyAlignment="1">
      <alignment horizontal="left"/>
    </xf>
    <xf numFmtId="0" fontId="9" fillId="2" borderId="0" xfId="0" applyFont="1" applyFill="1" applyBorder="1" applyAlignment="1">
      <alignment horizontal="center"/>
    </xf>
    <xf numFmtId="0" fontId="29" fillId="2" borderId="0" xfId="0" applyFont="1" applyFill="1" applyBorder="1" applyAlignment="1">
      <alignment horizontal="left" vertical="center" wrapText="1"/>
    </xf>
    <xf numFmtId="0" fontId="28" fillId="2" borderId="0" xfId="0" applyFont="1" applyFill="1" applyBorder="1" applyAlignment="1">
      <alignment horizontal="left"/>
    </xf>
    <xf numFmtId="0" fontId="23" fillId="2" borderId="0" xfId="0" applyFont="1" applyFill="1" applyAlignment="1">
      <alignment horizontal="center" vertical="center"/>
    </xf>
    <xf numFmtId="0" fontId="23" fillId="2" borderId="4" xfId="0" applyFont="1" applyFill="1" applyBorder="1" applyAlignment="1">
      <alignment horizontal="left"/>
    </xf>
    <xf numFmtId="0" fontId="23" fillId="2" borderId="48" xfId="0" applyFont="1" applyFill="1" applyBorder="1" applyAlignment="1">
      <alignment horizontal="left"/>
    </xf>
    <xf numFmtId="0" fontId="6" fillId="2" borderId="0" xfId="0" applyFont="1" applyFill="1" applyBorder="1" applyAlignment="1">
      <alignment vertical="center" wrapText="1"/>
    </xf>
    <xf numFmtId="0" fontId="83" fillId="2" borderId="0" xfId="0" applyFont="1" applyFill="1" applyBorder="1" applyAlignment="1">
      <alignment horizontal="center" vertical="center"/>
    </xf>
    <xf numFmtId="0" fontId="84" fillId="2" borderId="0" xfId="0" applyFont="1" applyFill="1" applyBorder="1" applyAlignment="1">
      <alignment horizontal="left" vertical="top"/>
    </xf>
    <xf numFmtId="0" fontId="61" fillId="2" borderId="0" xfId="0" applyFont="1" applyFill="1" applyBorder="1"/>
    <xf numFmtId="0" fontId="23" fillId="0" borderId="58" xfId="0" applyNumberFormat="1" applyFont="1" applyFill="1" applyBorder="1" applyAlignment="1">
      <alignment horizontal="center" vertical="center"/>
    </xf>
    <xf numFmtId="0" fontId="30" fillId="18" borderId="0" xfId="0" applyFont="1" applyFill="1" applyBorder="1" applyAlignment="1">
      <alignment horizontal="center" vertical="center"/>
    </xf>
    <xf numFmtId="0" fontId="81" fillId="18" borderId="0" xfId="0" applyFont="1" applyFill="1" applyBorder="1" applyAlignment="1">
      <alignment horizontal="left" vertical="top"/>
    </xf>
    <xf numFmtId="0" fontId="9" fillId="2" borderId="25" xfId="0" applyFont="1" applyFill="1" applyBorder="1" applyAlignment="1"/>
    <xf numFmtId="0" fontId="9" fillId="2" borderId="13" xfId="0" applyFont="1" applyFill="1" applyBorder="1" applyAlignment="1"/>
    <xf numFmtId="0" fontId="86" fillId="2" borderId="0" xfId="0" applyFont="1" applyFill="1" applyBorder="1" applyAlignment="1">
      <alignment horizontal="left" vertical="top" wrapText="1"/>
    </xf>
    <xf numFmtId="0" fontId="86" fillId="2" borderId="15" xfId="0" applyFont="1" applyFill="1" applyBorder="1" applyAlignment="1">
      <alignment horizontal="left" vertical="top" wrapText="1"/>
    </xf>
    <xf numFmtId="0" fontId="23" fillId="2" borderId="14" xfId="0" applyFont="1" applyFill="1" applyBorder="1" applyAlignment="1">
      <alignment horizontal="left"/>
    </xf>
    <xf numFmtId="0" fontId="23" fillId="2" borderId="0" xfId="0" applyFont="1" applyFill="1" applyBorder="1" applyAlignment="1">
      <alignment horizontal="left"/>
    </xf>
    <xf numFmtId="0" fontId="23" fillId="2" borderId="56" xfId="0" applyNumberFormat="1" applyFont="1" applyFill="1" applyBorder="1" applyAlignment="1">
      <alignment horizontal="center" vertical="center"/>
    </xf>
    <xf numFmtId="0" fontId="9" fillId="2" borderId="25" xfId="0" applyFont="1" applyFill="1" applyBorder="1" applyAlignment="1">
      <alignment horizontal="left"/>
    </xf>
    <xf numFmtId="0" fontId="9" fillId="2" borderId="13" xfId="0" applyFont="1" applyFill="1" applyBorder="1" applyAlignment="1">
      <alignment horizontal="left"/>
    </xf>
    <xf numFmtId="0" fontId="9" fillId="2" borderId="26" xfId="0" applyFont="1" applyFill="1" applyBorder="1" applyAlignment="1">
      <alignment horizontal="left"/>
    </xf>
    <xf numFmtId="0" fontId="66" fillId="2" borderId="0" xfId="0" applyFont="1" applyFill="1" applyBorder="1" applyAlignment="1">
      <alignment horizontal="center"/>
    </xf>
    <xf numFmtId="0" fontId="23" fillId="2" borderId="30" xfId="0" applyFont="1" applyFill="1" applyBorder="1" applyAlignment="1">
      <alignment horizontal="left" vertical="center"/>
    </xf>
    <xf numFmtId="0" fontId="23" fillId="4" borderId="0" xfId="0" applyNumberFormat="1" applyFont="1" applyFill="1" applyBorder="1" applyAlignment="1">
      <alignment horizontal="center" vertical="center"/>
    </xf>
    <xf numFmtId="0" fontId="23" fillId="2" borderId="25" xfId="0" applyFont="1" applyFill="1" applyBorder="1" applyAlignment="1">
      <alignment horizontal="left" vertical="center" wrapText="1"/>
    </xf>
    <xf numFmtId="0" fontId="23" fillId="2" borderId="14" xfId="0" applyFont="1" applyFill="1" applyBorder="1" applyAlignment="1">
      <alignment horizontal="left" vertical="center" wrapText="1"/>
    </xf>
    <xf numFmtId="0" fontId="23" fillId="2" borderId="0" xfId="0" applyFont="1" applyFill="1" applyBorder="1" applyAlignment="1">
      <alignment horizontal="left" vertical="center" wrapText="1"/>
    </xf>
    <xf numFmtId="0" fontId="23" fillId="2" borderId="14" xfId="0" applyFont="1" applyFill="1" applyBorder="1" applyAlignment="1">
      <alignment horizontal="left"/>
    </xf>
    <xf numFmtId="0" fontId="23" fillId="2" borderId="0" xfId="0" applyFont="1" applyFill="1" applyBorder="1" applyAlignment="1">
      <alignment horizontal="left"/>
    </xf>
    <xf numFmtId="0" fontId="9" fillId="2" borderId="0" xfId="0" applyFont="1" applyFill="1" applyBorder="1" applyAlignment="1">
      <alignment horizontal="left"/>
    </xf>
    <xf numFmtId="0" fontId="9" fillId="2" borderId="0" xfId="0" applyFont="1" applyFill="1" applyBorder="1" applyAlignment="1">
      <alignment horizontal="center"/>
    </xf>
    <xf numFmtId="0" fontId="23" fillId="0" borderId="83" xfId="0" applyNumberFormat="1" applyFont="1" applyFill="1" applyBorder="1" applyAlignment="1">
      <alignment horizontal="center" vertical="center"/>
    </xf>
    <xf numFmtId="0" fontId="23" fillId="2" borderId="55" xfId="0" applyFont="1" applyFill="1" applyBorder="1" applyAlignment="1">
      <alignment horizontal="right"/>
    </xf>
    <xf numFmtId="0" fontId="23" fillId="2" borderId="14" xfId="0" applyFont="1" applyFill="1" applyBorder="1" applyAlignment="1">
      <alignment horizontal="right"/>
    </xf>
    <xf numFmtId="0" fontId="23" fillId="2" borderId="86" xfId="0" applyFont="1" applyFill="1" applyBorder="1"/>
    <xf numFmtId="15" fontId="9" fillId="2" borderId="0" xfId="0" applyNumberFormat="1" applyFont="1" applyFill="1" applyBorder="1"/>
    <xf numFmtId="0" fontId="23" fillId="17" borderId="103" xfId="0" applyFont="1" applyFill="1" applyBorder="1"/>
    <xf numFmtId="0" fontId="23" fillId="17" borderId="58" xfId="0" applyFont="1" applyFill="1" applyBorder="1"/>
    <xf numFmtId="0" fontId="23" fillId="17" borderId="15" xfId="0" applyFont="1" applyFill="1" applyBorder="1"/>
    <xf numFmtId="0" fontId="23" fillId="2" borderId="106" xfId="0" applyFont="1" applyFill="1" applyBorder="1"/>
    <xf numFmtId="0" fontId="87" fillId="2" borderId="0" xfId="0" applyFont="1" applyFill="1" applyBorder="1" applyAlignment="1">
      <alignment horizontal="right"/>
    </xf>
    <xf numFmtId="0" fontId="23" fillId="4" borderId="115" xfId="0" applyNumberFormat="1" applyFont="1" applyFill="1" applyBorder="1" applyAlignment="1">
      <alignment horizontal="center" vertical="center"/>
    </xf>
    <xf numFmtId="0" fontId="23" fillId="2" borderId="14" xfId="0" applyFont="1" applyFill="1" applyBorder="1" applyAlignment="1">
      <alignment horizontal="left" vertical="top" wrapText="1"/>
    </xf>
    <xf numFmtId="0" fontId="23" fillId="2" borderId="32" xfId="0" applyFont="1" applyFill="1" applyBorder="1" applyAlignment="1">
      <alignment horizontal="center"/>
    </xf>
    <xf numFmtId="0" fontId="30" fillId="2" borderId="13" xfId="0" applyFont="1" applyFill="1" applyBorder="1" applyAlignment="1">
      <alignment horizontal="center" vertical="center"/>
    </xf>
    <xf numFmtId="0" fontId="23" fillId="2" borderId="14" xfId="0" applyFont="1" applyFill="1" applyBorder="1" applyAlignment="1">
      <alignment horizontal="center"/>
    </xf>
    <xf numFmtId="0" fontId="23" fillId="2" borderId="0" xfId="0" applyFont="1" applyFill="1" applyBorder="1" applyAlignment="1">
      <alignment horizontal="center"/>
    </xf>
    <xf numFmtId="0" fontId="23" fillId="2" borderId="0" xfId="0" applyFont="1" applyFill="1" applyBorder="1" applyAlignment="1">
      <alignment horizontal="left" vertical="center" wrapText="1"/>
    </xf>
    <xf numFmtId="15" fontId="23" fillId="2" borderId="0" xfId="0" applyNumberFormat="1" applyFont="1" applyFill="1" applyBorder="1" applyAlignment="1">
      <alignment horizontal="center" vertical="center"/>
    </xf>
    <xf numFmtId="0" fontId="23" fillId="2" borderId="15" xfId="0" applyFont="1" applyFill="1" applyBorder="1" applyAlignment="1">
      <alignment horizontal="center"/>
    </xf>
    <xf numFmtId="0" fontId="23" fillId="2" borderId="0" xfId="0" applyFont="1" applyFill="1" applyBorder="1" applyAlignment="1">
      <alignment horizontal="left" vertical="top"/>
    </xf>
    <xf numFmtId="0" fontId="23" fillId="2" borderId="0" xfId="0" applyFont="1" applyFill="1" applyBorder="1" applyAlignment="1">
      <alignment vertical="top"/>
    </xf>
    <xf numFmtId="0" fontId="23" fillId="2" borderId="118" xfId="0" applyFont="1" applyFill="1" applyBorder="1" applyAlignment="1">
      <alignment horizontal="left" vertical="top"/>
    </xf>
    <xf numFmtId="0" fontId="23" fillId="2" borderId="117" xfId="0" applyFont="1" applyFill="1" applyBorder="1"/>
    <xf numFmtId="0" fontId="23" fillId="2" borderId="122" xfId="0" applyFont="1" applyFill="1" applyBorder="1" applyAlignment="1">
      <alignment vertical="top"/>
    </xf>
    <xf numFmtId="0" fontId="23" fillId="2" borderId="123" xfId="0" applyFont="1" applyFill="1" applyBorder="1" applyAlignment="1">
      <alignment vertical="top"/>
    </xf>
    <xf numFmtId="0" fontId="23" fillId="2" borderId="121" xfId="0" applyFont="1" applyFill="1" applyBorder="1"/>
    <xf numFmtId="0" fontId="23" fillId="2" borderId="124" xfId="0" applyFont="1" applyFill="1" applyBorder="1" applyAlignment="1">
      <alignment vertical="top"/>
    </xf>
    <xf numFmtId="0" fontId="23" fillId="2" borderId="123" xfId="0" applyFont="1" applyFill="1" applyBorder="1" applyAlignment="1">
      <alignment horizontal="left" vertical="top"/>
    </xf>
    <xf numFmtId="0" fontId="23" fillId="2" borderId="124" xfId="0" applyFont="1" applyFill="1" applyBorder="1" applyAlignment="1">
      <alignment horizontal="left" vertical="top"/>
    </xf>
    <xf numFmtId="15" fontId="23" fillId="2" borderId="15" xfId="0" applyNumberFormat="1" applyFont="1" applyFill="1" applyBorder="1" applyAlignment="1">
      <alignment vertical="center"/>
    </xf>
    <xf numFmtId="0" fontId="23" fillId="2" borderId="0" xfId="0" applyFont="1" applyFill="1" applyBorder="1" applyAlignment="1">
      <alignment horizontal="left" vertical="center"/>
    </xf>
    <xf numFmtId="49" fontId="23" fillId="2" borderId="0" xfId="0" applyNumberFormat="1" applyFont="1" applyFill="1" applyBorder="1" applyAlignment="1">
      <alignment horizontal="left" vertical="center"/>
    </xf>
    <xf numFmtId="0" fontId="23" fillId="2" borderId="0" xfId="0" applyNumberFormat="1" applyFont="1" applyFill="1" applyBorder="1" applyAlignment="1">
      <alignment horizontal="left" vertical="center"/>
    </xf>
    <xf numFmtId="0" fontId="23" fillId="2" borderId="0" xfId="0" applyNumberFormat="1" applyFont="1" applyFill="1" applyBorder="1" applyAlignment="1">
      <alignment horizontal="center" vertical="center"/>
    </xf>
    <xf numFmtId="0" fontId="61" fillId="2" borderId="128" xfId="0" applyFont="1" applyFill="1" applyBorder="1"/>
    <xf numFmtId="0" fontId="23" fillId="2" borderId="129" xfId="0" applyFont="1" applyFill="1" applyBorder="1"/>
    <xf numFmtId="0" fontId="23" fillId="2" borderId="0" xfId="0" applyFont="1" applyFill="1" applyBorder="1" applyAlignment="1">
      <alignment horizontal="right" vertical="center"/>
    </xf>
    <xf numFmtId="0" fontId="23" fillId="2" borderId="14" xfId="0" applyFont="1" applyFill="1" applyBorder="1" applyAlignment="1">
      <alignment horizontal="center" vertical="center"/>
    </xf>
    <xf numFmtId="0" fontId="23" fillId="2" borderId="30" xfId="0" applyNumberFormat="1" applyFont="1" applyFill="1" applyBorder="1" applyAlignment="1">
      <alignment horizontal="center" vertical="center"/>
    </xf>
    <xf numFmtId="0" fontId="23" fillId="2" borderId="2" xfId="0" applyFont="1" applyFill="1" applyBorder="1"/>
    <xf numFmtId="0" fontId="23" fillId="2" borderId="2" xfId="0" applyNumberFormat="1" applyFont="1" applyFill="1" applyBorder="1" applyAlignment="1">
      <alignment horizontal="center" vertical="center"/>
    </xf>
    <xf numFmtId="0" fontId="23" fillId="2" borderId="2" xfId="0" applyFont="1" applyFill="1" applyBorder="1" applyAlignment="1">
      <alignment horizontal="center" vertical="center"/>
    </xf>
    <xf numFmtId="0" fontId="23" fillId="2" borderId="0" xfId="0" applyFont="1" applyFill="1" applyAlignment="1">
      <alignment vertical="center"/>
    </xf>
    <xf numFmtId="49" fontId="23" fillId="2" borderId="0" xfId="0" applyNumberFormat="1" applyFont="1" applyFill="1" applyBorder="1" applyAlignment="1">
      <alignment horizontal="center" vertical="center"/>
    </xf>
    <xf numFmtId="0" fontId="23" fillId="2" borderId="15" xfId="0" applyFont="1" applyFill="1" applyBorder="1" applyAlignment="1">
      <alignment horizontal="center" vertical="center"/>
    </xf>
    <xf numFmtId="0" fontId="65" fillId="2" borderId="2" xfId="0" applyFont="1" applyFill="1" applyBorder="1" applyAlignment="1">
      <alignment horizontal="center" vertical="center"/>
    </xf>
    <xf numFmtId="0" fontId="65" fillId="2" borderId="0" xfId="0" applyFont="1" applyFill="1" applyBorder="1" applyAlignment="1">
      <alignment horizontal="center" vertical="center"/>
    </xf>
    <xf numFmtId="0" fontId="87" fillId="2" borderId="2" xfId="0" applyFont="1" applyFill="1" applyBorder="1" applyAlignment="1">
      <alignment horizontal="center" vertical="center"/>
    </xf>
    <xf numFmtId="0" fontId="23" fillId="2" borderId="2" xfId="0" applyNumberFormat="1" applyFont="1" applyFill="1" applyBorder="1" applyAlignment="1">
      <alignment horizontal="center" vertical="center" wrapText="1"/>
    </xf>
    <xf numFmtId="0" fontId="17" fillId="2" borderId="0" xfId="0" applyFont="1" applyFill="1" applyBorder="1" applyAlignment="1"/>
    <xf numFmtId="0" fontId="17" fillId="2" borderId="0" xfId="0" applyFont="1" applyFill="1" applyBorder="1" applyAlignment="1">
      <alignment horizontal="center"/>
    </xf>
    <xf numFmtId="0" fontId="17" fillId="2" borderId="0" xfId="0" applyNumberFormat="1" applyFont="1" applyFill="1" applyBorder="1" applyAlignment="1">
      <alignment horizontal="center" vertical="center"/>
    </xf>
    <xf numFmtId="0" fontId="23" fillId="0" borderId="0" xfId="0" applyFont="1" applyFill="1"/>
    <xf numFmtId="0" fontId="12" fillId="0" borderId="0" xfId="0" applyFont="1" applyFill="1"/>
    <xf numFmtId="0" fontId="23" fillId="2" borderId="0" xfId="0" applyFont="1" applyFill="1" applyBorder="1" applyAlignment="1">
      <alignment horizontal="center" vertical="center" wrapText="1"/>
    </xf>
    <xf numFmtId="0" fontId="23" fillId="2" borderId="26" xfId="0" applyFont="1" applyFill="1" applyBorder="1" applyAlignment="1">
      <alignment horizontal="center" vertical="center"/>
    </xf>
    <xf numFmtId="0" fontId="23" fillId="2" borderId="13" xfId="0" applyNumberFormat="1" applyFont="1" applyFill="1" applyBorder="1" applyAlignment="1">
      <alignment horizontal="center" vertical="center"/>
    </xf>
    <xf numFmtId="0" fontId="23" fillId="2" borderId="26" xfId="0" applyNumberFormat="1" applyFont="1" applyFill="1" applyBorder="1" applyAlignment="1">
      <alignment horizontal="center" vertical="center"/>
    </xf>
    <xf numFmtId="0" fontId="9" fillId="2" borderId="13" xfId="0" applyFont="1" applyFill="1" applyBorder="1" applyAlignment="1">
      <alignment horizontal="left" vertical="center"/>
    </xf>
    <xf numFmtId="0" fontId="9" fillId="2" borderId="26" xfId="0" applyFont="1" applyFill="1" applyBorder="1" applyAlignment="1">
      <alignment horizontal="left" vertical="center"/>
    </xf>
    <xf numFmtId="0" fontId="23" fillId="2" borderId="32" xfId="0" applyFont="1" applyFill="1" applyBorder="1" applyAlignment="1">
      <alignment horizontal="left" vertical="center"/>
    </xf>
    <xf numFmtId="0" fontId="29" fillId="2" borderId="0" xfId="0" applyFont="1" applyFill="1" applyBorder="1" applyAlignment="1">
      <alignment horizontal="right" vertical="center"/>
    </xf>
    <xf numFmtId="0" fontId="68" fillId="2" borderId="0" xfId="0" applyFont="1" applyFill="1" applyBorder="1" applyAlignment="1">
      <alignment horizontal="right" vertical="center"/>
    </xf>
    <xf numFmtId="0" fontId="61" fillId="2" borderId="0" xfId="0" applyFont="1" applyFill="1" applyBorder="1" applyAlignment="1">
      <alignment vertical="center"/>
    </xf>
    <xf numFmtId="0" fontId="12" fillId="2" borderId="0" xfId="0" applyFont="1" applyFill="1" applyAlignment="1">
      <alignment vertical="center"/>
    </xf>
    <xf numFmtId="0" fontId="90" fillId="2" borderId="0" xfId="0" applyFont="1" applyFill="1" applyAlignment="1"/>
    <xf numFmtId="0" fontId="41" fillId="2" borderId="0" xfId="0" applyFont="1" applyFill="1" applyAlignment="1">
      <alignment horizontal="center" vertical="center"/>
    </xf>
    <xf numFmtId="17" fontId="12" fillId="2" borderId="0" xfId="0" applyNumberFormat="1" applyFont="1" applyFill="1"/>
    <xf numFmtId="15" fontId="12" fillId="2" borderId="0" xfId="0" applyNumberFormat="1" applyFont="1" applyFill="1"/>
    <xf numFmtId="0" fontId="91" fillId="2" borderId="0" xfId="0" applyFont="1" applyFill="1"/>
    <xf numFmtId="0" fontId="23" fillId="4" borderId="67" xfId="0" applyNumberFormat="1" applyFont="1" applyFill="1" applyBorder="1" applyAlignment="1" applyProtection="1">
      <alignment horizontal="center" vertical="center"/>
      <protection locked="0"/>
    </xf>
    <xf numFmtId="0" fontId="23" fillId="4" borderId="114" xfId="0" applyNumberFormat="1" applyFont="1" applyFill="1" applyBorder="1" applyAlignment="1" applyProtection="1">
      <alignment horizontal="center" vertical="center"/>
      <protection locked="0"/>
    </xf>
    <xf numFmtId="0" fontId="23" fillId="4" borderId="58" xfId="0" applyNumberFormat="1" applyFont="1" applyFill="1" applyBorder="1" applyAlignment="1" applyProtection="1">
      <alignment horizontal="center" vertical="center"/>
      <protection locked="0"/>
    </xf>
    <xf numFmtId="0" fontId="23" fillId="4" borderId="108" xfId="0" applyFont="1" applyFill="1" applyBorder="1" applyProtection="1">
      <protection locked="0"/>
    </xf>
    <xf numFmtId="0" fontId="23" fillId="4" borderId="60" xfId="0" applyFont="1" applyFill="1" applyBorder="1" applyProtection="1">
      <protection locked="0"/>
    </xf>
    <xf numFmtId="0" fontId="23" fillId="4" borderId="103" xfId="0" applyFont="1" applyFill="1" applyBorder="1" applyProtection="1">
      <protection locked="0"/>
    </xf>
    <xf numFmtId="0" fontId="23" fillId="4" borderId="14" xfId="0" applyFont="1" applyFill="1" applyBorder="1" applyProtection="1">
      <protection locked="0"/>
    </xf>
    <xf numFmtId="0" fontId="23" fillId="4" borderId="0" xfId="0" applyFont="1" applyFill="1" applyBorder="1" applyProtection="1">
      <protection locked="0"/>
    </xf>
    <xf numFmtId="0" fontId="23" fillId="4" borderId="15" xfId="0" applyFont="1" applyFill="1" applyBorder="1" applyProtection="1">
      <protection locked="0"/>
    </xf>
    <xf numFmtId="0" fontId="23" fillId="4" borderId="32" xfId="0" applyFont="1" applyFill="1" applyBorder="1" applyProtection="1">
      <protection locked="0"/>
    </xf>
    <xf numFmtId="0" fontId="23" fillId="4" borderId="30" xfId="0" applyFont="1" applyFill="1" applyBorder="1" applyProtection="1">
      <protection locked="0"/>
    </xf>
    <xf numFmtId="0" fontId="23" fillId="4" borderId="31" xfId="0" applyFont="1" applyFill="1" applyBorder="1" applyProtection="1">
      <protection locked="0"/>
    </xf>
    <xf numFmtId="0" fontId="23" fillId="4" borderId="0" xfId="0" applyNumberFormat="1" applyFont="1" applyFill="1" applyBorder="1" applyAlignment="1" applyProtection="1">
      <alignment horizontal="center" vertical="center"/>
      <protection locked="0"/>
    </xf>
    <xf numFmtId="0" fontId="23" fillId="4" borderId="15" xfId="0" applyNumberFormat="1" applyFont="1" applyFill="1" applyBorder="1" applyAlignment="1" applyProtection="1">
      <alignment horizontal="center" vertical="center"/>
      <protection locked="0"/>
    </xf>
    <xf numFmtId="0" fontId="0" fillId="2" borderId="0" xfId="0" applyFill="1"/>
    <xf numFmtId="0" fontId="0" fillId="2" borderId="55" xfId="0" applyFill="1" applyBorder="1"/>
    <xf numFmtId="0" fontId="0" fillId="2" borderId="0" xfId="0" applyFill="1" applyBorder="1"/>
    <xf numFmtId="0" fontId="0" fillId="19" borderId="0" xfId="0" applyFill="1" applyBorder="1"/>
    <xf numFmtId="0" fontId="92" fillId="19" borderId="0" xfId="0" applyFont="1" applyFill="1" applyBorder="1"/>
    <xf numFmtId="0" fontId="42" fillId="19" borderId="0" xfId="0" applyFont="1" applyFill="1" applyBorder="1"/>
    <xf numFmtId="0" fontId="0" fillId="2" borderId="25" xfId="0" applyFill="1" applyBorder="1"/>
    <xf numFmtId="0" fontId="0" fillId="2" borderId="13" xfId="0" applyFill="1" applyBorder="1"/>
    <xf numFmtId="0" fontId="0" fillId="2" borderId="26" xfId="0" applyFill="1" applyBorder="1"/>
    <xf numFmtId="0" fontId="0" fillId="2" borderId="14" xfId="0" applyFill="1" applyBorder="1"/>
    <xf numFmtId="0" fontId="0" fillId="2" borderId="15" xfId="0" applyFill="1" applyBorder="1"/>
    <xf numFmtId="188" fontId="8" fillId="6" borderId="2" xfId="0" applyNumberFormat="1" applyFont="1" applyFill="1" applyBorder="1" applyAlignment="1">
      <alignment horizontal="center"/>
    </xf>
    <xf numFmtId="0" fontId="38" fillId="14" borderId="46" xfId="0" applyFont="1" applyFill="1" applyBorder="1" applyAlignment="1">
      <alignment horizontal="left" vertical="center"/>
    </xf>
    <xf numFmtId="0" fontId="95" fillId="2" borderId="0" xfId="3" applyFont="1" applyFill="1" applyBorder="1" applyAlignment="1">
      <alignment horizontal="left"/>
    </xf>
    <xf numFmtId="0" fontId="13" fillId="2" borderId="0" xfId="3" applyFill="1"/>
    <xf numFmtId="0" fontId="12" fillId="2" borderId="0" xfId="0" applyFont="1" applyFill="1" applyBorder="1" applyAlignment="1">
      <alignment horizontal="center" vertical="center"/>
    </xf>
    <xf numFmtId="0" fontId="23" fillId="2" borderId="30" xfId="0" applyFont="1" applyFill="1" applyBorder="1" applyAlignment="1">
      <alignment horizontal="center"/>
    </xf>
    <xf numFmtId="0" fontId="28" fillId="2" borderId="0" xfId="0" applyFont="1" applyFill="1" applyBorder="1" applyAlignment="1">
      <alignment horizontal="left" vertical="center"/>
    </xf>
    <xf numFmtId="0" fontId="23" fillId="2" borderId="0" xfId="0" applyNumberFormat="1" applyFont="1" applyFill="1" applyBorder="1" applyAlignment="1">
      <alignment horizontal="center" vertical="center"/>
    </xf>
    <xf numFmtId="0" fontId="12" fillId="20" borderId="0" xfId="0" applyFont="1" applyFill="1"/>
    <xf numFmtId="0" fontId="12" fillId="2" borderId="0" xfId="0" applyFont="1" applyFill="1" applyBorder="1"/>
    <xf numFmtId="0" fontId="80" fillId="2" borderId="0" xfId="0" applyFont="1" applyFill="1" applyBorder="1"/>
    <xf numFmtId="0" fontId="41" fillId="2" borderId="0" xfId="0" applyFont="1" applyFill="1" applyBorder="1" applyAlignment="1"/>
    <xf numFmtId="0" fontId="12" fillId="0" borderId="0" xfId="0" applyFont="1" applyFill="1" applyBorder="1" applyAlignment="1">
      <alignment vertical="center"/>
    </xf>
    <xf numFmtId="15" fontId="12" fillId="2" borderId="0" xfId="0" applyNumberFormat="1" applyFont="1" applyFill="1" applyAlignment="1">
      <alignment horizontal="center" vertical="center"/>
    </xf>
    <xf numFmtId="0" fontId="12" fillId="2" borderId="0" xfId="0" applyFont="1" applyFill="1" applyBorder="1" applyAlignment="1">
      <alignment horizontal="right"/>
    </xf>
    <xf numFmtId="0" fontId="12" fillId="0" borderId="0" xfId="0" applyFont="1" applyFill="1" applyBorder="1" applyAlignment="1">
      <alignment horizontal="right"/>
    </xf>
    <xf numFmtId="0" fontId="12" fillId="0" borderId="0" xfId="0" applyFont="1" applyFill="1" applyBorder="1"/>
    <xf numFmtId="15" fontId="12" fillId="0" borderId="0" xfId="0" applyNumberFormat="1" applyFont="1" applyFill="1"/>
    <xf numFmtId="0" fontId="12" fillId="0" borderId="0" xfId="0" applyFont="1" applyFill="1" applyAlignment="1">
      <alignment horizontal="center" vertical="center"/>
    </xf>
    <xf numFmtId="0" fontId="91" fillId="2" borderId="0" xfId="0" applyFont="1" applyFill="1" applyBorder="1"/>
    <xf numFmtId="0" fontId="23" fillId="2" borderId="0" xfId="0" applyFont="1" applyFill="1" applyBorder="1" applyAlignment="1">
      <alignment horizontal="center"/>
    </xf>
    <xf numFmtId="0" fontId="9" fillId="2" borderId="0" xfId="0" applyFont="1" applyFill="1" applyBorder="1" applyAlignment="1">
      <alignment horizontal="left"/>
    </xf>
    <xf numFmtId="0" fontId="0" fillId="2" borderId="0" xfId="0" applyFill="1" applyBorder="1" applyAlignment="1">
      <alignment horizontal="left" vertical="top" wrapText="1"/>
    </xf>
    <xf numFmtId="0" fontId="0" fillId="2" borderId="25" xfId="0" applyFont="1" applyFill="1" applyBorder="1" applyAlignment="1" applyProtection="1">
      <alignment horizontal="left" vertical="center"/>
      <protection locked="0"/>
    </xf>
    <xf numFmtId="0" fontId="0" fillId="2" borderId="13" xfId="2" applyNumberFormat="1" applyFont="1" applyFill="1" applyBorder="1" applyAlignment="1" applyProtection="1">
      <alignment vertical="center" wrapText="1"/>
      <protection locked="0"/>
    </xf>
    <xf numFmtId="0" fontId="59" fillId="2" borderId="13" xfId="2" applyNumberFormat="1" applyFont="1" applyFill="1" applyBorder="1" applyAlignment="1" applyProtection="1">
      <alignment horizontal="center" vertical="center" wrapText="1"/>
    </xf>
    <xf numFmtId="164" fontId="0" fillId="2" borderId="26" xfId="2" applyNumberFormat="1" applyFont="1" applyFill="1" applyBorder="1" applyAlignment="1" applyProtection="1">
      <alignment vertical="center"/>
      <protection locked="0"/>
    </xf>
    <xf numFmtId="0" fontId="38" fillId="2" borderId="0" xfId="0" applyFont="1" applyFill="1" applyBorder="1" applyAlignment="1" applyProtection="1">
      <alignment horizontal="center" vertical="center" wrapText="1"/>
      <protection locked="0"/>
    </xf>
    <xf numFmtId="0" fontId="23" fillId="4" borderId="94" xfId="0" applyFont="1" applyFill="1" applyBorder="1" applyAlignment="1" applyProtection="1">
      <alignment horizontal="center" vertical="center"/>
      <protection locked="0"/>
    </xf>
    <xf numFmtId="0" fontId="23" fillId="4" borderId="49" xfId="0" applyFont="1" applyFill="1" applyBorder="1" applyAlignment="1" applyProtection="1">
      <alignment horizontal="left"/>
      <protection locked="0"/>
    </xf>
    <xf numFmtId="0" fontId="0" fillId="2" borderId="0" xfId="0" applyFont="1" applyFill="1"/>
    <xf numFmtId="0" fontId="0" fillId="2" borderId="0" xfId="0" applyFill="1" applyBorder="1" applyAlignment="1">
      <alignment horizontal="left" wrapText="1"/>
    </xf>
    <xf numFmtId="0" fontId="0" fillId="0" borderId="0" xfId="0" applyFont="1"/>
    <xf numFmtId="0" fontId="28" fillId="2" borderId="0" xfId="0" applyFont="1" applyFill="1" applyBorder="1" applyAlignment="1" applyProtection="1">
      <alignment horizontal="left"/>
      <protection locked="0"/>
    </xf>
    <xf numFmtId="0" fontId="97" fillId="2" borderId="25" xfId="0" applyFont="1" applyFill="1" applyBorder="1"/>
    <xf numFmtId="0" fontId="97" fillId="2" borderId="13" xfId="0" applyFont="1" applyFill="1" applyBorder="1"/>
    <xf numFmtId="0" fontId="97" fillId="2" borderId="26" xfId="0" applyFont="1" applyFill="1" applyBorder="1"/>
    <xf numFmtId="0" fontId="97" fillId="2" borderId="0" xfId="0" applyFont="1" applyFill="1"/>
    <xf numFmtId="0" fontId="97" fillId="2" borderId="14" xfId="0" applyFont="1" applyFill="1" applyBorder="1"/>
    <xf numFmtId="0" fontId="98" fillId="2" borderId="0" xfId="0" applyFont="1" applyFill="1" applyBorder="1" applyAlignment="1">
      <alignment horizontal="left"/>
    </xf>
    <xf numFmtId="0" fontId="97" fillId="2" borderId="0" xfId="0" applyFont="1" applyFill="1" applyBorder="1"/>
    <xf numFmtId="0" fontId="97" fillId="2" borderId="0" xfId="0" applyFont="1" applyFill="1" applyBorder="1" applyAlignment="1">
      <alignment horizontal="left"/>
    </xf>
    <xf numFmtId="0" fontId="97" fillId="2" borderId="15" xfId="0" applyFont="1" applyFill="1" applyBorder="1"/>
    <xf numFmtId="0" fontId="98" fillId="2" borderId="0" xfId="0" applyFont="1" applyFill="1" applyBorder="1" applyAlignment="1">
      <alignment horizontal="center"/>
    </xf>
    <xf numFmtId="0" fontId="99" fillId="2" borderId="0" xfId="0" applyFont="1" applyFill="1" applyBorder="1"/>
    <xf numFmtId="3" fontId="97" fillId="2" borderId="0" xfId="0" applyNumberFormat="1" applyFont="1" applyFill="1" applyBorder="1"/>
    <xf numFmtId="15" fontId="98" fillId="2" borderId="0" xfId="0" applyNumberFormat="1" applyFont="1" applyFill="1" applyBorder="1" applyAlignment="1">
      <alignment horizontal="left" vertical="center"/>
    </xf>
    <xf numFmtId="0" fontId="97" fillId="2" borderId="0" xfId="0" applyFont="1" applyFill="1" applyAlignment="1">
      <alignment horizontal="left"/>
    </xf>
    <xf numFmtId="0" fontId="98" fillId="2" borderId="0" xfId="0" applyFont="1" applyFill="1" applyBorder="1"/>
    <xf numFmtId="0" fontId="97" fillId="2" borderId="0" xfId="0" applyNumberFormat="1" applyFont="1" applyFill="1" applyBorder="1" applyAlignment="1">
      <alignment horizontal="left"/>
    </xf>
    <xf numFmtId="0" fontId="100" fillId="2" borderId="0" xfId="5" applyFont="1" applyFill="1" applyBorder="1"/>
    <xf numFmtId="0" fontId="101" fillId="2" borderId="0" xfId="0" applyFont="1" applyFill="1" applyAlignment="1"/>
    <xf numFmtId="0" fontId="97" fillId="2" borderId="69" xfId="0" applyFont="1" applyFill="1" applyBorder="1"/>
    <xf numFmtId="0" fontId="98" fillId="2" borderId="0" xfId="0" applyFont="1" applyFill="1" applyAlignment="1">
      <alignment horizontal="center" vertical="center"/>
    </xf>
    <xf numFmtId="0" fontId="104" fillId="2" borderId="0" xfId="0" applyFont="1" applyFill="1"/>
    <xf numFmtId="0" fontId="104" fillId="2" borderId="14" xfId="0" applyFont="1" applyFill="1" applyBorder="1"/>
    <xf numFmtId="0" fontId="104" fillId="2" borderId="15" xfId="0" applyFont="1" applyFill="1" applyBorder="1"/>
    <xf numFmtId="0" fontId="103" fillId="2" borderId="30" xfId="0" applyFont="1" applyFill="1" applyBorder="1" applyAlignment="1">
      <alignment horizontal="left" vertical="center" wrapText="1"/>
    </xf>
    <xf numFmtId="0" fontId="103" fillId="2" borderId="0" xfId="0" applyFont="1" applyFill="1" applyBorder="1" applyAlignment="1">
      <alignment horizontal="left" vertical="center" wrapText="1"/>
    </xf>
    <xf numFmtId="0" fontId="105" fillId="2" borderId="25" xfId="0" applyFont="1" applyFill="1" applyBorder="1" applyAlignment="1">
      <alignment vertical="center"/>
    </xf>
    <xf numFmtId="0" fontId="103" fillId="2" borderId="14" xfId="0" applyFont="1" applyFill="1" applyBorder="1" applyAlignment="1">
      <alignment horizontal="right"/>
    </xf>
    <xf numFmtId="0" fontId="107" fillId="2" borderId="0" xfId="0" applyFont="1" applyFill="1" applyBorder="1" applyAlignment="1">
      <alignment horizontal="right"/>
    </xf>
    <xf numFmtId="0" fontId="106" fillId="2" borderId="0" xfId="0" applyFont="1" applyFill="1" applyBorder="1" applyAlignment="1">
      <alignment horizontal="left"/>
    </xf>
    <xf numFmtId="0" fontId="103" fillId="2" borderId="0" xfId="0" applyFont="1" applyFill="1" applyBorder="1" applyAlignment="1">
      <alignment horizontal="right"/>
    </xf>
    <xf numFmtId="0" fontId="103" fillId="2" borderId="0" xfId="0" applyFont="1" applyFill="1" applyBorder="1" applyAlignment="1">
      <alignment horizontal="left"/>
    </xf>
    <xf numFmtId="0" fontId="108" fillId="14" borderId="15" xfId="0" applyFont="1" applyFill="1" applyBorder="1"/>
    <xf numFmtId="0" fontId="97" fillId="2" borderId="32" xfId="0" applyFont="1" applyFill="1" applyBorder="1"/>
    <xf numFmtId="0" fontId="97" fillId="2" borderId="30" xfId="0" applyFont="1" applyFill="1" applyBorder="1" applyAlignment="1">
      <alignment vertical="top"/>
    </xf>
    <xf numFmtId="0" fontId="98" fillId="2" borderId="30" xfId="0" applyFont="1" applyFill="1" applyBorder="1" applyAlignment="1">
      <alignment horizontal="center"/>
    </xf>
    <xf numFmtId="0" fontId="97" fillId="2" borderId="30" xfId="0" applyFont="1" applyFill="1" applyBorder="1"/>
    <xf numFmtId="0" fontId="98" fillId="2" borderId="30" xfId="0" applyFont="1" applyFill="1" applyBorder="1"/>
    <xf numFmtId="0" fontId="97" fillId="2" borderId="31" xfId="0" applyFont="1" applyFill="1" applyBorder="1"/>
    <xf numFmtId="0" fontId="97" fillId="2" borderId="16" xfId="0" applyFont="1" applyFill="1" applyBorder="1"/>
    <xf numFmtId="0" fontId="98" fillId="2" borderId="11" xfId="0" applyFont="1" applyFill="1" applyBorder="1" applyAlignment="1">
      <alignment horizontal="center"/>
    </xf>
    <xf numFmtId="0" fontId="98" fillId="2" borderId="17" xfId="0" applyFont="1" applyFill="1" applyBorder="1" applyAlignment="1">
      <alignment horizontal="center"/>
    </xf>
    <xf numFmtId="0" fontId="98" fillId="2" borderId="17" xfId="0" applyFont="1" applyFill="1" applyBorder="1"/>
    <xf numFmtId="0" fontId="98" fillId="2" borderId="16" xfId="0" applyFont="1" applyFill="1" applyBorder="1" applyAlignment="1">
      <alignment horizontal="center"/>
    </xf>
    <xf numFmtId="170" fontId="98" fillId="2" borderId="0" xfId="0" applyNumberFormat="1" applyFont="1" applyFill="1" applyBorder="1" applyAlignment="1">
      <alignment horizontal="center"/>
    </xf>
    <xf numFmtId="0" fontId="97" fillId="2" borderId="0" xfId="0" applyFont="1" applyFill="1" applyBorder="1" applyAlignment="1">
      <alignment horizontal="center"/>
    </xf>
    <xf numFmtId="170" fontId="97" fillId="2" borderId="0" xfId="0" applyNumberFormat="1" applyFont="1" applyFill="1" applyBorder="1"/>
    <xf numFmtId="170" fontId="97" fillId="2" borderId="0" xfId="0" applyNumberFormat="1" applyFont="1" applyFill="1" applyBorder="1" applyAlignment="1">
      <alignment horizontal="right"/>
    </xf>
    <xf numFmtId="170" fontId="97" fillId="2" borderId="0" xfId="0" applyNumberFormat="1" applyFont="1" applyFill="1"/>
    <xf numFmtId="0" fontId="97" fillId="2" borderId="14" xfId="0" applyFont="1" applyFill="1" applyBorder="1" applyAlignment="1">
      <alignment horizontal="left"/>
    </xf>
    <xf numFmtId="170" fontId="97" fillId="2" borderId="0" xfId="0" applyNumberFormat="1" applyFont="1" applyFill="1" applyBorder="1" applyAlignment="1">
      <alignment horizontal="center"/>
    </xf>
    <xf numFmtId="170" fontId="97" fillId="2" borderId="30" xfId="0" applyNumberFormat="1" applyFont="1" applyFill="1" applyBorder="1" applyAlignment="1">
      <alignment horizontal="right"/>
    </xf>
    <xf numFmtId="0" fontId="97" fillId="2" borderId="30" xfId="0" applyFont="1" applyFill="1" applyBorder="1" applyAlignment="1">
      <alignment horizontal="center"/>
    </xf>
    <xf numFmtId="0" fontId="97" fillId="2" borderId="0" xfId="0" applyFont="1" applyFill="1" applyAlignment="1">
      <alignment horizontal="right"/>
    </xf>
    <xf numFmtId="168" fontId="97" fillId="2" borderId="0" xfId="2" applyFont="1" applyFill="1"/>
    <xf numFmtId="170" fontId="97" fillId="2" borderId="0" xfId="2" applyNumberFormat="1" applyFont="1" applyFill="1"/>
    <xf numFmtId="0" fontId="98" fillId="2" borderId="16" xfId="0" applyFont="1" applyFill="1" applyBorder="1" applyAlignment="1">
      <alignment horizontal="center" vertical="center"/>
    </xf>
    <xf numFmtId="0" fontId="98" fillId="2" borderId="0" xfId="0" applyFont="1" applyFill="1" applyBorder="1" applyAlignment="1">
      <alignment horizontal="center" vertical="center"/>
    </xf>
    <xf numFmtId="170" fontId="98" fillId="2" borderId="0" xfId="0" applyNumberFormat="1" applyFont="1" applyFill="1" applyBorder="1" applyAlignment="1">
      <alignment horizontal="right" vertical="center"/>
    </xf>
    <xf numFmtId="0" fontId="97" fillId="2" borderId="0" xfId="0" applyFont="1" applyFill="1" applyBorder="1" applyAlignment="1">
      <alignment horizontal="center" vertical="center"/>
    </xf>
    <xf numFmtId="0" fontId="98" fillId="2" borderId="25" xfId="0" applyFont="1" applyFill="1" applyBorder="1" applyAlignment="1">
      <alignment horizontal="center" vertical="center"/>
    </xf>
    <xf numFmtId="0" fontId="98" fillId="2" borderId="13" xfId="0" applyFont="1" applyFill="1" applyBorder="1" applyAlignment="1">
      <alignment horizontal="center" vertical="center"/>
    </xf>
    <xf numFmtId="170" fontId="98" fillId="2" borderId="13" xfId="0" applyNumberFormat="1" applyFont="1" applyFill="1" applyBorder="1" applyAlignment="1">
      <alignment horizontal="right" vertical="center"/>
    </xf>
    <xf numFmtId="0" fontId="97" fillId="2" borderId="13" xfId="0" applyFont="1" applyFill="1" applyBorder="1" applyAlignment="1">
      <alignment horizontal="center" vertical="center"/>
    </xf>
    <xf numFmtId="170" fontId="98" fillId="2" borderId="26" xfId="0" applyNumberFormat="1" applyFont="1" applyFill="1" applyBorder="1" applyAlignment="1">
      <alignment horizontal="right" vertical="center"/>
    </xf>
    <xf numFmtId="0" fontId="109" fillId="2" borderId="14" xfId="0" applyFont="1" applyFill="1" applyBorder="1" applyAlignment="1">
      <alignment horizontal="left" vertical="center"/>
    </xf>
    <xf numFmtId="0" fontId="109" fillId="2" borderId="0" xfId="0" applyFont="1" applyFill="1" applyBorder="1" applyAlignment="1">
      <alignment horizontal="left" vertical="center"/>
    </xf>
    <xf numFmtId="170" fontId="109" fillId="2" borderId="0" xfId="0" applyNumberFormat="1" applyFont="1" applyFill="1" applyBorder="1" applyAlignment="1">
      <alignment horizontal="left" vertical="center"/>
    </xf>
    <xf numFmtId="0" fontId="109" fillId="2" borderId="15" xfId="0" applyFont="1" applyFill="1" applyBorder="1" applyAlignment="1">
      <alignment horizontal="left" vertical="center"/>
    </xf>
    <xf numFmtId="170" fontId="97" fillId="2" borderId="14" xfId="0" applyNumberFormat="1" applyFont="1" applyFill="1" applyBorder="1" applyAlignment="1">
      <alignment horizontal="left" vertical="center"/>
    </xf>
    <xf numFmtId="170" fontId="97" fillId="2" borderId="0" xfId="0" applyNumberFormat="1" applyFont="1" applyFill="1" applyBorder="1" applyAlignment="1">
      <alignment horizontal="right" vertical="center"/>
    </xf>
    <xf numFmtId="170" fontId="98" fillId="2" borderId="15" xfId="0" applyNumberFormat="1" applyFont="1" applyFill="1" applyBorder="1" applyAlignment="1">
      <alignment horizontal="right" vertical="center"/>
    </xf>
    <xf numFmtId="0" fontId="97" fillId="2" borderId="14" xfId="0" applyFont="1" applyFill="1" applyBorder="1" applyAlignment="1">
      <alignment horizontal="left" vertical="center"/>
    </xf>
    <xf numFmtId="0" fontId="98" fillId="2" borderId="14" xfId="0" applyFont="1" applyFill="1" applyBorder="1" applyAlignment="1">
      <alignment horizontal="center" vertical="center"/>
    </xf>
    <xf numFmtId="0" fontId="98" fillId="2" borderId="14" xfId="0" applyFont="1" applyFill="1" applyBorder="1" applyAlignment="1">
      <alignment horizontal="left" vertical="center"/>
    </xf>
    <xf numFmtId="170" fontId="98" fillId="2" borderId="75" xfId="0" applyNumberFormat="1" applyFont="1" applyFill="1" applyBorder="1" applyAlignment="1">
      <alignment horizontal="right" vertical="center"/>
    </xf>
    <xf numFmtId="0" fontId="98" fillId="2" borderId="32" xfId="0" applyFont="1" applyFill="1" applyBorder="1" applyAlignment="1">
      <alignment horizontal="center" vertical="center"/>
    </xf>
    <xf numFmtId="0" fontId="98" fillId="2" borderId="30" xfId="0" applyFont="1" applyFill="1" applyBorder="1" applyAlignment="1">
      <alignment horizontal="center" vertical="center"/>
    </xf>
    <xf numFmtId="170" fontId="98" fillId="2" borderId="30" xfId="0" applyNumberFormat="1" applyFont="1" applyFill="1" applyBorder="1" applyAlignment="1">
      <alignment horizontal="right" vertical="center"/>
    </xf>
    <xf numFmtId="0" fontId="97" fillId="2" borderId="30" xfId="0" applyFont="1" applyFill="1" applyBorder="1" applyAlignment="1">
      <alignment horizontal="center" vertical="center"/>
    </xf>
    <xf numFmtId="170" fontId="98" fillId="2" borderId="31" xfId="0" applyNumberFormat="1" applyFont="1" applyFill="1" applyBorder="1" applyAlignment="1">
      <alignment horizontal="right" vertical="center"/>
    </xf>
    <xf numFmtId="0" fontId="109" fillId="2" borderId="25" xfId="0" applyFont="1" applyFill="1" applyBorder="1" applyAlignment="1"/>
    <xf numFmtId="0" fontId="97" fillId="2" borderId="32" xfId="0" applyFont="1" applyFill="1" applyBorder="1" applyAlignment="1">
      <alignment horizontal="right"/>
    </xf>
    <xf numFmtId="3" fontId="97" fillId="2" borderId="30" xfId="0" applyNumberFormat="1" applyFont="1" applyFill="1" applyBorder="1" applyAlignment="1">
      <alignment horizontal="left"/>
    </xf>
    <xf numFmtId="170" fontId="97" fillId="2" borderId="31" xfId="0" applyNumberFormat="1" applyFont="1" applyFill="1" applyBorder="1" applyAlignment="1">
      <alignment horizontal="right"/>
    </xf>
    <xf numFmtId="0" fontId="109" fillId="2" borderId="25" xfId="0" applyFont="1" applyFill="1" applyBorder="1" applyAlignment="1">
      <alignment horizontal="left"/>
    </xf>
    <xf numFmtId="0" fontId="109" fillId="2" borderId="13" xfId="0" applyFont="1" applyFill="1" applyBorder="1" applyAlignment="1">
      <alignment horizontal="center"/>
    </xf>
    <xf numFmtId="0" fontId="109" fillId="2" borderId="26" xfId="0" applyFont="1" applyFill="1" applyBorder="1" applyAlignment="1">
      <alignment horizontal="center"/>
    </xf>
    <xf numFmtId="0" fontId="97" fillId="2" borderId="25" xfId="0" applyFont="1" applyFill="1" applyBorder="1" applyAlignment="1">
      <alignment horizontal="left"/>
    </xf>
    <xf numFmtId="0" fontId="97" fillId="2" borderId="13" xfId="0" applyFont="1" applyFill="1" applyBorder="1" applyAlignment="1">
      <alignment horizontal="left"/>
    </xf>
    <xf numFmtId="0" fontId="97" fillId="2" borderId="13" xfId="0" applyFont="1" applyFill="1" applyBorder="1" applyAlignment="1">
      <alignment horizontal="right"/>
    </xf>
    <xf numFmtId="0" fontId="97" fillId="2" borderId="26" xfId="0" applyFont="1" applyFill="1" applyBorder="1" applyAlignment="1">
      <alignment horizontal="right"/>
    </xf>
    <xf numFmtId="0" fontId="97" fillId="2" borderId="15" xfId="0" applyFont="1" applyFill="1" applyBorder="1" applyAlignment="1">
      <alignment horizontal="right"/>
    </xf>
    <xf numFmtId="0" fontId="97" fillId="2" borderId="0" xfId="0" applyFont="1" applyFill="1" applyBorder="1" applyAlignment="1">
      <alignment horizontal="right"/>
    </xf>
    <xf numFmtId="0" fontId="97" fillId="2" borderId="32" xfId="0" applyFont="1" applyFill="1" applyBorder="1" applyAlignment="1">
      <alignment horizontal="left"/>
    </xf>
    <xf numFmtId="0" fontId="97" fillId="2" borderId="30" xfId="0" applyFont="1" applyFill="1" applyBorder="1" applyAlignment="1">
      <alignment horizontal="left"/>
    </xf>
    <xf numFmtId="0" fontId="97" fillId="2" borderId="30" xfId="0" applyFont="1" applyFill="1" applyBorder="1" applyAlignment="1">
      <alignment horizontal="right"/>
    </xf>
    <xf numFmtId="0" fontId="111" fillId="2" borderId="0" xfId="0" applyFont="1" applyFill="1" applyBorder="1" applyAlignment="1">
      <alignment horizontal="left"/>
    </xf>
    <xf numFmtId="0" fontId="99" fillId="2" borderId="15" xfId="0" applyFont="1" applyFill="1" applyBorder="1" applyAlignment="1">
      <alignment horizontal="right"/>
    </xf>
    <xf numFmtId="0" fontId="111" fillId="2" borderId="30" xfId="0" applyFont="1" applyFill="1" applyBorder="1" applyAlignment="1">
      <alignment horizontal="left"/>
    </xf>
    <xf numFmtId="0" fontId="99" fillId="2" borderId="31" xfId="0" applyFont="1" applyFill="1" applyBorder="1" applyAlignment="1">
      <alignment horizontal="right"/>
    </xf>
    <xf numFmtId="0" fontId="109" fillId="2" borderId="13" xfId="0" applyFont="1" applyFill="1" applyBorder="1" applyAlignment="1"/>
    <xf numFmtId="0" fontId="113" fillId="2" borderId="0" xfId="0" applyFont="1" applyFill="1" applyBorder="1"/>
    <xf numFmtId="0" fontId="114" fillId="2" borderId="0" xfId="0" applyFont="1" applyFill="1" applyBorder="1"/>
    <xf numFmtId="0" fontId="15" fillId="2" borderId="25" xfId="0" applyFont="1" applyFill="1" applyBorder="1" applyAlignment="1">
      <alignment vertical="center"/>
    </xf>
    <xf numFmtId="0" fontId="15" fillId="2" borderId="59" xfId="0" applyFont="1" applyFill="1" applyBorder="1" applyAlignment="1">
      <alignment horizontal="right" vertical="center"/>
    </xf>
    <xf numFmtId="171" fontId="0" fillId="11" borderId="131" xfId="0" applyNumberFormat="1" applyFont="1" applyFill="1" applyBorder="1" applyAlignment="1" applyProtection="1">
      <alignment horizontal="right" vertical="center"/>
      <protection locked="0"/>
    </xf>
    <xf numFmtId="0" fontId="13" fillId="2" borderId="32" xfId="0" applyFont="1" applyFill="1" applyBorder="1" applyAlignment="1"/>
    <xf numFmtId="0" fontId="10" fillId="2" borderId="30" xfId="0" applyFont="1" applyFill="1" applyBorder="1" applyAlignment="1">
      <alignment vertical="center"/>
    </xf>
    <xf numFmtId="164" fontId="0" fillId="11" borderId="132" xfId="2" applyNumberFormat="1" applyFont="1" applyFill="1" applyBorder="1" applyAlignment="1" applyProtection="1">
      <alignment vertical="center"/>
      <protection locked="0"/>
    </xf>
    <xf numFmtId="0" fontId="0" fillId="2" borderId="0" xfId="0" applyFont="1" applyFill="1" applyBorder="1" applyAlignment="1" applyProtection="1">
      <alignment horizontal="left" vertical="center"/>
      <protection locked="0"/>
    </xf>
    <xf numFmtId="0" fontId="0" fillId="2" borderId="0" xfId="2" applyNumberFormat="1" applyFont="1" applyFill="1" applyBorder="1" applyAlignment="1" applyProtection="1">
      <alignment vertical="center"/>
      <protection locked="0"/>
    </xf>
    <xf numFmtId="0" fontId="59" fillId="2" borderId="0" xfId="2" applyNumberFormat="1" applyFont="1" applyFill="1" applyBorder="1" applyAlignment="1" applyProtection="1">
      <alignment horizontal="center" vertical="center"/>
    </xf>
    <xf numFmtId="164" fontId="0" fillId="2" borderId="0" xfId="2" applyNumberFormat="1" applyFont="1" applyFill="1" applyBorder="1" applyAlignment="1" applyProtection="1">
      <alignment vertical="center"/>
      <protection locked="0"/>
    </xf>
    <xf numFmtId="0" fontId="42" fillId="2" borderId="0" xfId="0" applyFont="1" applyFill="1"/>
    <xf numFmtId="0" fontId="42" fillId="0" borderId="0" xfId="0" applyFont="1"/>
    <xf numFmtId="0" fontId="23"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wrapText="1"/>
    </xf>
    <xf numFmtId="0" fontId="23" fillId="0" borderId="0" xfId="0" applyFont="1" applyAlignment="1">
      <alignment horizontal="center" vertical="center"/>
    </xf>
    <xf numFmtId="0" fontId="23" fillId="2" borderId="0" xfId="0" applyFont="1" applyFill="1" applyBorder="1" applyAlignment="1">
      <alignment horizontal="right"/>
    </xf>
    <xf numFmtId="0" fontId="9" fillId="2" borderId="0" xfId="0" applyFont="1" applyFill="1" applyBorder="1" applyAlignment="1"/>
    <xf numFmtId="0" fontId="23" fillId="0" borderId="56" xfId="0" applyNumberFormat="1" applyFont="1" applyFill="1" applyBorder="1" applyAlignment="1">
      <alignment horizontal="center" vertical="center"/>
    </xf>
    <xf numFmtId="168" fontId="23" fillId="2" borderId="0" xfId="2" applyFont="1" applyFill="1" applyBorder="1"/>
    <xf numFmtId="170" fontId="23" fillId="2" borderId="0" xfId="2" applyNumberFormat="1" applyFont="1" applyFill="1" applyBorder="1"/>
    <xf numFmtId="0" fontId="23" fillId="2" borderId="118" xfId="0" applyFont="1" applyFill="1" applyBorder="1"/>
    <xf numFmtId="0" fontId="115" fillId="2" borderId="0" xfId="0" applyFont="1" applyFill="1"/>
    <xf numFmtId="0" fontId="115" fillId="2" borderId="25" xfId="0" applyFont="1" applyFill="1" applyBorder="1"/>
    <xf numFmtId="0" fontId="115" fillId="2" borderId="13" xfId="0" applyFont="1" applyFill="1" applyBorder="1"/>
    <xf numFmtId="0" fontId="116" fillId="2" borderId="13" xfId="0" applyFont="1" applyFill="1" applyBorder="1"/>
    <xf numFmtId="0" fontId="115" fillId="2" borderId="26" xfId="0" applyFont="1" applyFill="1" applyBorder="1"/>
    <xf numFmtId="0" fontId="115" fillId="2" borderId="14" xfId="0" applyFont="1" applyFill="1" applyBorder="1"/>
    <xf numFmtId="0" fontId="117" fillId="2" borderId="0" xfId="0" applyFont="1" applyFill="1" applyBorder="1" applyAlignment="1">
      <alignment horizontal="left"/>
    </xf>
    <xf numFmtId="0" fontId="115" fillId="2" borderId="0" xfId="0" applyFont="1" applyFill="1" applyBorder="1"/>
    <xf numFmtId="0" fontId="116" fillId="2" borderId="0" xfId="0" applyFont="1" applyFill="1" applyBorder="1"/>
    <xf numFmtId="0" fontId="119" fillId="2" borderId="0" xfId="0" applyFont="1" applyFill="1" applyBorder="1" applyAlignment="1">
      <alignment horizontal="center"/>
    </xf>
    <xf numFmtId="0" fontId="115" fillId="2" borderId="0" xfId="0" applyFont="1" applyFill="1" applyAlignment="1">
      <alignment wrapText="1"/>
    </xf>
    <xf numFmtId="0" fontId="115" fillId="2" borderId="0" xfId="0" applyNumberFormat="1" applyFont="1" applyFill="1" applyBorder="1" applyAlignment="1">
      <alignment horizontal="left"/>
    </xf>
    <xf numFmtId="0" fontId="120" fillId="2" borderId="0" xfId="0" applyFont="1" applyFill="1" applyBorder="1" applyAlignment="1">
      <alignment horizontal="left"/>
    </xf>
    <xf numFmtId="3" fontId="115" fillId="2" borderId="0" xfId="0" applyNumberFormat="1" applyFont="1" applyFill="1" applyBorder="1"/>
    <xf numFmtId="0" fontId="118" fillId="2" borderId="0" xfId="3" applyFont="1" applyFill="1" applyBorder="1" applyAlignment="1">
      <alignment horizontal="left" vertical="top" wrapText="1"/>
    </xf>
    <xf numFmtId="0" fontId="118" fillId="2" borderId="15" xfId="3" applyFont="1" applyFill="1" applyBorder="1" applyAlignment="1">
      <alignment horizontal="left" vertical="top" wrapText="1"/>
    </xf>
    <xf numFmtId="0" fontId="115" fillId="2" borderId="15" xfId="0" applyFont="1" applyFill="1" applyBorder="1"/>
    <xf numFmtId="0" fontId="117" fillId="2" borderId="0" xfId="0" applyFont="1" applyFill="1" applyAlignment="1"/>
    <xf numFmtId="0" fontId="115" fillId="2" borderId="0" xfId="0" applyFont="1" applyFill="1" applyAlignment="1">
      <alignment horizontal="left"/>
    </xf>
    <xf numFmtId="0" fontId="120" fillId="2" borderId="14" xfId="0" applyFont="1" applyFill="1" applyBorder="1" applyAlignment="1">
      <alignment horizontal="right"/>
    </xf>
    <xf numFmtId="15" fontId="117" fillId="21" borderId="51" xfId="0" applyNumberFormat="1" applyFont="1" applyFill="1" applyBorder="1" applyAlignment="1">
      <alignment horizontal="left" vertical="center"/>
    </xf>
    <xf numFmtId="170" fontId="117" fillId="21" borderId="51" xfId="0" applyNumberFormat="1" applyFont="1" applyFill="1" applyBorder="1" applyAlignment="1">
      <alignment horizontal="left" vertical="center"/>
    </xf>
    <xf numFmtId="0" fontId="102" fillId="2" borderId="0" xfId="0" applyFont="1" applyFill="1" applyBorder="1" applyAlignment="1">
      <alignment horizontal="right" vertical="center"/>
    </xf>
    <xf numFmtId="0" fontId="115" fillId="21" borderId="57" xfId="0" applyFont="1" applyFill="1" applyBorder="1"/>
    <xf numFmtId="0" fontId="117" fillId="2" borderId="0" xfId="0" applyFont="1" applyFill="1" applyAlignment="1">
      <alignment horizontal="center" vertical="center"/>
    </xf>
    <xf numFmtId="0" fontId="115" fillId="2" borderId="32" xfId="0" applyFont="1" applyFill="1" applyBorder="1"/>
    <xf numFmtId="0" fontId="115" fillId="2" borderId="30" xfId="0" applyFont="1" applyFill="1" applyBorder="1"/>
    <xf numFmtId="0" fontId="115" fillId="2" borderId="30" xfId="0" applyFont="1" applyFill="1" applyBorder="1" applyAlignment="1">
      <alignment horizontal="right"/>
    </xf>
    <xf numFmtId="15" fontId="117" fillId="21" borderId="30" xfId="0" applyNumberFormat="1" applyFont="1" applyFill="1" applyBorder="1" applyAlignment="1">
      <alignment horizontal="left" vertical="center"/>
    </xf>
    <xf numFmtId="0" fontId="115" fillId="21" borderId="31" xfId="0" applyFont="1" applyFill="1" applyBorder="1"/>
    <xf numFmtId="0" fontId="115" fillId="2" borderId="30" xfId="0" applyFont="1" applyFill="1" applyBorder="1" applyAlignment="1">
      <alignment horizontal="left" vertical="center" wrapText="1"/>
    </xf>
    <xf numFmtId="0" fontId="115" fillId="2" borderId="69" xfId="0" applyFont="1" applyFill="1" applyBorder="1"/>
    <xf numFmtId="0" fontId="122" fillId="2" borderId="25" xfId="0" applyFont="1" applyFill="1" applyBorder="1" applyAlignment="1">
      <alignment vertical="center"/>
    </xf>
    <xf numFmtId="0" fontId="115" fillId="2" borderId="14" xfId="0" applyFont="1" applyFill="1" applyBorder="1" applyAlignment="1">
      <alignment horizontal="right"/>
    </xf>
    <xf numFmtId="0" fontId="115" fillId="2" borderId="0" xfId="0" applyFont="1" applyFill="1" applyBorder="1" applyAlignment="1">
      <alignment horizontal="right"/>
    </xf>
    <xf numFmtId="0" fontId="123" fillId="14" borderId="15" xfId="0" applyFont="1" applyFill="1" applyBorder="1"/>
    <xf numFmtId="0" fontId="115" fillId="2" borderId="30" xfId="0" applyFont="1" applyFill="1" applyBorder="1" applyAlignment="1">
      <alignment vertical="top"/>
    </xf>
    <xf numFmtId="0" fontId="117" fillId="2" borderId="30" xfId="0" applyFont="1" applyFill="1" applyBorder="1" applyAlignment="1">
      <alignment horizontal="center"/>
    </xf>
    <xf numFmtId="0" fontId="117" fillId="2" borderId="30" xfId="0" applyFont="1" applyFill="1" applyBorder="1"/>
    <xf numFmtId="0" fontId="115" fillId="2" borderId="31" xfId="0" applyFont="1" applyFill="1" applyBorder="1"/>
    <xf numFmtId="0" fontId="115" fillId="2" borderId="16" xfId="0" applyFont="1" applyFill="1" applyBorder="1"/>
    <xf numFmtId="0" fontId="119" fillId="2" borderId="42" xfId="0" applyFont="1" applyFill="1" applyBorder="1" applyAlignment="1">
      <alignment horizontal="center"/>
    </xf>
    <xf numFmtId="0" fontId="117" fillId="2" borderId="17" xfId="0" applyFont="1" applyFill="1" applyBorder="1"/>
    <xf numFmtId="0" fontId="117" fillId="2" borderId="17" xfId="0" applyFont="1" applyFill="1" applyBorder="1" applyAlignment="1">
      <alignment horizontal="center"/>
    </xf>
    <xf numFmtId="170" fontId="117" fillId="2" borderId="0" xfId="0" applyNumberFormat="1" applyFont="1" applyFill="1" applyBorder="1" applyAlignment="1">
      <alignment horizontal="center"/>
    </xf>
    <xf numFmtId="170" fontId="115" fillId="2" borderId="0" xfId="0" applyNumberFormat="1" applyFont="1" applyFill="1" applyBorder="1"/>
    <xf numFmtId="0" fontId="116" fillId="2" borderId="0" xfId="0" applyFont="1" applyFill="1" applyBorder="1" applyAlignment="1">
      <alignment horizontal="center"/>
    </xf>
    <xf numFmtId="0" fontId="115" fillId="2" borderId="30" xfId="0" applyFont="1" applyFill="1" applyBorder="1" applyAlignment="1">
      <alignment horizontal="center"/>
    </xf>
    <xf numFmtId="0" fontId="115" fillId="2" borderId="0" xfId="0" applyFont="1" applyFill="1" applyAlignment="1">
      <alignment horizontal="right"/>
    </xf>
    <xf numFmtId="168" fontId="115" fillId="2" borderId="0" xfId="2" applyFont="1" applyFill="1"/>
    <xf numFmtId="0" fontId="117" fillId="2" borderId="16" xfId="0" applyFont="1" applyFill="1" applyBorder="1" applyAlignment="1">
      <alignment horizontal="center" vertical="center"/>
    </xf>
    <xf numFmtId="0" fontId="117" fillId="2" borderId="0" xfId="0" applyFont="1" applyFill="1" applyBorder="1" applyAlignment="1">
      <alignment horizontal="center" vertical="center"/>
    </xf>
    <xf numFmtId="170" fontId="117" fillId="2" borderId="0" xfId="0" applyNumberFormat="1" applyFont="1" applyFill="1" applyBorder="1" applyAlignment="1">
      <alignment horizontal="right" vertical="center"/>
    </xf>
    <xf numFmtId="0" fontId="122" fillId="2" borderId="14" xfId="0" applyFont="1" applyFill="1" applyBorder="1" applyAlignment="1">
      <alignment horizontal="left" vertical="center"/>
    </xf>
    <xf numFmtId="170" fontId="117" fillId="2" borderId="13" xfId="0" applyNumberFormat="1" applyFont="1" applyFill="1" applyBorder="1" applyAlignment="1">
      <alignment horizontal="right" vertical="center"/>
    </xf>
    <xf numFmtId="0" fontId="115" fillId="2" borderId="13" xfId="0" applyFont="1" applyFill="1" applyBorder="1" applyAlignment="1">
      <alignment horizontal="center" vertical="center"/>
    </xf>
    <xf numFmtId="170" fontId="117" fillId="2" borderId="26" xfId="0" applyNumberFormat="1" applyFont="1" applyFill="1" applyBorder="1" applyAlignment="1">
      <alignment horizontal="right" vertical="center"/>
    </xf>
    <xf numFmtId="170" fontId="115" fillId="2" borderId="14" xfId="0" applyNumberFormat="1" applyFont="1" applyFill="1" applyBorder="1" applyAlignment="1">
      <alignment horizontal="left" vertical="center"/>
    </xf>
    <xf numFmtId="170" fontId="115" fillId="2" borderId="0" xfId="0" applyNumberFormat="1" applyFont="1" applyFill="1" applyBorder="1" applyAlignment="1">
      <alignment horizontal="right" vertical="center"/>
    </xf>
    <xf numFmtId="170" fontId="117" fillId="2" borderId="15" xfId="0" applyNumberFormat="1" applyFont="1" applyFill="1" applyBorder="1" applyAlignment="1">
      <alignment horizontal="right" vertical="center"/>
    </xf>
    <xf numFmtId="0" fontId="120" fillId="2" borderId="15" xfId="0" applyFont="1" applyFill="1" applyBorder="1" applyAlignment="1">
      <alignment horizontal="right"/>
    </xf>
    <xf numFmtId="0" fontId="115" fillId="2" borderId="15" xfId="0" applyFont="1" applyFill="1" applyBorder="1" applyAlignment="1">
      <alignment horizontal="right"/>
    </xf>
    <xf numFmtId="0" fontId="125" fillId="2" borderId="0" xfId="0" applyFont="1" applyFill="1" applyBorder="1" applyAlignment="1">
      <alignment horizontal="left"/>
    </xf>
    <xf numFmtId="0" fontId="125" fillId="2" borderId="30" xfId="0" applyFont="1" applyFill="1" applyBorder="1" applyAlignment="1">
      <alignment horizontal="left"/>
    </xf>
    <xf numFmtId="0" fontId="120" fillId="2" borderId="31" xfId="0" applyFont="1" applyFill="1" applyBorder="1" applyAlignment="1">
      <alignment horizontal="right"/>
    </xf>
    <xf numFmtId="170" fontId="117" fillId="2" borderId="30" xfId="0" applyNumberFormat="1" applyFont="1" applyFill="1" applyBorder="1" applyAlignment="1">
      <alignment horizontal="right" vertical="center"/>
    </xf>
    <xf numFmtId="0" fontId="115" fillId="2" borderId="30" xfId="0" applyFont="1" applyFill="1" applyBorder="1" applyAlignment="1">
      <alignment horizontal="center" vertical="center"/>
    </xf>
    <xf numFmtId="170" fontId="117" fillId="2" borderId="31" xfId="0" applyNumberFormat="1" applyFont="1" applyFill="1" applyBorder="1" applyAlignment="1">
      <alignment horizontal="right" vertical="center"/>
    </xf>
    <xf numFmtId="0" fontId="122" fillId="2" borderId="25" xfId="0" applyFont="1" applyFill="1" applyBorder="1" applyAlignment="1"/>
    <xf numFmtId="0" fontId="115" fillId="2" borderId="32" xfId="0" applyFont="1" applyFill="1" applyBorder="1" applyAlignment="1">
      <alignment horizontal="right"/>
    </xf>
    <xf numFmtId="3" fontId="115" fillId="2" borderId="30" xfId="0" applyNumberFormat="1" applyFont="1" applyFill="1" applyBorder="1" applyAlignment="1">
      <alignment horizontal="left"/>
    </xf>
    <xf numFmtId="0" fontId="122" fillId="2" borderId="25" xfId="0" applyFont="1" applyFill="1" applyBorder="1" applyAlignment="1">
      <alignment horizontal="left"/>
    </xf>
    <xf numFmtId="0" fontId="122" fillId="2" borderId="13" xfId="0" applyFont="1" applyFill="1" applyBorder="1" applyAlignment="1">
      <alignment horizontal="center"/>
    </xf>
    <xf numFmtId="0" fontId="117" fillId="2" borderId="13" xfId="0" applyFont="1" applyFill="1" applyBorder="1" applyAlignment="1">
      <alignment horizontal="center"/>
    </xf>
    <xf numFmtId="0" fontId="122" fillId="2" borderId="26" xfId="0" applyFont="1" applyFill="1" applyBorder="1" applyAlignment="1">
      <alignment horizontal="center"/>
    </xf>
    <xf numFmtId="0" fontId="115" fillId="2" borderId="26" xfId="0" applyFont="1" applyFill="1" applyBorder="1" applyAlignment="1">
      <alignment horizontal="right"/>
    </xf>
    <xf numFmtId="170" fontId="115" fillId="2" borderId="31" xfId="0" applyNumberFormat="1" applyFont="1" applyFill="1" applyBorder="1"/>
    <xf numFmtId="0" fontId="122" fillId="2" borderId="13" xfId="0" applyFont="1" applyFill="1" applyBorder="1" applyAlignment="1"/>
    <xf numFmtId="0" fontId="117" fillId="2" borderId="13" xfId="0" applyFont="1" applyFill="1" applyBorder="1" applyAlignment="1"/>
    <xf numFmtId="0" fontId="117" fillId="2" borderId="26" xfId="0" applyFont="1" applyFill="1" applyBorder="1" applyAlignment="1"/>
    <xf numFmtId="0" fontId="117" fillId="2" borderId="0" xfId="0" applyFont="1" applyFill="1" applyBorder="1" applyAlignment="1"/>
    <xf numFmtId="0" fontId="117" fillId="2" borderId="15" xfId="0" applyFont="1" applyFill="1" applyBorder="1" applyAlignment="1"/>
    <xf numFmtId="0" fontId="115" fillId="2" borderId="14" xfId="0" applyFont="1" applyFill="1" applyBorder="1" applyAlignment="1">
      <alignment horizontal="center" vertical="center"/>
    </xf>
    <xf numFmtId="0" fontId="115" fillId="2" borderId="15" xfId="0" applyFont="1" applyFill="1" applyBorder="1" applyAlignment="1">
      <alignment horizontal="center" vertical="center"/>
    </xf>
    <xf numFmtId="0" fontId="115" fillId="2" borderId="0" xfId="0" applyFont="1" applyFill="1" applyAlignment="1">
      <alignment horizontal="center" vertical="center"/>
    </xf>
    <xf numFmtId="0" fontId="115" fillId="2" borderId="14" xfId="0" applyNumberFormat="1" applyFont="1" applyFill="1" applyBorder="1"/>
    <xf numFmtId="2" fontId="115" fillId="2" borderId="0" xfId="0" applyNumberFormat="1" applyFont="1" applyFill="1" applyBorder="1"/>
    <xf numFmtId="0" fontId="115" fillId="2" borderId="14" xfId="0" applyFont="1" applyFill="1" applyBorder="1" applyAlignment="1">
      <alignment horizontal="left" vertical="center"/>
    </xf>
    <xf numFmtId="0" fontId="115" fillId="2" borderId="15" xfId="0" applyFont="1" applyFill="1" applyBorder="1" applyAlignment="1">
      <alignment horizontal="left" vertical="center" wrapText="1"/>
    </xf>
    <xf numFmtId="4" fontId="127" fillId="0" borderId="0" xfId="31" applyFont="1" applyBorder="1" applyAlignment="1">
      <alignment horizontal="center"/>
    </xf>
    <xf numFmtId="0" fontId="5" fillId="0" borderId="0" xfId="24" applyNumberFormat="1" applyFont="1" applyAlignment="1">
      <alignment horizontal="center"/>
    </xf>
    <xf numFmtId="4" fontId="118" fillId="0" borderId="0" xfId="31" applyFont="1"/>
    <xf numFmtId="3" fontId="7" fillId="0" borderId="0" xfId="25" applyAlignment="1">
      <alignment horizontal="left" vertical="center"/>
    </xf>
    <xf numFmtId="4" fontId="5" fillId="0" borderId="33" xfId="31" applyFont="1" applyBorder="1" applyAlignment="1">
      <alignment vertical="center"/>
    </xf>
    <xf numFmtId="3" fontId="5" fillId="0" borderId="32" xfId="31" applyNumberFormat="1" applyFont="1" applyBorder="1" applyAlignment="1">
      <alignment horizontal="center" vertical="center"/>
    </xf>
    <xf numFmtId="0" fontId="6" fillId="0" borderId="0" xfId="0" applyFont="1" applyAlignment="1">
      <alignment horizontal="center" vertical="center"/>
    </xf>
    <xf numFmtId="0" fontId="6" fillId="0" borderId="0" xfId="0" applyFont="1" applyBorder="1" applyAlignment="1">
      <alignment horizontal="left" vertical="center"/>
    </xf>
    <xf numFmtId="4" fontId="7" fillId="0" borderId="0" xfId="31" applyFont="1" applyAlignment="1"/>
    <xf numFmtId="0" fontId="8" fillId="0" borderId="0" xfId="0" applyFont="1" applyAlignment="1">
      <alignment horizontal="center" vertical="center"/>
    </xf>
    <xf numFmtId="0" fontId="6" fillId="0" borderId="0" xfId="0" applyFont="1" applyAlignment="1">
      <alignment horizontal="left" vertical="center"/>
    </xf>
    <xf numFmtId="0" fontId="8" fillId="0" borderId="0" xfId="0" applyFont="1" applyBorder="1"/>
    <xf numFmtId="0" fontId="8" fillId="0" borderId="0" xfId="0" applyFont="1" applyBorder="1" applyAlignment="1">
      <alignment horizontal="left" vertical="center"/>
    </xf>
    <xf numFmtId="0" fontId="8" fillId="0" borderId="0" xfId="0" applyFont="1" applyBorder="1" applyAlignment="1">
      <alignment horizontal="left" wrapText="1"/>
    </xf>
    <xf numFmtId="0" fontId="8" fillId="0" borderId="0" xfId="0" applyFont="1" applyAlignment="1">
      <alignment horizontal="left"/>
    </xf>
    <xf numFmtId="0" fontId="8" fillId="0" borderId="0" xfId="0" applyFont="1" applyAlignment="1">
      <alignment horizontal="left" vertical="center"/>
    </xf>
    <xf numFmtId="0" fontId="8" fillId="0" borderId="0" xfId="0" applyFont="1" applyAlignment="1">
      <alignment horizontal="justify" vertical="center"/>
    </xf>
    <xf numFmtId="0" fontId="8" fillId="0" borderId="0" xfId="0" applyFont="1" applyBorder="1" applyAlignment="1">
      <alignment horizontal="justify" vertical="center"/>
    </xf>
    <xf numFmtId="0" fontId="8" fillId="0" borderId="0" xfId="0" applyFont="1" applyAlignment="1">
      <alignment horizontal="left" wrapText="1"/>
    </xf>
    <xf numFmtId="0" fontId="8" fillId="0" borderId="0" xfId="0" applyFont="1" applyAlignment="1">
      <alignment horizontal="left" vertical="center" wrapText="1"/>
    </xf>
    <xf numFmtId="0" fontId="8" fillId="0" borderId="0" xfId="0" applyFont="1" applyBorder="1" applyAlignment="1">
      <alignment horizontal="left" vertical="center" wrapText="1"/>
    </xf>
    <xf numFmtId="0" fontId="0" fillId="0" borderId="0" xfId="0" applyBorder="1"/>
    <xf numFmtId="0" fontId="23" fillId="0" borderId="0" xfId="0" applyFont="1" applyBorder="1" applyAlignment="1">
      <alignment vertical="center" wrapText="1"/>
    </xf>
    <xf numFmtId="0" fontId="23" fillId="0" borderId="0" xfId="0" applyFont="1" applyBorder="1"/>
    <xf numFmtId="0" fontId="23" fillId="0" borderId="0" xfId="0" applyFont="1" applyBorder="1" applyAlignment="1">
      <alignment vertical="center"/>
    </xf>
    <xf numFmtId="0" fontId="23" fillId="0" borderId="0" xfId="0" applyFont="1" applyBorder="1" applyAlignment="1">
      <alignment horizontal="left" vertical="center" wrapText="1"/>
    </xf>
    <xf numFmtId="0" fontId="23" fillId="0" borderId="0" xfId="0" applyFont="1" applyBorder="1" applyAlignment="1">
      <alignment horizontal="left" wrapText="1"/>
    </xf>
    <xf numFmtId="0" fontId="23" fillId="0" borderId="0" xfId="0" applyFont="1" applyBorder="1" applyAlignment="1">
      <alignment horizontal="left" vertical="center"/>
    </xf>
    <xf numFmtId="0" fontId="132" fillId="2" borderId="0" xfId="3" applyFont="1" applyFill="1" applyBorder="1" applyAlignment="1">
      <alignment horizontal="left"/>
    </xf>
    <xf numFmtId="171" fontId="23" fillId="2" borderId="53" xfId="0" applyNumberFormat="1" applyFont="1" applyFill="1" applyBorder="1" applyAlignment="1" applyProtection="1">
      <alignment horizontal="center" vertical="center"/>
    </xf>
    <xf numFmtId="164" fontId="13" fillId="2" borderId="58" xfId="2" applyNumberFormat="1" applyFont="1" applyFill="1" applyBorder="1" applyAlignment="1" applyProtection="1">
      <alignment vertical="center"/>
    </xf>
    <xf numFmtId="189" fontId="13" fillId="11" borderId="56" xfId="2" applyNumberFormat="1" applyFont="1" applyFill="1" applyBorder="1" applyAlignment="1" applyProtection="1">
      <alignment horizontal="right" vertical="center"/>
      <protection locked="0"/>
    </xf>
    <xf numFmtId="0" fontId="115" fillId="2" borderId="0" xfId="0" applyFont="1" applyFill="1" applyBorder="1" applyAlignment="1">
      <alignment horizontal="left"/>
    </xf>
    <xf numFmtId="189" fontId="13" fillId="11" borderId="58" xfId="2" applyNumberFormat="1" applyFont="1" applyFill="1" applyBorder="1" applyAlignment="1" applyProtection="1">
      <alignment horizontal="right" vertical="center"/>
      <protection locked="0"/>
    </xf>
    <xf numFmtId="190" fontId="115" fillId="2" borderId="31" xfId="0" applyNumberFormat="1" applyFont="1" applyFill="1" applyBorder="1"/>
    <xf numFmtId="14" fontId="23" fillId="4" borderId="97"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left" vertical="center"/>
    </xf>
    <xf numFmtId="0" fontId="133" fillId="0" borderId="0" xfId="0" applyFont="1" applyFill="1" applyBorder="1" applyAlignment="1">
      <alignment horizontal="right" vertical="center"/>
    </xf>
    <xf numFmtId="0" fontId="9" fillId="2" borderId="1" xfId="0" applyFont="1" applyFill="1" applyBorder="1" applyAlignment="1">
      <alignment horizontal="center" vertical="center" wrapText="1"/>
    </xf>
    <xf numFmtId="0" fontId="118" fillId="2" borderId="0" xfId="3" applyFont="1" applyFill="1" applyBorder="1" applyAlignment="1">
      <alignment horizontal="left"/>
    </xf>
    <xf numFmtId="0" fontId="12" fillId="2" borderId="0" xfId="0" applyFont="1" applyFill="1" applyBorder="1" applyAlignment="1">
      <alignment horizontal="center" vertical="center"/>
    </xf>
    <xf numFmtId="0" fontId="41" fillId="2" borderId="0" xfId="0" applyFont="1" applyFill="1" applyBorder="1" applyAlignment="1">
      <alignment horizontal="center" vertical="center"/>
    </xf>
    <xf numFmtId="0" fontId="99" fillId="2" borderId="0" xfId="0" applyFont="1" applyFill="1" applyBorder="1" applyAlignment="1">
      <alignment horizontal="right"/>
    </xf>
    <xf numFmtId="0" fontId="135" fillId="2" borderId="14" xfId="0" applyFont="1" applyFill="1" applyBorder="1"/>
    <xf numFmtId="164" fontId="0" fillId="2" borderId="0" xfId="2" applyNumberFormat="1" applyFont="1" applyFill="1" applyBorder="1" applyAlignment="1" applyProtection="1">
      <alignment horizontal="center" vertical="center"/>
      <protection locked="0"/>
    </xf>
    <xf numFmtId="0" fontId="0" fillId="2" borderId="13" xfId="0" applyFont="1" applyFill="1" applyBorder="1" applyAlignment="1" applyProtection="1">
      <alignment vertical="center"/>
      <protection locked="0"/>
    </xf>
    <xf numFmtId="0" fontId="0" fillId="2" borderId="30" xfId="0" applyFont="1" applyFill="1" applyBorder="1" applyAlignment="1" applyProtection="1">
      <alignment vertical="center"/>
      <protection locked="0"/>
    </xf>
    <xf numFmtId="164" fontId="0" fillId="2" borderId="13" xfId="2" applyNumberFormat="1" applyFont="1" applyFill="1" applyBorder="1" applyAlignment="1" applyProtection="1">
      <alignment horizontal="center" vertical="center"/>
      <protection locked="0"/>
    </xf>
    <xf numFmtId="164" fontId="0" fillId="11" borderId="0" xfId="2" applyNumberFormat="1" applyFont="1" applyFill="1" applyBorder="1" applyAlignment="1" applyProtection="1">
      <alignment horizontal="center" vertical="center"/>
      <protection locked="0"/>
    </xf>
    <xf numFmtId="164" fontId="0" fillId="11" borderId="30" xfId="2" applyNumberFormat="1" applyFont="1" applyFill="1" applyBorder="1" applyAlignment="1" applyProtection="1">
      <alignment horizontal="center" vertical="center"/>
      <protection locked="0"/>
    </xf>
    <xf numFmtId="171" fontId="13" fillId="2" borderId="15" xfId="0" applyNumberFormat="1" applyFont="1" applyFill="1" applyBorder="1" applyAlignment="1" applyProtection="1">
      <alignment vertical="center"/>
      <protection locked="0"/>
    </xf>
    <xf numFmtId="164" fontId="41" fillId="2" borderId="12" xfId="2" applyNumberFormat="1" applyFont="1" applyFill="1" applyBorder="1" applyAlignment="1">
      <alignment vertical="center"/>
    </xf>
    <xf numFmtId="0" fontId="0" fillId="11" borderId="25" xfId="0" applyFont="1" applyFill="1" applyBorder="1" applyAlignment="1" applyProtection="1">
      <alignment horizontal="left" vertical="center"/>
      <protection locked="0"/>
    </xf>
    <xf numFmtId="164" fontId="0" fillId="11" borderId="13" xfId="2" applyNumberFormat="1" applyFont="1" applyFill="1" applyBorder="1" applyAlignment="1" applyProtection="1">
      <alignment vertical="center"/>
      <protection locked="0"/>
    </xf>
    <xf numFmtId="0" fontId="0" fillId="11" borderId="13" xfId="0" applyFont="1" applyFill="1" applyBorder="1" applyAlignment="1" applyProtection="1">
      <alignment horizontal="right" vertical="center"/>
      <protection locked="0"/>
    </xf>
    <xf numFmtId="170" fontId="1" fillId="11" borderId="26" xfId="2" applyNumberFormat="1" applyFont="1" applyFill="1" applyBorder="1" applyAlignment="1" applyProtection="1">
      <alignment vertical="center"/>
      <protection locked="0"/>
    </xf>
    <xf numFmtId="0" fontId="59" fillId="2" borderId="30" xfId="2" applyNumberFormat="1" applyFont="1" applyFill="1" applyBorder="1" applyAlignment="1" applyProtection="1">
      <alignment horizontal="center" vertical="center"/>
    </xf>
    <xf numFmtId="0" fontId="12" fillId="2" borderId="0" xfId="3" applyFont="1" applyFill="1"/>
    <xf numFmtId="0" fontId="12" fillId="2" borderId="0" xfId="3" applyFont="1" applyFill="1" applyAlignment="1">
      <alignment horizontal="center"/>
    </xf>
    <xf numFmtId="0" fontId="12" fillId="2" borderId="0" xfId="3" applyFont="1" applyFill="1" applyBorder="1"/>
    <xf numFmtId="0" fontId="12" fillId="2" borderId="0" xfId="3" applyFont="1" applyFill="1" applyBorder="1" applyAlignment="1">
      <alignment horizontal="center"/>
    </xf>
    <xf numFmtId="2" fontId="12" fillId="2" borderId="0" xfId="3" applyNumberFormat="1" applyFont="1" applyFill="1"/>
    <xf numFmtId="0" fontId="12" fillId="2" borderId="0" xfId="3" applyNumberFormat="1" applyFont="1" applyFill="1"/>
    <xf numFmtId="179" fontId="12" fillId="2" borderId="0" xfId="3" applyNumberFormat="1" applyFont="1" applyFill="1"/>
    <xf numFmtId="0" fontId="12" fillId="2" borderId="0" xfId="3" applyFont="1" applyFill="1" applyAlignment="1">
      <alignment horizontal="center" vertical="center"/>
    </xf>
    <xf numFmtId="14" fontId="12" fillId="2" borderId="0" xfId="3" applyNumberFormat="1" applyFont="1" applyFill="1"/>
    <xf numFmtId="1" fontId="12" fillId="2" borderId="0" xfId="3" applyNumberFormat="1" applyFont="1" applyFill="1"/>
    <xf numFmtId="188" fontId="12" fillId="2" borderId="0" xfId="3" applyNumberFormat="1" applyFont="1" applyFill="1"/>
    <xf numFmtId="1" fontId="12" fillId="2" borderId="0" xfId="3" applyNumberFormat="1" applyFont="1" applyFill="1" applyAlignment="1">
      <alignment horizontal="center" vertical="center"/>
    </xf>
    <xf numFmtId="178" fontId="12" fillId="2" borderId="0" xfId="3" applyNumberFormat="1" applyFont="1" applyFill="1"/>
    <xf numFmtId="0" fontId="83" fillId="2" borderId="0" xfId="3" applyFont="1" applyFill="1" applyAlignment="1">
      <alignment vertical="center"/>
    </xf>
    <xf numFmtId="187" fontId="12" fillId="2" borderId="0" xfId="3" applyNumberFormat="1" applyFont="1" applyFill="1" applyAlignment="1">
      <alignment vertical="center"/>
    </xf>
    <xf numFmtId="179" fontId="12" fillId="2" borderId="0" xfId="3" applyNumberFormat="1" applyFont="1" applyFill="1" applyAlignment="1">
      <alignment vertical="center"/>
    </xf>
    <xf numFmtId="0" fontId="136" fillId="2" borderId="0" xfId="3" applyFont="1" applyFill="1" applyAlignment="1">
      <alignment horizontal="center" vertical="center"/>
    </xf>
    <xf numFmtId="1" fontId="136" fillId="2" borderId="0" xfId="3" applyNumberFormat="1" applyFont="1" applyFill="1" applyAlignment="1">
      <alignment horizontal="center" vertical="center"/>
    </xf>
    <xf numFmtId="188" fontId="136" fillId="2" borderId="0" xfId="3" applyNumberFormat="1" applyFont="1" applyFill="1" applyAlignment="1">
      <alignment vertical="center"/>
    </xf>
    <xf numFmtId="0" fontId="136" fillId="2" borderId="0" xfId="3" applyFont="1" applyFill="1" applyAlignment="1">
      <alignment vertical="center"/>
    </xf>
    <xf numFmtId="17" fontId="12" fillId="2" borderId="0" xfId="3" applyNumberFormat="1" applyFont="1" applyFill="1" applyAlignment="1">
      <alignment vertical="center"/>
    </xf>
    <xf numFmtId="0" fontId="12" fillId="2" borderId="0" xfId="3" applyFont="1" applyFill="1" applyAlignment="1">
      <alignment vertical="center"/>
    </xf>
    <xf numFmtId="0" fontId="32" fillId="2" borderId="0" xfId="3" applyFont="1" applyFill="1" applyAlignment="1">
      <alignment horizontal="center" vertical="center"/>
    </xf>
    <xf numFmtId="0" fontId="32" fillId="2" borderId="0" xfId="3" applyFont="1" applyFill="1"/>
    <xf numFmtId="0" fontId="32" fillId="2" borderId="0" xfId="3" applyFont="1" applyFill="1" applyAlignment="1">
      <alignment horizontal="center"/>
    </xf>
    <xf numFmtId="190" fontId="97" fillId="2" borderId="31" xfId="0" applyNumberFormat="1" applyFont="1" applyFill="1" applyBorder="1"/>
    <xf numFmtId="0" fontId="23" fillId="2" borderId="46" xfId="0" applyFont="1" applyFill="1" applyBorder="1" applyAlignment="1" applyProtection="1">
      <alignment horizontal="center"/>
    </xf>
    <xf numFmtId="14" fontId="23" fillId="2" borderId="97" xfId="0" applyNumberFormat="1" applyFont="1" applyFill="1" applyBorder="1" applyAlignment="1" applyProtection="1">
      <alignment horizontal="center" vertical="center"/>
    </xf>
    <xf numFmtId="0" fontId="9" fillId="2" borderId="46" xfId="0" applyFont="1" applyFill="1" applyBorder="1"/>
    <xf numFmtId="0" fontId="9" fillId="2" borderId="48" xfId="0" applyFont="1" applyFill="1" applyBorder="1"/>
    <xf numFmtId="170" fontId="9" fillId="2" borderId="78" xfId="0" applyNumberFormat="1" applyFont="1" applyFill="1" applyBorder="1" applyAlignment="1" applyProtection="1">
      <alignment horizontal="center"/>
    </xf>
    <xf numFmtId="0" fontId="90" fillId="2" borderId="0" xfId="0" applyFont="1" applyFill="1" applyBorder="1" applyAlignment="1"/>
    <xf numFmtId="0" fontId="80" fillId="2" borderId="0" xfId="0" applyFont="1" applyFill="1" applyBorder="1" applyAlignment="1">
      <alignment horizontal="right"/>
    </xf>
    <xf numFmtId="17" fontId="12" fillId="2" borderId="0" xfId="0" applyNumberFormat="1" applyFont="1" applyFill="1" applyBorder="1"/>
    <xf numFmtId="15" fontId="12" fillId="2" borderId="0" xfId="0" applyNumberFormat="1" applyFont="1" applyFill="1" applyBorder="1"/>
    <xf numFmtId="0" fontId="115" fillId="2" borderId="14" xfId="0" applyFont="1" applyFill="1" applyBorder="1" applyAlignment="1">
      <alignment horizontal="left"/>
    </xf>
    <xf numFmtId="0" fontId="115" fillId="2" borderId="0" xfId="0" applyFont="1" applyFill="1" applyBorder="1" applyAlignment="1">
      <alignment horizontal="left"/>
    </xf>
    <xf numFmtId="0" fontId="115" fillId="2" borderId="30" xfId="0" applyFont="1" applyFill="1" applyBorder="1" applyAlignment="1">
      <alignment horizontal="left"/>
    </xf>
    <xf numFmtId="0" fontId="117" fillId="2" borderId="13" xfId="0" applyFont="1" applyFill="1" applyBorder="1" applyAlignment="1">
      <alignment horizontal="center" vertical="center"/>
    </xf>
    <xf numFmtId="0" fontId="117" fillId="2" borderId="32" xfId="0" applyFont="1" applyFill="1" applyBorder="1" applyAlignment="1">
      <alignment horizontal="center" vertical="center"/>
    </xf>
    <xf numFmtId="0" fontId="117" fillId="2" borderId="30" xfId="0" applyFont="1" applyFill="1" applyBorder="1" applyAlignment="1">
      <alignment horizontal="center" vertical="center"/>
    </xf>
    <xf numFmtId="170" fontId="115" fillId="2" borderId="0" xfId="0" applyNumberFormat="1" applyFont="1" applyFill="1" applyBorder="1" applyAlignment="1">
      <alignment horizontal="right"/>
    </xf>
    <xf numFmtId="170" fontId="115" fillId="2" borderId="30" xfId="0" applyNumberFormat="1" applyFont="1" applyFill="1" applyBorder="1" applyAlignment="1">
      <alignment horizontal="right"/>
    </xf>
    <xf numFmtId="170" fontId="115" fillId="2" borderId="31" xfId="0" applyNumberFormat="1" applyFont="1" applyFill="1" applyBorder="1" applyAlignment="1">
      <alignment horizontal="right"/>
    </xf>
    <xf numFmtId="0" fontId="115" fillId="2" borderId="0" xfId="0" applyFont="1" applyFill="1" applyBorder="1" applyAlignment="1">
      <alignment horizontal="center"/>
    </xf>
    <xf numFmtId="0" fontId="115" fillId="2" borderId="0" xfId="0" applyFont="1" applyFill="1" applyBorder="1" applyAlignment="1">
      <alignment horizontal="center" vertical="center"/>
    </xf>
    <xf numFmtId="0" fontId="121" fillId="2" borderId="0" xfId="0" applyFont="1" applyFill="1" applyBorder="1" applyAlignment="1">
      <alignment horizontal="center"/>
    </xf>
    <xf numFmtId="0" fontId="115" fillId="2" borderId="0" xfId="0" applyFont="1" applyFill="1" applyBorder="1" applyAlignment="1">
      <alignment horizontal="left" vertical="center" wrapText="1"/>
    </xf>
    <xf numFmtId="0" fontId="117" fillId="2" borderId="0" xfId="0" applyFont="1" applyFill="1" applyBorder="1" applyAlignment="1">
      <alignment horizontal="center"/>
    </xf>
    <xf numFmtId="0" fontId="117" fillId="2" borderId="11" xfId="0" applyFont="1" applyFill="1" applyBorder="1" applyAlignment="1">
      <alignment horizontal="center"/>
    </xf>
    <xf numFmtId="0" fontId="117" fillId="2" borderId="16" xfId="0" applyFont="1" applyFill="1" applyBorder="1" applyAlignment="1">
      <alignment horizontal="center"/>
    </xf>
    <xf numFmtId="170" fontId="115" fillId="2" borderId="0" xfId="0" applyNumberFormat="1" applyFont="1" applyFill="1" applyBorder="1" applyAlignment="1">
      <alignment horizontal="center"/>
    </xf>
    <xf numFmtId="170" fontId="42" fillId="2" borderId="0" xfId="0" applyNumberFormat="1" applyFont="1" applyFill="1" applyBorder="1" applyAlignment="1">
      <alignment vertical="center"/>
    </xf>
    <xf numFmtId="0" fontId="58" fillId="2" borderId="0" xfId="0" applyFont="1" applyFill="1" applyBorder="1" applyAlignment="1">
      <alignment vertical="center"/>
    </xf>
    <xf numFmtId="0" fontId="44" fillId="2" borderId="0" xfId="0" applyFont="1" applyFill="1" applyBorder="1" applyAlignment="1">
      <alignment vertical="center"/>
    </xf>
    <xf numFmtId="0" fontId="42" fillId="2" borderId="0" xfId="0" applyNumberFormat="1" applyFont="1" applyFill="1" applyBorder="1" applyAlignment="1">
      <alignment horizontal="left" vertical="center"/>
    </xf>
    <xf numFmtId="164" fontId="42" fillId="2" borderId="0" xfId="2" applyNumberFormat="1" applyFont="1" applyFill="1" applyBorder="1" applyAlignment="1">
      <alignment vertical="center"/>
    </xf>
    <xf numFmtId="166" fontId="42" fillId="2" borderId="0" xfId="0" applyNumberFormat="1" applyFont="1" applyFill="1" applyBorder="1" applyAlignment="1">
      <alignment vertical="center"/>
    </xf>
    <xf numFmtId="173" fontId="42" fillId="2" borderId="0" xfId="1" applyNumberFormat="1" applyFont="1" applyFill="1" applyBorder="1" applyAlignment="1">
      <alignment vertical="center"/>
    </xf>
    <xf numFmtId="166" fontId="24" fillId="2" borderId="0" xfId="0" applyNumberFormat="1" applyFont="1" applyFill="1" applyBorder="1" applyAlignment="1">
      <alignment vertical="center"/>
    </xf>
    <xf numFmtId="170" fontId="58" fillId="2" borderId="0" xfId="0" applyNumberFormat="1" applyFont="1" applyFill="1" applyBorder="1" applyAlignment="1">
      <alignment vertical="center"/>
    </xf>
    <xf numFmtId="164" fontId="58" fillId="2" borderId="0" xfId="2" applyNumberFormat="1" applyFont="1" applyFill="1" applyBorder="1" applyAlignment="1">
      <alignment vertical="center"/>
    </xf>
    <xf numFmtId="168" fontId="42" fillId="2" borderId="0" xfId="0" applyNumberFormat="1" applyFont="1" applyFill="1" applyBorder="1" applyAlignment="1">
      <alignment vertical="center"/>
    </xf>
    <xf numFmtId="0" fontId="41" fillId="2" borderId="0" xfId="0" applyFont="1" applyFill="1" applyBorder="1" applyAlignment="1">
      <alignment vertical="center"/>
    </xf>
    <xf numFmtId="0" fontId="12" fillId="2" borderId="0" xfId="0" quotePrefix="1" applyFont="1" applyFill="1" applyBorder="1" applyAlignment="1">
      <alignment vertical="center"/>
    </xf>
    <xf numFmtId="3" fontId="12" fillId="2" borderId="0" xfId="0" applyNumberFormat="1" applyFont="1" applyFill="1" applyBorder="1" applyAlignment="1">
      <alignment vertical="center"/>
    </xf>
    <xf numFmtId="2" fontId="12" fillId="2" borderId="0" xfId="0" applyNumberFormat="1" applyFont="1" applyFill="1" applyBorder="1" applyAlignment="1">
      <alignment vertical="center"/>
    </xf>
    <xf numFmtId="1" fontId="12" fillId="2" borderId="0" xfId="0" applyNumberFormat="1" applyFont="1" applyFill="1" applyBorder="1" applyAlignment="1">
      <alignment horizontal="center" vertical="center"/>
    </xf>
    <xf numFmtId="0" fontId="23" fillId="2" borderId="0" xfId="3" applyFont="1" applyFill="1"/>
    <xf numFmtId="0" fontId="13" fillId="2" borderId="0" xfId="3" applyFont="1" applyFill="1"/>
    <xf numFmtId="0" fontId="23" fillId="2" borderId="0" xfId="3" applyFont="1" applyFill="1" applyBorder="1"/>
    <xf numFmtId="0" fontId="13" fillId="2" borderId="0" xfId="3" applyFont="1" applyFill="1" applyBorder="1"/>
    <xf numFmtId="0" fontId="30" fillId="2" borderId="0" xfId="3" applyFont="1" applyFill="1" applyAlignment="1">
      <alignment vertical="center"/>
    </xf>
    <xf numFmtId="0" fontId="2" fillId="2" borderId="0" xfId="3" applyFont="1" applyFill="1" applyAlignment="1">
      <alignment vertical="center"/>
    </xf>
    <xf numFmtId="0" fontId="134" fillId="2" borderId="0" xfId="3" applyFont="1" applyFill="1" applyAlignment="1">
      <alignment horizontal="center" vertical="center"/>
    </xf>
    <xf numFmtId="0" fontId="94" fillId="2" borderId="0" xfId="3" applyFont="1" applyFill="1" applyAlignment="1">
      <alignment horizontal="center" vertical="center"/>
    </xf>
    <xf numFmtId="0" fontId="8" fillId="2" borderId="0" xfId="3" applyFont="1" applyFill="1" applyAlignment="1">
      <alignment horizontal="center" vertical="center"/>
    </xf>
    <xf numFmtId="0" fontId="7" fillId="2" borderId="0" xfId="3" applyFont="1" applyFill="1" applyAlignment="1">
      <alignment horizontal="center" vertical="center"/>
    </xf>
    <xf numFmtId="0" fontId="8" fillId="2" borderId="0" xfId="3" applyFont="1" applyFill="1"/>
    <xf numFmtId="0" fontId="7" fillId="2" borderId="0" xfId="3" applyFont="1" applyFill="1"/>
    <xf numFmtId="0" fontId="9" fillId="2" borderId="0" xfId="0" applyNumberFormat="1" applyFont="1" applyFill="1" applyBorder="1" applyAlignment="1">
      <alignment horizontal="left"/>
    </xf>
    <xf numFmtId="0" fontId="76" fillId="2" borderId="0" xfId="0" applyFont="1" applyFill="1" applyBorder="1"/>
    <xf numFmtId="3" fontId="9" fillId="2" borderId="0" xfId="0" applyNumberFormat="1" applyFont="1" applyFill="1" applyBorder="1"/>
    <xf numFmtId="0" fontId="14" fillId="2" borderId="0" xfId="5" applyFont="1" applyFill="1" applyBorder="1"/>
    <xf numFmtId="0" fontId="58" fillId="2" borderId="0" xfId="0" applyFont="1" applyFill="1" applyBorder="1" applyAlignment="1">
      <alignment horizontal="center" vertical="center"/>
    </xf>
    <xf numFmtId="0" fontId="140" fillId="2" borderId="0" xfId="0" applyFont="1" applyFill="1" applyBorder="1" applyAlignment="1">
      <alignment vertical="center"/>
    </xf>
    <xf numFmtId="171" fontId="42" fillId="2" borderId="0" xfId="0" applyNumberFormat="1" applyFont="1" applyFill="1" applyBorder="1" applyAlignment="1">
      <alignment horizontal="left" vertical="center"/>
    </xf>
    <xf numFmtId="180" fontId="138" fillId="2" borderId="0" xfId="0" applyNumberFormat="1" applyFont="1" applyFill="1" applyBorder="1" applyAlignment="1">
      <alignment horizontal="center" vertical="center"/>
    </xf>
    <xf numFmtId="180" fontId="138" fillId="2" borderId="0" xfId="0" applyNumberFormat="1" applyFont="1" applyFill="1" applyBorder="1" applyAlignment="1">
      <alignment vertical="center"/>
    </xf>
    <xf numFmtId="168" fontId="24" fillId="2" borderId="0" xfId="2" applyFont="1" applyFill="1" applyBorder="1" applyAlignment="1">
      <alignment horizontal="center" vertical="center" wrapText="1"/>
    </xf>
    <xf numFmtId="172" fontId="138" fillId="2" borderId="0" xfId="0" applyNumberFormat="1" applyFont="1" applyFill="1" applyBorder="1" applyAlignment="1">
      <alignment horizontal="center" vertical="center" wrapText="1"/>
    </xf>
    <xf numFmtId="0" fontId="42" fillId="2" borderId="0" xfId="0" applyFont="1" applyFill="1" applyBorder="1"/>
    <xf numFmtId="168" fontId="42" fillId="2" borderId="0" xfId="2" applyFont="1" applyFill="1" applyBorder="1"/>
    <xf numFmtId="0" fontId="138" fillId="2" borderId="0" xfId="0" applyFont="1" applyFill="1" applyBorder="1" applyAlignment="1">
      <alignment horizontal="center" vertical="center" wrapText="1"/>
    </xf>
    <xf numFmtId="180" fontId="138" fillId="2" borderId="0" xfId="0" applyNumberFormat="1" applyFont="1" applyFill="1" applyBorder="1" applyAlignment="1">
      <alignment horizontal="center" vertical="center" wrapText="1"/>
    </xf>
    <xf numFmtId="174" fontId="12" fillId="2" borderId="0" xfId="2" applyNumberFormat="1" applyFont="1" applyFill="1" applyBorder="1" applyAlignment="1">
      <alignment horizontal="left" vertical="center"/>
    </xf>
    <xf numFmtId="165" fontId="12" fillId="2" borderId="0" xfId="0" applyNumberFormat="1" applyFont="1" applyFill="1" applyBorder="1" applyAlignment="1">
      <alignment horizontal="left" vertical="center"/>
    </xf>
    <xf numFmtId="165" fontId="42" fillId="2" borderId="0" xfId="0" applyNumberFormat="1" applyFont="1" applyFill="1" applyBorder="1" applyAlignment="1">
      <alignment horizontal="left" vertical="center"/>
    </xf>
    <xf numFmtId="0" fontId="42" fillId="2" borderId="0" xfId="0" applyFont="1" applyFill="1" applyBorder="1" applyAlignment="1">
      <alignment horizontal="left" vertical="center"/>
    </xf>
    <xf numFmtId="0" fontId="138" fillId="2" borderId="0" xfId="0" applyFont="1" applyFill="1" applyBorder="1" applyAlignment="1">
      <alignment vertical="center"/>
    </xf>
    <xf numFmtId="0" fontId="138" fillId="2" borderId="0" xfId="0" applyFont="1" applyFill="1" applyBorder="1" applyAlignment="1">
      <alignment horizontal="center" vertical="center"/>
    </xf>
    <xf numFmtId="14" fontId="138" fillId="2" borderId="0" xfId="0" applyNumberFormat="1" applyFont="1" applyFill="1" applyBorder="1" applyAlignment="1">
      <alignment vertical="center"/>
    </xf>
    <xf numFmtId="10" fontId="42" fillId="2" borderId="0" xfId="1" applyNumberFormat="1" applyFont="1" applyFill="1" applyBorder="1" applyAlignment="1">
      <alignment horizontal="center" vertical="center"/>
    </xf>
    <xf numFmtId="170" fontId="12" fillId="2" borderId="0" xfId="0" applyNumberFormat="1" applyFont="1" applyFill="1" applyBorder="1" applyAlignment="1">
      <alignment vertical="center"/>
    </xf>
    <xf numFmtId="4" fontId="128" fillId="10" borderId="0" xfId="31" applyFont="1" applyFill="1" applyBorder="1" applyAlignment="1">
      <alignment horizontal="right"/>
    </xf>
    <xf numFmtId="4" fontId="130" fillId="10" borderId="0" xfId="31" applyFont="1" applyFill="1" applyAlignment="1"/>
    <xf numFmtId="0" fontId="9" fillId="4" borderId="14" xfId="0" applyFont="1" applyFill="1" applyBorder="1" applyAlignment="1" applyProtection="1">
      <alignment horizontal="center" vertical="center"/>
      <protection locked="0"/>
    </xf>
    <xf numFmtId="3" fontId="7" fillId="11" borderId="22" xfId="31" applyNumberFormat="1" applyFont="1" applyFill="1" applyBorder="1" applyAlignment="1" applyProtection="1">
      <alignment horizontal="center" vertical="center"/>
      <protection locked="0"/>
    </xf>
    <xf numFmtId="4" fontId="7" fillId="11" borderId="23" xfId="31" applyNumberFormat="1" applyFont="1" applyFill="1" applyBorder="1" applyAlignment="1" applyProtection="1">
      <alignment horizontal="center" vertical="center"/>
      <protection locked="0"/>
    </xf>
    <xf numFmtId="1" fontId="7" fillId="11" borderId="23" xfId="31" applyNumberFormat="1" applyFont="1" applyFill="1" applyBorder="1" applyAlignment="1" applyProtection="1">
      <alignment horizontal="center" vertical="center"/>
      <protection locked="0"/>
    </xf>
    <xf numFmtId="168" fontId="7" fillId="0" borderId="23" xfId="31" applyNumberFormat="1" applyFont="1" applyFill="1" applyBorder="1" applyAlignment="1">
      <alignment horizontal="right" vertical="center"/>
    </xf>
    <xf numFmtId="168" fontId="7" fillId="11" borderId="23" xfId="31" applyNumberFormat="1" applyFont="1" applyFill="1" applyBorder="1" applyAlignment="1" applyProtection="1">
      <alignment horizontal="right" vertical="center"/>
      <protection locked="0"/>
    </xf>
    <xf numFmtId="168" fontId="52" fillId="0" borderId="23" xfId="31" applyNumberFormat="1" applyFont="1" applyFill="1" applyBorder="1" applyAlignment="1">
      <alignment horizontal="right" vertical="center"/>
    </xf>
    <xf numFmtId="4" fontId="7" fillId="11" borderId="24" xfId="31" applyNumberFormat="1" applyFont="1" applyFill="1" applyBorder="1" applyAlignment="1" applyProtection="1">
      <alignment vertical="center"/>
      <protection locked="0"/>
    </xf>
    <xf numFmtId="3" fontId="7" fillId="11" borderId="89" xfId="31" applyNumberFormat="1" applyFont="1" applyFill="1" applyBorder="1" applyAlignment="1" applyProtection="1">
      <alignment horizontal="center" vertical="center"/>
      <protection locked="0"/>
    </xf>
    <xf numFmtId="4" fontId="7" fillId="11" borderId="92" xfId="31" applyNumberFormat="1" applyFont="1" applyFill="1" applyBorder="1" applyAlignment="1" applyProtection="1">
      <alignment horizontal="center" vertical="center"/>
      <protection locked="0"/>
    </xf>
    <xf numFmtId="1" fontId="7" fillId="11" borderId="92" xfId="31" applyNumberFormat="1" applyFont="1" applyFill="1" applyBorder="1" applyAlignment="1" applyProtection="1">
      <alignment horizontal="center" vertical="center"/>
      <protection locked="0"/>
    </xf>
    <xf numFmtId="168" fontId="7" fillId="0" borderId="20" xfId="31" applyNumberFormat="1" applyFont="1" applyFill="1" applyBorder="1" applyAlignment="1">
      <alignment horizontal="right" vertical="center"/>
    </xf>
    <xf numFmtId="168" fontId="7" fillId="11" borderId="20" xfId="31" applyNumberFormat="1" applyFont="1" applyFill="1" applyBorder="1" applyAlignment="1" applyProtection="1">
      <alignment horizontal="right" vertical="center"/>
      <protection locked="0"/>
    </xf>
    <xf numFmtId="168" fontId="52" fillId="0" borderId="20" xfId="31" applyNumberFormat="1" applyFont="1" applyFill="1" applyBorder="1" applyAlignment="1">
      <alignment horizontal="right" vertical="center"/>
    </xf>
    <xf numFmtId="4" fontId="7" fillId="11" borderId="93" xfId="31" applyNumberFormat="1" applyFont="1" applyFill="1" applyBorder="1" applyAlignment="1" applyProtection="1">
      <alignment vertical="center"/>
      <protection locked="0"/>
    </xf>
    <xf numFmtId="0" fontId="43" fillId="2" borderId="0" xfId="0" applyFont="1" applyFill="1" applyBorder="1" applyAlignment="1">
      <alignment vertical="center"/>
    </xf>
    <xf numFmtId="0" fontId="44" fillId="2" borderId="0" xfId="0" applyFont="1" applyFill="1" applyBorder="1" applyAlignment="1">
      <alignment horizontal="left" vertical="center" wrapText="1"/>
    </xf>
    <xf numFmtId="0" fontId="139" fillId="2" borderId="0" xfId="0" applyFont="1" applyFill="1" applyBorder="1" applyAlignment="1">
      <alignment vertical="center"/>
    </xf>
    <xf numFmtId="164" fontId="42" fillId="2" borderId="0" xfId="0" applyNumberFormat="1" applyFont="1" applyFill="1" applyBorder="1" applyAlignment="1">
      <alignment vertical="center"/>
    </xf>
    <xf numFmtId="3" fontId="7" fillId="17" borderId="34" xfId="31" applyNumberFormat="1" applyFont="1" applyFill="1" applyBorder="1" applyAlignment="1" applyProtection="1">
      <alignment horizontal="center" vertical="center"/>
    </xf>
    <xf numFmtId="4" fontId="7" fillId="17" borderId="49" xfId="31" applyNumberFormat="1" applyFont="1" applyFill="1" applyBorder="1" applyAlignment="1" applyProtection="1">
      <alignment horizontal="center" vertical="center"/>
    </xf>
    <xf numFmtId="1" fontId="7" fillId="17" borderId="49" xfId="31" applyNumberFormat="1" applyFont="1" applyFill="1" applyBorder="1" applyAlignment="1" applyProtection="1">
      <alignment horizontal="center" vertical="center"/>
    </xf>
    <xf numFmtId="168" fontId="7" fillId="17" borderId="2" xfId="31" applyNumberFormat="1" applyFont="1" applyFill="1" applyBorder="1" applyAlignment="1" applyProtection="1">
      <alignment horizontal="right" vertical="center"/>
    </xf>
    <xf numFmtId="3" fontId="7" fillId="17" borderId="22" xfId="31" applyNumberFormat="1" applyFont="1" applyFill="1" applyBorder="1" applyAlignment="1" applyProtection="1">
      <alignment horizontal="center" vertical="center"/>
    </xf>
    <xf numFmtId="4" fontId="7" fillId="17" borderId="23" xfId="31" applyNumberFormat="1" applyFont="1" applyFill="1" applyBorder="1" applyAlignment="1" applyProtection="1">
      <alignment horizontal="center" vertical="center"/>
    </xf>
    <xf numFmtId="1" fontId="7" fillId="17" borderId="23" xfId="31" applyNumberFormat="1" applyFont="1" applyFill="1" applyBorder="1" applyAlignment="1" applyProtection="1">
      <alignment horizontal="center" vertical="center"/>
    </xf>
    <xf numFmtId="170" fontId="7" fillId="17" borderId="23" xfId="31" applyNumberFormat="1" applyFont="1" applyFill="1" applyBorder="1" applyAlignment="1" applyProtection="1">
      <alignment horizontal="right" vertical="center"/>
    </xf>
    <xf numFmtId="170" fontId="7" fillId="17" borderId="24" xfId="31" applyNumberFormat="1" applyFont="1" applyFill="1" applyBorder="1" applyAlignment="1" applyProtection="1">
      <alignment horizontal="right" vertical="center"/>
    </xf>
    <xf numFmtId="168" fontId="7" fillId="17" borderId="28" xfId="31" applyNumberFormat="1" applyFont="1" applyFill="1" applyBorder="1" applyAlignment="1" applyProtection="1">
      <alignment horizontal="right" vertical="center"/>
    </xf>
    <xf numFmtId="3" fontId="7" fillId="17" borderId="89" xfId="31" applyNumberFormat="1" applyFont="1" applyFill="1" applyBorder="1" applyAlignment="1" applyProtection="1">
      <alignment horizontal="center" vertical="center"/>
    </xf>
    <xf numFmtId="4" fontId="7" fillId="17" borderId="92" xfId="31" applyNumberFormat="1" applyFont="1" applyFill="1" applyBorder="1" applyAlignment="1" applyProtection="1">
      <alignment horizontal="center" vertical="center"/>
    </xf>
    <xf numFmtId="1" fontId="7" fillId="17" borderId="92" xfId="31" applyNumberFormat="1" applyFont="1" applyFill="1" applyBorder="1" applyAlignment="1" applyProtection="1">
      <alignment horizontal="center" vertical="center"/>
    </xf>
    <xf numFmtId="168" fontId="7" fillId="17" borderId="20" xfId="31" applyNumberFormat="1" applyFont="1" applyFill="1" applyBorder="1" applyAlignment="1" applyProtection="1">
      <alignment horizontal="right" vertical="center"/>
    </xf>
    <xf numFmtId="168" fontId="7" fillId="17" borderId="38" xfId="31" applyNumberFormat="1" applyFont="1" applyFill="1" applyBorder="1" applyAlignment="1" applyProtection="1">
      <alignment horizontal="right" vertical="center"/>
    </xf>
    <xf numFmtId="0" fontId="100" fillId="2" borderId="25" xfId="3" applyFont="1" applyFill="1" applyBorder="1"/>
    <xf numFmtId="0" fontId="100" fillId="2" borderId="13" xfId="3" applyFont="1" applyFill="1" applyBorder="1"/>
    <xf numFmtId="0" fontId="142" fillId="2" borderId="13" xfId="0" applyFont="1" applyFill="1" applyBorder="1"/>
    <xf numFmtId="0" fontId="142" fillId="2" borderId="26" xfId="0" applyFont="1" applyFill="1" applyBorder="1"/>
    <xf numFmtId="0" fontId="143" fillId="2" borderId="0" xfId="3" applyFont="1" applyFill="1" applyBorder="1"/>
    <xf numFmtId="0" fontId="100" fillId="2" borderId="0" xfId="3" applyFont="1" applyFill="1" applyBorder="1"/>
    <xf numFmtId="0" fontId="142" fillId="2" borderId="0" xfId="0" applyFont="1" applyFill="1" applyBorder="1"/>
    <xf numFmtId="0" fontId="142" fillId="2" borderId="15" xfId="0" applyFont="1" applyFill="1" applyBorder="1"/>
    <xf numFmtId="0" fontId="100" fillId="2" borderId="14" xfId="3" applyFont="1" applyFill="1" applyBorder="1"/>
    <xf numFmtId="0" fontId="142" fillId="2" borderId="0" xfId="0" applyFont="1" applyFill="1" applyBorder="1" applyAlignment="1">
      <alignment horizontal="left" vertical="top" wrapText="1"/>
    </xf>
    <xf numFmtId="0" fontId="142" fillId="2" borderId="0" xfId="0" applyFont="1" applyFill="1" applyBorder="1" applyAlignment="1">
      <alignment horizontal="left" vertical="top"/>
    </xf>
    <xf numFmtId="0" fontId="142" fillId="2" borderId="15" xfId="0" applyFont="1" applyFill="1" applyBorder="1" applyAlignment="1">
      <alignment horizontal="left" vertical="top"/>
    </xf>
    <xf numFmtId="0" fontId="144" fillId="2" borderId="14" xfId="3" applyFont="1" applyFill="1" applyBorder="1"/>
    <xf numFmtId="0" fontId="7" fillId="2" borderId="14" xfId="3" applyFont="1" applyFill="1" applyBorder="1"/>
    <xf numFmtId="0" fontId="7" fillId="2" borderId="14" xfId="3" applyFont="1" applyFill="1" applyBorder="1" applyAlignment="1">
      <alignment horizontal="right" vertical="top"/>
    </xf>
    <xf numFmtId="0" fontId="8" fillId="2" borderId="32" xfId="0" applyFont="1" applyFill="1" applyBorder="1"/>
    <xf numFmtId="0" fontId="8" fillId="2" borderId="0" xfId="0" applyFont="1" applyFill="1" applyBorder="1" applyAlignment="1">
      <alignment horizontal="left" vertical="top" wrapText="1"/>
    </xf>
    <xf numFmtId="0" fontId="8" fillId="2" borderId="30" xfId="0" applyFont="1" applyFill="1" applyBorder="1" applyAlignment="1">
      <alignment horizontal="left" vertical="top"/>
    </xf>
    <xf numFmtId="0" fontId="8" fillId="2" borderId="31" xfId="0" applyFont="1" applyFill="1" applyBorder="1" applyAlignment="1">
      <alignment horizontal="left" vertical="top"/>
    </xf>
    <xf numFmtId="0" fontId="8" fillId="2" borderId="14" xfId="0" applyFont="1" applyFill="1" applyBorder="1"/>
    <xf numFmtId="0" fontId="8" fillId="2" borderId="0" xfId="0" applyFont="1" applyFill="1" applyBorder="1"/>
    <xf numFmtId="0" fontId="8" fillId="2" borderId="15" xfId="0" applyFont="1" applyFill="1" applyBorder="1"/>
    <xf numFmtId="0" fontId="130" fillId="2" borderId="14" xfId="3" applyFont="1" applyFill="1" applyBorder="1"/>
    <xf numFmtId="0" fontId="8" fillId="2" borderId="15" xfId="0" applyFont="1" applyFill="1" applyBorder="1" applyAlignment="1">
      <alignment horizontal="left" vertical="top"/>
    </xf>
    <xf numFmtId="0" fontId="8" fillId="2" borderId="13" xfId="0" applyFont="1" applyFill="1" applyBorder="1"/>
    <xf numFmtId="0" fontId="8" fillId="2" borderId="13" xfId="0" applyFont="1" applyFill="1" applyBorder="1" applyAlignment="1">
      <alignment horizontal="left" vertical="top" wrapText="1"/>
    </xf>
    <xf numFmtId="0" fontId="8" fillId="2" borderId="13" xfId="0" applyFont="1" applyFill="1" applyBorder="1" applyAlignment="1">
      <alignment horizontal="left" vertical="top"/>
    </xf>
    <xf numFmtId="0" fontId="8" fillId="2" borderId="0" xfId="0" applyFont="1" applyFill="1" applyBorder="1" applyAlignment="1">
      <alignment horizontal="left" vertical="top"/>
    </xf>
    <xf numFmtId="0" fontId="8" fillId="2" borderId="30" xfId="0" applyFont="1" applyFill="1" applyBorder="1"/>
    <xf numFmtId="0" fontId="8" fillId="2" borderId="30" xfId="0" applyFont="1" applyFill="1" applyBorder="1" applyAlignment="1">
      <alignment horizontal="left" vertical="top" wrapText="1"/>
    </xf>
    <xf numFmtId="0" fontId="0" fillId="2" borderId="32" xfId="0" applyFill="1" applyBorder="1"/>
    <xf numFmtId="0" fontId="0" fillId="2" borderId="30" xfId="0" applyFill="1" applyBorder="1"/>
    <xf numFmtId="0" fontId="0" fillId="2" borderId="31" xfId="0" applyFill="1" applyBorder="1"/>
    <xf numFmtId="0" fontId="12" fillId="2" borderId="0" xfId="0" applyFont="1" applyFill="1" applyBorder="1" applyAlignment="1">
      <alignment horizontal="center" vertical="center"/>
    </xf>
    <xf numFmtId="0" fontId="24" fillId="2" borderId="0" xfId="0" applyFont="1" applyFill="1" applyBorder="1" applyAlignment="1">
      <alignment horizontal="center" vertical="center" wrapText="1"/>
    </xf>
    <xf numFmtId="0" fontId="24" fillId="2" borderId="0" xfId="0" applyFont="1" applyFill="1" applyBorder="1" applyAlignment="1">
      <alignment horizontal="center" vertical="center"/>
    </xf>
    <xf numFmtId="0" fontId="42" fillId="2" borderId="0" xfId="0" applyFont="1" applyFill="1" applyBorder="1" applyAlignment="1">
      <alignment horizontal="center" vertical="center"/>
    </xf>
    <xf numFmtId="0" fontId="139" fillId="2" borderId="0" xfId="0" applyFont="1" applyFill="1" applyBorder="1" applyAlignment="1">
      <alignment horizontal="center" vertical="center"/>
    </xf>
    <xf numFmtId="171" fontId="5" fillId="4" borderId="1" xfId="0" applyNumberFormat="1" applyFont="1" applyFill="1" applyBorder="1" applyAlignment="1">
      <alignment horizontal="center" vertical="center" wrapText="1"/>
    </xf>
    <xf numFmtId="171" fontId="5" fillId="4" borderId="6" xfId="0" applyNumberFormat="1" applyFont="1" applyFill="1" applyBorder="1" applyAlignment="1">
      <alignment horizontal="center" vertical="center" wrapText="1"/>
    </xf>
    <xf numFmtId="171" fontId="5" fillId="4" borderId="7" xfId="0" applyNumberFormat="1" applyFont="1" applyFill="1" applyBorder="1" applyAlignment="1">
      <alignment horizontal="center" vertical="center" wrapText="1"/>
    </xf>
    <xf numFmtId="171" fontId="30" fillId="10" borderId="1" xfId="0" applyNumberFormat="1" applyFont="1" applyFill="1" applyBorder="1" applyAlignment="1">
      <alignment horizontal="center" vertical="center" wrapText="1"/>
    </xf>
    <xf numFmtId="171" fontId="30" fillId="10" borderId="6" xfId="0" applyNumberFormat="1" applyFont="1" applyFill="1" applyBorder="1" applyAlignment="1">
      <alignment horizontal="center" vertical="center" wrapText="1"/>
    </xf>
    <xf numFmtId="171" fontId="30" fillId="10" borderId="7" xfId="0" applyNumberFormat="1" applyFont="1" applyFill="1" applyBorder="1" applyAlignment="1">
      <alignment horizontal="center" vertical="center" wrapText="1"/>
    </xf>
    <xf numFmtId="0" fontId="12" fillId="2" borderId="0" xfId="0" applyFont="1" applyFill="1" applyBorder="1" applyAlignment="1">
      <alignment horizontal="center" vertical="center"/>
    </xf>
    <xf numFmtId="0" fontId="15" fillId="2" borderId="25" xfId="0" applyFont="1" applyFill="1" applyBorder="1" applyAlignment="1" applyProtection="1">
      <alignment horizontal="center" vertical="center"/>
      <protection locked="0"/>
    </xf>
    <xf numFmtId="0" fontId="15" fillId="2" borderId="32" xfId="0" applyFont="1" applyFill="1" applyBorder="1" applyAlignment="1" applyProtection="1">
      <alignment horizontal="center" vertical="center"/>
      <protection locked="0"/>
    </xf>
    <xf numFmtId="164" fontId="9" fillId="2" borderId="42" xfId="2" applyNumberFormat="1" applyFont="1" applyFill="1" applyBorder="1" applyAlignment="1">
      <alignment horizontal="center" vertical="center"/>
    </xf>
    <xf numFmtId="164" fontId="9" fillId="2" borderId="33" xfId="2" applyNumberFormat="1" applyFont="1" applyFill="1" applyBorder="1" applyAlignment="1">
      <alignment horizontal="center" vertical="center"/>
    </xf>
    <xf numFmtId="164" fontId="9" fillId="2" borderId="26" xfId="2" applyNumberFormat="1" applyFont="1" applyFill="1" applyBorder="1" applyAlignment="1">
      <alignment horizontal="right" vertical="center"/>
    </xf>
    <xf numFmtId="164" fontId="9" fillId="2" borderId="31" xfId="2" applyNumberFormat="1" applyFont="1" applyFill="1" applyBorder="1" applyAlignment="1">
      <alignment horizontal="right" vertical="center"/>
    </xf>
    <xf numFmtId="0" fontId="42" fillId="2" borderId="0" xfId="0" applyFont="1" applyFill="1" applyBorder="1" applyAlignment="1">
      <alignment horizontal="center" vertical="center"/>
    </xf>
    <xf numFmtId="0" fontId="139" fillId="2" borderId="0" xfId="0" applyFont="1" applyFill="1" applyBorder="1" applyAlignment="1">
      <alignment horizontal="center" vertical="center"/>
    </xf>
    <xf numFmtId="0" fontId="24" fillId="2" borderId="0" xfId="0" applyFont="1" applyFill="1" applyBorder="1" applyAlignment="1">
      <alignment horizontal="center" vertical="center"/>
    </xf>
    <xf numFmtId="0" fontId="15" fillId="11" borderId="67" xfId="0" applyFont="1" applyFill="1" applyBorder="1" applyAlignment="1" applyProtection="1">
      <alignment horizontal="left" vertical="center"/>
      <protection locked="0"/>
    </xf>
    <xf numFmtId="0" fontId="15" fillId="11" borderId="54" xfId="0" applyFont="1" applyFill="1" applyBorder="1" applyAlignment="1" applyProtection="1">
      <alignment horizontal="left" vertical="center"/>
      <protection locked="0"/>
    </xf>
    <xf numFmtId="0" fontId="15" fillId="11" borderId="56" xfId="0" applyFont="1" applyFill="1" applyBorder="1" applyAlignment="1" applyProtection="1">
      <alignment horizontal="left" vertical="center"/>
      <protection locked="0"/>
    </xf>
    <xf numFmtId="0" fontId="15" fillId="11" borderId="90" xfId="0" applyFont="1" applyFill="1" applyBorder="1" applyAlignment="1" applyProtection="1">
      <alignment horizontal="left" vertical="center"/>
      <protection locked="0"/>
    </xf>
    <xf numFmtId="0" fontId="15" fillId="11" borderId="91" xfId="0" applyFont="1" applyFill="1" applyBorder="1" applyAlignment="1" applyProtection="1">
      <alignment horizontal="left" vertical="center"/>
      <protection locked="0"/>
    </xf>
    <xf numFmtId="0" fontId="41" fillId="2" borderId="0" xfId="0" applyFont="1" applyFill="1" applyBorder="1" applyAlignment="1">
      <alignment horizontal="center" vertical="center"/>
    </xf>
    <xf numFmtId="0" fontId="24" fillId="2" borderId="0" xfId="0" applyFont="1" applyFill="1" applyBorder="1" applyAlignment="1">
      <alignment horizontal="center" vertical="center" wrapText="1"/>
    </xf>
    <xf numFmtId="0" fontId="17" fillId="2" borderId="13" xfId="0" applyFont="1" applyFill="1" applyBorder="1" applyAlignment="1">
      <alignment horizontal="center" vertical="center" wrapText="1"/>
    </xf>
    <xf numFmtId="0" fontId="17" fillId="2" borderId="0" xfId="0" applyFont="1" applyFill="1" applyBorder="1" applyAlignment="1">
      <alignment horizontal="center" vertical="center" wrapText="1"/>
    </xf>
    <xf numFmtId="0" fontId="15" fillId="2" borderId="11" xfId="0" applyFont="1" applyFill="1" applyBorder="1" applyAlignment="1">
      <alignment horizontal="center" vertical="center"/>
    </xf>
    <xf numFmtId="0" fontId="15" fillId="2" borderId="16" xfId="0" applyFont="1" applyFill="1" applyBorder="1" applyAlignment="1">
      <alignment horizontal="center" vertical="center"/>
    </xf>
    <xf numFmtId="0" fontId="15" fillId="2" borderId="12" xfId="0" applyFont="1" applyFill="1" applyBorder="1" applyAlignment="1">
      <alignment horizontal="center" vertical="center"/>
    </xf>
    <xf numFmtId="0" fontId="6" fillId="2" borderId="11" xfId="0" applyFont="1" applyFill="1" applyBorder="1" applyAlignment="1">
      <alignment horizontal="center" vertical="center"/>
    </xf>
    <xf numFmtId="0" fontId="6" fillId="2" borderId="16" xfId="0" applyFont="1" applyFill="1" applyBorder="1" applyAlignment="1">
      <alignment horizontal="center" vertical="center"/>
    </xf>
    <xf numFmtId="0" fontId="6" fillId="2" borderId="12" xfId="0" applyFont="1" applyFill="1" applyBorder="1" applyAlignment="1">
      <alignment horizontal="center" vertical="center"/>
    </xf>
    <xf numFmtId="170" fontId="24" fillId="2" borderId="0" xfId="0" applyNumberFormat="1" applyFont="1" applyFill="1" applyBorder="1" applyAlignment="1">
      <alignment horizontal="center" vertical="center" wrapText="1"/>
    </xf>
    <xf numFmtId="0" fontId="141" fillId="2" borderId="0" xfId="0" applyFont="1" applyFill="1" applyBorder="1" applyAlignment="1">
      <alignment horizontal="center" vertical="center" textRotation="90"/>
    </xf>
    <xf numFmtId="4" fontId="7" fillId="0" borderId="25" xfId="31" applyBorder="1" applyAlignment="1">
      <alignment horizontal="center"/>
    </xf>
    <xf numFmtId="4" fontId="7" fillId="0" borderId="26" xfId="31" applyBorder="1" applyAlignment="1">
      <alignment horizontal="center"/>
    </xf>
    <xf numFmtId="4" fontId="7" fillId="0" borderId="14" xfId="31" applyBorder="1" applyAlignment="1">
      <alignment horizontal="center"/>
    </xf>
    <xf numFmtId="4" fontId="7" fillId="0" borderId="15" xfId="31" applyBorder="1" applyAlignment="1">
      <alignment horizontal="center"/>
    </xf>
    <xf numFmtId="4" fontId="7" fillId="0" borderId="32" xfId="31" applyBorder="1" applyAlignment="1">
      <alignment horizontal="center"/>
    </xf>
    <xf numFmtId="4" fontId="7" fillId="0" borderId="31" xfId="31" applyBorder="1" applyAlignment="1">
      <alignment horizontal="center"/>
    </xf>
    <xf numFmtId="3" fontId="19" fillId="8" borderId="42" xfId="25" applyFont="1" applyFill="1" applyBorder="1" applyAlignment="1">
      <alignment horizontal="center" vertical="center" wrapText="1"/>
    </xf>
    <xf numFmtId="3" fontId="19" fillId="8" borderId="11" xfId="25" applyFont="1" applyFill="1" applyBorder="1" applyAlignment="1">
      <alignment horizontal="center" vertical="center" wrapText="1"/>
    </xf>
    <xf numFmtId="3" fontId="19" fillId="8" borderId="16" xfId="25" applyFont="1" applyFill="1" applyBorder="1" applyAlignment="1">
      <alignment horizontal="center" vertical="center" wrapText="1"/>
    </xf>
    <xf numFmtId="3" fontId="19" fillId="8" borderId="12" xfId="25" applyFont="1" applyFill="1" applyBorder="1" applyAlignment="1">
      <alignment horizontal="center" vertical="center" wrapText="1"/>
    </xf>
    <xf numFmtId="3" fontId="54" fillId="0" borderId="11" xfId="25" applyFont="1" applyBorder="1" applyAlignment="1">
      <alignment horizontal="center" vertical="center"/>
    </xf>
    <xf numFmtId="3" fontId="54" fillId="0" borderId="16" xfId="25" applyFont="1" applyBorder="1" applyAlignment="1">
      <alignment horizontal="center" vertical="center"/>
    </xf>
    <xf numFmtId="3" fontId="54" fillId="0" borderId="12" xfId="25" applyFont="1" applyBorder="1" applyAlignment="1">
      <alignment horizontal="center" vertical="center"/>
    </xf>
    <xf numFmtId="3" fontId="19" fillId="11" borderId="11" xfId="25" applyFont="1" applyFill="1" applyBorder="1" applyAlignment="1" applyProtection="1">
      <alignment horizontal="center" vertical="center" wrapText="1"/>
      <protection locked="0"/>
    </xf>
    <xf numFmtId="3" fontId="19" fillId="11" borderId="16" xfId="25" applyFont="1" applyFill="1" applyBorder="1" applyAlignment="1" applyProtection="1">
      <alignment horizontal="center" vertical="center" wrapText="1"/>
      <protection locked="0"/>
    </xf>
    <xf numFmtId="3" fontId="19" fillId="11" borderId="12" xfId="25" applyFont="1" applyFill="1" applyBorder="1" applyAlignment="1" applyProtection="1">
      <alignment horizontal="center" vertical="center" wrapText="1"/>
      <protection locked="0"/>
    </xf>
    <xf numFmtId="4" fontId="5" fillId="0" borderId="32" xfId="31" applyNumberFormat="1" applyFont="1" applyBorder="1" applyAlignment="1">
      <alignment horizontal="center" vertical="center"/>
    </xf>
    <xf numFmtId="4" fontId="5" fillId="0" borderId="30" xfId="31" applyNumberFormat="1" applyFont="1" applyBorder="1" applyAlignment="1">
      <alignment horizontal="center" vertical="center"/>
    </xf>
    <xf numFmtId="4" fontId="5" fillId="0" borderId="31" xfId="31" applyNumberFormat="1" applyFont="1" applyBorder="1" applyAlignment="1">
      <alignment horizontal="center" vertical="center"/>
    </xf>
    <xf numFmtId="0" fontId="38" fillId="14" borderId="0" xfId="0" applyFont="1" applyFill="1" applyBorder="1" applyAlignment="1">
      <alignment horizontal="center" vertical="top" wrapText="1"/>
    </xf>
    <xf numFmtId="0" fontId="38" fillId="14" borderId="10" xfId="0" applyFont="1" applyFill="1" applyBorder="1" applyAlignment="1">
      <alignment horizontal="center" vertical="top" wrapText="1"/>
    </xf>
    <xf numFmtId="0" fontId="38" fillId="14" borderId="50" xfId="0" applyFont="1" applyFill="1" applyBorder="1" applyAlignment="1">
      <alignment horizontal="center" vertical="top" wrapText="1"/>
    </xf>
    <xf numFmtId="0" fontId="38" fillId="14" borderId="8" xfId="0" applyFont="1" applyFill="1" applyBorder="1" applyAlignment="1">
      <alignment horizontal="center" vertical="top" wrapText="1"/>
    </xf>
    <xf numFmtId="0" fontId="2" fillId="12" borderId="24" xfId="3" applyFont="1" applyFill="1" applyBorder="1" applyAlignment="1">
      <alignment horizontal="center" vertical="center" wrapText="1"/>
    </xf>
    <xf numFmtId="0" fontId="2" fillId="12" borderId="38" xfId="3" applyFont="1" applyFill="1" applyBorder="1" applyAlignment="1">
      <alignment horizontal="center" vertical="center" wrapText="1"/>
    </xf>
    <xf numFmtId="0" fontId="39" fillId="12" borderId="14" xfId="3" quotePrefix="1" applyFont="1" applyFill="1" applyBorder="1" applyAlignment="1">
      <alignment horizontal="center" vertical="center" wrapText="1"/>
    </xf>
    <xf numFmtId="0" fontId="39" fillId="12" borderId="0" xfId="3" quotePrefix="1" applyFont="1" applyFill="1" applyBorder="1" applyAlignment="1">
      <alignment horizontal="center" vertical="center" wrapText="1"/>
    </xf>
    <xf numFmtId="0" fontId="39" fillId="12" borderId="15" xfId="3" quotePrefix="1" applyFont="1" applyFill="1" applyBorder="1" applyAlignment="1">
      <alignment horizontal="center" vertical="center" wrapText="1"/>
    </xf>
    <xf numFmtId="0" fontId="39" fillId="12" borderId="32" xfId="3" quotePrefix="1" applyFont="1" applyFill="1" applyBorder="1" applyAlignment="1">
      <alignment horizontal="center" vertical="center" wrapText="1"/>
    </xf>
    <xf numFmtId="0" fontId="39" fillId="12" borderId="30" xfId="3" quotePrefix="1" applyFont="1" applyFill="1" applyBorder="1" applyAlignment="1">
      <alignment horizontal="center" vertical="center" wrapText="1"/>
    </xf>
    <xf numFmtId="0" fontId="39" fillId="12" borderId="31" xfId="3" quotePrefix="1" applyFont="1" applyFill="1" applyBorder="1" applyAlignment="1">
      <alignment horizontal="center" vertical="center" wrapText="1"/>
    </xf>
    <xf numFmtId="0" fontId="37" fillId="12" borderId="11" xfId="0" applyFont="1" applyFill="1" applyBorder="1" applyAlignment="1">
      <alignment horizontal="center" vertical="center"/>
    </xf>
    <xf numFmtId="0" fontId="37" fillId="12" borderId="16" xfId="0" applyFont="1" applyFill="1" applyBorder="1" applyAlignment="1">
      <alignment horizontal="center" vertical="center"/>
    </xf>
    <xf numFmtId="0" fontId="37" fillId="12" borderId="12" xfId="0" applyFont="1" applyFill="1" applyBorder="1" applyAlignment="1">
      <alignment horizontal="center" vertical="center"/>
    </xf>
    <xf numFmtId="15" fontId="38" fillId="14" borderId="0" xfId="0" applyNumberFormat="1" applyFont="1" applyFill="1" applyBorder="1" applyAlignment="1">
      <alignment horizontal="left" vertical="center" wrapText="1"/>
    </xf>
    <xf numFmtId="15" fontId="38" fillId="14" borderId="10" xfId="0" applyNumberFormat="1" applyFont="1" applyFill="1" applyBorder="1" applyAlignment="1">
      <alignment horizontal="left" vertical="center" wrapText="1"/>
    </xf>
    <xf numFmtId="0" fontId="38" fillId="14" borderId="0" xfId="0" applyFont="1" applyFill="1" applyBorder="1" applyAlignment="1">
      <alignment horizontal="left" vertical="center" wrapText="1"/>
    </xf>
    <xf numFmtId="0" fontId="38" fillId="14" borderId="10" xfId="0" applyFont="1" applyFill="1" applyBorder="1" applyAlignment="1">
      <alignment horizontal="left" vertical="center" wrapText="1"/>
    </xf>
    <xf numFmtId="0" fontId="4" fillId="0" borderId="100" xfId="3" applyFont="1" applyBorder="1" applyAlignment="1">
      <alignment horizontal="center" vertical="center"/>
    </xf>
    <xf numFmtId="0" fontId="4" fillId="0" borderId="101" xfId="3" applyFont="1" applyBorder="1" applyAlignment="1">
      <alignment horizontal="center" vertical="center"/>
    </xf>
    <xf numFmtId="0" fontId="4" fillId="0" borderId="102" xfId="3" applyFont="1" applyBorder="1" applyAlignment="1">
      <alignment horizontal="center" vertical="center"/>
    </xf>
    <xf numFmtId="0" fontId="4" fillId="0" borderId="20" xfId="3" applyFont="1" applyBorder="1" applyAlignment="1">
      <alignment horizontal="center" vertical="center"/>
    </xf>
    <xf numFmtId="179" fontId="4" fillId="11" borderId="1" xfId="3" applyNumberFormat="1" applyFont="1" applyFill="1" applyBorder="1" applyAlignment="1" applyProtection="1">
      <alignment horizontal="center" vertical="center"/>
      <protection locked="0"/>
    </xf>
    <xf numFmtId="179" fontId="4" fillId="11" borderId="6" xfId="3" applyNumberFormat="1" applyFont="1" applyFill="1" applyBorder="1" applyAlignment="1" applyProtection="1">
      <alignment horizontal="center" vertical="center"/>
      <protection locked="0"/>
    </xf>
    <xf numFmtId="179" fontId="4" fillId="11" borderId="7" xfId="3" applyNumberFormat="1" applyFont="1" applyFill="1" applyBorder="1" applyAlignment="1" applyProtection="1">
      <alignment horizontal="center" vertical="center"/>
      <protection locked="0"/>
    </xf>
    <xf numFmtId="0" fontId="4" fillId="0" borderId="1" xfId="3" applyFont="1" applyBorder="1" applyAlignment="1">
      <alignment horizontal="center" vertical="center"/>
    </xf>
    <xf numFmtId="0" fontId="4" fillId="0" borderId="6" xfId="3" applyFont="1" applyBorder="1" applyAlignment="1">
      <alignment horizontal="center" vertical="center"/>
    </xf>
    <xf numFmtId="0" fontId="4" fillId="0" borderId="7" xfId="3" applyFont="1" applyBorder="1" applyAlignment="1">
      <alignment horizontal="center" vertical="center"/>
    </xf>
    <xf numFmtId="0" fontId="4" fillId="0" borderId="2" xfId="3" applyFont="1" applyBorder="1" applyAlignment="1">
      <alignment horizontal="center" vertical="center"/>
    </xf>
    <xf numFmtId="0" fontId="2" fillId="12" borderId="43" xfId="3" applyFont="1" applyFill="1" applyBorder="1" applyAlignment="1">
      <alignment horizontal="center" vertical="center" wrapText="1"/>
    </xf>
    <xf numFmtId="0" fontId="2" fillId="12" borderId="89" xfId="3" applyFont="1" applyFill="1" applyBorder="1" applyAlignment="1">
      <alignment horizontal="center" vertical="center" wrapText="1"/>
    </xf>
    <xf numFmtId="0" fontId="2" fillId="12" borderId="44" xfId="3" applyFont="1" applyFill="1" applyBorder="1" applyAlignment="1">
      <alignment horizontal="center" vertical="center"/>
    </xf>
    <xf numFmtId="0" fontId="2" fillId="12" borderId="13" xfId="3" applyFont="1" applyFill="1" applyBorder="1" applyAlignment="1">
      <alignment horizontal="center" vertical="center"/>
    </xf>
    <xf numFmtId="0" fontId="2" fillId="12" borderId="19" xfId="3" applyFont="1" applyFill="1" applyBorder="1" applyAlignment="1">
      <alignment horizontal="center" vertical="center"/>
    </xf>
    <xf numFmtId="0" fontId="2" fillId="12" borderId="73" xfId="3" applyFont="1" applyFill="1" applyBorder="1" applyAlignment="1">
      <alignment horizontal="center" vertical="center"/>
    </xf>
    <xf numFmtId="0" fontId="2" fillId="12" borderId="30" xfId="3" applyFont="1" applyFill="1" applyBorder="1" applyAlignment="1">
      <alignment horizontal="center" vertical="center"/>
    </xf>
    <xf numFmtId="0" fontId="2" fillId="12" borderId="74" xfId="3" applyFont="1" applyFill="1" applyBorder="1" applyAlignment="1">
      <alignment horizontal="center" vertical="center"/>
    </xf>
    <xf numFmtId="0" fontId="2" fillId="12" borderId="44" xfId="3" applyFont="1" applyFill="1" applyBorder="1" applyAlignment="1">
      <alignment horizontal="center" vertical="center" wrapText="1"/>
    </xf>
    <xf numFmtId="0" fontId="2" fillId="12" borderId="13" xfId="3" applyFont="1" applyFill="1" applyBorder="1" applyAlignment="1">
      <alignment horizontal="center" vertical="center" wrapText="1"/>
    </xf>
    <xf numFmtId="0" fontId="2" fillId="12" borderId="19" xfId="3" applyFont="1" applyFill="1" applyBorder="1" applyAlignment="1">
      <alignment horizontal="center" vertical="center" wrapText="1"/>
    </xf>
    <xf numFmtId="0" fontId="2" fillId="12" borderId="73" xfId="3" applyFont="1" applyFill="1" applyBorder="1" applyAlignment="1">
      <alignment horizontal="center" vertical="center" wrapText="1"/>
    </xf>
    <xf numFmtId="0" fontId="2" fillId="12" borderId="30" xfId="3" applyFont="1" applyFill="1" applyBorder="1" applyAlignment="1">
      <alignment horizontal="center" vertical="center" wrapText="1"/>
    </xf>
    <xf numFmtId="0" fontId="2" fillId="12" borderId="74" xfId="3" applyFont="1" applyFill="1" applyBorder="1" applyAlignment="1">
      <alignment horizontal="center" vertical="center" wrapText="1"/>
    </xf>
    <xf numFmtId="0" fontId="96" fillId="2" borderId="0" xfId="0" applyFont="1" applyFill="1" applyBorder="1" applyAlignment="1">
      <alignment horizontal="left" vertical="center"/>
    </xf>
    <xf numFmtId="0" fontId="4" fillId="0" borderId="23" xfId="3" applyFont="1" applyBorder="1" applyAlignment="1">
      <alignment horizontal="center" vertical="center"/>
    </xf>
    <xf numFmtId="0" fontId="9" fillId="2" borderId="1" xfId="0" applyFont="1" applyFill="1" applyBorder="1" applyAlignment="1">
      <alignment horizontal="center" vertical="center"/>
    </xf>
    <xf numFmtId="0" fontId="9" fillId="2" borderId="7" xfId="0" applyFont="1" applyFill="1" applyBorder="1" applyAlignment="1">
      <alignment horizontal="center" vertical="center"/>
    </xf>
    <xf numFmtId="179" fontId="13" fillId="2" borderId="0" xfId="3" applyNumberFormat="1" applyFont="1" applyFill="1" applyBorder="1" applyAlignment="1">
      <alignment horizontal="center" vertical="center"/>
    </xf>
    <xf numFmtId="179" fontId="13" fillId="2" borderId="10" xfId="3" applyNumberFormat="1" applyFont="1" applyFill="1" applyBorder="1" applyAlignment="1">
      <alignment horizontal="center" vertical="center"/>
    </xf>
    <xf numFmtId="0" fontId="64" fillId="2" borderId="1" xfId="0" applyFont="1" applyFill="1" applyBorder="1" applyAlignment="1">
      <alignment horizontal="center"/>
    </xf>
    <xf numFmtId="0" fontId="64" fillId="2" borderId="6" xfId="0" applyFont="1" applyFill="1" applyBorder="1" applyAlignment="1">
      <alignment horizontal="center"/>
    </xf>
    <xf numFmtId="0" fontId="64" fillId="2" borderId="7" xfId="0" applyFont="1" applyFill="1" applyBorder="1" applyAlignment="1">
      <alignment horizontal="center"/>
    </xf>
    <xf numFmtId="0" fontId="60" fillId="2" borderId="0" xfId="0" applyFont="1" applyFill="1" applyBorder="1" applyAlignment="1">
      <alignment horizontal="center"/>
    </xf>
    <xf numFmtId="179" fontId="13" fillId="2" borderId="50" xfId="3" applyNumberFormat="1" applyFont="1" applyFill="1" applyBorder="1" applyAlignment="1">
      <alignment horizontal="center" vertical="center"/>
    </xf>
    <xf numFmtId="179" fontId="13" fillId="2" borderId="8" xfId="3" applyNumberFormat="1" applyFont="1" applyFill="1" applyBorder="1" applyAlignment="1">
      <alignment horizontal="center" vertical="center"/>
    </xf>
    <xf numFmtId="0" fontId="9" fillId="2" borderId="6" xfId="0" applyFont="1" applyFill="1" applyBorder="1" applyAlignment="1">
      <alignment horizontal="center" vertical="center"/>
    </xf>
    <xf numFmtId="0" fontId="72" fillId="2" borderId="1" xfId="0" applyFont="1" applyFill="1" applyBorder="1" applyAlignment="1">
      <alignment horizontal="center"/>
    </xf>
    <xf numFmtId="0" fontId="72" fillId="2" borderId="6" xfId="0" applyFont="1" applyFill="1" applyBorder="1" applyAlignment="1">
      <alignment horizontal="center"/>
    </xf>
    <xf numFmtId="0" fontId="72" fillId="2" borderId="7" xfId="0" applyFont="1" applyFill="1" applyBorder="1" applyAlignment="1">
      <alignment horizontal="center"/>
    </xf>
    <xf numFmtId="0" fontId="79" fillId="2" borderId="48" xfId="0" applyFont="1" applyFill="1" applyBorder="1" applyAlignment="1">
      <alignment horizontal="center"/>
    </xf>
    <xf numFmtId="0" fontId="79" fillId="2" borderId="8" xfId="0" applyFont="1" applyFill="1" applyBorder="1" applyAlignment="1">
      <alignment horizontal="center"/>
    </xf>
    <xf numFmtId="0" fontId="0" fillId="2" borderId="0" xfId="0" applyFont="1" applyFill="1" applyBorder="1" applyAlignment="1">
      <alignment horizontal="left" wrapText="1"/>
    </xf>
    <xf numFmtId="0" fontId="86" fillId="2" borderId="14" xfId="0" applyFont="1" applyFill="1" applyBorder="1" applyAlignment="1">
      <alignment horizontal="left" vertical="top" wrapText="1"/>
    </xf>
    <xf numFmtId="0" fontId="86" fillId="2" borderId="0" xfId="0" applyFont="1" applyFill="1" applyBorder="1" applyAlignment="1">
      <alignment horizontal="left" vertical="top" wrapText="1"/>
    </xf>
    <xf numFmtId="0" fontId="86" fillId="2" borderId="15" xfId="0" applyFont="1" applyFill="1" applyBorder="1" applyAlignment="1">
      <alignment horizontal="left" vertical="top" wrapText="1"/>
    </xf>
    <xf numFmtId="0" fontId="86" fillId="2" borderId="32" xfId="0" applyFont="1" applyFill="1" applyBorder="1" applyAlignment="1">
      <alignment horizontal="left" vertical="top" wrapText="1"/>
    </xf>
    <xf numFmtId="0" fontId="86" fillId="2" borderId="30" xfId="0" applyFont="1" applyFill="1" applyBorder="1" applyAlignment="1">
      <alignment horizontal="left" vertical="top" wrapText="1"/>
    </xf>
    <xf numFmtId="0" fontId="86" fillId="2" borderId="31" xfId="0" applyFont="1" applyFill="1" applyBorder="1" applyAlignment="1">
      <alignment horizontal="left" vertical="top" wrapText="1"/>
    </xf>
    <xf numFmtId="0" fontId="9" fillId="2" borderId="25" xfId="0" applyFont="1" applyFill="1" applyBorder="1" applyAlignment="1">
      <alignment horizontal="left"/>
    </xf>
    <xf numFmtId="0" fontId="9" fillId="2" borderId="13" xfId="0" applyFont="1" applyFill="1" applyBorder="1" applyAlignment="1">
      <alignment horizontal="left"/>
    </xf>
    <xf numFmtId="0" fontId="9" fillId="2" borderId="26" xfId="0" applyFont="1" applyFill="1" applyBorder="1" applyAlignment="1">
      <alignment horizontal="left"/>
    </xf>
    <xf numFmtId="0" fontId="9" fillId="2" borderId="25" xfId="0" applyFont="1" applyFill="1" applyBorder="1"/>
    <xf numFmtId="0" fontId="9" fillId="2" borderId="13" xfId="0" applyFont="1" applyFill="1" applyBorder="1"/>
    <xf numFmtId="0" fontId="9" fillId="2" borderId="26" xfId="0" applyFont="1" applyFill="1" applyBorder="1"/>
    <xf numFmtId="0" fontId="23" fillId="17" borderId="108" xfId="0" applyFont="1" applyFill="1" applyBorder="1" applyAlignment="1">
      <alignment horizontal="center" vertical="center"/>
    </xf>
    <xf numFmtId="0" fontId="23" fillId="17" borderId="60" xfId="0" applyFont="1" applyFill="1" applyBorder="1" applyAlignment="1">
      <alignment horizontal="center" vertical="center"/>
    </xf>
    <xf numFmtId="0" fontId="23" fillId="17" borderId="107" xfId="0" applyFont="1" applyFill="1" applyBorder="1" applyAlignment="1">
      <alignment horizontal="center" vertical="center"/>
    </xf>
    <xf numFmtId="0" fontId="23" fillId="17" borderId="51"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0" xfId="0" applyFont="1" applyFill="1" applyBorder="1" applyAlignment="1">
      <alignment horizontal="center" vertical="center"/>
    </xf>
    <xf numFmtId="0" fontId="23" fillId="4" borderId="111" xfId="0" applyNumberFormat="1" applyFont="1" applyFill="1" applyBorder="1" applyAlignment="1" applyProtection="1">
      <alignment horizontal="center" vertical="center"/>
      <protection locked="0"/>
    </xf>
    <xf numFmtId="0" fontId="23" fillId="4" borderId="83" xfId="0" applyNumberFormat="1" applyFont="1" applyFill="1" applyBorder="1" applyAlignment="1" applyProtection="1">
      <alignment horizontal="center" vertical="center"/>
      <protection locked="0"/>
    </xf>
    <xf numFmtId="0" fontId="23" fillId="17" borderId="67" xfId="0" applyFont="1" applyFill="1" applyBorder="1" applyAlignment="1">
      <alignment horizontal="left" vertical="center"/>
    </xf>
    <xf numFmtId="0" fontId="23" fillId="17" borderId="58" xfId="0" applyFont="1" applyFill="1" applyBorder="1" applyAlignment="1">
      <alignment horizontal="left" vertical="center"/>
    </xf>
    <xf numFmtId="0" fontId="12" fillId="2" borderId="4" xfId="0" applyFont="1" applyFill="1" applyBorder="1" applyAlignment="1">
      <alignment horizontal="center"/>
    </xf>
    <xf numFmtId="0" fontId="12" fillId="2" borderId="9" xfId="0" applyFont="1" applyFill="1" applyBorder="1" applyAlignment="1">
      <alignment horizontal="center"/>
    </xf>
    <xf numFmtId="0" fontId="23" fillId="2" borderId="112" xfId="0" applyFont="1" applyFill="1" applyBorder="1" applyAlignment="1">
      <alignment horizontal="center"/>
    </xf>
    <xf numFmtId="0" fontId="23" fillId="2" borderId="113" xfId="0" applyFont="1" applyFill="1" applyBorder="1" applyAlignment="1">
      <alignment horizontal="center"/>
    </xf>
    <xf numFmtId="0" fontId="60" fillId="2" borderId="11" xfId="0" applyFont="1" applyFill="1" applyBorder="1" applyAlignment="1">
      <alignment horizontal="center"/>
    </xf>
    <xf numFmtId="0" fontId="60" fillId="2" borderId="16" xfId="0" applyFont="1" applyFill="1" applyBorder="1" applyAlignment="1">
      <alignment horizontal="center"/>
    </xf>
    <xf numFmtId="0" fontId="60" fillId="2" borderId="12" xfId="0" applyFont="1" applyFill="1" applyBorder="1" applyAlignment="1">
      <alignment horizontal="center"/>
    </xf>
    <xf numFmtId="0" fontId="28" fillId="2" borderId="0" xfId="0" applyFont="1" applyFill="1" applyBorder="1" applyAlignment="1">
      <alignment horizontal="left" vertical="center"/>
    </xf>
    <xf numFmtId="0" fontId="23" fillId="2" borderId="0" xfId="0" applyFont="1" applyFill="1" applyBorder="1" applyAlignment="1">
      <alignment horizontal="left" vertical="center" wrapText="1"/>
    </xf>
    <xf numFmtId="190" fontId="23" fillId="17" borderId="67" xfId="0" applyNumberFormat="1" applyFont="1" applyFill="1" applyBorder="1" applyAlignment="1">
      <alignment horizontal="left" vertical="center"/>
    </xf>
    <xf numFmtId="190" fontId="23" fillId="17" borderId="58" xfId="0" applyNumberFormat="1" applyFont="1" applyFill="1" applyBorder="1" applyAlignment="1">
      <alignment horizontal="left" vertical="center"/>
    </xf>
    <xf numFmtId="0" fontId="23" fillId="4" borderId="67" xfId="0" applyFont="1" applyFill="1" applyBorder="1" applyAlignment="1">
      <alignment horizontal="left" vertical="center"/>
    </xf>
    <xf numFmtId="0" fontId="23" fillId="4" borderId="58" xfId="0" applyFont="1" applyFill="1" applyBorder="1" applyAlignment="1">
      <alignment horizontal="left" vertical="center"/>
    </xf>
    <xf numFmtId="0" fontId="86" fillId="2" borderId="118" xfId="0" applyFont="1" applyFill="1" applyBorder="1" applyAlignment="1">
      <alignment horizontal="left" vertical="top"/>
    </xf>
    <xf numFmtId="0" fontId="86" fillId="2" borderId="116" xfId="0" applyFont="1" applyFill="1" applyBorder="1" applyAlignment="1">
      <alignment horizontal="left" vertical="top"/>
    </xf>
    <xf numFmtId="0" fontId="86" fillId="2" borderId="119" xfId="0" applyFont="1" applyFill="1" applyBorder="1" applyAlignment="1">
      <alignment horizontal="left" vertical="top"/>
    </xf>
    <xf numFmtId="0" fontId="86" fillId="2" borderId="120" xfId="0" applyFont="1" applyFill="1" applyBorder="1" applyAlignment="1">
      <alignment horizontal="left" vertical="top"/>
    </xf>
    <xf numFmtId="0" fontId="86" fillId="2" borderId="118" xfId="0" applyFont="1" applyFill="1" applyBorder="1" applyAlignment="1">
      <alignment horizontal="left" vertical="top" wrapText="1"/>
    </xf>
    <xf numFmtId="0" fontId="86" fillId="2" borderId="116" xfId="0" applyFont="1" applyFill="1" applyBorder="1" applyAlignment="1">
      <alignment horizontal="left" vertical="top" wrapText="1"/>
    </xf>
    <xf numFmtId="0" fontId="86" fillId="2" borderId="119" xfId="0" applyFont="1" applyFill="1" applyBorder="1" applyAlignment="1">
      <alignment horizontal="left" vertical="top" wrapText="1"/>
    </xf>
    <xf numFmtId="0" fontId="86" fillId="2" borderId="121" xfId="0" applyFont="1" applyFill="1" applyBorder="1" applyAlignment="1">
      <alignment horizontal="left" vertical="top" wrapText="1"/>
    </xf>
    <xf numFmtId="0" fontId="86" fillId="2" borderId="120" xfId="0" applyFont="1" applyFill="1" applyBorder="1" applyAlignment="1">
      <alignment horizontal="left" vertical="top" wrapText="1"/>
    </xf>
    <xf numFmtId="15" fontId="23" fillId="2" borderId="0" xfId="0" applyNumberFormat="1" applyFont="1" applyFill="1" applyBorder="1" applyAlignment="1">
      <alignment horizontal="center" vertical="center"/>
    </xf>
    <xf numFmtId="15" fontId="23" fillId="2" borderId="15" xfId="0" applyNumberFormat="1" applyFont="1" applyFill="1" applyBorder="1" applyAlignment="1">
      <alignment horizontal="center" vertical="center"/>
    </xf>
    <xf numFmtId="0" fontId="23" fillId="2" borderId="30" xfId="0" applyFont="1" applyFill="1" applyBorder="1" applyAlignment="1">
      <alignment horizontal="center"/>
    </xf>
    <xf numFmtId="0" fontId="23" fillId="2" borderId="31" xfId="0" applyFont="1" applyFill="1" applyBorder="1" applyAlignment="1">
      <alignment horizontal="center"/>
    </xf>
    <xf numFmtId="0" fontId="9" fillId="2" borderId="11" xfId="0" applyFont="1" applyFill="1" applyBorder="1" applyAlignment="1">
      <alignment horizontal="left"/>
    </xf>
    <xf numFmtId="0" fontId="9" fillId="2" borderId="16" xfId="0" applyFont="1" applyFill="1" applyBorder="1" applyAlignment="1">
      <alignment horizontal="left"/>
    </xf>
    <xf numFmtId="0" fontId="9" fillId="2" borderId="12" xfId="0" applyFont="1" applyFill="1" applyBorder="1" applyAlignment="1">
      <alignment horizontal="left"/>
    </xf>
    <xf numFmtId="0" fontId="23" fillId="2" borderId="0" xfId="0" applyFont="1" applyFill="1" applyBorder="1" applyAlignment="1">
      <alignment horizontal="center"/>
    </xf>
    <xf numFmtId="0" fontId="23" fillId="2" borderId="15" xfId="0" applyFont="1" applyFill="1" applyBorder="1" applyAlignment="1">
      <alignment horizontal="center"/>
    </xf>
    <xf numFmtId="0" fontId="23" fillId="2" borderId="109" xfId="0" applyFont="1" applyFill="1" applyBorder="1" applyAlignment="1">
      <alignment horizontal="center"/>
    </xf>
    <xf numFmtId="0" fontId="23" fillId="2" borderId="110" xfId="0" applyFont="1" applyFill="1" applyBorder="1" applyAlignment="1">
      <alignment horizontal="center"/>
    </xf>
    <xf numFmtId="0" fontId="23" fillId="2" borderId="13" xfId="0" applyFont="1" applyFill="1" applyBorder="1" applyAlignment="1">
      <alignment horizontal="center"/>
    </xf>
    <xf numFmtId="0" fontId="23" fillId="2" borderId="26" xfId="0" applyFont="1" applyFill="1" applyBorder="1" applyAlignment="1">
      <alignment horizontal="center"/>
    </xf>
    <xf numFmtId="0" fontId="66" fillId="2" borderId="0" xfId="0" applyFont="1" applyFill="1" applyBorder="1" applyAlignment="1">
      <alignment horizontal="center"/>
    </xf>
    <xf numFmtId="0" fontId="66" fillId="2" borderId="15" xfId="0" applyFont="1" applyFill="1" applyBorder="1" applyAlignment="1">
      <alignment horizontal="center"/>
    </xf>
    <xf numFmtId="0" fontId="41" fillId="2" borderId="0" xfId="0" applyFont="1" applyFill="1" applyBorder="1" applyAlignment="1">
      <alignment horizontal="left" vertical="top" wrapText="1"/>
    </xf>
    <xf numFmtId="0" fontId="12" fillId="2" borderId="0" xfId="0" applyFont="1" applyFill="1" applyBorder="1" applyAlignment="1">
      <alignment horizontal="left" vertical="top"/>
    </xf>
    <xf numFmtId="0" fontId="12" fillId="2" borderId="0" xfId="0" applyFont="1" applyFill="1" applyBorder="1" applyAlignment="1">
      <alignment horizontal="left" vertical="top" wrapText="1"/>
    </xf>
    <xf numFmtId="0" fontId="9" fillId="2" borderId="25" xfId="0" applyFont="1" applyFill="1" applyBorder="1" applyAlignment="1">
      <alignment horizontal="center" vertical="top" wrapText="1"/>
    </xf>
    <xf numFmtId="0" fontId="9" fillId="2" borderId="13" xfId="0" applyFont="1" applyFill="1" applyBorder="1" applyAlignment="1">
      <alignment horizontal="center" vertical="top" wrapText="1"/>
    </xf>
    <xf numFmtId="0" fontId="9" fillId="2" borderId="26" xfId="0" applyFont="1" applyFill="1" applyBorder="1" applyAlignment="1">
      <alignment horizontal="center" vertical="top" wrapText="1"/>
    </xf>
    <xf numFmtId="0" fontId="9" fillId="2" borderId="14" xfId="0" applyFont="1" applyFill="1" applyBorder="1" applyAlignment="1">
      <alignment horizontal="center" vertical="top" wrapText="1"/>
    </xf>
    <xf numFmtId="0" fontId="9" fillId="2" borderId="0" xfId="0" applyFont="1" applyFill="1" applyBorder="1" applyAlignment="1">
      <alignment horizontal="center" vertical="top" wrapText="1"/>
    </xf>
    <xf numFmtId="0" fontId="9" fillId="2" borderId="15" xfId="0" applyFont="1" applyFill="1" applyBorder="1" applyAlignment="1">
      <alignment horizontal="center" vertical="top" wrapText="1"/>
    </xf>
    <xf numFmtId="0" fontId="12" fillId="2" borderId="0" xfId="0" applyFont="1" applyFill="1" applyBorder="1" applyAlignment="1">
      <alignment wrapText="1"/>
    </xf>
    <xf numFmtId="0" fontId="85" fillId="2" borderId="25" xfId="0" applyFont="1" applyFill="1" applyBorder="1" applyAlignment="1">
      <alignment horizontal="left" vertical="top" wrapText="1"/>
    </xf>
    <xf numFmtId="0" fontId="85" fillId="2" borderId="13" xfId="0" applyFont="1" applyFill="1" applyBorder="1" applyAlignment="1">
      <alignment horizontal="left" vertical="top" wrapText="1"/>
    </xf>
    <xf numFmtId="0" fontId="85" fillId="2" borderId="26" xfId="0" applyFont="1" applyFill="1" applyBorder="1" applyAlignment="1">
      <alignment horizontal="left" vertical="top" wrapText="1"/>
    </xf>
    <xf numFmtId="0" fontId="85" fillId="2" borderId="32" xfId="0" applyFont="1" applyFill="1" applyBorder="1" applyAlignment="1">
      <alignment horizontal="left" vertical="top" wrapText="1"/>
    </xf>
    <xf numFmtId="0" fontId="85" fillId="2" borderId="30" xfId="0" applyFont="1" applyFill="1" applyBorder="1" applyAlignment="1">
      <alignment horizontal="left" vertical="top" wrapText="1"/>
    </xf>
    <xf numFmtId="0" fontId="85" fillId="2" borderId="31" xfId="0" applyFont="1" applyFill="1" applyBorder="1" applyAlignment="1">
      <alignment horizontal="left" vertical="top" wrapText="1"/>
    </xf>
    <xf numFmtId="0" fontId="23" fillId="4" borderId="13" xfId="0" applyNumberFormat="1" applyFont="1" applyFill="1" applyBorder="1" applyAlignment="1" applyProtection="1">
      <alignment horizontal="center" vertical="center"/>
      <protection locked="0"/>
    </xf>
    <xf numFmtId="0" fontId="23" fillId="4" borderId="26" xfId="0" applyNumberFormat="1" applyFont="1" applyFill="1" applyBorder="1" applyAlignment="1" applyProtection="1">
      <alignment horizontal="center" vertical="center"/>
      <protection locked="0"/>
    </xf>
    <xf numFmtId="170" fontId="98" fillId="2" borderId="13" xfId="0" applyNumberFormat="1" applyFont="1" applyFill="1" applyBorder="1" applyAlignment="1">
      <alignment horizontal="right" vertical="center"/>
    </xf>
    <xf numFmtId="170" fontId="98" fillId="2" borderId="26" xfId="0" applyNumberFormat="1" applyFont="1" applyFill="1" applyBorder="1" applyAlignment="1">
      <alignment horizontal="right" vertical="center"/>
    </xf>
    <xf numFmtId="170" fontId="98" fillId="2" borderId="30" xfId="0" applyNumberFormat="1" applyFont="1" applyFill="1" applyBorder="1" applyAlignment="1">
      <alignment horizontal="right" vertical="center"/>
    </xf>
    <xf numFmtId="170" fontId="98" fillId="2" borderId="31" xfId="0" applyNumberFormat="1" applyFont="1" applyFill="1" applyBorder="1" applyAlignment="1">
      <alignment horizontal="right" vertical="center"/>
    </xf>
    <xf numFmtId="0" fontId="97" fillId="2" borderId="14" xfId="0" applyFont="1" applyFill="1" applyBorder="1" applyAlignment="1">
      <alignment horizontal="left"/>
    </xf>
    <xf numFmtId="0" fontId="97" fillId="2" borderId="0" xfId="0" applyFont="1" applyFill="1" applyBorder="1" applyAlignment="1">
      <alignment horizontal="left"/>
    </xf>
    <xf numFmtId="170" fontId="97" fillId="2" borderId="0" xfId="0" applyNumberFormat="1" applyFont="1" applyFill="1" applyBorder="1" applyAlignment="1">
      <alignment horizontal="right"/>
    </xf>
    <xf numFmtId="170" fontId="97" fillId="2" borderId="15" xfId="0" applyNumberFormat="1" applyFont="1" applyFill="1" applyBorder="1" applyAlignment="1">
      <alignment horizontal="right"/>
    </xf>
    <xf numFmtId="170" fontId="97" fillId="2" borderId="30" xfId="0" applyNumberFormat="1" applyFont="1" applyFill="1" applyBorder="1" applyAlignment="1">
      <alignment horizontal="right"/>
    </xf>
    <xf numFmtId="170" fontId="97" fillId="2" borderId="31" xfId="0" applyNumberFormat="1" applyFont="1" applyFill="1" applyBorder="1" applyAlignment="1">
      <alignment horizontal="right"/>
    </xf>
    <xf numFmtId="0" fontId="98" fillId="2" borderId="25" xfId="0" applyFont="1" applyFill="1" applyBorder="1" applyAlignment="1">
      <alignment horizontal="center" vertical="center"/>
    </xf>
    <xf numFmtId="0" fontId="98" fillId="2" borderId="13" xfId="0" applyFont="1" applyFill="1" applyBorder="1" applyAlignment="1">
      <alignment horizontal="center" vertical="center"/>
    </xf>
    <xf numFmtId="0" fontId="98" fillId="2" borderId="32" xfId="0" applyFont="1" applyFill="1" applyBorder="1" applyAlignment="1">
      <alignment horizontal="center" vertical="center"/>
    </xf>
    <xf numFmtId="0" fontId="98" fillId="2" borderId="30" xfId="0" applyFont="1" applyFill="1" applyBorder="1" applyAlignment="1">
      <alignment horizontal="center" vertical="center"/>
    </xf>
    <xf numFmtId="0" fontId="101" fillId="2" borderId="0" xfId="0" applyFont="1" applyFill="1" applyBorder="1" applyAlignment="1">
      <alignment horizontal="center"/>
    </xf>
    <xf numFmtId="0" fontId="97" fillId="2" borderId="42" xfId="0" applyFont="1" applyFill="1" applyBorder="1" applyAlignment="1">
      <alignment horizontal="center" vertical="center"/>
    </xf>
    <xf numFmtId="0" fontId="97" fillId="2" borderId="33" xfId="0" applyFont="1" applyFill="1" applyBorder="1" applyAlignment="1">
      <alignment horizontal="center" vertical="center"/>
    </xf>
    <xf numFmtId="0" fontId="102" fillId="2" borderId="25" xfId="0" applyFont="1" applyFill="1" applyBorder="1" applyAlignment="1">
      <alignment horizontal="center" vertical="center"/>
    </xf>
    <xf numFmtId="0" fontId="102" fillId="2" borderId="13" xfId="0" applyFont="1" applyFill="1" applyBorder="1" applyAlignment="1">
      <alignment horizontal="center" vertical="center"/>
    </xf>
    <xf numFmtId="0" fontId="102" fillId="2" borderId="26" xfId="0" applyFont="1" applyFill="1" applyBorder="1" applyAlignment="1">
      <alignment horizontal="center" vertical="center"/>
    </xf>
    <xf numFmtId="0" fontId="102" fillId="2" borderId="32" xfId="0" applyFont="1" applyFill="1" applyBorder="1" applyAlignment="1">
      <alignment horizontal="center" vertical="center"/>
    </xf>
    <xf numFmtId="0" fontId="102" fillId="2" borderId="30" xfId="0" applyFont="1" applyFill="1" applyBorder="1" applyAlignment="1">
      <alignment horizontal="center" vertical="center"/>
    </xf>
    <xf numFmtId="0" fontId="102" fillId="2" borderId="31" xfId="0" applyFont="1" applyFill="1" applyBorder="1" applyAlignment="1">
      <alignment horizontal="center" vertical="center"/>
    </xf>
    <xf numFmtId="0" fontId="103" fillId="2" borderId="0" xfId="0" applyFont="1" applyFill="1" applyBorder="1" applyAlignment="1">
      <alignment horizontal="left" vertical="center" wrapText="1"/>
    </xf>
    <xf numFmtId="0" fontId="98" fillId="2" borderId="11" xfId="0" applyFont="1" applyFill="1" applyBorder="1" applyAlignment="1">
      <alignment horizontal="center"/>
    </xf>
    <xf numFmtId="0" fontId="98" fillId="2" borderId="16" xfId="0" applyFont="1" applyFill="1" applyBorder="1" applyAlignment="1">
      <alignment horizontal="center"/>
    </xf>
    <xf numFmtId="0" fontId="98" fillId="2" borderId="12" xfId="0" applyFont="1" applyFill="1" applyBorder="1" applyAlignment="1">
      <alignment horizontal="center"/>
    </xf>
    <xf numFmtId="0" fontId="106" fillId="2" borderId="0" xfId="0" applyFont="1" applyFill="1" applyBorder="1" applyAlignment="1">
      <alignment horizontal="center"/>
    </xf>
    <xf numFmtId="0" fontId="98" fillId="2" borderId="14" xfId="0" applyFont="1" applyFill="1" applyBorder="1" applyAlignment="1">
      <alignment horizontal="center"/>
    </xf>
    <xf numFmtId="0" fontId="98" fillId="2" borderId="0" xfId="0" applyFont="1" applyFill="1" applyBorder="1" applyAlignment="1">
      <alignment horizontal="center"/>
    </xf>
    <xf numFmtId="170" fontId="97" fillId="2" borderId="0" xfId="0" applyNumberFormat="1" applyFont="1" applyFill="1" applyBorder="1" applyAlignment="1">
      <alignment horizontal="center"/>
    </xf>
    <xf numFmtId="170" fontId="97" fillId="2" borderId="15" xfId="0" applyNumberFormat="1" applyFont="1" applyFill="1" applyBorder="1" applyAlignment="1">
      <alignment horizontal="center"/>
    </xf>
    <xf numFmtId="0" fontId="97" fillId="2" borderId="14" xfId="0" applyFont="1" applyFill="1" applyBorder="1" applyAlignment="1">
      <alignment horizontal="center"/>
    </xf>
    <xf numFmtId="0" fontId="97" fillId="2" borderId="0" xfId="0" applyFont="1" applyFill="1" applyBorder="1" applyAlignment="1">
      <alignment horizontal="center"/>
    </xf>
    <xf numFmtId="0" fontId="98" fillId="2" borderId="14" xfId="0" applyFont="1" applyFill="1" applyBorder="1" applyAlignment="1">
      <alignment horizontal="left"/>
    </xf>
    <xf numFmtId="0" fontId="98" fillId="2" borderId="0" xfId="0" applyFont="1" applyFill="1" applyBorder="1" applyAlignment="1">
      <alignment horizontal="left"/>
    </xf>
    <xf numFmtId="0" fontId="97" fillId="2" borderId="30" xfId="0" applyFont="1" applyFill="1" applyBorder="1" applyAlignment="1">
      <alignment horizontal="right"/>
    </xf>
    <xf numFmtId="170" fontId="98" fillId="2" borderId="25" xfId="0" applyNumberFormat="1" applyFont="1" applyFill="1" applyBorder="1" applyAlignment="1">
      <alignment horizontal="center" vertical="center"/>
    </xf>
    <xf numFmtId="170" fontId="98" fillId="2" borderId="32" xfId="0" applyNumberFormat="1" applyFont="1" applyFill="1" applyBorder="1" applyAlignment="1">
      <alignment horizontal="center" vertical="center"/>
    </xf>
    <xf numFmtId="170" fontId="98" fillId="2" borderId="70" xfId="0" applyNumberFormat="1" applyFont="1" applyFill="1" applyBorder="1" applyAlignment="1">
      <alignment horizontal="center" vertical="center"/>
    </xf>
    <xf numFmtId="170" fontId="98" fillId="2" borderId="71" xfId="0" applyNumberFormat="1" applyFont="1" applyFill="1" applyBorder="1" applyAlignment="1">
      <alignment horizontal="center" vertical="center"/>
    </xf>
    <xf numFmtId="0" fontId="98" fillId="2" borderId="42" xfId="0" applyFont="1" applyFill="1" applyBorder="1" applyAlignment="1">
      <alignment horizontal="center" vertical="center"/>
    </xf>
    <xf numFmtId="0" fontId="98" fillId="2" borderId="33" xfId="0" applyFont="1" applyFill="1" applyBorder="1" applyAlignment="1">
      <alignment horizontal="center" vertical="center"/>
    </xf>
    <xf numFmtId="0" fontId="97" fillId="2" borderId="63" xfId="0" applyFont="1" applyFill="1" applyBorder="1" applyAlignment="1">
      <alignment horizontal="center" vertical="center"/>
    </xf>
    <xf numFmtId="0" fontId="97" fillId="2" borderId="72" xfId="0" applyFont="1" applyFill="1" applyBorder="1" applyAlignment="1">
      <alignment horizontal="center" vertical="center"/>
    </xf>
    <xf numFmtId="170" fontId="98" fillId="2" borderId="42" xfId="0" applyNumberFormat="1" applyFont="1" applyFill="1" applyBorder="1" applyAlignment="1">
      <alignment horizontal="right" vertical="center"/>
    </xf>
    <xf numFmtId="170" fontId="98" fillId="2" borderId="33" xfId="0" applyNumberFormat="1" applyFont="1" applyFill="1" applyBorder="1" applyAlignment="1">
      <alignment horizontal="right" vertical="center"/>
    </xf>
    <xf numFmtId="0" fontId="97" fillId="2" borderId="25" xfId="0" applyFont="1" applyFill="1" applyBorder="1" applyAlignment="1">
      <alignment horizontal="left" vertical="center" wrapText="1"/>
    </xf>
    <xf numFmtId="0" fontId="97" fillId="2" borderId="26" xfId="0" applyFont="1" applyFill="1" applyBorder="1" applyAlignment="1">
      <alignment horizontal="left" vertical="center" wrapText="1"/>
    </xf>
    <xf numFmtId="0" fontId="97" fillId="2" borderId="14" xfId="0" applyFont="1" applyFill="1" applyBorder="1" applyAlignment="1">
      <alignment horizontal="left" vertical="center" wrapText="1"/>
    </xf>
    <xf numFmtId="0" fontId="97" fillId="2" borderId="15" xfId="0" applyFont="1" applyFill="1" applyBorder="1" applyAlignment="1">
      <alignment horizontal="left" vertical="center" wrapText="1"/>
    </xf>
    <xf numFmtId="0" fontId="97" fillId="2" borderId="32" xfId="0" applyFont="1" applyFill="1" applyBorder="1" applyAlignment="1">
      <alignment horizontal="left" vertical="center" wrapText="1"/>
    </xf>
    <xf numFmtId="0" fontId="97" fillId="2" borderId="31" xfId="0" applyFont="1" applyFill="1" applyBorder="1" applyAlignment="1">
      <alignment horizontal="left" vertical="center" wrapText="1"/>
    </xf>
    <xf numFmtId="0" fontId="97" fillId="2" borderId="13" xfId="0" applyFont="1" applyFill="1" applyBorder="1" applyAlignment="1">
      <alignment horizontal="left" vertical="center" wrapText="1"/>
    </xf>
    <xf numFmtId="0" fontId="97" fillId="2" borderId="0" xfId="0" applyFont="1" applyFill="1" applyBorder="1" applyAlignment="1">
      <alignment horizontal="left" vertical="center" wrapText="1"/>
    </xf>
    <xf numFmtId="0" fontId="97" fillId="2" borderId="30" xfId="0" applyFont="1" applyFill="1" applyBorder="1" applyAlignment="1">
      <alignment horizontal="left" vertical="center" wrapText="1"/>
    </xf>
    <xf numFmtId="0" fontId="98" fillId="22" borderId="11" xfId="0" applyFont="1" applyFill="1" applyBorder="1" applyAlignment="1">
      <alignment horizontal="center"/>
    </xf>
    <xf numFmtId="0" fontId="98" fillId="22" borderId="16" xfId="0" applyFont="1" applyFill="1" applyBorder="1" applyAlignment="1">
      <alignment horizontal="center"/>
    </xf>
    <xf numFmtId="0" fontId="98" fillId="22" borderId="12" xfId="0" applyFont="1" applyFill="1" applyBorder="1" applyAlignment="1">
      <alignment horizontal="center"/>
    </xf>
    <xf numFmtId="0" fontId="98" fillId="22" borderId="25" xfId="0" applyFont="1" applyFill="1" applyBorder="1" applyAlignment="1">
      <alignment horizontal="center"/>
    </xf>
    <xf numFmtId="0" fontId="98" fillId="22" borderId="13" xfId="0" applyFont="1" applyFill="1" applyBorder="1" applyAlignment="1">
      <alignment horizontal="center"/>
    </xf>
    <xf numFmtId="0" fontId="98" fillId="22" borderId="26" xfId="0" applyFont="1" applyFill="1" applyBorder="1" applyAlignment="1">
      <alignment horizontal="center"/>
    </xf>
    <xf numFmtId="0" fontId="97" fillId="2" borderId="32" xfId="0" applyFont="1" applyFill="1" applyBorder="1" applyAlignment="1">
      <alignment horizontal="left"/>
    </xf>
    <xf numFmtId="0" fontId="97" fillId="2" borderId="30" xfId="0" applyFont="1" applyFill="1" applyBorder="1" applyAlignment="1">
      <alignment horizontal="left"/>
    </xf>
    <xf numFmtId="15" fontId="97" fillId="14" borderId="92" xfId="0" applyNumberFormat="1" applyFont="1" applyFill="1" applyBorder="1" applyAlignment="1">
      <alignment horizontal="left" vertical="center"/>
    </xf>
    <xf numFmtId="15" fontId="97" fillId="14" borderId="93" xfId="0" applyNumberFormat="1" applyFont="1" applyFill="1" applyBorder="1" applyAlignment="1">
      <alignment horizontal="left" vertical="center"/>
    </xf>
    <xf numFmtId="15" fontId="97" fillId="14" borderId="49" xfId="0" applyNumberFormat="1" applyFont="1" applyFill="1" applyBorder="1" applyAlignment="1">
      <alignment horizontal="left" vertical="center"/>
    </xf>
    <xf numFmtId="15" fontId="97" fillId="14" borderId="35" xfId="0" applyNumberFormat="1" applyFont="1" applyFill="1" applyBorder="1" applyAlignment="1">
      <alignment horizontal="left" vertical="center"/>
    </xf>
    <xf numFmtId="0" fontId="97" fillId="2" borderId="69" xfId="0" applyFont="1" applyFill="1" applyBorder="1" applyAlignment="1">
      <alignment horizontal="center" vertical="center" wrapText="1"/>
    </xf>
    <xf numFmtId="0" fontId="97" fillId="2" borderId="33" xfId="0" applyFont="1" applyFill="1" applyBorder="1" applyAlignment="1">
      <alignment horizontal="center" vertical="center" wrapText="1"/>
    </xf>
    <xf numFmtId="0" fontId="112" fillId="2" borderId="11" xfId="0" applyFont="1" applyFill="1" applyBorder="1" applyAlignment="1">
      <alignment horizontal="left"/>
    </xf>
    <xf numFmtId="0" fontId="112" fillId="2" borderId="16" xfId="0" applyFont="1" applyFill="1" applyBorder="1" applyAlignment="1">
      <alignment horizontal="left"/>
    </xf>
    <xf numFmtId="0" fontId="112" fillId="2" borderId="12" xfId="0" applyFont="1" applyFill="1" applyBorder="1" applyAlignment="1">
      <alignment horizontal="left"/>
    </xf>
    <xf numFmtId="0" fontId="8" fillId="2" borderId="0" xfId="0" applyFont="1" applyFill="1" applyBorder="1" applyAlignment="1">
      <alignment horizontal="left" vertical="top" wrapText="1"/>
    </xf>
    <xf numFmtId="0" fontId="8" fillId="2" borderId="0" xfId="0" applyFont="1" applyFill="1" applyBorder="1" applyAlignment="1">
      <alignment horizontal="left" vertical="top"/>
    </xf>
    <xf numFmtId="0" fontId="8" fillId="2" borderId="15" xfId="0" applyFont="1" applyFill="1" applyBorder="1" applyAlignment="1">
      <alignment horizontal="left" vertical="top"/>
    </xf>
    <xf numFmtId="0" fontId="8" fillId="2" borderId="30" xfId="0" applyFont="1" applyFill="1" applyBorder="1" applyAlignment="1">
      <alignment horizontal="left" vertical="top" wrapText="1"/>
    </xf>
    <xf numFmtId="0" fontId="142" fillId="2" borderId="0" xfId="0" applyFont="1" applyFill="1" applyBorder="1" applyAlignment="1">
      <alignment horizontal="center" vertical="top" wrapText="1"/>
    </xf>
    <xf numFmtId="0" fontId="142" fillId="2" borderId="0" xfId="0" applyFont="1" applyFill="1" applyBorder="1" applyAlignment="1">
      <alignment horizontal="center" vertical="top"/>
    </xf>
    <xf numFmtId="0" fontId="142" fillId="2" borderId="15" xfId="0" applyFont="1" applyFill="1" applyBorder="1" applyAlignment="1">
      <alignment horizontal="center" vertical="top"/>
    </xf>
    <xf numFmtId="0" fontId="145" fillId="2" borderId="0" xfId="0" applyFont="1" applyFill="1" applyBorder="1" applyAlignment="1">
      <alignment horizontal="left" vertical="top" wrapText="1"/>
    </xf>
    <xf numFmtId="0" fontId="145" fillId="2" borderId="0" xfId="0" applyFont="1" applyFill="1" applyBorder="1" applyAlignment="1">
      <alignment horizontal="left" vertical="top"/>
    </xf>
    <xf numFmtId="0" fontId="145" fillId="2" borderId="15" xfId="0" applyFont="1" applyFill="1" applyBorder="1" applyAlignment="1">
      <alignment horizontal="left" vertical="top"/>
    </xf>
    <xf numFmtId="0" fontId="115" fillId="2" borderId="14" xfId="0" applyFont="1" applyFill="1" applyBorder="1" applyAlignment="1">
      <alignment horizontal="left"/>
    </xf>
    <xf numFmtId="0" fontId="115" fillId="2" borderId="0" xfId="0" applyFont="1" applyFill="1" applyBorder="1" applyAlignment="1">
      <alignment horizontal="left"/>
    </xf>
    <xf numFmtId="170" fontId="115" fillId="2" borderId="0" xfId="0" applyNumberFormat="1" applyFont="1" applyFill="1" applyBorder="1" applyAlignment="1">
      <alignment horizontal="right"/>
    </xf>
    <xf numFmtId="170" fontId="115" fillId="2" borderId="15" xfId="0" applyNumberFormat="1" applyFont="1" applyFill="1" applyBorder="1" applyAlignment="1">
      <alignment horizontal="right"/>
    </xf>
    <xf numFmtId="0" fontId="115" fillId="2" borderId="0" xfId="0" applyFont="1" applyFill="1" applyBorder="1" applyAlignment="1">
      <alignment horizontal="center" vertical="center"/>
    </xf>
    <xf numFmtId="0" fontId="121" fillId="2" borderId="0" xfId="0" applyFont="1" applyFill="1" applyBorder="1" applyAlignment="1">
      <alignment horizontal="center"/>
    </xf>
    <xf numFmtId="0" fontId="115" fillId="2" borderId="0" xfId="0" applyFont="1" applyFill="1" applyBorder="1" applyAlignment="1">
      <alignment horizontal="right" vertical="center"/>
    </xf>
    <xf numFmtId="0" fontId="115" fillId="2" borderId="30" xfId="0" applyFont="1" applyFill="1" applyBorder="1" applyAlignment="1">
      <alignment horizontal="right" vertical="center"/>
    </xf>
    <xf numFmtId="15" fontId="117" fillId="21" borderId="60" xfId="0" applyNumberFormat="1" applyFont="1" applyFill="1" applyBorder="1" applyAlignment="1">
      <alignment horizontal="left" vertical="center"/>
    </xf>
    <xf numFmtId="0" fontId="115" fillId="2" borderId="0" xfId="0" applyFont="1" applyFill="1" applyBorder="1" applyAlignment="1">
      <alignment horizontal="left" vertical="center" wrapText="1"/>
    </xf>
    <xf numFmtId="0" fontId="117" fillId="2" borderId="0" xfId="0" applyFont="1" applyFill="1" applyBorder="1" applyAlignment="1">
      <alignment horizontal="center"/>
    </xf>
    <xf numFmtId="0" fontId="117" fillId="2" borderId="11" xfId="0" applyFont="1" applyFill="1" applyBorder="1" applyAlignment="1">
      <alignment horizontal="center"/>
    </xf>
    <xf numFmtId="0" fontId="117" fillId="2" borderId="16" xfId="0" applyFont="1" applyFill="1" applyBorder="1" applyAlignment="1">
      <alignment horizontal="center"/>
    </xf>
    <xf numFmtId="0" fontId="117" fillId="2" borderId="12" xfId="0" applyFont="1" applyFill="1" applyBorder="1" applyAlignment="1">
      <alignment horizontal="center"/>
    </xf>
    <xf numFmtId="0" fontId="117" fillId="2" borderId="14" xfId="0" applyFont="1" applyFill="1" applyBorder="1" applyAlignment="1">
      <alignment horizontal="center"/>
    </xf>
    <xf numFmtId="170" fontId="115" fillId="2" borderId="0" xfId="0" applyNumberFormat="1" applyFont="1" applyFill="1" applyBorder="1" applyAlignment="1">
      <alignment horizontal="center"/>
    </xf>
    <xf numFmtId="170" fontId="115" fillId="2" borderId="15" xfId="0" applyNumberFormat="1" applyFont="1" applyFill="1" applyBorder="1" applyAlignment="1">
      <alignment horizontal="center"/>
    </xf>
    <xf numFmtId="0" fontId="115" fillId="2" borderId="14" xfId="0" applyFont="1" applyFill="1" applyBorder="1" applyAlignment="1">
      <alignment horizontal="center"/>
    </xf>
    <xf numFmtId="0" fontId="115" fillId="2" borderId="0" xfId="0" applyFont="1" applyFill="1" applyBorder="1" applyAlignment="1">
      <alignment horizontal="center"/>
    </xf>
    <xf numFmtId="0" fontId="124" fillId="2" borderId="14" xfId="0" applyFont="1" applyFill="1" applyBorder="1" applyAlignment="1">
      <alignment horizontal="left"/>
    </xf>
    <xf numFmtId="0" fontId="124" fillId="2" borderId="0" xfId="0" applyFont="1" applyFill="1" applyBorder="1" applyAlignment="1">
      <alignment horizontal="left"/>
    </xf>
    <xf numFmtId="170" fontId="115" fillId="2" borderId="30" xfId="0" applyNumberFormat="1" applyFont="1" applyFill="1" applyBorder="1" applyAlignment="1">
      <alignment horizontal="right"/>
    </xf>
    <xf numFmtId="170" fontId="115" fillId="2" borderId="31" xfId="0" applyNumberFormat="1" applyFont="1" applyFill="1" applyBorder="1" applyAlignment="1">
      <alignment horizontal="right"/>
    </xf>
    <xf numFmtId="0" fontId="117" fillId="2" borderId="25" xfId="0" applyFont="1" applyFill="1" applyBorder="1" applyAlignment="1">
      <alignment horizontal="center" vertical="center"/>
    </xf>
    <xf numFmtId="0" fontId="117" fillId="2" borderId="13" xfId="0" applyFont="1" applyFill="1" applyBorder="1" applyAlignment="1">
      <alignment horizontal="center" vertical="center"/>
    </xf>
    <xf numFmtId="0" fontId="117" fillId="2" borderId="32" xfId="0" applyFont="1" applyFill="1" applyBorder="1" applyAlignment="1">
      <alignment horizontal="center" vertical="center"/>
    </xf>
    <xf numFmtId="0" fontId="117" fillId="2" borderId="30" xfId="0" applyFont="1" applyFill="1" applyBorder="1" applyAlignment="1">
      <alignment horizontal="center" vertical="center"/>
    </xf>
    <xf numFmtId="170" fontId="117" fillId="2" borderId="25" xfId="0" applyNumberFormat="1" applyFont="1" applyFill="1" applyBorder="1" applyAlignment="1">
      <alignment horizontal="center" vertical="center"/>
    </xf>
    <xf numFmtId="170" fontId="117" fillId="2" borderId="32" xfId="0" applyNumberFormat="1" applyFont="1" applyFill="1" applyBorder="1" applyAlignment="1">
      <alignment horizontal="center" vertical="center"/>
    </xf>
    <xf numFmtId="0" fontId="119" fillId="2" borderId="69" xfId="0" applyFont="1" applyFill="1" applyBorder="1" applyAlignment="1">
      <alignment horizontal="center" vertical="center"/>
    </xf>
    <xf numFmtId="0" fontId="119" fillId="2" borderId="33" xfId="0" applyFont="1" applyFill="1" applyBorder="1" applyAlignment="1">
      <alignment horizontal="center" vertical="center"/>
    </xf>
    <xf numFmtId="170" fontId="117" fillId="2" borderId="70" xfId="0" applyNumberFormat="1" applyFont="1" applyFill="1" applyBorder="1" applyAlignment="1">
      <alignment horizontal="center" vertical="center"/>
    </xf>
    <xf numFmtId="170" fontId="117" fillId="2" borderId="71" xfId="0" applyNumberFormat="1" applyFont="1" applyFill="1" applyBorder="1" applyAlignment="1">
      <alignment horizontal="center" vertical="center"/>
    </xf>
    <xf numFmtId="0" fontId="115" fillId="2" borderId="63" xfId="0" applyFont="1" applyFill="1" applyBorder="1" applyAlignment="1">
      <alignment horizontal="center" vertical="center"/>
    </xf>
    <xf numFmtId="0" fontId="115" fillId="2" borderId="72" xfId="0" applyFont="1" applyFill="1" applyBorder="1" applyAlignment="1">
      <alignment horizontal="center" vertical="center"/>
    </xf>
    <xf numFmtId="170" fontId="117" fillId="2" borderId="42" xfId="0" applyNumberFormat="1" applyFont="1" applyFill="1" applyBorder="1" applyAlignment="1">
      <alignment horizontal="right" vertical="center"/>
    </xf>
    <xf numFmtId="170" fontId="117" fillId="2" borderId="33" xfId="0" applyNumberFormat="1" applyFont="1" applyFill="1" applyBorder="1" applyAlignment="1">
      <alignment horizontal="right" vertical="center"/>
    </xf>
    <xf numFmtId="170" fontId="102" fillId="18" borderId="25" xfId="0" applyNumberFormat="1" applyFont="1" applyFill="1" applyBorder="1" applyAlignment="1">
      <alignment horizontal="center" vertical="center"/>
    </xf>
    <xf numFmtId="170" fontId="102" fillId="18" borderId="26" xfId="0" applyNumberFormat="1" applyFont="1" applyFill="1" applyBorder="1" applyAlignment="1">
      <alignment horizontal="center" vertical="center"/>
    </xf>
    <xf numFmtId="170" fontId="102" fillId="18" borderId="32" xfId="0" applyNumberFormat="1" applyFont="1" applyFill="1" applyBorder="1" applyAlignment="1">
      <alignment horizontal="center" vertical="center"/>
    </xf>
    <xf numFmtId="170" fontId="102" fillId="18" borderId="31" xfId="0" applyNumberFormat="1" applyFont="1" applyFill="1" applyBorder="1" applyAlignment="1">
      <alignment horizontal="center" vertical="center"/>
    </xf>
    <xf numFmtId="0" fontId="117" fillId="21" borderId="11" xfId="0" applyFont="1" applyFill="1" applyBorder="1" applyAlignment="1">
      <alignment horizontal="center"/>
    </xf>
    <xf numFmtId="0" fontId="117" fillId="21" borderId="16" xfId="0" applyFont="1" applyFill="1" applyBorder="1" applyAlignment="1">
      <alignment horizontal="center"/>
    </xf>
    <xf numFmtId="0" fontId="117" fillId="21" borderId="12" xfId="0" applyFont="1" applyFill="1" applyBorder="1" applyAlignment="1">
      <alignment horizontal="center"/>
    </xf>
    <xf numFmtId="0" fontId="115" fillId="2" borderId="32" xfId="0" applyFont="1" applyFill="1" applyBorder="1" applyAlignment="1">
      <alignment horizontal="left"/>
    </xf>
    <xf numFmtId="0" fontId="115" fillId="2" borderId="30" xfId="0" applyFont="1" applyFill="1" applyBorder="1" applyAlignment="1">
      <alignment horizontal="left"/>
    </xf>
    <xf numFmtId="0" fontId="117" fillId="21" borderId="25" xfId="0" applyFont="1" applyFill="1" applyBorder="1" applyAlignment="1">
      <alignment horizontal="center"/>
    </xf>
    <xf numFmtId="0" fontId="117" fillId="21" borderId="13" xfId="0" applyFont="1" applyFill="1" applyBorder="1" applyAlignment="1">
      <alignment horizontal="center"/>
    </xf>
    <xf numFmtId="0" fontId="117" fillId="21" borderId="26" xfId="0" applyFont="1" applyFill="1" applyBorder="1" applyAlignment="1">
      <alignment horizontal="center"/>
    </xf>
    <xf numFmtId="0" fontId="8" fillId="2" borderId="14" xfId="0" applyNumberFormat="1" applyFont="1" applyFill="1" applyBorder="1" applyAlignment="1">
      <alignment horizontal="left" wrapText="1"/>
    </xf>
    <xf numFmtId="0" fontId="8" fillId="2" borderId="0" xfId="0" applyNumberFormat="1" applyFont="1" applyFill="1" applyBorder="1" applyAlignment="1">
      <alignment horizontal="left" wrapText="1"/>
    </xf>
    <xf numFmtId="0" fontId="8" fillId="2" borderId="15" xfId="0" applyNumberFormat="1" applyFont="1" applyFill="1" applyBorder="1" applyAlignment="1">
      <alignment horizontal="left" wrapText="1"/>
    </xf>
    <xf numFmtId="0" fontId="8" fillId="2" borderId="14" xfId="0" applyFont="1" applyFill="1" applyBorder="1" applyAlignment="1">
      <alignment horizontal="left" vertical="center" wrapText="1"/>
    </xf>
    <xf numFmtId="0" fontId="8" fillId="2" borderId="0" xfId="0" applyFont="1" applyFill="1" applyBorder="1" applyAlignment="1">
      <alignment horizontal="left" vertical="center" wrapText="1"/>
    </xf>
    <xf numFmtId="0" fontId="8" fillId="2" borderId="15" xfId="0" applyFont="1" applyFill="1" applyBorder="1" applyAlignment="1">
      <alignment horizontal="left" vertical="center" wrapText="1"/>
    </xf>
    <xf numFmtId="0" fontId="8" fillId="2" borderId="32" xfId="0" applyFont="1" applyFill="1" applyBorder="1" applyAlignment="1">
      <alignment horizontal="left" vertical="center" wrapText="1"/>
    </xf>
    <xf numFmtId="0" fontId="8" fillId="2" borderId="30" xfId="0" applyFont="1" applyFill="1" applyBorder="1" applyAlignment="1">
      <alignment horizontal="left" vertical="center" wrapText="1"/>
    </xf>
    <xf numFmtId="0" fontId="8" fillId="2" borderId="31" xfId="0" applyFont="1" applyFill="1" applyBorder="1" applyAlignment="1">
      <alignment horizontal="left" vertical="center" wrapText="1"/>
    </xf>
    <xf numFmtId="0" fontId="126" fillId="2" borderId="14" xfId="0" applyFont="1" applyFill="1" applyBorder="1" applyAlignment="1">
      <alignment horizontal="left" vertical="center"/>
    </xf>
    <xf numFmtId="0" fontId="126" fillId="2" borderId="0" xfId="0" applyFont="1" applyFill="1" applyBorder="1" applyAlignment="1">
      <alignment horizontal="left" vertical="center"/>
    </xf>
    <xf numFmtId="0" fontId="126" fillId="2" borderId="15" xfId="0" applyFont="1" applyFill="1" applyBorder="1" applyAlignment="1">
      <alignment horizontal="left" vertical="center"/>
    </xf>
    <xf numFmtId="0" fontId="8" fillId="2" borderId="14" xfId="0" applyFont="1" applyFill="1" applyBorder="1"/>
    <xf numFmtId="0" fontId="8" fillId="2" borderId="0" xfId="0" applyFont="1" applyFill="1" applyBorder="1"/>
    <xf numFmtId="0" fontId="8" fillId="2" borderId="15" xfId="0" applyFont="1" applyFill="1" applyBorder="1"/>
    <xf numFmtId="0" fontId="8" fillId="0" borderId="0" xfId="0" applyFont="1" applyAlignment="1">
      <alignment horizontal="left" vertical="center"/>
    </xf>
    <xf numFmtId="4" fontId="127" fillId="0" borderId="11" xfId="31" applyFont="1" applyBorder="1" applyAlignment="1">
      <alignment horizontal="center"/>
    </xf>
    <xf numFmtId="4" fontId="127" fillId="0" borderId="16" xfId="31" applyFont="1" applyBorder="1" applyAlignment="1">
      <alignment horizontal="center"/>
    </xf>
    <xf numFmtId="4" fontId="127" fillId="0" borderId="12" xfId="31" applyFont="1" applyBorder="1" applyAlignment="1">
      <alignment horizontal="center"/>
    </xf>
    <xf numFmtId="3" fontId="7" fillId="0" borderId="0" xfId="25" applyAlignment="1">
      <alignment horizontal="left" vertical="top" wrapText="1"/>
    </xf>
    <xf numFmtId="0" fontId="6" fillId="0" borderId="0" xfId="0" applyFont="1" applyAlignment="1">
      <alignment horizontal="left" vertical="center"/>
    </xf>
    <xf numFmtId="0" fontId="8" fillId="0" borderId="0" xfId="0" applyFont="1" applyAlignment="1">
      <alignment horizontal="left" vertical="top" wrapText="1"/>
    </xf>
    <xf numFmtId="0" fontId="8" fillId="0" borderId="0" xfId="0" applyFont="1" applyAlignment="1">
      <alignment horizontal="left" wrapText="1"/>
    </xf>
    <xf numFmtId="0" fontId="8" fillId="0" borderId="0" xfId="0" applyFont="1" applyAlignment="1">
      <alignment horizontal="left" vertical="center" wrapText="1"/>
    </xf>
    <xf numFmtId="0" fontId="131" fillId="0" borderId="0" xfId="0" applyFont="1" applyAlignment="1">
      <alignment horizontal="left" vertical="center"/>
    </xf>
    <xf numFmtId="0" fontId="23" fillId="0" borderId="1" xfId="0" applyFont="1" applyBorder="1" applyAlignment="1">
      <alignment horizontal="center" vertical="center" wrapText="1"/>
    </xf>
    <xf numFmtId="0" fontId="23" fillId="0" borderId="7" xfId="0" applyFont="1" applyBorder="1" applyAlignment="1">
      <alignment horizontal="center" vertical="center" wrapText="1"/>
    </xf>
    <xf numFmtId="15" fontId="9" fillId="0" borderId="2" xfId="0" applyNumberFormat="1" applyFont="1" applyBorder="1" applyAlignment="1">
      <alignment horizontal="center" vertical="center" wrapText="1"/>
    </xf>
    <xf numFmtId="0" fontId="9" fillId="0" borderId="2"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7" xfId="0" applyFont="1" applyBorder="1" applyAlignment="1">
      <alignment horizontal="center" vertical="center"/>
    </xf>
    <xf numFmtId="0" fontId="23" fillId="0" borderId="2" xfId="0" applyFont="1" applyBorder="1" applyAlignment="1">
      <alignment horizontal="center" vertical="center"/>
    </xf>
    <xf numFmtId="0" fontId="23" fillId="0" borderId="2" xfId="0" applyFont="1" applyBorder="1" applyAlignment="1">
      <alignment vertical="center" wrapText="1"/>
    </xf>
    <xf numFmtId="0" fontId="9" fillId="0" borderId="2" xfId="0" applyFont="1" applyBorder="1" applyAlignment="1">
      <alignment horizontal="center" vertical="center"/>
    </xf>
    <xf numFmtId="0" fontId="9" fillId="0" borderId="7" xfId="0" applyFont="1" applyBorder="1" applyAlignment="1">
      <alignment horizontal="center" vertical="center"/>
    </xf>
    <xf numFmtId="0" fontId="76" fillId="0" borderId="0" xfId="0" applyFont="1" applyAlignment="1">
      <alignment horizontal="left" wrapText="1"/>
    </xf>
    <xf numFmtId="0" fontId="9" fillId="0" borderId="0" xfId="0" applyFont="1" applyBorder="1" applyAlignment="1">
      <alignment horizontal="center" vertical="center" wrapText="1"/>
    </xf>
    <xf numFmtId="0" fontId="23" fillId="0" borderId="2" xfId="0" applyFont="1" applyBorder="1" applyAlignment="1">
      <alignment horizontal="center"/>
    </xf>
    <xf numFmtId="0" fontId="23" fillId="2" borderId="111" xfId="0" applyNumberFormat="1" applyFont="1" applyFill="1" applyBorder="1" applyAlignment="1" applyProtection="1">
      <alignment horizontal="center" vertical="center"/>
    </xf>
    <xf numFmtId="0" fontId="23" fillId="2" borderId="83" xfId="0" applyNumberFormat="1" applyFont="1" applyFill="1" applyBorder="1" applyAlignment="1" applyProtection="1">
      <alignment horizontal="center" vertical="center"/>
    </xf>
    <xf numFmtId="0" fontId="87" fillId="2" borderId="14" xfId="0" applyFont="1" applyFill="1" applyBorder="1" applyAlignment="1">
      <alignment horizontal="left"/>
    </xf>
    <xf numFmtId="0" fontId="87" fillId="2" borderId="0" xfId="0" applyFont="1" applyFill="1" applyBorder="1" applyAlignment="1">
      <alignment horizontal="left"/>
    </xf>
    <xf numFmtId="0" fontId="23" fillId="2" borderId="42" xfId="0" applyFont="1" applyFill="1" applyBorder="1" applyAlignment="1">
      <alignment horizontal="center" vertical="center"/>
    </xf>
    <xf numFmtId="0" fontId="23" fillId="2" borderId="33" xfId="0" applyFont="1" applyFill="1" applyBorder="1" applyAlignment="1">
      <alignment horizontal="center" vertical="center"/>
    </xf>
    <xf numFmtId="17" fontId="30" fillId="4" borderId="25" xfId="0" applyNumberFormat="1" applyFont="1" applyFill="1" applyBorder="1" applyAlignment="1" applyProtection="1">
      <alignment horizontal="center" vertical="center"/>
      <protection locked="0"/>
    </xf>
    <xf numFmtId="17" fontId="30" fillId="4" borderId="13" xfId="0" applyNumberFormat="1" applyFont="1" applyFill="1" applyBorder="1" applyAlignment="1" applyProtection="1">
      <alignment horizontal="center" vertical="center"/>
      <protection locked="0"/>
    </xf>
    <xf numFmtId="17" fontId="30" fillId="4" borderId="26" xfId="0" applyNumberFormat="1" applyFont="1" applyFill="1" applyBorder="1" applyAlignment="1" applyProtection="1">
      <alignment horizontal="center" vertical="center"/>
      <protection locked="0"/>
    </xf>
    <xf numFmtId="17" fontId="30" fillId="4" borderId="32" xfId="0" applyNumberFormat="1" applyFont="1" applyFill="1" applyBorder="1" applyAlignment="1" applyProtection="1">
      <alignment horizontal="center" vertical="center"/>
      <protection locked="0"/>
    </xf>
    <xf numFmtId="17" fontId="30" fillId="4" borderId="30" xfId="0" applyNumberFormat="1" applyFont="1" applyFill="1" applyBorder="1" applyAlignment="1" applyProtection="1">
      <alignment horizontal="center" vertical="center"/>
      <protection locked="0"/>
    </xf>
    <xf numFmtId="17" fontId="30" fillId="4" borderId="31" xfId="0" applyNumberFormat="1" applyFont="1" applyFill="1" applyBorder="1" applyAlignment="1" applyProtection="1">
      <alignment horizontal="center" vertical="center"/>
      <protection locked="0"/>
    </xf>
    <xf numFmtId="0" fontId="28" fillId="2" borderId="0" xfId="0" applyFont="1" applyFill="1" applyBorder="1" applyAlignment="1">
      <alignment horizontal="left"/>
    </xf>
    <xf numFmtId="170" fontId="30" fillId="18" borderId="0" xfId="0" applyNumberFormat="1" applyFont="1" applyFill="1" applyBorder="1" applyAlignment="1">
      <alignment horizontal="center" vertical="center"/>
    </xf>
    <xf numFmtId="0" fontId="6" fillId="2" borderId="0" xfId="0" applyFont="1" applyFill="1" applyBorder="1" applyAlignment="1">
      <alignment horizontal="center" vertical="center" wrapText="1"/>
    </xf>
    <xf numFmtId="0" fontId="23" fillId="2" borderId="56" xfId="0" applyNumberFormat="1" applyFont="1" applyFill="1" applyBorder="1" applyAlignment="1" applyProtection="1">
      <alignment horizontal="center" vertical="center"/>
    </xf>
    <xf numFmtId="0" fontId="23" fillId="4" borderId="108" xfId="0" applyFont="1" applyFill="1" applyBorder="1" applyAlignment="1" applyProtection="1">
      <alignment horizontal="center" vertical="center"/>
      <protection locked="0"/>
    </xf>
    <xf numFmtId="0" fontId="23" fillId="4" borderId="60" xfId="0" applyFont="1" applyFill="1" applyBorder="1" applyAlignment="1" applyProtection="1">
      <alignment horizontal="center" vertical="center"/>
      <protection locked="0"/>
    </xf>
    <xf numFmtId="0" fontId="23" fillId="4" borderId="103" xfId="0" applyFont="1" applyFill="1" applyBorder="1" applyAlignment="1" applyProtection="1">
      <alignment horizontal="center" vertical="center"/>
      <protection locked="0"/>
    </xf>
    <xf numFmtId="0" fontId="23" fillId="4" borderId="107" xfId="0" applyFont="1" applyFill="1" applyBorder="1" applyAlignment="1" applyProtection="1">
      <alignment horizontal="center" vertical="center"/>
      <protection locked="0"/>
    </xf>
    <xf numFmtId="0" fontId="23" fillId="4" borderId="51" xfId="0" applyFont="1" applyFill="1" applyBorder="1" applyAlignment="1" applyProtection="1">
      <alignment horizontal="center" vertical="center"/>
      <protection locked="0"/>
    </xf>
    <xf numFmtId="0" fontId="23" fillId="4" borderId="57" xfId="0" applyFont="1" applyFill="1" applyBorder="1" applyAlignment="1" applyProtection="1">
      <alignment horizontal="center" vertical="center"/>
      <protection locked="0"/>
    </xf>
    <xf numFmtId="49" fontId="23" fillId="17" borderId="104" xfId="0" applyNumberFormat="1" applyFont="1" applyFill="1" applyBorder="1" applyAlignment="1">
      <alignment horizontal="left" vertical="center"/>
    </xf>
    <xf numFmtId="49" fontId="23" fillId="17" borderId="56" xfId="0" applyNumberFormat="1" applyFont="1" applyFill="1" applyBorder="1" applyAlignment="1">
      <alignment horizontal="left" vertical="center"/>
    </xf>
    <xf numFmtId="49" fontId="23" fillId="17" borderId="58" xfId="0" applyNumberFormat="1" applyFont="1" applyFill="1" applyBorder="1" applyAlignment="1">
      <alignment horizontal="left" vertical="center"/>
    </xf>
    <xf numFmtId="49" fontId="23" fillId="17" borderId="67" xfId="0" applyNumberFormat="1" applyFont="1" applyFill="1" applyBorder="1" applyAlignment="1">
      <alignment horizontal="left" vertical="center"/>
    </xf>
    <xf numFmtId="0" fontId="9" fillId="0" borderId="0" xfId="0" applyFont="1" applyFill="1" applyBorder="1" applyAlignment="1">
      <alignment horizontal="center" vertical="center"/>
    </xf>
    <xf numFmtId="0" fontId="9" fillId="0" borderId="15" xfId="0" applyFont="1" applyFill="1" applyBorder="1" applyAlignment="1">
      <alignment horizontal="center" vertical="center"/>
    </xf>
    <xf numFmtId="0" fontId="23" fillId="4" borderId="105" xfId="0" applyFont="1" applyFill="1" applyBorder="1" applyAlignment="1" applyProtection="1">
      <alignment horizontal="center" vertical="center"/>
      <protection locked="0"/>
    </xf>
    <xf numFmtId="0" fontId="23" fillId="4" borderId="106" xfId="0" applyFont="1" applyFill="1" applyBorder="1" applyAlignment="1" applyProtection="1">
      <alignment horizontal="center" vertical="center"/>
      <protection locked="0"/>
    </xf>
    <xf numFmtId="0" fontId="23" fillId="4" borderId="86" xfId="0" applyFont="1" applyFill="1" applyBorder="1" applyAlignment="1" applyProtection="1">
      <alignment horizontal="center" vertical="center"/>
      <protection locked="0"/>
    </xf>
    <xf numFmtId="0" fontId="9" fillId="2" borderId="25" xfId="0" applyFont="1" applyFill="1" applyBorder="1" applyAlignment="1">
      <alignment horizontal="left" vertical="top" wrapText="1"/>
    </xf>
    <xf numFmtId="0" fontId="23" fillId="2" borderId="13" xfId="0" applyFont="1" applyFill="1" applyBorder="1" applyAlignment="1">
      <alignment horizontal="left" vertical="top" wrapText="1"/>
    </xf>
    <xf numFmtId="0" fontId="23" fillId="2" borderId="26" xfId="0" applyFont="1" applyFill="1" applyBorder="1" applyAlignment="1">
      <alignment horizontal="left" vertical="top" wrapText="1"/>
    </xf>
    <xf numFmtId="0" fontId="23" fillId="4" borderId="25" xfId="0" applyFont="1" applyFill="1" applyBorder="1" applyAlignment="1" applyProtection="1">
      <alignment horizontal="center" vertical="center"/>
      <protection locked="0"/>
    </xf>
    <xf numFmtId="0" fontId="23" fillId="4" borderId="13" xfId="0" applyFont="1" applyFill="1" applyBorder="1" applyAlignment="1" applyProtection="1">
      <alignment horizontal="center" vertical="center"/>
      <protection locked="0"/>
    </xf>
    <xf numFmtId="0" fontId="23" fillId="4" borderId="26" xfId="0" applyFont="1" applyFill="1" applyBorder="1" applyAlignment="1" applyProtection="1">
      <alignment horizontal="center" vertical="center"/>
      <protection locked="0"/>
    </xf>
    <xf numFmtId="0" fontId="65" fillId="2" borderId="25" xfId="0" applyFont="1" applyFill="1" applyBorder="1" applyAlignment="1">
      <alignment horizontal="center"/>
    </xf>
    <xf numFmtId="0" fontId="65" fillId="2" borderId="13" xfId="0" applyFont="1" applyFill="1" applyBorder="1" applyAlignment="1">
      <alignment horizontal="center"/>
    </xf>
    <xf numFmtId="0" fontId="65" fillId="2" borderId="26" xfId="0" applyFont="1" applyFill="1" applyBorder="1" applyAlignment="1">
      <alignment horizontal="center"/>
    </xf>
    <xf numFmtId="0" fontId="23" fillId="17" borderId="67" xfId="0" applyNumberFormat="1" applyFont="1" applyFill="1" applyBorder="1" applyAlignment="1">
      <alignment horizontal="left" vertical="center"/>
    </xf>
    <xf numFmtId="0" fontId="23" fillId="17" borderId="58" xfId="0" applyNumberFormat="1" applyFont="1" applyFill="1" applyBorder="1" applyAlignment="1">
      <alignment horizontal="left" vertical="center"/>
    </xf>
    <xf numFmtId="0" fontId="23" fillId="2" borderId="111" xfId="0" applyNumberFormat="1" applyFont="1" applyFill="1" applyBorder="1" applyAlignment="1">
      <alignment horizontal="center" vertical="center"/>
    </xf>
    <xf numFmtId="0" fontId="23" fillId="2" borderId="83" xfId="0" applyNumberFormat="1" applyFont="1" applyFill="1" applyBorder="1" applyAlignment="1">
      <alignment horizontal="center" vertical="center"/>
    </xf>
    <xf numFmtId="0" fontId="23" fillId="2" borderId="109" xfId="0" applyNumberFormat="1" applyFont="1" applyFill="1" applyBorder="1" applyAlignment="1">
      <alignment horizontal="center"/>
    </xf>
    <xf numFmtId="0" fontId="23" fillId="2" borderId="110" xfId="0" applyNumberFormat="1" applyFont="1" applyFill="1" applyBorder="1" applyAlignment="1">
      <alignment horizontal="center"/>
    </xf>
    <xf numFmtId="0" fontId="23" fillId="2" borderId="4" xfId="0" applyFont="1" applyFill="1" applyBorder="1" applyAlignment="1">
      <alignment horizontal="center"/>
    </xf>
    <xf numFmtId="0" fontId="23" fillId="2" borderId="9" xfId="0" applyFont="1" applyFill="1" applyBorder="1" applyAlignment="1">
      <alignment horizontal="center"/>
    </xf>
    <xf numFmtId="0" fontId="23" fillId="2" borderId="56" xfId="0" applyNumberFormat="1" applyFont="1" applyFill="1" applyBorder="1" applyAlignment="1">
      <alignment horizontal="center" vertical="center"/>
    </xf>
    <xf numFmtId="17" fontId="30" fillId="17" borderId="25" xfId="0" applyNumberFormat="1" applyFont="1" applyFill="1" applyBorder="1" applyAlignment="1">
      <alignment horizontal="center" vertical="center"/>
    </xf>
    <xf numFmtId="17" fontId="30" fillId="17" borderId="13" xfId="0" applyNumberFormat="1" applyFont="1" applyFill="1" applyBorder="1" applyAlignment="1">
      <alignment horizontal="center" vertical="center"/>
    </xf>
    <xf numFmtId="17" fontId="30" fillId="17" borderId="26" xfId="0" applyNumberFormat="1" applyFont="1" applyFill="1" applyBorder="1" applyAlignment="1">
      <alignment horizontal="center" vertical="center"/>
    </xf>
    <xf numFmtId="17" fontId="30" fillId="17" borderId="32" xfId="0" applyNumberFormat="1" applyFont="1" applyFill="1" applyBorder="1" applyAlignment="1">
      <alignment horizontal="center" vertical="center"/>
    </xf>
    <xf numFmtId="17" fontId="30" fillId="17" borderId="30" xfId="0" applyNumberFormat="1" applyFont="1" applyFill="1" applyBorder="1" applyAlignment="1">
      <alignment horizontal="center" vertical="center"/>
    </xf>
    <xf numFmtId="17" fontId="30" fillId="17" borderId="31" xfId="0" applyNumberFormat="1" applyFont="1" applyFill="1" applyBorder="1" applyAlignment="1">
      <alignment horizontal="center" vertical="center"/>
    </xf>
    <xf numFmtId="170" fontId="83" fillId="2" borderId="0" xfId="0" applyNumberFormat="1" applyFont="1" applyFill="1" applyBorder="1" applyAlignment="1">
      <alignment horizontal="right" vertical="center"/>
    </xf>
    <xf numFmtId="0" fontId="23" fillId="4" borderId="0" xfId="0" applyFont="1" applyFill="1" applyBorder="1" applyAlignment="1" applyProtection="1">
      <alignment horizontal="center" vertical="center"/>
      <protection locked="0"/>
    </xf>
    <xf numFmtId="0" fontId="23" fillId="4" borderId="15" xfId="0" applyFont="1" applyFill="1" applyBorder="1" applyAlignment="1" applyProtection="1">
      <alignment horizontal="center" vertical="center"/>
      <protection locked="0"/>
    </xf>
    <xf numFmtId="0" fontId="23" fillId="4" borderId="67" xfId="0" applyFont="1" applyFill="1" applyBorder="1" applyAlignment="1" applyProtection="1">
      <alignment horizontal="left" vertical="center"/>
      <protection locked="0"/>
    </xf>
    <xf numFmtId="0" fontId="23" fillId="4" borderId="58" xfId="0" applyFont="1" applyFill="1" applyBorder="1" applyAlignment="1" applyProtection="1">
      <alignment horizontal="left" vertical="center"/>
      <protection locked="0"/>
    </xf>
    <xf numFmtId="0" fontId="23" fillId="4" borderId="0" xfId="0" applyFont="1" applyFill="1" applyBorder="1" applyAlignment="1" applyProtection="1">
      <alignment horizontal="left" vertical="center"/>
      <protection locked="0"/>
    </xf>
    <xf numFmtId="0" fontId="23" fillId="4" borderId="15" xfId="0" applyFont="1" applyFill="1" applyBorder="1" applyAlignment="1" applyProtection="1">
      <alignment horizontal="left" vertical="center"/>
      <protection locked="0"/>
    </xf>
    <xf numFmtId="15" fontId="23" fillId="4" borderId="106" xfId="0" applyNumberFormat="1" applyFont="1" applyFill="1" applyBorder="1" applyAlignment="1" applyProtection="1">
      <alignment horizontal="center" vertical="center"/>
      <protection locked="0"/>
    </xf>
    <xf numFmtId="2" fontId="23" fillId="17" borderId="67" xfId="0" applyNumberFormat="1" applyFont="1" applyFill="1" applyBorder="1" applyAlignment="1">
      <alignment horizontal="left" vertical="center"/>
    </xf>
    <xf numFmtId="2" fontId="23" fillId="17" borderId="58" xfId="0" applyNumberFormat="1" applyFont="1" applyFill="1" applyBorder="1" applyAlignment="1">
      <alignment horizontal="left" vertical="center"/>
    </xf>
    <xf numFmtId="0" fontId="23" fillId="2" borderId="0" xfId="0" applyFont="1" applyFill="1" applyBorder="1" applyAlignment="1">
      <alignment horizontal="center" vertical="center"/>
    </xf>
    <xf numFmtId="0" fontId="23" fillId="2" borderId="15" xfId="0" applyFont="1" applyFill="1" applyBorder="1" applyAlignment="1">
      <alignment horizontal="center" vertical="center"/>
    </xf>
    <xf numFmtId="0" fontId="23" fillId="2" borderId="30" xfId="0" applyFont="1" applyFill="1" applyBorder="1" applyAlignment="1">
      <alignment horizontal="center" vertical="center"/>
    </xf>
    <xf numFmtId="0" fontId="23" fillId="2" borderId="31" xfId="0" applyFont="1" applyFill="1" applyBorder="1" applyAlignment="1">
      <alignment horizontal="center" vertical="center"/>
    </xf>
    <xf numFmtId="0" fontId="23" fillId="2" borderId="125" xfId="0" applyFont="1" applyFill="1" applyBorder="1" applyAlignment="1">
      <alignment horizontal="right"/>
    </xf>
    <xf numFmtId="0" fontId="23" fillId="2" borderId="126" xfId="0" applyFont="1" applyFill="1" applyBorder="1" applyAlignment="1">
      <alignment horizontal="right"/>
    </xf>
    <xf numFmtId="0" fontId="23" fillId="2" borderId="14" xfId="0" applyFont="1" applyFill="1" applyBorder="1" applyAlignment="1">
      <alignment horizontal="right"/>
    </xf>
    <xf numFmtId="0" fontId="23" fillId="2" borderId="0" xfId="0" applyFont="1" applyFill="1" applyBorder="1" applyAlignment="1">
      <alignment horizontal="right"/>
    </xf>
    <xf numFmtId="0" fontId="74" fillId="17" borderId="127" xfId="0" applyFont="1" applyFill="1" applyBorder="1" applyAlignment="1">
      <alignment horizontal="left" vertical="center" wrapText="1"/>
    </xf>
    <xf numFmtId="0" fontId="74" fillId="17" borderId="56" xfId="0" applyFont="1" applyFill="1" applyBorder="1" applyAlignment="1">
      <alignment horizontal="left" vertical="center" wrapText="1"/>
    </xf>
    <xf numFmtId="0" fontId="87" fillId="2" borderId="0" xfId="0" applyFont="1" applyFill="1" applyBorder="1" applyAlignment="1">
      <alignment horizontal="right"/>
    </xf>
    <xf numFmtId="0" fontId="87" fillId="2" borderId="15" xfId="0" applyFont="1" applyFill="1" applyBorder="1" applyAlignment="1">
      <alignment horizontal="right"/>
    </xf>
    <xf numFmtId="0" fontId="23" fillId="2" borderId="14" xfId="0" applyFont="1" applyFill="1" applyBorder="1" applyAlignment="1">
      <alignment horizontal="center"/>
    </xf>
    <xf numFmtId="0" fontId="23" fillId="2" borderId="32" xfId="0" applyFont="1" applyFill="1" applyBorder="1" applyAlignment="1">
      <alignment horizontal="center"/>
    </xf>
    <xf numFmtId="0" fontId="8" fillId="2" borderId="0" xfId="0" applyFont="1" applyFill="1" applyBorder="1" applyAlignment="1">
      <alignment horizontal="center" vertical="center"/>
    </xf>
    <xf numFmtId="0" fontId="23" fillId="4" borderId="104" xfId="0" applyFont="1" applyFill="1" applyBorder="1" applyProtection="1">
      <protection locked="0"/>
    </xf>
    <xf numFmtId="0" fontId="23" fillId="4" borderId="56" xfId="0" applyFont="1" applyFill="1" applyBorder="1" applyProtection="1">
      <protection locked="0"/>
    </xf>
    <xf numFmtId="0" fontId="23" fillId="4" borderId="58" xfId="0" applyFont="1" applyFill="1" applyBorder="1" applyProtection="1">
      <protection locked="0"/>
    </xf>
    <xf numFmtId="0" fontId="23" fillId="4" borderId="32" xfId="0" applyFont="1" applyFill="1" applyBorder="1" applyProtection="1">
      <protection locked="0"/>
    </xf>
    <xf numFmtId="0" fontId="23" fillId="4" borderId="30" xfId="0" applyFont="1" applyFill="1" applyBorder="1" applyProtection="1">
      <protection locked="0"/>
    </xf>
    <xf numFmtId="0" fontId="23" fillId="4" borderId="31" xfId="0" applyFont="1" applyFill="1" applyBorder="1" applyProtection="1">
      <protection locked="0"/>
    </xf>
    <xf numFmtId="0" fontId="23" fillId="2" borderId="25" xfId="0" applyFont="1" applyFill="1" applyBorder="1" applyAlignment="1">
      <alignment horizontal="left"/>
    </xf>
    <xf numFmtId="0" fontId="23" fillId="2" borderId="13" xfId="0" applyFont="1" applyFill="1" applyBorder="1" applyAlignment="1">
      <alignment horizontal="left"/>
    </xf>
    <xf numFmtId="0" fontId="23" fillId="2" borderId="26" xfId="0" applyFont="1" applyFill="1" applyBorder="1" applyAlignment="1">
      <alignment horizontal="left"/>
    </xf>
    <xf numFmtId="0" fontId="23" fillId="4" borderId="108" xfId="0" applyFont="1" applyFill="1" applyBorder="1" applyAlignment="1" applyProtection="1">
      <alignment horizontal="center"/>
      <protection locked="0"/>
    </xf>
    <xf numFmtId="0" fontId="23" fillId="4" borderId="60" xfId="0" applyFont="1" applyFill="1" applyBorder="1" applyAlignment="1" applyProtection="1">
      <alignment horizontal="center"/>
      <protection locked="0"/>
    </xf>
    <xf numFmtId="0" fontId="23" fillId="4" borderId="103" xfId="0" applyFont="1" applyFill="1" applyBorder="1" applyAlignment="1" applyProtection="1">
      <alignment horizontal="center"/>
      <protection locked="0"/>
    </xf>
    <xf numFmtId="0" fontId="23" fillId="4" borderId="104" xfId="0" applyFont="1" applyFill="1" applyBorder="1" applyAlignment="1" applyProtection="1">
      <alignment horizontal="center"/>
      <protection locked="0"/>
    </xf>
    <xf numFmtId="0" fontId="23" fillId="4" borderId="56" xfId="0" applyFont="1" applyFill="1" applyBorder="1" applyAlignment="1" applyProtection="1">
      <alignment horizontal="center"/>
      <protection locked="0"/>
    </xf>
    <xf numFmtId="0" fontId="23" fillId="4" borderId="58" xfId="0" applyFont="1" applyFill="1" applyBorder="1" applyAlignment="1" applyProtection="1">
      <alignment horizontal="center"/>
      <protection locked="0"/>
    </xf>
    <xf numFmtId="0" fontId="23" fillId="4" borderId="14" xfId="0" applyFont="1" applyFill="1" applyBorder="1" applyAlignment="1" applyProtection="1">
      <alignment horizontal="center"/>
      <protection locked="0"/>
    </xf>
    <xf numFmtId="0" fontId="23" fillId="4" borderId="0" xfId="0" applyFont="1" applyFill="1" applyBorder="1" applyAlignment="1" applyProtection="1">
      <alignment horizontal="center"/>
      <protection locked="0"/>
    </xf>
    <xf numFmtId="0" fontId="23" fillId="4" borderId="15" xfId="0" applyFont="1" applyFill="1" applyBorder="1" applyAlignment="1" applyProtection="1">
      <alignment horizontal="center"/>
      <protection locked="0"/>
    </xf>
    <xf numFmtId="0" fontId="23" fillId="4" borderId="105" xfId="0" applyFont="1" applyFill="1" applyBorder="1" applyAlignment="1" applyProtection="1">
      <alignment horizontal="center"/>
      <protection locked="0"/>
    </xf>
    <xf numFmtId="0" fontId="23" fillId="4" borderId="106" xfId="0" applyFont="1" applyFill="1" applyBorder="1" applyAlignment="1" applyProtection="1">
      <alignment horizontal="center"/>
      <protection locked="0"/>
    </xf>
    <xf numFmtId="0" fontId="23" fillId="4" borderId="86" xfId="0" applyFont="1" applyFill="1" applyBorder="1" applyAlignment="1" applyProtection="1">
      <alignment horizontal="center"/>
      <protection locked="0"/>
    </xf>
    <xf numFmtId="0" fontId="70" fillId="14" borderId="15" xfId="0" applyFont="1" applyFill="1" applyBorder="1" applyAlignment="1">
      <alignment horizontal="center" vertical="center"/>
    </xf>
    <xf numFmtId="0" fontId="23" fillId="0" borderId="14" xfId="0" applyFont="1" applyFill="1" applyBorder="1"/>
    <xf numFmtId="0" fontId="23" fillId="0" borderId="0" xfId="0" applyFont="1" applyFill="1" applyBorder="1"/>
    <xf numFmtId="0" fontId="23" fillId="0" borderId="15" xfId="0" applyFont="1" applyFill="1" applyBorder="1"/>
    <xf numFmtId="0" fontId="23" fillId="2" borderId="1" xfId="0" applyNumberFormat="1" applyFont="1" applyFill="1" applyBorder="1" applyAlignment="1">
      <alignment horizontal="center" vertical="center"/>
    </xf>
    <xf numFmtId="0" fontId="23" fillId="2" borderId="7" xfId="0" applyNumberFormat="1" applyFont="1" applyFill="1" applyBorder="1" applyAlignment="1">
      <alignment horizontal="center" vertical="center"/>
    </xf>
    <xf numFmtId="0" fontId="6" fillId="4" borderId="51" xfId="0" applyFont="1" applyFill="1" applyBorder="1" applyAlignment="1" applyProtection="1">
      <alignment horizontal="left" vertical="center" wrapText="1"/>
      <protection locked="0"/>
    </xf>
    <xf numFmtId="0" fontId="6" fillId="4" borderId="57" xfId="0" applyFont="1" applyFill="1" applyBorder="1" applyAlignment="1" applyProtection="1">
      <alignment horizontal="left" vertical="center" wrapText="1"/>
      <protection locked="0"/>
    </xf>
    <xf numFmtId="17" fontId="30" fillId="4" borderId="0" xfId="0" applyNumberFormat="1" applyFont="1" applyFill="1" applyBorder="1" applyAlignment="1" applyProtection="1">
      <alignment horizontal="center" vertical="center"/>
      <protection locked="0"/>
    </xf>
    <xf numFmtId="0" fontId="74" fillId="17" borderId="60" xfId="0" applyFont="1" applyFill="1" applyBorder="1" applyAlignment="1">
      <alignment horizontal="left" vertical="center" wrapText="1"/>
    </xf>
    <xf numFmtId="0" fontId="74" fillId="17" borderId="103" xfId="0" applyFont="1" applyFill="1" applyBorder="1" applyAlignment="1">
      <alignment horizontal="left" vertical="center" wrapText="1"/>
    </xf>
    <xf numFmtId="0" fontId="87" fillId="2" borderId="30" xfId="0" applyFont="1" applyFill="1" applyBorder="1" applyAlignment="1">
      <alignment horizontal="right"/>
    </xf>
    <xf numFmtId="0" fontId="87" fillId="2" borderId="31" xfId="0" applyFont="1" applyFill="1" applyBorder="1" applyAlignment="1">
      <alignment horizontal="right"/>
    </xf>
    <xf numFmtId="0" fontId="23" fillId="2" borderId="14" xfId="0" applyFont="1" applyFill="1" applyBorder="1" applyAlignment="1">
      <alignment horizontal="left" vertical="center" wrapText="1"/>
    </xf>
    <xf numFmtId="0" fontId="23" fillId="2" borderId="2" xfId="0" applyNumberFormat="1" applyFont="1" applyFill="1" applyBorder="1" applyAlignment="1">
      <alignment horizontal="center" vertical="center"/>
    </xf>
    <xf numFmtId="0" fontId="23" fillId="2" borderId="0" xfId="0" applyNumberFormat="1" applyFont="1" applyFill="1" applyBorder="1" applyAlignment="1">
      <alignment horizontal="center" vertical="center"/>
    </xf>
    <xf numFmtId="0" fontId="23" fillId="2" borderId="13" xfId="0" applyNumberFormat="1" applyFont="1" applyFill="1" applyBorder="1" applyAlignment="1">
      <alignment horizontal="center" vertical="center"/>
    </xf>
    <xf numFmtId="0" fontId="0" fillId="2" borderId="0" xfId="0" applyFill="1" applyBorder="1" applyAlignment="1">
      <alignment horizontal="left" vertical="top" wrapText="1"/>
    </xf>
    <xf numFmtId="0" fontId="0" fillId="2" borderId="0" xfId="0" applyFill="1" applyBorder="1" applyAlignment="1">
      <alignment horizontal="left" wrapText="1"/>
    </xf>
    <xf numFmtId="0" fontId="0" fillId="2" borderId="0" xfId="0" applyFill="1" applyBorder="1" applyAlignment="1">
      <alignment horizontal="right"/>
    </xf>
    <xf numFmtId="0" fontId="0" fillId="2" borderId="130" xfId="0" applyFill="1" applyBorder="1" applyAlignment="1">
      <alignment horizontal="right"/>
    </xf>
    <xf numFmtId="0" fontId="0" fillId="17" borderId="67" xfId="0" applyFill="1" applyBorder="1" applyAlignment="1">
      <alignment horizontal="left"/>
    </xf>
    <xf numFmtId="0" fontId="0" fillId="17" borderId="56" xfId="0" applyFill="1" applyBorder="1" applyAlignment="1">
      <alignment horizontal="left"/>
    </xf>
    <xf numFmtId="0" fontId="0" fillId="17" borderId="54" xfId="0" applyFill="1" applyBorder="1" applyAlignment="1">
      <alignment horizontal="left"/>
    </xf>
    <xf numFmtId="0" fontId="58" fillId="19" borderId="0" xfId="0" applyFont="1" applyFill="1" applyBorder="1" applyAlignment="1">
      <alignment horizontal="left" wrapText="1"/>
    </xf>
    <xf numFmtId="0" fontId="42" fillId="19" borderId="0" xfId="0" applyFont="1" applyFill="1" applyBorder="1" applyAlignment="1">
      <alignment horizontal="center"/>
    </xf>
    <xf numFmtId="0" fontId="0" fillId="19" borderId="0" xfId="0" applyFill="1" applyBorder="1" applyAlignment="1">
      <alignment horizontal="center"/>
    </xf>
    <xf numFmtId="49" fontId="0" fillId="17" borderId="67" xfId="0" applyNumberFormat="1" applyFill="1" applyBorder="1" applyAlignment="1">
      <alignment horizontal="left"/>
    </xf>
    <xf numFmtId="0" fontId="0" fillId="17" borderId="56" xfId="0" applyNumberFormat="1" applyFill="1" applyBorder="1" applyAlignment="1">
      <alignment horizontal="left"/>
    </xf>
    <xf numFmtId="0" fontId="0" fillId="2" borderId="0" xfId="0" applyFill="1" applyAlignment="1">
      <alignment horizontal="right"/>
    </xf>
    <xf numFmtId="0" fontId="0" fillId="4" borderId="67" xfId="0" applyFill="1" applyBorder="1" applyAlignment="1">
      <alignment horizontal="center"/>
    </xf>
    <xf numFmtId="0" fontId="0" fillId="4" borderId="56" xfId="0" applyFill="1" applyBorder="1" applyAlignment="1">
      <alignment horizontal="center"/>
    </xf>
    <xf numFmtId="0" fontId="0" fillId="4" borderId="54" xfId="0" applyFill="1" applyBorder="1" applyAlignment="1">
      <alignment horizontal="center"/>
    </xf>
  </cellXfs>
  <cellStyles count="32">
    <cellStyle name="Check Cell 2" xfId="22" xr:uid="{00000000-0005-0000-0000-000000000000}"/>
    <cellStyle name="Comma 2" xfId="8" xr:uid="{00000000-0005-0000-0000-000002000000}"/>
    <cellStyle name="Comma 2 2" xfId="26" xr:uid="{00000000-0005-0000-0000-000003000000}"/>
    <cellStyle name="Comma 3" xfId="23" xr:uid="{00000000-0005-0000-0000-000004000000}"/>
    <cellStyle name="Currency 2" xfId="10" xr:uid="{00000000-0005-0000-0000-000005000000}"/>
    <cellStyle name="Hyperlink 2" xfId="6" xr:uid="{00000000-0005-0000-0000-000007000000}"/>
    <cellStyle name="Hyperlink 3" xfId="30" xr:uid="{00000000-0005-0000-0000-000008000000}"/>
    <cellStyle name="Köprü" xfId="5" builtinId="8"/>
    <cellStyle name="Normal" xfId="0" builtinId="0"/>
    <cellStyle name="Normal 2" xfId="3" xr:uid="{00000000-0005-0000-0000-00000A000000}"/>
    <cellStyle name="Normal 2 2" xfId="12" xr:uid="{00000000-0005-0000-0000-00000B000000}"/>
    <cellStyle name="Normal 2 2 2" xfId="13" xr:uid="{00000000-0005-0000-0000-00000C000000}"/>
    <cellStyle name="Normal 2 2 3" xfId="14" xr:uid="{00000000-0005-0000-0000-00000D000000}"/>
    <cellStyle name="Normal 3" xfId="4" xr:uid="{00000000-0005-0000-0000-00000E000000}"/>
    <cellStyle name="Normal 3 2" xfId="9" xr:uid="{00000000-0005-0000-0000-00000F000000}"/>
    <cellStyle name="Normal 3 2 2" xfId="15" xr:uid="{00000000-0005-0000-0000-000010000000}"/>
    <cellStyle name="Normal 3 2 3" xfId="16" xr:uid="{00000000-0005-0000-0000-000011000000}"/>
    <cellStyle name="Normal 3 3" xfId="24" xr:uid="{00000000-0005-0000-0000-000012000000}"/>
    <cellStyle name="Normal 4" xfId="7" xr:uid="{00000000-0005-0000-0000-000013000000}"/>
    <cellStyle name="Normal 5" xfId="17" xr:uid="{00000000-0005-0000-0000-000014000000}"/>
    <cellStyle name="Normal 6" xfId="18" xr:uid="{00000000-0005-0000-0000-000015000000}"/>
    <cellStyle name="Normal 7" xfId="19" xr:uid="{00000000-0005-0000-0000-000016000000}"/>
    <cellStyle name="Normal 8" xfId="20" xr:uid="{00000000-0005-0000-0000-000017000000}"/>
    <cellStyle name="Normal 9" xfId="28" xr:uid="{00000000-0005-0000-0000-000018000000}"/>
    <cellStyle name="Normal 9 2" xfId="31" xr:uid="{00000000-0005-0000-0000-000019000000}"/>
    <cellStyle name="Normal_Financial" xfId="25" xr:uid="{00000000-0005-0000-0000-00001A000000}"/>
    <cellStyle name="Percent 2" xfId="11" xr:uid="{00000000-0005-0000-0000-00001C000000}"/>
    <cellStyle name="Percent 2 2" xfId="29" xr:uid="{00000000-0005-0000-0000-00001D000000}"/>
    <cellStyle name="Percent 3" xfId="27" xr:uid="{00000000-0005-0000-0000-00001E000000}"/>
    <cellStyle name="Standard_Policy Deployment L" xfId="21" xr:uid="{00000000-0005-0000-0000-00001F000000}"/>
    <cellStyle name="Virgül" xfId="2" builtinId="3"/>
    <cellStyle name="Yüzde" xfId="1" builtinId="5"/>
  </cellStyles>
  <dxfs count="48">
    <dxf>
      <fill>
        <patternFill>
          <bgColor rgb="FFFFFFCC"/>
        </patternFill>
      </fill>
    </dxf>
    <dxf>
      <fill>
        <patternFill>
          <bgColor rgb="FFFFFFCC"/>
        </patternFill>
      </fill>
    </dxf>
    <dxf>
      <fill>
        <patternFill>
          <bgColor rgb="FFFF0000"/>
        </patternFill>
      </fill>
    </dxf>
    <dxf>
      <fill>
        <patternFill patternType="solid">
          <fgColor rgb="FFFFFFCC"/>
          <bgColor indexed="65"/>
        </patternFill>
      </fill>
    </dxf>
    <dxf>
      <fill>
        <patternFill>
          <bgColor rgb="FFFFCCCC"/>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DDDDDD"/>
        </patternFill>
      </fill>
    </dxf>
    <dxf>
      <fill>
        <patternFill>
          <bgColor rgb="FFFF3300"/>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ill>
        <patternFill>
          <bgColor rgb="FFFF7C80"/>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DDDDDD"/>
        </patternFill>
      </fill>
    </dxf>
    <dxf>
      <font>
        <color rgb="FF9C0006"/>
      </font>
      <fill>
        <patternFill>
          <bgColor rgb="FFFFC7CE"/>
        </patternFill>
      </fill>
    </dxf>
    <dxf>
      <fill>
        <patternFill>
          <bgColor rgb="FFDDDDDD"/>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
      <fill>
        <patternFill>
          <bgColor indexed="11"/>
        </patternFill>
      </fill>
    </dxf>
    <dxf>
      <fill>
        <patternFill>
          <bgColor indexed="11"/>
        </patternFill>
      </fill>
    </dxf>
    <dxf>
      <fill>
        <patternFill>
          <bgColor indexed="11"/>
        </patternFill>
      </fill>
    </dxf>
  </dxfs>
  <tableStyles count="0" defaultTableStyle="TableStyleMedium2" defaultPivotStyle="PivotStyleLight16"/>
  <colors>
    <mruColors>
      <color rgb="FFFFCCCC"/>
      <color rgb="FFFFFFCC"/>
      <color rgb="FFDDDDDD"/>
      <color rgb="FFCCFFFF"/>
      <color rgb="FF99FFCC"/>
      <color rgb="FF00FFFF"/>
      <color rgb="FFCC9900"/>
      <color rgb="FFF8F8F8"/>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noThreeD="1"/>
</file>

<file path=xl/ctrlProps/ctrlProp2.xml><?xml version="1.0" encoding="utf-8"?>
<formControlPr xmlns="http://schemas.microsoft.com/office/spreadsheetml/2009/9/main" objectType="CheckBox"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143</xdr:row>
      <xdr:rowOff>0</xdr:rowOff>
    </xdr:from>
    <xdr:to>
      <xdr:col>4</xdr:col>
      <xdr:colOff>104775</xdr:colOff>
      <xdr:row>143</xdr:row>
      <xdr:rowOff>165100</xdr:rowOff>
    </xdr:to>
    <xdr:sp macro="" textlink="">
      <xdr:nvSpPr>
        <xdr:cNvPr id="2" name="Text Box 9">
          <a:extLst>
            <a:ext uri="{FF2B5EF4-FFF2-40B4-BE49-F238E27FC236}">
              <a16:creationId xmlns:a16="http://schemas.microsoft.com/office/drawing/2014/main" id="{00000000-0008-0000-0000-000002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3" name="Text Box 38">
          <a:extLst>
            <a:ext uri="{FF2B5EF4-FFF2-40B4-BE49-F238E27FC236}">
              <a16:creationId xmlns:a16="http://schemas.microsoft.com/office/drawing/2014/main" id="{00000000-0008-0000-0000-000003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4" name="Text Box 9">
          <a:extLst>
            <a:ext uri="{FF2B5EF4-FFF2-40B4-BE49-F238E27FC236}">
              <a16:creationId xmlns:a16="http://schemas.microsoft.com/office/drawing/2014/main" id="{00000000-0008-0000-0000-000004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5" name="Text Box 38">
          <a:extLst>
            <a:ext uri="{FF2B5EF4-FFF2-40B4-BE49-F238E27FC236}">
              <a16:creationId xmlns:a16="http://schemas.microsoft.com/office/drawing/2014/main" id="{00000000-0008-0000-0000-000005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6" name="Text Box 9">
          <a:extLst>
            <a:ext uri="{FF2B5EF4-FFF2-40B4-BE49-F238E27FC236}">
              <a16:creationId xmlns:a16="http://schemas.microsoft.com/office/drawing/2014/main" id="{00000000-0008-0000-0000-000006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7" name="Text Box 38">
          <a:extLst>
            <a:ext uri="{FF2B5EF4-FFF2-40B4-BE49-F238E27FC236}">
              <a16:creationId xmlns:a16="http://schemas.microsoft.com/office/drawing/2014/main" id="{00000000-0008-0000-0000-000007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8" name="Text Box 9">
          <a:extLst>
            <a:ext uri="{FF2B5EF4-FFF2-40B4-BE49-F238E27FC236}">
              <a16:creationId xmlns:a16="http://schemas.microsoft.com/office/drawing/2014/main" id="{00000000-0008-0000-0000-000008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9" name="Text Box 38">
          <a:extLst>
            <a:ext uri="{FF2B5EF4-FFF2-40B4-BE49-F238E27FC236}">
              <a16:creationId xmlns:a16="http://schemas.microsoft.com/office/drawing/2014/main" id="{00000000-0008-0000-0000-000009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0" name="Text Box 9">
          <a:extLst>
            <a:ext uri="{FF2B5EF4-FFF2-40B4-BE49-F238E27FC236}">
              <a16:creationId xmlns:a16="http://schemas.microsoft.com/office/drawing/2014/main" id="{00000000-0008-0000-0000-00000A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1" name="Text Box 38">
          <a:extLst>
            <a:ext uri="{FF2B5EF4-FFF2-40B4-BE49-F238E27FC236}">
              <a16:creationId xmlns:a16="http://schemas.microsoft.com/office/drawing/2014/main" id="{00000000-0008-0000-0000-00000B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2" name="Text Box 9">
          <a:extLst>
            <a:ext uri="{FF2B5EF4-FFF2-40B4-BE49-F238E27FC236}">
              <a16:creationId xmlns:a16="http://schemas.microsoft.com/office/drawing/2014/main" id="{00000000-0008-0000-0000-00000C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161925</xdr:rowOff>
    </xdr:to>
    <xdr:sp macro="" textlink="">
      <xdr:nvSpPr>
        <xdr:cNvPr id="13" name="Text Box 38">
          <a:extLst>
            <a:ext uri="{FF2B5EF4-FFF2-40B4-BE49-F238E27FC236}">
              <a16:creationId xmlns:a16="http://schemas.microsoft.com/office/drawing/2014/main" id="{00000000-0008-0000-0000-00000D000000}"/>
            </a:ext>
          </a:extLst>
        </xdr:cNvPr>
        <xdr:cNvSpPr txBox="1">
          <a:spLocks noChangeArrowheads="1"/>
        </xdr:cNvSpPr>
      </xdr:nvSpPr>
      <xdr:spPr bwMode="auto">
        <a:xfrm>
          <a:off x="4333875" y="27184350"/>
          <a:ext cx="104775" cy="161925"/>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4" name="Text Box 9">
          <a:extLst>
            <a:ext uri="{FF2B5EF4-FFF2-40B4-BE49-F238E27FC236}">
              <a16:creationId xmlns:a16="http://schemas.microsoft.com/office/drawing/2014/main" id="{00000000-0008-0000-0000-00000E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5" name="Text Box 38">
          <a:extLst>
            <a:ext uri="{FF2B5EF4-FFF2-40B4-BE49-F238E27FC236}">
              <a16:creationId xmlns:a16="http://schemas.microsoft.com/office/drawing/2014/main" id="{00000000-0008-0000-0000-00000F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6" name="Text Box 9">
          <a:extLst>
            <a:ext uri="{FF2B5EF4-FFF2-40B4-BE49-F238E27FC236}">
              <a16:creationId xmlns:a16="http://schemas.microsoft.com/office/drawing/2014/main" id="{00000000-0008-0000-0000-000010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twoCellAnchor editAs="oneCell">
    <xdr:from>
      <xdr:col>4</xdr:col>
      <xdr:colOff>0</xdr:colOff>
      <xdr:row>143</xdr:row>
      <xdr:rowOff>0</xdr:rowOff>
    </xdr:from>
    <xdr:to>
      <xdr:col>4</xdr:col>
      <xdr:colOff>104775</xdr:colOff>
      <xdr:row>143</xdr:row>
      <xdr:rowOff>165100</xdr:rowOff>
    </xdr:to>
    <xdr:sp macro="" textlink="">
      <xdr:nvSpPr>
        <xdr:cNvPr id="17" name="Text Box 38">
          <a:extLst>
            <a:ext uri="{FF2B5EF4-FFF2-40B4-BE49-F238E27FC236}">
              <a16:creationId xmlns:a16="http://schemas.microsoft.com/office/drawing/2014/main" id="{00000000-0008-0000-0000-000011000000}"/>
            </a:ext>
          </a:extLst>
        </xdr:cNvPr>
        <xdr:cNvSpPr txBox="1">
          <a:spLocks noChangeArrowheads="1"/>
        </xdr:cNvSpPr>
      </xdr:nvSpPr>
      <xdr:spPr bwMode="auto">
        <a:xfrm>
          <a:off x="4333875" y="27184350"/>
          <a:ext cx="104775" cy="165100"/>
        </a:xfrm>
        <a:prstGeom prst="rect">
          <a:avLst/>
        </a:prstGeom>
        <a:noFill/>
        <a:ln w="9525">
          <a:no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1240996</xdr:colOff>
      <xdr:row>0</xdr:row>
      <xdr:rowOff>0</xdr:rowOff>
    </xdr:from>
    <xdr:to>
      <xdr:col>14</xdr:col>
      <xdr:colOff>1135793</xdr:colOff>
      <xdr:row>2</xdr:row>
      <xdr:rowOff>79563</xdr:rowOff>
    </xdr:to>
    <xdr:pic>
      <xdr:nvPicPr>
        <xdr:cNvPr id="2" name="Picture 19" descr="New 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056275" y="0"/>
          <a:ext cx="3055223" cy="8540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400050</xdr:colOff>
          <xdr:row>9</xdr:row>
          <xdr:rowOff>171450</xdr:rowOff>
        </xdr:from>
        <xdr:to>
          <xdr:col>6</xdr:col>
          <xdr:colOff>735330</xdr:colOff>
          <xdr:row>11</xdr:row>
          <xdr:rowOff>19050</xdr:rowOff>
        </xdr:to>
        <xdr:sp macro="" textlink="">
          <xdr:nvSpPr>
            <xdr:cNvPr id="17410" name="CommandButton1"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9</xdr:col>
      <xdr:colOff>15240</xdr:colOff>
      <xdr:row>1</xdr:row>
      <xdr:rowOff>106680</xdr:rowOff>
    </xdr:from>
    <xdr:to>
      <xdr:col>11</xdr:col>
      <xdr:colOff>45719</xdr:colOff>
      <xdr:row>3</xdr:row>
      <xdr:rowOff>243840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22180" y="281940"/>
          <a:ext cx="2072639" cy="5943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963930</xdr:colOff>
          <xdr:row>3</xdr:row>
          <xdr:rowOff>38100</xdr:rowOff>
        </xdr:from>
        <xdr:to>
          <xdr:col>3</xdr:col>
          <xdr:colOff>2000250</xdr:colOff>
          <xdr:row>4</xdr:row>
          <xdr:rowOff>30480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10</xdr:col>
      <xdr:colOff>114300</xdr:colOff>
      <xdr:row>1</xdr:row>
      <xdr:rowOff>45720</xdr:rowOff>
    </xdr:from>
    <xdr:to>
      <xdr:col>12</xdr:col>
      <xdr:colOff>464819</xdr:colOff>
      <xdr:row>3</xdr:row>
      <xdr:rowOff>182880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72900" y="220980"/>
          <a:ext cx="2072639" cy="594360"/>
        </a:xfrm>
        <a:prstGeom prst="rect">
          <a:avLst/>
        </a:prstGeom>
      </xdr:spPr>
    </xdr:pic>
    <xdr:clientData/>
  </xdr:twoCellAnchor>
  <xdr:twoCellAnchor editAs="oneCell">
    <xdr:from>
      <xdr:col>2</xdr:col>
      <xdr:colOff>0</xdr:colOff>
      <xdr:row>2</xdr:row>
      <xdr:rowOff>0</xdr:rowOff>
    </xdr:from>
    <xdr:to>
      <xdr:col>4</xdr:col>
      <xdr:colOff>7620</xdr:colOff>
      <xdr:row>3</xdr:row>
      <xdr:rowOff>167640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1219200" y="342900"/>
          <a:ext cx="4739640" cy="45720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632460</xdr:colOff>
      <xdr:row>1</xdr:row>
      <xdr:rowOff>152400</xdr:rowOff>
    </xdr:from>
    <xdr:to>
      <xdr:col>8</xdr:col>
      <xdr:colOff>7619</xdr:colOff>
      <xdr:row>5</xdr:row>
      <xdr:rowOff>47626</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40680" y="327660"/>
          <a:ext cx="1790699" cy="6096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632460</xdr:colOff>
      <xdr:row>1</xdr:row>
      <xdr:rowOff>152400</xdr:rowOff>
    </xdr:from>
    <xdr:to>
      <xdr:col>6</xdr:col>
      <xdr:colOff>1148714</xdr:colOff>
      <xdr:row>4</xdr:row>
      <xdr:rowOff>112395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80660" y="327660"/>
          <a:ext cx="1790699" cy="6096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190500</xdr:colOff>
      <xdr:row>4</xdr:row>
      <xdr:rowOff>114299</xdr:rowOff>
    </xdr:from>
    <xdr:to>
      <xdr:col>19</xdr:col>
      <xdr:colOff>438150</xdr:colOff>
      <xdr:row>6</xdr:row>
      <xdr:rowOff>400049</xdr:rowOff>
    </xdr:to>
    <xdr:pic>
      <xdr:nvPicPr>
        <xdr:cNvPr id="2" name="Picture 7">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73125" y="933449"/>
          <a:ext cx="185737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1347439</xdr:colOff>
      <xdr:row>9</xdr:row>
      <xdr:rowOff>46464</xdr:rowOff>
    </xdr:to>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47317" y="987348"/>
          <a:ext cx="2694878" cy="126612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476249</xdr:colOff>
      <xdr:row>4</xdr:row>
      <xdr:rowOff>119062</xdr:rowOff>
    </xdr:from>
    <xdr:to>
      <xdr:col>2</xdr:col>
      <xdr:colOff>476249</xdr:colOff>
      <xdr:row>5</xdr:row>
      <xdr:rowOff>-1</xdr:rowOff>
    </xdr:to>
    <xdr:cxnSp macro="">
      <xdr:nvCxnSpPr>
        <xdr:cNvPr id="2" name="Straight Connector 1">
          <a:extLst>
            <a:ext uri="{FF2B5EF4-FFF2-40B4-BE49-F238E27FC236}">
              <a16:creationId xmlns:a16="http://schemas.microsoft.com/office/drawing/2014/main" id="{00000000-0008-0000-0A00-000002000000}"/>
            </a:ext>
          </a:extLst>
        </xdr:cNvPr>
        <xdr:cNvCxnSpPr/>
      </xdr:nvCxnSpPr>
      <xdr:spPr>
        <a:xfrm>
          <a:off x="1247774" y="1290637"/>
          <a:ext cx="0" cy="271462"/>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5</xdr:col>
      <xdr:colOff>632460</xdr:colOff>
      <xdr:row>1</xdr:row>
      <xdr:rowOff>152400</xdr:rowOff>
    </xdr:from>
    <xdr:to>
      <xdr:col>8</xdr:col>
      <xdr:colOff>7619</xdr:colOff>
      <xdr:row>5</xdr:row>
      <xdr:rowOff>45720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40680" y="327660"/>
          <a:ext cx="1790699" cy="6096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632460</xdr:colOff>
      <xdr:row>1</xdr:row>
      <xdr:rowOff>152400</xdr:rowOff>
    </xdr:from>
    <xdr:to>
      <xdr:col>7</xdr:col>
      <xdr:colOff>830579</xdr:colOff>
      <xdr:row>5</xdr:row>
      <xdr:rowOff>45720</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1620" y="327660"/>
          <a:ext cx="1790699" cy="6096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632460</xdr:colOff>
      <xdr:row>1</xdr:row>
      <xdr:rowOff>152400</xdr:rowOff>
    </xdr:from>
    <xdr:to>
      <xdr:col>7</xdr:col>
      <xdr:colOff>527957</xdr:colOff>
      <xdr:row>5</xdr:row>
      <xdr:rowOff>45720</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40680" y="327660"/>
          <a:ext cx="1790699" cy="6096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9525</xdr:colOff>
      <xdr:row>30</xdr:row>
      <xdr:rowOff>85725</xdr:rowOff>
    </xdr:from>
    <xdr:to>
      <xdr:col>1</xdr:col>
      <xdr:colOff>419099</xdr:colOff>
      <xdr:row>31</xdr:row>
      <xdr:rowOff>171450</xdr:rowOff>
    </xdr:to>
    <xdr:sp macro="" textlink="">
      <xdr:nvSpPr>
        <xdr:cNvPr id="16" name="TextBox 15">
          <a:extLst>
            <a:ext uri="{FF2B5EF4-FFF2-40B4-BE49-F238E27FC236}">
              <a16:creationId xmlns:a16="http://schemas.microsoft.com/office/drawing/2014/main" id="{00000000-0008-0000-0E00-000010000000}"/>
            </a:ext>
          </a:extLst>
        </xdr:cNvPr>
        <xdr:cNvSpPr txBox="1"/>
      </xdr:nvSpPr>
      <xdr:spPr>
        <a:xfrm>
          <a:off x="619125" y="5800725"/>
          <a:ext cx="409574" cy="2762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800" b="1" i="1">
              <a:solidFill>
                <a:srgbClr val="FFCCCC"/>
              </a:solidFill>
              <a:latin typeface="Arial" panose="020B0604020202020204" pitchFamily="34" charset="0"/>
              <a:cs typeface="Arial" panose="020B0604020202020204" pitchFamily="34" charset="0"/>
            </a:rPr>
            <a:t>Tick</a:t>
          </a:r>
        </a:p>
      </xdr:txBody>
    </xdr:sp>
    <xdr:clientData/>
  </xdr:twoCellAnchor>
  <xdr:twoCellAnchor>
    <xdr:from>
      <xdr:col>1</xdr:col>
      <xdr:colOff>28576</xdr:colOff>
      <xdr:row>27</xdr:row>
      <xdr:rowOff>38100</xdr:rowOff>
    </xdr:from>
    <xdr:to>
      <xdr:col>1</xdr:col>
      <xdr:colOff>438150</xdr:colOff>
      <xdr:row>28</xdr:row>
      <xdr:rowOff>123825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638176" y="5181600"/>
          <a:ext cx="409574" cy="2762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A" sz="800" b="1" i="1">
              <a:solidFill>
                <a:srgbClr val="FFCCCC"/>
              </a:solidFill>
              <a:latin typeface="Arial" panose="020B0604020202020204" pitchFamily="34" charset="0"/>
              <a:cs typeface="Arial" panose="020B0604020202020204" pitchFamily="34" charset="0"/>
            </a:rPr>
            <a:t>Tick</a:t>
          </a:r>
        </a:p>
      </xdr:txBody>
    </xdr:sp>
    <xdr:clientData/>
  </xdr:twoCellAnchor>
  <xdr:twoCellAnchor>
    <xdr:from>
      <xdr:col>0</xdr:col>
      <xdr:colOff>600075</xdr:colOff>
      <xdr:row>1</xdr:row>
      <xdr:rowOff>0</xdr:rowOff>
    </xdr:from>
    <xdr:to>
      <xdr:col>12</xdr:col>
      <xdr:colOff>9525</xdr:colOff>
      <xdr:row>23</xdr:row>
      <xdr:rowOff>0</xdr:rowOff>
    </xdr:to>
    <xdr:grpSp>
      <xdr:nvGrpSpPr>
        <xdr:cNvPr id="2" name="Group 1">
          <a:extLst>
            <a:ext uri="{FF2B5EF4-FFF2-40B4-BE49-F238E27FC236}">
              <a16:creationId xmlns:a16="http://schemas.microsoft.com/office/drawing/2014/main" id="{00000000-0008-0000-0E00-000002000000}"/>
            </a:ext>
          </a:extLst>
        </xdr:cNvPr>
        <xdr:cNvGrpSpPr/>
      </xdr:nvGrpSpPr>
      <xdr:grpSpPr>
        <a:xfrm>
          <a:off x="600075" y="200025"/>
          <a:ext cx="6724650" cy="4191000"/>
          <a:chOff x="830580" y="381000"/>
          <a:chExt cx="6202680" cy="3832860"/>
        </a:xfrm>
      </xdr:grpSpPr>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0580" y="381000"/>
            <a:ext cx="6202680" cy="3261360"/>
          </a:xfrm>
          <a:prstGeom prst="rect">
            <a:avLst/>
          </a:prstGeom>
          <a:noFill/>
          <a:extLst>
            <a:ext uri="{909E8E84-426E-40DD-AFC4-6F175D3DCCD1}">
              <a14:hiddenFill xmlns:a14="http://schemas.microsoft.com/office/drawing/2010/main">
                <a:solidFill>
                  <a:srgbClr val="FFFFFF"/>
                </a:solidFill>
              </a14:hiddenFill>
            </a:ext>
          </a:extLst>
        </xdr:spPr>
      </xdr:pic>
      <xdr:grpSp>
        <xdr:nvGrpSpPr>
          <xdr:cNvPr id="4" name="Group 3">
            <a:extLst>
              <a:ext uri="{FF2B5EF4-FFF2-40B4-BE49-F238E27FC236}">
                <a16:creationId xmlns:a16="http://schemas.microsoft.com/office/drawing/2014/main" id="{00000000-0008-0000-0E00-000004000000}"/>
              </a:ext>
            </a:extLst>
          </xdr:cNvPr>
          <xdr:cNvGrpSpPr/>
        </xdr:nvGrpSpPr>
        <xdr:grpSpPr>
          <a:xfrm>
            <a:off x="1051560" y="3223260"/>
            <a:ext cx="2065020" cy="990600"/>
            <a:chOff x="1150620" y="3870960"/>
            <a:chExt cx="2049780" cy="944880"/>
          </a:xfrm>
        </xdr:grpSpPr>
        <xdr:sp macro="" textlink="">
          <xdr:nvSpPr>
            <xdr:cNvPr id="9" name="Rectangle 8">
              <a:extLst>
                <a:ext uri="{FF2B5EF4-FFF2-40B4-BE49-F238E27FC236}">
                  <a16:creationId xmlns:a16="http://schemas.microsoft.com/office/drawing/2014/main" id="{00000000-0008-0000-0E00-000009000000}"/>
                </a:ext>
              </a:extLst>
            </xdr:cNvPr>
            <xdr:cNvSpPr/>
          </xdr:nvSpPr>
          <xdr:spPr>
            <a:xfrm>
              <a:off x="1150620" y="3870960"/>
              <a:ext cx="2042160" cy="944880"/>
            </a:xfrm>
            <a:prstGeom prst="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600" b="1"/>
                <a:t>R5</a:t>
              </a:r>
              <a:r>
                <a:rPr lang="en-ZA" sz="1600" b="1" baseline="0"/>
                <a:t> 000 discount</a:t>
              </a:r>
            </a:p>
            <a:p>
              <a:pPr algn="l"/>
              <a:r>
                <a:rPr lang="en-ZA" sz="1600" b="1" baseline="0"/>
                <a:t>(R1 500 for KZN customers)</a:t>
              </a:r>
              <a:endParaRPr lang="en-ZA" sz="1600" b="1"/>
            </a:p>
          </xdr:txBody>
        </xdr:sp>
        <xdr:cxnSp macro="">
          <xdr:nvCxnSpPr>
            <xdr:cNvPr id="10" name="Straight Connector 9">
              <a:extLst>
                <a:ext uri="{FF2B5EF4-FFF2-40B4-BE49-F238E27FC236}">
                  <a16:creationId xmlns:a16="http://schemas.microsoft.com/office/drawing/2014/main" id="{00000000-0008-0000-0E00-00000A000000}"/>
                </a:ext>
              </a:extLst>
            </xdr:cNvPr>
            <xdr:cNvCxnSpPr/>
          </xdr:nvCxnSpPr>
          <xdr:spPr>
            <a:xfrm flipV="1">
              <a:off x="1158240" y="3870960"/>
              <a:ext cx="2042160" cy="7620"/>
            </a:xfrm>
            <a:prstGeom prst="line">
              <a:avLst/>
            </a:prstGeom>
            <a:ln w="76200">
              <a:solidFill>
                <a:srgbClr val="FF0000"/>
              </a:solidFill>
            </a:ln>
          </xdr:spPr>
          <xdr:style>
            <a:lnRef idx="3">
              <a:schemeClr val="dk1"/>
            </a:lnRef>
            <a:fillRef idx="0">
              <a:schemeClr val="dk1"/>
            </a:fillRef>
            <a:effectRef idx="2">
              <a:schemeClr val="dk1"/>
            </a:effectRef>
            <a:fontRef idx="minor">
              <a:schemeClr val="tx1"/>
            </a:fontRef>
          </xdr:style>
        </xdr:cxnSp>
      </xdr:grpSp>
      <xdr:grpSp>
        <xdr:nvGrpSpPr>
          <xdr:cNvPr id="5" name="Group 4">
            <a:extLst>
              <a:ext uri="{FF2B5EF4-FFF2-40B4-BE49-F238E27FC236}">
                <a16:creationId xmlns:a16="http://schemas.microsoft.com/office/drawing/2014/main" id="{00000000-0008-0000-0E00-000005000000}"/>
              </a:ext>
            </a:extLst>
          </xdr:cNvPr>
          <xdr:cNvGrpSpPr/>
        </xdr:nvGrpSpPr>
        <xdr:grpSpPr>
          <a:xfrm>
            <a:off x="4838700" y="3192780"/>
            <a:ext cx="2065020" cy="990600"/>
            <a:chOff x="1150620" y="3870960"/>
            <a:chExt cx="2049780" cy="944880"/>
          </a:xfrm>
        </xdr:grpSpPr>
        <xdr:sp macro="" textlink="">
          <xdr:nvSpPr>
            <xdr:cNvPr id="7" name="Rectangle 6">
              <a:extLst>
                <a:ext uri="{FF2B5EF4-FFF2-40B4-BE49-F238E27FC236}">
                  <a16:creationId xmlns:a16="http://schemas.microsoft.com/office/drawing/2014/main" id="{00000000-0008-0000-0E00-000007000000}"/>
                </a:ext>
              </a:extLst>
            </xdr:cNvPr>
            <xdr:cNvSpPr/>
          </xdr:nvSpPr>
          <xdr:spPr>
            <a:xfrm>
              <a:off x="1150620" y="3870960"/>
              <a:ext cx="2042159" cy="944880"/>
            </a:xfrm>
            <a:prstGeom prst="rect">
              <a:avLst/>
            </a:prstGeom>
            <a:solidFill>
              <a:sysClr val="window" lastClr="FFFFFF">
                <a:lumMod val="75000"/>
              </a:sysClr>
            </a:solidFill>
            <a:ln w="12700" cap="flat" cmpd="sng" algn="ctr">
              <a:solidFill>
                <a:sysClr val="window" lastClr="FFFFFF"/>
              </a:solidFill>
              <a:prstDash val="solid"/>
              <a:miter lim="800000"/>
            </a:ln>
            <a:effectLst/>
          </xdr:spPr>
          <xdr:txBody>
            <a:bodyPr vertOverflow="clip" horzOverflow="clip" rtlCol="0" anchor="t"/>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ZA" sz="1600" b="1" i="0" u="none" strike="noStrike" kern="0" cap="none" spc="0" normalizeH="0" baseline="0" noProof="0">
                  <a:ln>
                    <a:noFill/>
                  </a:ln>
                  <a:solidFill>
                    <a:sysClr val="window" lastClr="FFFFFF"/>
                  </a:solidFill>
                  <a:effectLst/>
                  <a:uLnTx/>
                  <a:uFillTx/>
                  <a:latin typeface="Calibri" panose="020F0502020204030204"/>
                  <a:ea typeface="+mn-ea"/>
                  <a:cs typeface="+mn-cs"/>
                </a:rPr>
                <a:t>FREE MAN handover driver training for your drivers</a:t>
              </a:r>
            </a:p>
          </xdr:txBody>
        </xdr:sp>
        <xdr:cxnSp macro="">
          <xdr:nvCxnSpPr>
            <xdr:cNvPr id="8" name="Straight Connector 7">
              <a:extLst>
                <a:ext uri="{FF2B5EF4-FFF2-40B4-BE49-F238E27FC236}">
                  <a16:creationId xmlns:a16="http://schemas.microsoft.com/office/drawing/2014/main" id="{00000000-0008-0000-0E00-000008000000}"/>
                </a:ext>
              </a:extLst>
            </xdr:cNvPr>
            <xdr:cNvCxnSpPr/>
          </xdr:nvCxnSpPr>
          <xdr:spPr>
            <a:xfrm flipV="1">
              <a:off x="1158240" y="3870960"/>
              <a:ext cx="2042160" cy="7620"/>
            </a:xfrm>
            <a:prstGeom prst="line">
              <a:avLst/>
            </a:prstGeom>
            <a:noFill/>
            <a:ln w="76200" cap="flat" cmpd="sng" algn="ctr">
              <a:solidFill>
                <a:srgbClr val="FF0000"/>
              </a:solidFill>
              <a:prstDash val="solid"/>
              <a:miter lim="800000"/>
            </a:ln>
            <a:effectLst/>
          </xdr:spPr>
        </xdr:cxnSp>
      </xdr:grpSp>
      <xdr:sp macro="" textlink="">
        <xdr:nvSpPr>
          <xdr:cNvPr id="6" name="Oval 5">
            <a:extLst>
              <a:ext uri="{FF2B5EF4-FFF2-40B4-BE49-F238E27FC236}">
                <a16:creationId xmlns:a16="http://schemas.microsoft.com/office/drawing/2014/main" id="{00000000-0008-0000-0E00-000006000000}"/>
              </a:ext>
            </a:extLst>
          </xdr:cNvPr>
          <xdr:cNvSpPr/>
        </xdr:nvSpPr>
        <xdr:spPr>
          <a:xfrm>
            <a:off x="2455928" y="2225040"/>
            <a:ext cx="2916171" cy="1394460"/>
          </a:xfrm>
          <a:prstGeom prst="ellipse">
            <a:avLst/>
          </a:prstGeom>
          <a:solidFill>
            <a:srgbClr val="FF0000"/>
          </a:solidFill>
          <a:ln>
            <a:solidFill>
              <a:schemeClr val="bg1"/>
            </a:solidFill>
            <a:beve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400" b="1"/>
              <a:t>Collect your brand-new</a:t>
            </a:r>
            <a:r>
              <a:rPr lang="en-ZA" sz="1400" b="1" baseline="0"/>
              <a:t> MAN Truck fom our delivery centre in Pinetown and we will give you:</a:t>
            </a:r>
            <a:endParaRPr lang="en-ZA" sz="1400" b="1"/>
          </a:p>
        </xdr:txBody>
      </xdr:sp>
    </xdr:grpSp>
    <xdr:clientData/>
  </xdr:twoCellAnchor>
  <xdr:twoCellAnchor>
    <xdr:from>
      <xdr:col>1</xdr:col>
      <xdr:colOff>9525</xdr:colOff>
      <xdr:row>43</xdr:row>
      <xdr:rowOff>133350</xdr:rowOff>
    </xdr:from>
    <xdr:to>
      <xdr:col>11</xdr:col>
      <xdr:colOff>600075</xdr:colOff>
      <xdr:row>43</xdr:row>
      <xdr:rowOff>171450</xdr:rowOff>
    </xdr:to>
    <xdr:cxnSp macro="">
      <xdr:nvCxnSpPr>
        <xdr:cNvPr id="11" name="Straight Connector 10">
          <a:extLst>
            <a:ext uri="{FF2B5EF4-FFF2-40B4-BE49-F238E27FC236}">
              <a16:creationId xmlns:a16="http://schemas.microsoft.com/office/drawing/2014/main" id="{00000000-0008-0000-0E00-00000B000000}"/>
            </a:ext>
          </a:extLst>
        </xdr:cNvPr>
        <xdr:cNvCxnSpPr/>
      </xdr:nvCxnSpPr>
      <xdr:spPr>
        <a:xfrm flipV="1">
          <a:off x="619125" y="8372475"/>
          <a:ext cx="6686550" cy="38100"/>
        </a:xfrm>
        <a:prstGeom prst="line">
          <a:avLst/>
        </a:prstGeom>
        <a:ln w="76200">
          <a:solidFill>
            <a:srgbClr val="FF0000"/>
          </a:solidFill>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323850</xdr:colOff>
          <xdr:row>27</xdr:row>
          <xdr:rowOff>38100</xdr:rowOff>
        </xdr:from>
        <xdr:to>
          <xdr:col>2</xdr:col>
          <xdr:colOff>19050</xdr:colOff>
          <xdr:row>28</xdr:row>
          <xdr:rowOff>68580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E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335280</xdr:colOff>
          <xdr:row>30</xdr:row>
          <xdr:rowOff>68580</xdr:rowOff>
        </xdr:from>
        <xdr:to>
          <xdr:col>2</xdr:col>
          <xdr:colOff>30480</xdr:colOff>
          <xdr:row>31</xdr:row>
          <xdr:rowOff>95250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E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VMS\Eren\Costing%20Model\Final\Product%20Costing%20Files\Retail_MAN%20&amp;%20VW%20Standard%20Costin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I:\VMS\Eren\Costing%20Model\Final\Costing%20Model_HQ.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VMS\Eren\Costing%20Model\Final\Internal%20Standard%20Costing%20Files\NEW\MAN-ASM%20Retai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VMS\Eren\Costing%20Model\Final\External%20cost%20Model\VW-Salesman%20PCD.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I:\VMS\Eren\Costing%20Model\Final\External%20cost%20Model\MAN-Salesman%20PCD.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VMS\Eren\Costing%20Model\Final\External%20cost%20Model\Costing%20Model_HQ.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VMS\Eren\Costing%20Model\Final\Retail%20Price%20List%20Summary.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VMS\Eren\Costing%20Model\Final\Matrix%20Exter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brace"/>
      <sheetName val="TRP Cost"/>
      <sheetName val="price list MAN"/>
      <sheetName val="price list VW"/>
      <sheetName val="Retail_ASM_MAN"/>
      <sheetName val="Retail_ASM_VW"/>
      <sheetName val="OTP"/>
      <sheetName val="DATA SHEET"/>
      <sheetName val="Trade In's"/>
      <sheetName val="Month of Invoicing_Retail MAN"/>
      <sheetName val="MAN_VEHICLE MARGIN (CM2)"/>
      <sheetName val="VW_VEHICLE MARGIN (CM2)"/>
      <sheetName val="MAN CKD Standard Costing"/>
      <sheetName val="VW CKD Standard Costing"/>
      <sheetName val="FileNames"/>
    </sheetNames>
    <sheetDataSet>
      <sheetData sheetId="0"/>
      <sheetData sheetId="1"/>
      <sheetData sheetId="2"/>
      <sheetData sheetId="3"/>
      <sheetData sheetId="4">
        <row r="41">
          <cell r="O41" t="str">
            <v>TGS</v>
          </cell>
        </row>
        <row r="48">
          <cell r="F48">
            <v>741465.58109057997</v>
          </cell>
          <cell r="G48">
            <v>741465.58109999995</v>
          </cell>
        </row>
        <row r="55">
          <cell r="F55">
            <v>0</v>
          </cell>
          <cell r="G55">
            <v>0</v>
          </cell>
        </row>
        <row r="59">
          <cell r="G59"/>
        </row>
        <row r="61">
          <cell r="F61"/>
        </row>
        <row r="64">
          <cell r="F64" t="str">
            <v>Combination</v>
          </cell>
        </row>
      </sheetData>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brace"/>
      <sheetName val="TRP Cost"/>
      <sheetName val="price list MAN"/>
      <sheetName val="price list VW"/>
      <sheetName val="Retail_ASM_MAN"/>
      <sheetName val="Retail_ASM_VW"/>
      <sheetName val="Retail_Salesman_MAN"/>
      <sheetName val="Retail_Salesman_VW"/>
      <sheetName val="PCD_MAN"/>
      <sheetName val="PCD_VW"/>
      <sheetName val="KEY ACCOUNT_MAN"/>
      <sheetName val="KEY ACCOUNT_VW"/>
      <sheetName val="OLD OTP"/>
      <sheetName val="KEY ACC_MAN_CEN_DEAL SHEET"/>
      <sheetName val="NEW OTP"/>
      <sheetName val="OTP Conditions"/>
      <sheetName val="NEW DATA SHEET"/>
      <sheetName val="OLD DATA SHEET"/>
      <sheetName val="KEY ACC_VW_DEAL SHEET"/>
      <sheetName val="Quotation"/>
      <sheetName val="Month of Invoicing_Retail MAN"/>
      <sheetName val="Trade In's"/>
      <sheetName val="MAN_VEHICLE MARGIN (CM2)"/>
      <sheetName val="VW_VEHICLE MARGIN (CM2)"/>
      <sheetName val="PCD_MAN VEHICLE MARGIN (CM2)"/>
      <sheetName val="PCD_VW VEHICLE MARGIN (CM2)"/>
      <sheetName val="KEY ACC_MAN_DIRECT INV CM2"/>
      <sheetName val="KEY ACC_VW_DIRECT INV CM2"/>
      <sheetName val="KEY ACC_MAN CENTURION INV_CM2"/>
      <sheetName val="KEY ACC_VW CENTURION INV_CM2"/>
      <sheetName val="MAN CKD Standard Costing"/>
      <sheetName val="VW CKD Standard Costing"/>
      <sheetName val="PCD MAN Standard Costing"/>
      <sheetName val="PCD VW CKD Standard Costing"/>
      <sheetName val="KEY ACC-MAN CKD STD COSTING"/>
      <sheetName val="KEY ACC_VW CKD_STD COSTING"/>
      <sheetName val="Com Calculator 1"/>
      <sheetName val="Com Calculator 2"/>
      <sheetName val="Com Calculator 3"/>
      <sheetName val="Longstayer Ratio"/>
      <sheetName val="Commission Schedule"/>
      <sheetName val="OTP"/>
      <sheetName val="Datasheet"/>
    </sheetNames>
    <sheetDataSet>
      <sheetData sheetId="0"/>
      <sheetData sheetId="1"/>
      <sheetData sheetId="2"/>
      <sheetData sheetId="3"/>
      <sheetData sheetId="4">
        <row r="41">
          <cell r="O41" t="str">
            <v>TGX</v>
          </cell>
        </row>
        <row r="46">
          <cell r="D46" t="str">
            <v>None</v>
          </cell>
        </row>
        <row r="47">
          <cell r="E47"/>
        </row>
        <row r="48">
          <cell r="E48"/>
          <cell r="F48">
            <v>0</v>
          </cell>
          <cell r="G48">
            <v>0</v>
          </cell>
        </row>
        <row r="55">
          <cell r="F55">
            <v>0</v>
          </cell>
          <cell r="G55"/>
        </row>
        <row r="61">
          <cell r="G61" t="str">
            <v>Traction/Distribution</v>
          </cell>
        </row>
        <row r="63">
          <cell r="F63" t="str">
            <v>Entire Vehicle</v>
          </cell>
        </row>
        <row r="66">
          <cell r="F66">
            <v>11925</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 list MAN"/>
      <sheetName val="Deal Sheet"/>
      <sheetName val="Trade In's"/>
      <sheetName val="Month of Invoicing"/>
      <sheetName val="Data Sheet"/>
      <sheetName val="OTP"/>
      <sheetName val="OTP Conditions"/>
      <sheetName val="Quotation"/>
      <sheetName val="ServiceCare Form"/>
      <sheetName val=" MARGINS (CM2)"/>
      <sheetName val="MAN CKD Standard Costing"/>
      <sheetName val="FilesNames"/>
    </sheetNames>
    <sheetDataSet>
      <sheetData sheetId="0"/>
      <sheetData sheetId="1">
        <row r="4">
          <cell r="C4" t="str">
            <v>HARM VAN HEERDEN</v>
          </cell>
          <cell r="DL4" t="str">
            <v>MAN Bloemfontein</v>
          </cell>
          <cell r="DM4" t="str">
            <v>BFN</v>
          </cell>
        </row>
        <row r="5">
          <cell r="C5" t="str">
            <v>MAN Nelspruit</v>
          </cell>
          <cell r="DL5" t="str">
            <v>MAN Cape Town</v>
          </cell>
          <cell r="DM5" t="str">
            <v>CPT</v>
          </cell>
        </row>
        <row r="6">
          <cell r="DL6" t="str">
            <v>MAN Centurion</v>
          </cell>
          <cell r="DM6" t="str">
            <v>CNO</v>
          </cell>
        </row>
        <row r="7">
          <cell r="DL7" t="str">
            <v>MAN Johannesburg</v>
          </cell>
          <cell r="DM7" t="str">
            <v>JHB</v>
          </cell>
        </row>
        <row r="8">
          <cell r="DL8" t="str">
            <v>MAN Nelspruit</v>
          </cell>
          <cell r="DM8" t="str">
            <v>NEL</v>
          </cell>
        </row>
        <row r="9">
          <cell r="DL9" t="str">
            <v>MAN Pinetown</v>
          </cell>
          <cell r="DM9" t="str">
            <v>PTN</v>
          </cell>
        </row>
        <row r="10">
          <cell r="DL10" t="str">
            <v>Alpine</v>
          </cell>
          <cell r="DM10" t="str">
            <v>ATB</v>
          </cell>
        </row>
        <row r="11">
          <cell r="DL11" t="str">
            <v>Hatfield</v>
          </cell>
          <cell r="DM11" t="str">
            <v>HAT</v>
          </cell>
        </row>
        <row r="12">
          <cell r="DL12" t="str">
            <v>Hubner Truck &amp; Bus</v>
          </cell>
          <cell r="DM12" t="str">
            <v>HTB</v>
          </cell>
        </row>
        <row r="13">
          <cell r="DL13" t="str">
            <v>Middleburg</v>
          </cell>
          <cell r="DM13" t="str">
            <v>MMT</v>
          </cell>
        </row>
        <row r="14">
          <cell r="DL14" t="str">
            <v>Port Elizabeth</v>
          </cell>
          <cell r="DM14" t="str">
            <v>PE</v>
          </cell>
        </row>
        <row r="15">
          <cell r="DL15" t="str">
            <v>Tulisa Park</v>
          </cell>
          <cell r="DM15" t="str">
            <v>TTB</v>
          </cell>
        </row>
        <row r="16">
          <cell r="DL16" t="str">
            <v>United Truck Centre</v>
          </cell>
          <cell r="DM16" t="str">
            <v>UTC</v>
          </cell>
        </row>
        <row r="39">
          <cell r="G39">
            <v>0</v>
          </cell>
        </row>
        <row r="41">
          <cell r="O41" t="str">
            <v>TGS</v>
          </cell>
        </row>
        <row r="46">
          <cell r="D46" t="str">
            <v>None</v>
          </cell>
        </row>
        <row r="47">
          <cell r="E47">
            <v>0</v>
          </cell>
        </row>
        <row r="48">
          <cell r="E48">
            <v>0</v>
          </cell>
          <cell r="F48">
            <v>0</v>
          </cell>
          <cell r="G48">
            <v>0</v>
          </cell>
        </row>
        <row r="55">
          <cell r="F55">
            <v>101160.00000000001</v>
          </cell>
        </row>
        <row r="61">
          <cell r="G61" t="str">
            <v>Traction/Distribution</v>
          </cell>
        </row>
        <row r="63">
          <cell r="F63" t="str">
            <v>Combination</v>
          </cell>
        </row>
      </sheetData>
      <sheetData sheetId="2"/>
      <sheetData sheetId="3"/>
      <sheetData sheetId="4"/>
      <sheetData sheetId="5"/>
      <sheetData sheetId="6" refreshError="1"/>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 list VW"/>
      <sheetName val="Deal Sheet"/>
      <sheetName val="Trade Ins"/>
      <sheetName val="Month of Invoicing"/>
      <sheetName val="Data Sheet"/>
      <sheetName val="ServiceCare Form"/>
      <sheetName val="Warranty Registration"/>
      <sheetName val="OTP"/>
      <sheetName val="OTP Conditions"/>
      <sheetName val="Quotation"/>
      <sheetName val="Quote Support "/>
      <sheetName val="Invoicing Request"/>
      <sheetName val="Release Request"/>
      <sheetName val="Delivery Note"/>
      <sheetName val="Collection Special"/>
      <sheetName val="Company Details"/>
      <sheetName val="Trade In's"/>
      <sheetName val="Warrant Registration"/>
    </sheetNames>
    <sheetDataSet>
      <sheetData sheetId="0"/>
      <sheetData sheetId="1">
        <row r="6">
          <cell r="C6" t="str">
            <v>BAFANA BAFANA</v>
          </cell>
        </row>
        <row r="47">
          <cell r="C47" t="str">
            <v>None</v>
          </cell>
        </row>
      </sheetData>
      <sheetData sheetId="2"/>
      <sheetData sheetId="3"/>
      <sheetData sheetId="4"/>
      <sheetData sheetId="5"/>
      <sheetData sheetId="6"/>
      <sheetData sheetId="7">
        <row r="3">
          <cell r="F3" t="str">
            <v>BAFANA BAFANA</v>
          </cell>
        </row>
        <row r="131">
          <cell r="B131"/>
          <cell r="F131" t="str">
            <v>George Truck &amp; Bus</v>
          </cell>
          <cell r="G131"/>
          <cell r="I131" t="str">
            <v>Kempston Motor Group Trust</v>
          </cell>
        </row>
        <row r="132">
          <cell r="B132"/>
          <cell r="F132" t="str">
            <v>Bafana Bafana</v>
          </cell>
          <cell r="G132"/>
        </row>
        <row r="133">
          <cell r="B133"/>
          <cell r="F133" t="str">
            <v>Tulisa Park Truck And Bus VW</v>
          </cell>
          <cell r="G133"/>
        </row>
        <row r="134">
          <cell r="F134" t="str">
            <v>United Truck Centre</v>
          </cell>
          <cell r="G134"/>
        </row>
        <row r="135">
          <cell r="F135" t="str">
            <v>Rustenburg Truck &amp; Bus</v>
          </cell>
          <cell r="G135"/>
        </row>
        <row r="136">
          <cell r="F136" t="str">
            <v>AAD Truck &amp; Bus</v>
          </cell>
          <cell r="G136"/>
        </row>
        <row r="137">
          <cell r="F137" t="str">
            <v>Alpine Truck And Bus VW</v>
          </cell>
        </row>
        <row r="138">
          <cell r="F138" t="str">
            <v>Hubner Truck &amp; Bus</v>
          </cell>
        </row>
        <row r="139">
          <cell r="F139" t="str">
            <v>Hatfield Truck And Bus</v>
          </cell>
        </row>
        <row r="140">
          <cell r="F140" t="str">
            <v>Hatfield Truck And Bus VW</v>
          </cell>
        </row>
        <row r="141">
          <cell r="F141" t="str">
            <v>Kempston Motor Group Trust</v>
          </cell>
        </row>
        <row r="142">
          <cell r="F142" t="str">
            <v>Middleburg</v>
          </cell>
        </row>
        <row r="143">
          <cell r="F143" t="str">
            <v>Protech</v>
          </cell>
          <cell r="G143"/>
        </row>
      </sheetData>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 list MAN"/>
      <sheetName val="Deal Sheet"/>
      <sheetName val="Trade Ins"/>
      <sheetName val="Month of Invoicing"/>
      <sheetName val="Data Sheet"/>
      <sheetName val="ServiceCare Form"/>
      <sheetName val="Warranty Registration"/>
      <sheetName val="OTP"/>
      <sheetName val="OTP Conditions"/>
      <sheetName val="Quotation"/>
      <sheetName val="Quote Support "/>
      <sheetName val="Invoicing Request"/>
      <sheetName val="Release Request"/>
      <sheetName val="Delivery Note"/>
      <sheetName val="Collection Special"/>
      <sheetName val="Company Details"/>
      <sheetName val="Trade In's"/>
    </sheetNames>
    <sheetDataSet>
      <sheetData sheetId="0"/>
      <sheetData sheetId="1">
        <row r="5">
          <cell r="C5" t="str">
            <v>STEWART BAXTER</v>
          </cell>
        </row>
      </sheetData>
      <sheetData sheetId="2"/>
      <sheetData sheetId="3"/>
      <sheetData sheetId="4">
        <row r="18">
          <cell r="AW18"/>
        </row>
        <row r="29">
          <cell r="D29"/>
        </row>
        <row r="54">
          <cell r="I54"/>
        </row>
      </sheetData>
      <sheetData sheetId="5"/>
      <sheetData sheetId="6"/>
      <sheetData sheetId="7">
        <row r="3">
          <cell r="F3" t="str">
            <v>BAFANA BAFANA</v>
          </cell>
        </row>
        <row r="131">
          <cell r="F131" t="str">
            <v>GEORGE TRUCK &amp; BUS</v>
          </cell>
          <cell r="G131"/>
          <cell r="I131" t="str">
            <v>Kempston Motor Group Trust</v>
          </cell>
        </row>
        <row r="132">
          <cell r="F132" t="str">
            <v>BAFANA BAFANA</v>
          </cell>
          <cell r="G132"/>
        </row>
        <row r="133">
          <cell r="F133" t="str">
            <v>TULISA PARK TRUCK AND BUS VW</v>
          </cell>
          <cell r="G133"/>
        </row>
        <row r="134">
          <cell r="F134" t="str">
            <v>UNITED TRUCK CENTRE</v>
          </cell>
          <cell r="G134"/>
        </row>
        <row r="135">
          <cell r="F135" t="str">
            <v>RUSTENBURG TRUCK &amp; BUS</v>
          </cell>
          <cell r="G135"/>
        </row>
        <row r="136">
          <cell r="F136" t="str">
            <v>AAD TRUCK &amp; BUS</v>
          </cell>
          <cell r="G136"/>
        </row>
        <row r="137">
          <cell r="F137" t="str">
            <v>ALPINE TRUCK AND BUS VW</v>
          </cell>
        </row>
        <row r="138">
          <cell r="F138" t="str">
            <v>HUBNER TRUCK &amp; BUS</v>
          </cell>
        </row>
        <row r="139">
          <cell r="F139" t="str">
            <v>HATFIELD TRUCK AND BUS</v>
          </cell>
        </row>
        <row r="140">
          <cell r="F140" t="str">
            <v>HATFIELD TRUCK AND BUS VW</v>
          </cell>
        </row>
        <row r="141">
          <cell r="F141" t="str">
            <v>KEMPSTON MOTOR GROUP TRUST</v>
          </cell>
        </row>
        <row r="142">
          <cell r="F142" t="str">
            <v>MIDDELBURG</v>
          </cell>
        </row>
        <row r="143">
          <cell r="F143" t="str">
            <v>PROTECH</v>
          </cell>
          <cell r="G143"/>
        </row>
      </sheetData>
      <sheetData sheetId="8"/>
      <sheetData sheetId="9"/>
      <sheetData sheetId="10"/>
      <sheetData sheetId="11"/>
      <sheetData sheetId="12"/>
      <sheetData sheetId="13"/>
      <sheetData sheetId="14"/>
      <sheetData sheetId="15"/>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brace"/>
      <sheetName val="TRP Cost"/>
      <sheetName val="price list MAN"/>
      <sheetName val="price list VW"/>
      <sheetName val="Retail_ASM_MAN"/>
      <sheetName val="Retail_ASM_VW"/>
      <sheetName val="Retail_Salesman_MAN"/>
      <sheetName val="Retail_Salesman_VW"/>
      <sheetName val="PCD_MAN"/>
      <sheetName val="PCD_VW"/>
      <sheetName val="KEY ACCOUNT_MAN"/>
      <sheetName val="KEY ACCOUNT_VW"/>
      <sheetName val="OLD OTP"/>
      <sheetName val="KEY ACC_MAN_CEN_DEAL SHEET"/>
      <sheetName val="NEW OTP"/>
      <sheetName val="OTP Conditions"/>
      <sheetName val="NEW DATA SHEET"/>
      <sheetName val="OLD DATA SHEET"/>
      <sheetName val="KEY ACC_VW_DEAL SHEET"/>
      <sheetName val="Quotation"/>
      <sheetName val="Month of Invoicing_Retail MAN"/>
      <sheetName val="Trade In's"/>
      <sheetName val="MAN_VEHICLE MARGIN (CM2)"/>
      <sheetName val="VW_VEHICLE MARGIN (CM2)"/>
      <sheetName val="PCD_MAN VEHICLE MARGIN (CM2)"/>
      <sheetName val="PCD_VW VEHICLE MARGIN (CM2)"/>
      <sheetName val="KEY ACC_MAN_DIRECT INV CM2"/>
      <sheetName val="KEY ACC_VW_DIRECT INV CM2"/>
      <sheetName val="KEY ACC_MAN CENTURION INV_CM2"/>
      <sheetName val="KEY ACC_VW CENTURION INV_CM2"/>
      <sheetName val="MAN CKD Standard Costing"/>
      <sheetName val="VW CKD Standard Costing"/>
      <sheetName val="PCD MAN Standard Costing"/>
      <sheetName val="PCD VW CKD Standard Costing"/>
      <sheetName val="KEY ACC-MAN CKD STD COSTING"/>
      <sheetName val="KEY ACC_VW CKD_STD COSTING"/>
      <sheetName val="Com Calculator 1"/>
      <sheetName val="Com Calculator 2"/>
      <sheetName val="Com Calculator 3"/>
      <sheetName val="Longstayer Ratio"/>
      <sheetName val="Commission Schedule"/>
    </sheetNames>
    <sheetDataSet>
      <sheetData sheetId="0"/>
      <sheetData sheetId="1"/>
      <sheetData sheetId="2">
        <row r="5">
          <cell r="B5">
            <v>48200</v>
          </cell>
          <cell r="C5" t="str">
            <v>CLA-15-2204X2BB-C</v>
          </cell>
          <cell r="E5" t="str">
            <v>CKD</v>
          </cell>
          <cell r="F5" t="str">
            <v>2018-06-30</v>
          </cell>
          <cell r="G5">
            <v>15.3</v>
          </cell>
          <cell r="H5">
            <v>42978</v>
          </cell>
          <cell r="J5">
            <v>695000</v>
          </cell>
          <cell r="P5">
            <v>572250</v>
          </cell>
          <cell r="R5">
            <v>545000</v>
          </cell>
          <cell r="S5">
            <v>710000</v>
          </cell>
          <cell r="Y5">
            <v>588000</v>
          </cell>
          <cell r="AA5">
            <v>560000</v>
          </cell>
        </row>
        <row r="6">
          <cell r="B6">
            <v>48201</v>
          </cell>
          <cell r="C6" t="str">
            <v>CLA-15-2204X2BB-C</v>
          </cell>
          <cell r="E6" t="str">
            <v>CKD</v>
          </cell>
          <cell r="F6" t="str">
            <v>2018-06-30</v>
          </cell>
          <cell r="G6">
            <v>15.3</v>
          </cell>
          <cell r="H6">
            <v>42978</v>
          </cell>
          <cell r="J6">
            <v>695000</v>
          </cell>
          <cell r="P6">
            <v>572250</v>
          </cell>
          <cell r="R6">
            <v>545000</v>
          </cell>
          <cell r="S6">
            <v>710000</v>
          </cell>
          <cell r="Y6">
            <v>588000</v>
          </cell>
          <cell r="AA6">
            <v>560000</v>
          </cell>
        </row>
        <row r="7">
          <cell r="B7">
            <v>48202</v>
          </cell>
          <cell r="C7" t="str">
            <v>CLA-15-2204X2BB-C</v>
          </cell>
          <cell r="E7" t="str">
            <v>CKD</v>
          </cell>
          <cell r="F7" t="str">
            <v>2018-07-30</v>
          </cell>
          <cell r="G7">
            <v>15.3</v>
          </cell>
          <cell r="H7">
            <v>42978</v>
          </cell>
          <cell r="J7">
            <v>695000</v>
          </cell>
          <cell r="P7">
            <v>572250</v>
          </cell>
          <cell r="R7">
            <v>545000</v>
          </cell>
          <cell r="S7">
            <v>710000</v>
          </cell>
          <cell r="Y7">
            <v>588000</v>
          </cell>
          <cell r="AA7">
            <v>560000</v>
          </cell>
        </row>
        <row r="8">
          <cell r="B8">
            <v>48203</v>
          </cell>
          <cell r="C8" t="str">
            <v>CLA-15-2204X2BB-C</v>
          </cell>
          <cell r="E8" t="str">
            <v>CKD</v>
          </cell>
          <cell r="F8" t="str">
            <v>2018-07-30</v>
          </cell>
          <cell r="G8">
            <v>15.3</v>
          </cell>
          <cell r="H8">
            <v>42978</v>
          </cell>
          <cell r="J8">
            <v>695000</v>
          </cell>
          <cell r="P8">
            <v>572250</v>
          </cell>
          <cell r="R8">
            <v>545000</v>
          </cell>
          <cell r="S8">
            <v>710000</v>
          </cell>
          <cell r="Y8">
            <v>588000</v>
          </cell>
          <cell r="AA8">
            <v>560000</v>
          </cell>
        </row>
        <row r="9">
          <cell r="B9">
            <v>48204</v>
          </cell>
          <cell r="C9" t="str">
            <v>CLA-15-2204X2BB-C</v>
          </cell>
          <cell r="E9" t="str">
            <v>CKD</v>
          </cell>
          <cell r="F9" t="str">
            <v>2018-07-30</v>
          </cell>
          <cell r="G9">
            <v>15.3</v>
          </cell>
          <cell r="H9">
            <v>42978</v>
          </cell>
          <cell r="J9">
            <v>695000</v>
          </cell>
          <cell r="P9">
            <v>572250</v>
          </cell>
          <cell r="R9">
            <v>545000</v>
          </cell>
          <cell r="S9">
            <v>710000</v>
          </cell>
          <cell r="Y9">
            <v>588000</v>
          </cell>
          <cell r="AA9">
            <v>560000</v>
          </cell>
        </row>
        <row r="10">
          <cell r="B10">
            <v>48205</v>
          </cell>
          <cell r="C10" t="str">
            <v>CLA-15-2204X2BB-C</v>
          </cell>
          <cell r="E10" t="str">
            <v>CKD</v>
          </cell>
          <cell r="F10" t="str">
            <v>2018-07-30</v>
          </cell>
          <cell r="G10">
            <v>15.3</v>
          </cell>
          <cell r="H10">
            <v>42978</v>
          </cell>
          <cell r="J10">
            <v>695000</v>
          </cell>
          <cell r="P10">
            <v>572250</v>
          </cell>
          <cell r="R10">
            <v>545000</v>
          </cell>
          <cell r="S10">
            <v>710000</v>
          </cell>
          <cell r="Y10">
            <v>588000</v>
          </cell>
          <cell r="AA10">
            <v>560000</v>
          </cell>
        </row>
        <row r="11">
          <cell r="B11">
            <v>48206</v>
          </cell>
          <cell r="C11" t="str">
            <v>CLA-15-2204X2BB-C</v>
          </cell>
          <cell r="E11" t="str">
            <v>CKD</v>
          </cell>
          <cell r="F11" t="str">
            <v>2018-08-30</v>
          </cell>
          <cell r="G11">
            <v>15.3</v>
          </cell>
          <cell r="H11">
            <v>42978</v>
          </cell>
          <cell r="J11">
            <v>695000</v>
          </cell>
          <cell r="P11">
            <v>572250</v>
          </cell>
          <cell r="R11">
            <v>545000</v>
          </cell>
          <cell r="S11">
            <v>710000</v>
          </cell>
          <cell r="Y11">
            <v>588000</v>
          </cell>
          <cell r="AA11">
            <v>560000</v>
          </cell>
        </row>
        <row r="12">
          <cell r="B12">
            <v>48207</v>
          </cell>
          <cell r="C12" t="str">
            <v>CLA-15-2204X2BB-C</v>
          </cell>
          <cell r="E12" t="str">
            <v>CKD</v>
          </cell>
          <cell r="F12" t="str">
            <v>2018-08-30</v>
          </cell>
          <cell r="G12">
            <v>15.3</v>
          </cell>
          <cell r="H12">
            <v>42978</v>
          </cell>
          <cell r="J12">
            <v>695000</v>
          </cell>
          <cell r="P12">
            <v>572250</v>
          </cell>
          <cell r="R12">
            <v>545000</v>
          </cell>
          <cell r="S12">
            <v>710000</v>
          </cell>
          <cell r="Y12">
            <v>588000</v>
          </cell>
          <cell r="AA12">
            <v>560000</v>
          </cell>
        </row>
        <row r="13">
          <cell r="B13">
            <v>48208</v>
          </cell>
          <cell r="C13" t="str">
            <v>CLA-15-2204X2BB-C</v>
          </cell>
          <cell r="E13" t="str">
            <v>CKD</v>
          </cell>
          <cell r="F13" t="str">
            <v>2018-08-30</v>
          </cell>
          <cell r="G13">
            <v>15.3</v>
          </cell>
          <cell r="H13">
            <v>42978</v>
          </cell>
          <cell r="J13">
            <v>695000</v>
          </cell>
          <cell r="P13">
            <v>572250</v>
          </cell>
          <cell r="R13">
            <v>545000</v>
          </cell>
          <cell r="S13">
            <v>710000</v>
          </cell>
          <cell r="Y13">
            <v>588000</v>
          </cell>
          <cell r="AA13">
            <v>560000</v>
          </cell>
        </row>
        <row r="14">
          <cell r="B14">
            <v>48209</v>
          </cell>
          <cell r="C14" t="str">
            <v>CLA-15-2204X2BB-C</v>
          </cell>
          <cell r="E14" t="str">
            <v>CKD</v>
          </cell>
          <cell r="F14" t="str">
            <v>2018-08-30</v>
          </cell>
          <cell r="G14">
            <v>15.3</v>
          </cell>
          <cell r="H14">
            <v>42978</v>
          </cell>
          <cell r="J14">
            <v>695000</v>
          </cell>
          <cell r="P14">
            <v>572250</v>
          </cell>
          <cell r="R14">
            <v>545000</v>
          </cell>
          <cell r="S14">
            <v>710000</v>
          </cell>
          <cell r="Y14">
            <v>588000</v>
          </cell>
          <cell r="AA14">
            <v>560000</v>
          </cell>
        </row>
        <row r="15">
          <cell r="B15">
            <v>48210</v>
          </cell>
          <cell r="C15" t="str">
            <v>CLA-15-2204X2BB-C</v>
          </cell>
          <cell r="E15" t="str">
            <v>CKD</v>
          </cell>
          <cell r="F15" t="str">
            <v>2018-08-30</v>
          </cell>
          <cell r="G15">
            <v>15.3</v>
          </cell>
          <cell r="H15">
            <v>42978</v>
          </cell>
          <cell r="J15">
            <v>695000</v>
          </cell>
          <cell r="P15">
            <v>572250</v>
          </cell>
          <cell r="R15">
            <v>545000</v>
          </cell>
          <cell r="S15">
            <v>710000</v>
          </cell>
          <cell r="Y15">
            <v>588000</v>
          </cell>
          <cell r="AA15">
            <v>560000</v>
          </cell>
        </row>
        <row r="16">
          <cell r="B16">
            <v>48211</v>
          </cell>
          <cell r="C16" t="str">
            <v>CLA-15-2204X2BB-C</v>
          </cell>
          <cell r="E16" t="str">
            <v>CKD</v>
          </cell>
          <cell r="F16" t="str">
            <v>2018-08-30</v>
          </cell>
          <cell r="G16">
            <v>15.3</v>
          </cell>
          <cell r="H16">
            <v>42978</v>
          </cell>
          <cell r="J16">
            <v>695000</v>
          </cell>
          <cell r="P16">
            <v>572250</v>
          </cell>
          <cell r="R16">
            <v>545000</v>
          </cell>
          <cell r="S16">
            <v>710000</v>
          </cell>
          <cell r="Y16">
            <v>588000</v>
          </cell>
          <cell r="AA16">
            <v>560000</v>
          </cell>
        </row>
        <row r="17">
          <cell r="B17">
            <v>48212</v>
          </cell>
          <cell r="C17" t="str">
            <v>CLA-15-2204X2BB-C</v>
          </cell>
          <cell r="E17" t="str">
            <v>CKD</v>
          </cell>
          <cell r="F17" t="str">
            <v>2018-08-30</v>
          </cell>
          <cell r="G17">
            <v>15.3</v>
          </cell>
          <cell r="H17">
            <v>42978</v>
          </cell>
          <cell r="J17">
            <v>695000</v>
          </cell>
          <cell r="P17">
            <v>572250</v>
          </cell>
          <cell r="R17">
            <v>545000</v>
          </cell>
          <cell r="S17">
            <v>710000</v>
          </cell>
          <cell r="Y17">
            <v>588000</v>
          </cell>
          <cell r="AA17">
            <v>560000</v>
          </cell>
        </row>
        <row r="18">
          <cell r="B18">
            <v>48213</v>
          </cell>
          <cell r="C18" t="str">
            <v>CLA-15-2204X2BB-C</v>
          </cell>
          <cell r="E18" t="str">
            <v>CKD</v>
          </cell>
          <cell r="F18" t="str">
            <v>2018-08-30</v>
          </cell>
          <cell r="G18">
            <v>15.3</v>
          </cell>
          <cell r="H18">
            <v>42978</v>
          </cell>
          <cell r="J18">
            <v>695000</v>
          </cell>
          <cell r="P18">
            <v>572250</v>
          </cell>
          <cell r="R18">
            <v>545000</v>
          </cell>
          <cell r="S18">
            <v>710000</v>
          </cell>
          <cell r="Y18">
            <v>588000</v>
          </cell>
          <cell r="AA18">
            <v>560000</v>
          </cell>
        </row>
        <row r="19">
          <cell r="B19">
            <v>48214</v>
          </cell>
          <cell r="C19" t="str">
            <v>CLA-15-2204X2BB-C</v>
          </cell>
          <cell r="E19" t="str">
            <v>CKD</v>
          </cell>
          <cell r="F19" t="str">
            <v>2018-08-30</v>
          </cell>
          <cell r="G19">
            <v>15.3</v>
          </cell>
          <cell r="H19">
            <v>42978</v>
          </cell>
          <cell r="J19">
            <v>695000</v>
          </cell>
          <cell r="P19">
            <v>572250</v>
          </cell>
          <cell r="R19">
            <v>545000</v>
          </cell>
          <cell r="S19">
            <v>710000</v>
          </cell>
          <cell r="Y19">
            <v>588000</v>
          </cell>
          <cell r="AA19">
            <v>560000</v>
          </cell>
        </row>
        <row r="20">
          <cell r="B20">
            <v>48303</v>
          </cell>
          <cell r="C20" t="str">
            <v>CLA-15-2204X2BB-C</v>
          </cell>
          <cell r="E20" t="str">
            <v>CKD</v>
          </cell>
          <cell r="F20" t="str">
            <v>2018-07-30</v>
          </cell>
          <cell r="G20">
            <v>15.3</v>
          </cell>
          <cell r="H20">
            <v>42978</v>
          </cell>
          <cell r="J20">
            <v>695000</v>
          </cell>
          <cell r="P20">
            <v>572250</v>
          </cell>
          <cell r="R20">
            <v>545000</v>
          </cell>
          <cell r="S20">
            <v>710000</v>
          </cell>
          <cell r="Y20">
            <v>588000</v>
          </cell>
          <cell r="AA20">
            <v>560000</v>
          </cell>
        </row>
        <row r="21">
          <cell r="B21">
            <v>48304</v>
          </cell>
          <cell r="C21" t="str">
            <v>CLA-15-2204X2BB-C</v>
          </cell>
          <cell r="E21" t="str">
            <v>CKD</v>
          </cell>
          <cell r="F21" t="str">
            <v>2018-07-30</v>
          </cell>
          <cell r="G21">
            <v>15.3</v>
          </cell>
          <cell r="H21">
            <v>42978</v>
          </cell>
          <cell r="J21">
            <v>695000</v>
          </cell>
          <cell r="P21">
            <v>572250</v>
          </cell>
          <cell r="R21">
            <v>545000</v>
          </cell>
          <cell r="S21">
            <v>710000</v>
          </cell>
          <cell r="Y21">
            <v>588000</v>
          </cell>
          <cell r="AA21">
            <v>560000</v>
          </cell>
        </row>
        <row r="22">
          <cell r="B22">
            <v>48305</v>
          </cell>
          <cell r="C22" t="str">
            <v>CLA-15-2204X2BB-C</v>
          </cell>
          <cell r="E22" t="str">
            <v>CKD</v>
          </cell>
          <cell r="F22" t="str">
            <v>2018-07-30</v>
          </cell>
          <cell r="G22">
            <v>15.3</v>
          </cell>
          <cell r="H22">
            <v>42978</v>
          </cell>
          <cell r="J22">
            <v>695000</v>
          </cell>
          <cell r="P22">
            <v>572250</v>
          </cell>
          <cell r="R22">
            <v>545000</v>
          </cell>
          <cell r="S22">
            <v>710000</v>
          </cell>
          <cell r="Y22">
            <v>588000</v>
          </cell>
          <cell r="AA22">
            <v>560000</v>
          </cell>
        </row>
        <row r="23">
          <cell r="B23">
            <v>48306</v>
          </cell>
          <cell r="C23" t="str">
            <v>CLA-15-2204X2BB-C</v>
          </cell>
          <cell r="E23" t="str">
            <v>CKD</v>
          </cell>
          <cell r="F23" t="str">
            <v>2018-07-30</v>
          </cell>
          <cell r="G23">
            <v>15.3</v>
          </cell>
          <cell r="H23">
            <v>42978</v>
          </cell>
          <cell r="J23">
            <v>695000</v>
          </cell>
          <cell r="P23">
            <v>572250</v>
          </cell>
          <cell r="R23">
            <v>545000</v>
          </cell>
          <cell r="S23">
            <v>710000</v>
          </cell>
          <cell r="Y23">
            <v>588000</v>
          </cell>
          <cell r="AA23">
            <v>560000</v>
          </cell>
        </row>
        <row r="24">
          <cell r="B24">
            <v>48307</v>
          </cell>
          <cell r="C24" t="str">
            <v>CLA-15-2204X2BB-C</v>
          </cell>
          <cell r="E24" t="str">
            <v>CKD</v>
          </cell>
          <cell r="F24" t="str">
            <v>2018-07-30</v>
          </cell>
          <cell r="G24">
            <v>15.3</v>
          </cell>
          <cell r="H24">
            <v>42978</v>
          </cell>
          <cell r="J24">
            <v>695000</v>
          </cell>
          <cell r="P24">
            <v>572250</v>
          </cell>
          <cell r="R24">
            <v>545000</v>
          </cell>
          <cell r="S24">
            <v>710000</v>
          </cell>
          <cell r="Y24">
            <v>588000</v>
          </cell>
          <cell r="AA24">
            <v>560000</v>
          </cell>
        </row>
        <row r="25">
          <cell r="B25">
            <v>48308</v>
          </cell>
          <cell r="C25" t="str">
            <v>CLA-15-2204X2BB-C</v>
          </cell>
          <cell r="E25" t="str">
            <v>CKD</v>
          </cell>
          <cell r="F25" t="str">
            <v>2018-07-30</v>
          </cell>
          <cell r="G25">
            <v>15.3</v>
          </cell>
          <cell r="H25">
            <v>42978</v>
          </cell>
          <cell r="J25">
            <v>695000</v>
          </cell>
          <cell r="P25">
            <v>572250</v>
          </cell>
          <cell r="R25">
            <v>545000</v>
          </cell>
          <cell r="S25">
            <v>710000</v>
          </cell>
          <cell r="Y25">
            <v>588000</v>
          </cell>
          <cell r="AA25">
            <v>560000</v>
          </cell>
        </row>
        <row r="26">
          <cell r="B26">
            <v>48309</v>
          </cell>
          <cell r="C26" t="str">
            <v>CLA-15-2204X2BB-C</v>
          </cell>
          <cell r="E26" t="str">
            <v>CKD</v>
          </cell>
          <cell r="F26" t="str">
            <v>2018-07-30</v>
          </cell>
          <cell r="G26">
            <v>15.3</v>
          </cell>
          <cell r="H26">
            <v>42978</v>
          </cell>
          <cell r="J26">
            <v>695000</v>
          </cell>
          <cell r="P26">
            <v>572250</v>
          </cell>
          <cell r="R26">
            <v>545000</v>
          </cell>
          <cell r="S26">
            <v>710000</v>
          </cell>
          <cell r="Y26">
            <v>588000</v>
          </cell>
          <cell r="AA26">
            <v>560000</v>
          </cell>
        </row>
        <row r="27">
          <cell r="B27">
            <v>48310</v>
          </cell>
          <cell r="C27" t="str">
            <v>CLA-15-2204X2BB-C</v>
          </cell>
          <cell r="E27" t="str">
            <v>CKD</v>
          </cell>
          <cell r="F27" t="str">
            <v>2018-07-30</v>
          </cell>
          <cell r="G27">
            <v>15.3</v>
          </cell>
          <cell r="H27">
            <v>42978</v>
          </cell>
          <cell r="J27">
            <v>695000</v>
          </cell>
          <cell r="P27">
            <v>572250</v>
          </cell>
          <cell r="R27">
            <v>545000</v>
          </cell>
          <cell r="S27">
            <v>710000</v>
          </cell>
          <cell r="Y27">
            <v>588000</v>
          </cell>
          <cell r="AA27">
            <v>560000</v>
          </cell>
        </row>
        <row r="28">
          <cell r="B28">
            <v>48311</v>
          </cell>
          <cell r="C28" t="str">
            <v>CLA-15-2204X2BB-C</v>
          </cell>
          <cell r="E28" t="str">
            <v>CKD</v>
          </cell>
          <cell r="F28" t="str">
            <v>2018-07-30</v>
          </cell>
          <cell r="G28">
            <v>15.3</v>
          </cell>
          <cell r="H28">
            <v>42978</v>
          </cell>
          <cell r="J28">
            <v>695000</v>
          </cell>
          <cell r="P28">
            <v>572250</v>
          </cell>
          <cell r="R28">
            <v>545000</v>
          </cell>
          <cell r="S28">
            <v>710000</v>
          </cell>
          <cell r="Y28">
            <v>588000</v>
          </cell>
          <cell r="AA28">
            <v>560000</v>
          </cell>
        </row>
        <row r="29">
          <cell r="B29">
            <v>48312</v>
          </cell>
          <cell r="C29" t="str">
            <v>CLA-15-2204X2BB-C</v>
          </cell>
          <cell r="E29" t="str">
            <v>CKD</v>
          </cell>
          <cell r="F29" t="str">
            <v>2018-07-30</v>
          </cell>
          <cell r="G29">
            <v>15.3</v>
          </cell>
          <cell r="H29">
            <v>42978</v>
          </cell>
          <cell r="J29">
            <v>695000</v>
          </cell>
          <cell r="P29">
            <v>572250</v>
          </cell>
          <cell r="R29">
            <v>545000</v>
          </cell>
          <cell r="S29">
            <v>710000</v>
          </cell>
          <cell r="Y29">
            <v>588000</v>
          </cell>
          <cell r="AA29">
            <v>560000</v>
          </cell>
        </row>
        <row r="30">
          <cell r="B30">
            <v>48313</v>
          </cell>
          <cell r="C30" t="str">
            <v>CLA-15-2204X2BB-C</v>
          </cell>
          <cell r="E30" t="str">
            <v>CKD</v>
          </cell>
          <cell r="F30" t="str">
            <v>2018-07-30</v>
          </cell>
          <cell r="G30">
            <v>15.3</v>
          </cell>
          <cell r="H30">
            <v>42978</v>
          </cell>
          <cell r="J30">
            <v>695000</v>
          </cell>
          <cell r="P30">
            <v>572250</v>
          </cell>
          <cell r="R30">
            <v>545000</v>
          </cell>
          <cell r="S30">
            <v>710000</v>
          </cell>
          <cell r="Y30">
            <v>588000</v>
          </cell>
          <cell r="AA30">
            <v>560000</v>
          </cell>
        </row>
        <row r="31">
          <cell r="B31">
            <v>48314</v>
          </cell>
          <cell r="C31" t="str">
            <v>CLA-15-2204X2BB-C</v>
          </cell>
          <cell r="E31" t="str">
            <v>CKD</v>
          </cell>
          <cell r="F31" t="str">
            <v>2018-07-30</v>
          </cell>
          <cell r="G31">
            <v>15.3</v>
          </cell>
          <cell r="H31">
            <v>42978</v>
          </cell>
          <cell r="J31">
            <v>695000</v>
          </cell>
          <cell r="P31">
            <v>572250</v>
          </cell>
          <cell r="R31">
            <v>545000</v>
          </cell>
          <cell r="S31">
            <v>710000</v>
          </cell>
          <cell r="Y31">
            <v>588000</v>
          </cell>
          <cell r="AA31">
            <v>560000</v>
          </cell>
        </row>
        <row r="32">
          <cell r="B32">
            <v>48315</v>
          </cell>
          <cell r="C32" t="str">
            <v>CLA-15-2204X2BB-C</v>
          </cell>
          <cell r="E32" t="str">
            <v>CKD</v>
          </cell>
          <cell r="F32" t="str">
            <v>2018-08-30</v>
          </cell>
          <cell r="G32">
            <v>15.3</v>
          </cell>
          <cell r="H32">
            <v>42978</v>
          </cell>
          <cell r="J32">
            <v>695000</v>
          </cell>
          <cell r="P32">
            <v>572250</v>
          </cell>
          <cell r="R32">
            <v>545000</v>
          </cell>
          <cell r="S32">
            <v>710000</v>
          </cell>
          <cell r="Y32">
            <v>588000</v>
          </cell>
          <cell r="AA32">
            <v>560000</v>
          </cell>
        </row>
        <row r="33">
          <cell r="B33">
            <v>48316</v>
          </cell>
          <cell r="C33" t="str">
            <v>CLA-15-2204X2BB-C</v>
          </cell>
          <cell r="E33" t="str">
            <v>CKD</v>
          </cell>
          <cell r="F33" t="str">
            <v>2018-08-30</v>
          </cell>
          <cell r="G33">
            <v>15.3</v>
          </cell>
          <cell r="H33">
            <v>42978</v>
          </cell>
          <cell r="J33">
            <v>695000</v>
          </cell>
          <cell r="P33">
            <v>572250</v>
          </cell>
          <cell r="R33">
            <v>545000</v>
          </cell>
          <cell r="S33">
            <v>710000</v>
          </cell>
          <cell r="Y33">
            <v>588000</v>
          </cell>
          <cell r="AA33">
            <v>560000</v>
          </cell>
        </row>
        <row r="34">
          <cell r="B34">
            <v>48317</v>
          </cell>
          <cell r="C34" t="str">
            <v>CLA-15-2204X2BB-C</v>
          </cell>
          <cell r="E34" t="str">
            <v>CKD</v>
          </cell>
          <cell r="F34" t="str">
            <v>2018-08-30</v>
          </cell>
          <cell r="G34">
            <v>15.3</v>
          </cell>
          <cell r="H34">
            <v>42978</v>
          </cell>
          <cell r="J34">
            <v>695000</v>
          </cell>
          <cell r="P34">
            <v>572250</v>
          </cell>
          <cell r="R34">
            <v>545000</v>
          </cell>
          <cell r="S34">
            <v>710000</v>
          </cell>
          <cell r="Y34">
            <v>588000</v>
          </cell>
          <cell r="AA34">
            <v>560000</v>
          </cell>
        </row>
        <row r="35">
          <cell r="B35">
            <v>48696</v>
          </cell>
          <cell r="C35" t="str">
            <v>CLA-15-2204X2BB-C</v>
          </cell>
          <cell r="E35" t="str">
            <v>CKD</v>
          </cell>
          <cell r="F35" t="str">
            <v>2018-05-30</v>
          </cell>
          <cell r="G35">
            <v>15.9</v>
          </cell>
          <cell r="H35">
            <v>43039</v>
          </cell>
          <cell r="J35">
            <v>695000</v>
          </cell>
          <cell r="P35">
            <v>572250</v>
          </cell>
          <cell r="R35">
            <v>545000</v>
          </cell>
          <cell r="S35">
            <v>710000</v>
          </cell>
          <cell r="Y35">
            <v>588000</v>
          </cell>
          <cell r="AA35">
            <v>560000</v>
          </cell>
        </row>
        <row r="36">
          <cell r="B36">
            <v>48697</v>
          </cell>
          <cell r="C36" t="str">
            <v>CLA-15-2204X2BB-C</v>
          </cell>
          <cell r="E36" t="str">
            <v>CKD</v>
          </cell>
          <cell r="F36" t="str">
            <v>2018-05-30</v>
          </cell>
          <cell r="G36">
            <v>15.9</v>
          </cell>
          <cell r="H36">
            <v>43039</v>
          </cell>
          <cell r="J36">
            <v>695000</v>
          </cell>
          <cell r="P36">
            <v>572250</v>
          </cell>
          <cell r="R36">
            <v>545000</v>
          </cell>
          <cell r="S36">
            <v>710000</v>
          </cell>
          <cell r="Y36">
            <v>588000</v>
          </cell>
          <cell r="AA36">
            <v>560000</v>
          </cell>
        </row>
        <row r="37">
          <cell r="B37">
            <v>48698</v>
          </cell>
          <cell r="C37" t="str">
            <v>CLA-15-2204X2BB-C</v>
          </cell>
          <cell r="E37" t="str">
            <v>CKD</v>
          </cell>
          <cell r="F37" t="str">
            <v>2018-05-30</v>
          </cell>
          <cell r="G37">
            <v>15.9</v>
          </cell>
          <cell r="H37">
            <v>43039</v>
          </cell>
          <cell r="J37">
            <v>695000</v>
          </cell>
          <cell r="P37">
            <v>572250</v>
          </cell>
          <cell r="R37">
            <v>545000</v>
          </cell>
          <cell r="S37">
            <v>710000</v>
          </cell>
          <cell r="Y37">
            <v>588000</v>
          </cell>
          <cell r="AA37">
            <v>560000</v>
          </cell>
        </row>
        <row r="38">
          <cell r="B38">
            <v>48699</v>
          </cell>
          <cell r="C38" t="str">
            <v>CLA-15-2204X2BB-C</v>
          </cell>
          <cell r="E38" t="str">
            <v>CKD</v>
          </cell>
          <cell r="F38" t="str">
            <v>2018-05-30</v>
          </cell>
          <cell r="G38">
            <v>15.9</v>
          </cell>
          <cell r="H38">
            <v>43039</v>
          </cell>
          <cell r="J38">
            <v>695000</v>
          </cell>
          <cell r="P38">
            <v>572250</v>
          </cell>
          <cell r="R38">
            <v>545000</v>
          </cell>
          <cell r="S38">
            <v>710000</v>
          </cell>
          <cell r="Y38">
            <v>588000</v>
          </cell>
          <cell r="AA38">
            <v>560000</v>
          </cell>
        </row>
        <row r="39">
          <cell r="B39">
            <v>48700</v>
          </cell>
          <cell r="C39" t="str">
            <v>CLA-15-2204X2BB-C</v>
          </cell>
          <cell r="E39" t="str">
            <v>CKD</v>
          </cell>
          <cell r="F39" t="str">
            <v>2018-05-30</v>
          </cell>
          <cell r="G39">
            <v>15.9</v>
          </cell>
          <cell r="H39">
            <v>43039</v>
          </cell>
          <cell r="J39">
            <v>695000</v>
          </cell>
          <cell r="P39">
            <v>572250</v>
          </cell>
          <cell r="R39">
            <v>545000</v>
          </cell>
          <cell r="S39">
            <v>710000</v>
          </cell>
          <cell r="Y39">
            <v>588000</v>
          </cell>
          <cell r="AA39">
            <v>560000</v>
          </cell>
        </row>
        <row r="40">
          <cell r="B40">
            <v>48701</v>
          </cell>
          <cell r="C40" t="str">
            <v>CLA-15-2204X2BB-C</v>
          </cell>
          <cell r="E40" t="str">
            <v>CKD</v>
          </cell>
          <cell r="F40" t="str">
            <v>2018-05-30</v>
          </cell>
          <cell r="G40">
            <v>15.9</v>
          </cell>
          <cell r="H40">
            <v>43039</v>
          </cell>
          <cell r="J40">
            <v>695000</v>
          </cell>
          <cell r="P40">
            <v>572250</v>
          </cell>
          <cell r="R40">
            <v>545000</v>
          </cell>
          <cell r="S40">
            <v>710000</v>
          </cell>
          <cell r="Y40">
            <v>588000</v>
          </cell>
          <cell r="AA40">
            <v>560000</v>
          </cell>
        </row>
        <row r="41">
          <cell r="B41">
            <v>48702</v>
          </cell>
          <cell r="C41" t="str">
            <v>CLA-15-2204X2BB-C</v>
          </cell>
          <cell r="E41" t="str">
            <v>CKD</v>
          </cell>
          <cell r="F41" t="str">
            <v>2018-05-30</v>
          </cell>
          <cell r="G41">
            <v>15.9</v>
          </cell>
          <cell r="H41">
            <v>43039</v>
          </cell>
          <cell r="J41">
            <v>695000</v>
          </cell>
          <cell r="P41">
            <v>572250</v>
          </cell>
          <cell r="R41">
            <v>545000</v>
          </cell>
          <cell r="S41">
            <v>710000</v>
          </cell>
          <cell r="Y41">
            <v>588000</v>
          </cell>
          <cell r="AA41">
            <v>560000</v>
          </cell>
        </row>
        <row r="42">
          <cell r="B42">
            <v>48703</v>
          </cell>
          <cell r="C42" t="str">
            <v>CLA-15-2204X2BB-C</v>
          </cell>
          <cell r="E42" t="str">
            <v>CKD</v>
          </cell>
          <cell r="F42" t="str">
            <v>2018-05-30</v>
          </cell>
          <cell r="G42">
            <v>15.9</v>
          </cell>
          <cell r="H42">
            <v>43039</v>
          </cell>
          <cell r="J42">
            <v>695000</v>
          </cell>
          <cell r="P42">
            <v>572250</v>
          </cell>
          <cell r="R42">
            <v>545000</v>
          </cell>
          <cell r="S42">
            <v>710000</v>
          </cell>
          <cell r="Y42">
            <v>588000</v>
          </cell>
          <cell r="AA42">
            <v>560000</v>
          </cell>
        </row>
        <row r="43">
          <cell r="B43">
            <v>48704</v>
          </cell>
          <cell r="C43" t="str">
            <v>CLA-15-2204X2BB-C</v>
          </cell>
          <cell r="E43" t="str">
            <v>CKD</v>
          </cell>
          <cell r="F43" t="str">
            <v>2018-05-30</v>
          </cell>
          <cell r="G43">
            <v>15.9</v>
          </cell>
          <cell r="H43">
            <v>43039</v>
          </cell>
          <cell r="J43">
            <v>695000</v>
          </cell>
          <cell r="P43">
            <v>572250</v>
          </cell>
          <cell r="R43">
            <v>545000</v>
          </cell>
          <cell r="S43">
            <v>710000</v>
          </cell>
          <cell r="Y43">
            <v>588000</v>
          </cell>
          <cell r="AA43">
            <v>560000</v>
          </cell>
        </row>
        <row r="44">
          <cell r="B44">
            <v>48705</v>
          </cell>
          <cell r="C44" t="str">
            <v>CLA-15-2204X2BB-C</v>
          </cell>
          <cell r="E44" t="str">
            <v>CKD</v>
          </cell>
          <cell r="F44" t="str">
            <v>2018-05-30</v>
          </cell>
          <cell r="G44">
            <v>15.9</v>
          </cell>
          <cell r="H44">
            <v>43039</v>
          </cell>
          <cell r="J44">
            <v>695000</v>
          </cell>
          <cell r="P44">
            <v>572250</v>
          </cell>
          <cell r="R44">
            <v>545000</v>
          </cell>
          <cell r="S44">
            <v>710000</v>
          </cell>
          <cell r="Y44">
            <v>588000</v>
          </cell>
          <cell r="AA44">
            <v>560000</v>
          </cell>
        </row>
        <row r="45">
          <cell r="B45">
            <v>48706</v>
          </cell>
          <cell r="C45" t="str">
            <v>CLA-15-2204X2BB-C</v>
          </cell>
          <cell r="E45" t="str">
            <v>CKD</v>
          </cell>
          <cell r="F45" t="str">
            <v>2018-05-30</v>
          </cell>
          <cell r="G45">
            <v>15.9</v>
          </cell>
          <cell r="H45">
            <v>43039</v>
          </cell>
          <cell r="J45">
            <v>695000</v>
          </cell>
          <cell r="P45">
            <v>572250</v>
          </cell>
          <cell r="R45">
            <v>545000</v>
          </cell>
          <cell r="S45">
            <v>710000</v>
          </cell>
          <cell r="Y45">
            <v>588000</v>
          </cell>
          <cell r="AA45">
            <v>560000</v>
          </cell>
        </row>
        <row r="46">
          <cell r="B46">
            <v>48707</v>
          </cell>
          <cell r="C46" t="str">
            <v>CLA-15-2204X2BB-C</v>
          </cell>
          <cell r="E46" t="str">
            <v>CKD</v>
          </cell>
          <cell r="F46" t="str">
            <v>2018-06-30</v>
          </cell>
          <cell r="G46">
            <v>15.9</v>
          </cell>
          <cell r="H46">
            <v>43039</v>
          </cell>
          <cell r="J46">
            <v>695000</v>
          </cell>
          <cell r="P46">
            <v>572250</v>
          </cell>
          <cell r="R46">
            <v>545000</v>
          </cell>
          <cell r="S46">
            <v>710000</v>
          </cell>
          <cell r="Y46">
            <v>588000</v>
          </cell>
          <cell r="AA46">
            <v>560000</v>
          </cell>
        </row>
        <row r="47">
          <cell r="B47">
            <v>48714</v>
          </cell>
          <cell r="C47" t="str">
            <v>CLA-15-2204X2BB-C</v>
          </cell>
          <cell r="E47" t="str">
            <v>CKD</v>
          </cell>
          <cell r="F47" t="str">
            <v>2018-06-30</v>
          </cell>
          <cell r="G47">
            <v>15.9</v>
          </cell>
          <cell r="H47">
            <v>43039</v>
          </cell>
          <cell r="J47">
            <v>695000</v>
          </cell>
          <cell r="P47">
            <v>572250</v>
          </cell>
          <cell r="R47">
            <v>545000</v>
          </cell>
          <cell r="S47">
            <v>710000</v>
          </cell>
          <cell r="Y47">
            <v>588000</v>
          </cell>
          <cell r="AA47">
            <v>560000</v>
          </cell>
        </row>
        <row r="48">
          <cell r="B48">
            <v>48715</v>
          </cell>
          <cell r="C48" t="str">
            <v>CLA-15-2204X2BB-C</v>
          </cell>
          <cell r="E48" t="str">
            <v>CKD</v>
          </cell>
          <cell r="F48" t="str">
            <v>2018-06-30</v>
          </cell>
          <cell r="G48">
            <v>15.9</v>
          </cell>
          <cell r="H48">
            <v>43039</v>
          </cell>
          <cell r="J48">
            <v>695000</v>
          </cell>
          <cell r="P48">
            <v>572250</v>
          </cell>
          <cell r="R48">
            <v>545000</v>
          </cell>
          <cell r="S48">
            <v>710000</v>
          </cell>
          <cell r="Y48">
            <v>588000</v>
          </cell>
          <cell r="AA48">
            <v>560000</v>
          </cell>
        </row>
        <row r="49">
          <cell r="B49">
            <v>48716</v>
          </cell>
          <cell r="C49" t="str">
            <v>CLA-15-2204X2BB-C</v>
          </cell>
          <cell r="E49" t="str">
            <v>CKD</v>
          </cell>
          <cell r="F49" t="str">
            <v>2018-06-30</v>
          </cell>
          <cell r="G49">
            <v>15.9</v>
          </cell>
          <cell r="H49">
            <v>43039</v>
          </cell>
          <cell r="J49">
            <v>695000</v>
          </cell>
          <cell r="P49">
            <v>572250</v>
          </cell>
          <cell r="R49">
            <v>545000</v>
          </cell>
          <cell r="S49">
            <v>710000</v>
          </cell>
          <cell r="Y49">
            <v>588000</v>
          </cell>
          <cell r="AA49">
            <v>560000</v>
          </cell>
        </row>
        <row r="50">
          <cell r="B50" t="str">
            <v>MA6-0685</v>
          </cell>
          <cell r="C50" t="str">
            <v>CLA-15-2204X2BB-C</v>
          </cell>
          <cell r="E50" t="str">
            <v>BODY</v>
          </cell>
          <cell r="F50">
            <v>292</v>
          </cell>
          <cell r="G50">
            <v>15.4</v>
          </cell>
          <cell r="H50">
            <v>42751</v>
          </cell>
          <cell r="J50">
            <v>1014818</v>
          </cell>
          <cell r="P50">
            <v>719250</v>
          </cell>
          <cell r="R50">
            <v>685000</v>
          </cell>
          <cell r="S50">
            <v>1029818</v>
          </cell>
          <cell r="Y50">
            <v>735000</v>
          </cell>
          <cell r="AA50">
            <v>700000</v>
          </cell>
        </row>
        <row r="51">
          <cell r="B51" t="str">
            <v>MA6-1404</v>
          </cell>
          <cell r="C51" t="str">
            <v>CLA-15-2204X2BB-C</v>
          </cell>
          <cell r="E51" t="str">
            <v>CKD</v>
          </cell>
          <cell r="F51" t="str">
            <v>2018-03-07</v>
          </cell>
          <cell r="G51">
            <v>15.3</v>
          </cell>
          <cell r="H51">
            <v>42978</v>
          </cell>
          <cell r="J51">
            <v>695000</v>
          </cell>
          <cell r="P51">
            <v>567000</v>
          </cell>
          <cell r="R51">
            <v>540000</v>
          </cell>
          <cell r="S51">
            <v>710000</v>
          </cell>
          <cell r="Y51">
            <v>582750</v>
          </cell>
          <cell r="AA51">
            <v>555000</v>
          </cell>
        </row>
        <row r="52">
          <cell r="B52" t="str">
            <v>MA6-1405</v>
          </cell>
          <cell r="C52" t="str">
            <v>CLA-15-2204X2BB-C</v>
          </cell>
          <cell r="E52" t="str">
            <v>CKD</v>
          </cell>
          <cell r="F52" t="str">
            <v>2018-03-07</v>
          </cell>
          <cell r="G52">
            <v>15.3</v>
          </cell>
          <cell r="H52">
            <v>42978</v>
          </cell>
          <cell r="J52">
            <v>695000</v>
          </cell>
          <cell r="P52">
            <v>567000</v>
          </cell>
          <cell r="R52">
            <v>540000</v>
          </cell>
          <cell r="S52">
            <v>710000</v>
          </cell>
          <cell r="Y52">
            <v>582750</v>
          </cell>
          <cell r="AA52">
            <v>555000</v>
          </cell>
        </row>
        <row r="53">
          <cell r="B53" t="str">
            <v>MA6-1406</v>
          </cell>
          <cell r="C53" t="str">
            <v>CLA-15-2204X2BB-C</v>
          </cell>
          <cell r="E53" t="str">
            <v>CKD</v>
          </cell>
          <cell r="F53" t="str">
            <v>2018-03-30</v>
          </cell>
          <cell r="G53">
            <v>15.3</v>
          </cell>
          <cell r="H53">
            <v>42978</v>
          </cell>
          <cell r="J53">
            <v>695000</v>
          </cell>
          <cell r="P53">
            <v>567000</v>
          </cell>
          <cell r="R53">
            <v>540000</v>
          </cell>
          <cell r="S53">
            <v>710000</v>
          </cell>
          <cell r="Y53">
            <v>582750</v>
          </cell>
          <cell r="AA53">
            <v>555000</v>
          </cell>
        </row>
        <row r="54">
          <cell r="B54" t="str">
            <v>MA6-1407</v>
          </cell>
          <cell r="C54" t="str">
            <v>CLA-15-2204X2BB-C</v>
          </cell>
          <cell r="E54" t="str">
            <v>CKD</v>
          </cell>
          <cell r="F54" t="str">
            <v>2018-03-30</v>
          </cell>
          <cell r="G54">
            <v>15.3</v>
          </cell>
          <cell r="H54">
            <v>42978</v>
          </cell>
          <cell r="J54">
            <v>695000</v>
          </cell>
          <cell r="P54">
            <v>567000</v>
          </cell>
          <cell r="R54">
            <v>540000</v>
          </cell>
          <cell r="S54">
            <v>710000</v>
          </cell>
          <cell r="Y54">
            <v>582750</v>
          </cell>
          <cell r="AA54">
            <v>555000</v>
          </cell>
        </row>
        <row r="55">
          <cell r="B55" t="str">
            <v>MA6-1408</v>
          </cell>
          <cell r="C55" t="str">
            <v>CLA-15-2204X2BB-C</v>
          </cell>
          <cell r="E55" t="str">
            <v>CKD</v>
          </cell>
          <cell r="F55" t="str">
            <v>2018-03-30</v>
          </cell>
          <cell r="G55">
            <v>15.3</v>
          </cell>
          <cell r="H55">
            <v>42978</v>
          </cell>
          <cell r="J55">
            <v>695000</v>
          </cell>
          <cell r="P55">
            <v>567000</v>
          </cell>
          <cell r="R55">
            <v>540000</v>
          </cell>
          <cell r="S55">
            <v>710000</v>
          </cell>
          <cell r="Y55">
            <v>582750</v>
          </cell>
          <cell r="AA55">
            <v>555000</v>
          </cell>
        </row>
        <row r="56">
          <cell r="B56" t="str">
            <v>MA6-1409</v>
          </cell>
          <cell r="C56" t="str">
            <v>CLA-15-2204X2BB-C</v>
          </cell>
          <cell r="E56" t="str">
            <v>CKD</v>
          </cell>
          <cell r="F56" t="str">
            <v>2018-03-30</v>
          </cell>
          <cell r="G56">
            <v>15.3</v>
          </cell>
          <cell r="H56">
            <v>42978</v>
          </cell>
          <cell r="J56">
            <v>695000</v>
          </cell>
          <cell r="P56">
            <v>567000</v>
          </cell>
          <cell r="R56">
            <v>540000</v>
          </cell>
          <cell r="S56">
            <v>710000</v>
          </cell>
          <cell r="Y56">
            <v>582750</v>
          </cell>
          <cell r="AA56">
            <v>555000</v>
          </cell>
        </row>
        <row r="57">
          <cell r="B57" t="str">
            <v>MA6-1410</v>
          </cell>
          <cell r="C57" t="str">
            <v>CLA-15-2204X2BB-C</v>
          </cell>
          <cell r="E57" t="str">
            <v>CKD</v>
          </cell>
          <cell r="F57" t="str">
            <v>2018-03-30</v>
          </cell>
          <cell r="G57">
            <v>15.3</v>
          </cell>
          <cell r="H57">
            <v>42978</v>
          </cell>
          <cell r="J57">
            <v>695000</v>
          </cell>
          <cell r="P57">
            <v>567000</v>
          </cell>
          <cell r="R57">
            <v>540000</v>
          </cell>
          <cell r="S57">
            <v>710000</v>
          </cell>
          <cell r="Y57">
            <v>582750</v>
          </cell>
          <cell r="AA57">
            <v>555000</v>
          </cell>
        </row>
        <row r="58">
          <cell r="B58" t="str">
            <v>MA6-1411</v>
          </cell>
          <cell r="C58" t="str">
            <v>CLA-15-2204X2BB-C</v>
          </cell>
          <cell r="E58" t="str">
            <v>CKD</v>
          </cell>
          <cell r="F58" t="str">
            <v>2018-03-30</v>
          </cell>
          <cell r="G58">
            <v>15.3</v>
          </cell>
          <cell r="H58">
            <v>42978</v>
          </cell>
          <cell r="J58">
            <v>695000</v>
          </cell>
          <cell r="P58">
            <v>567000</v>
          </cell>
          <cell r="R58">
            <v>540000</v>
          </cell>
          <cell r="S58">
            <v>710000</v>
          </cell>
          <cell r="Y58">
            <v>582750</v>
          </cell>
          <cell r="AA58">
            <v>555000</v>
          </cell>
        </row>
        <row r="59">
          <cell r="B59" t="str">
            <v>MA6-5109</v>
          </cell>
          <cell r="C59" t="str">
            <v>CLA-15-2204X2BB-C</v>
          </cell>
          <cell r="E59" t="str">
            <v>BODY</v>
          </cell>
          <cell r="F59">
            <v>158</v>
          </cell>
          <cell r="G59">
            <v>14.7</v>
          </cell>
          <cell r="H59">
            <v>42859</v>
          </cell>
          <cell r="J59">
            <v>1205891.6000000001</v>
          </cell>
          <cell r="P59">
            <v>903283.5</v>
          </cell>
          <cell r="R59">
            <v>860270</v>
          </cell>
          <cell r="S59">
            <v>1220891.6000000001</v>
          </cell>
          <cell r="Y59">
            <v>919033.5</v>
          </cell>
          <cell r="AA59">
            <v>875270</v>
          </cell>
        </row>
        <row r="60">
          <cell r="B60" t="str">
            <v>MA6-5110</v>
          </cell>
          <cell r="C60" t="str">
            <v>CLA-15-2204X2BB-C</v>
          </cell>
          <cell r="E60" t="str">
            <v>BODY</v>
          </cell>
          <cell r="F60">
            <v>154</v>
          </cell>
          <cell r="G60">
            <v>14.7</v>
          </cell>
          <cell r="H60">
            <v>42859</v>
          </cell>
          <cell r="J60">
            <v>1035587.48</v>
          </cell>
          <cell r="P60">
            <v>737710.05</v>
          </cell>
          <cell r="R60">
            <v>702581</v>
          </cell>
          <cell r="S60">
            <v>1050587.48</v>
          </cell>
          <cell r="Y60">
            <v>753460.05</v>
          </cell>
          <cell r="AA60">
            <v>717581</v>
          </cell>
        </row>
        <row r="61">
          <cell r="B61" t="str">
            <v>MA6-5112</v>
          </cell>
          <cell r="C61" t="str">
            <v>CLA-15-2204X2BB-C</v>
          </cell>
          <cell r="E61" t="str">
            <v>BODY</v>
          </cell>
          <cell r="F61">
            <v>158</v>
          </cell>
          <cell r="G61">
            <v>14.7</v>
          </cell>
          <cell r="H61">
            <v>42859</v>
          </cell>
          <cell r="J61">
            <v>1205891.6000000001</v>
          </cell>
          <cell r="P61">
            <v>903283.5</v>
          </cell>
          <cell r="R61">
            <v>860270</v>
          </cell>
          <cell r="S61">
            <v>1220891.6000000001</v>
          </cell>
          <cell r="Y61">
            <v>919033.5</v>
          </cell>
          <cell r="AA61">
            <v>875270</v>
          </cell>
        </row>
        <row r="62">
          <cell r="B62" t="str">
            <v>MA6-5165</v>
          </cell>
          <cell r="C62" t="str">
            <v>CLA-15-2204X2BB-C</v>
          </cell>
          <cell r="E62" t="str">
            <v>BODY</v>
          </cell>
          <cell r="F62">
            <v>153</v>
          </cell>
          <cell r="G62">
            <v>14.7</v>
          </cell>
          <cell r="H62">
            <v>42900</v>
          </cell>
          <cell r="J62">
            <v>1035587.48</v>
          </cell>
          <cell r="P62">
            <v>737710.05</v>
          </cell>
          <cell r="R62">
            <v>702581</v>
          </cell>
          <cell r="S62">
            <v>1050587.48</v>
          </cell>
          <cell r="Y62">
            <v>753460.05</v>
          </cell>
          <cell r="AA62">
            <v>717581</v>
          </cell>
        </row>
        <row r="63">
          <cell r="B63" t="str">
            <v>MA6-5166</v>
          </cell>
          <cell r="C63" t="str">
            <v>CLA-15-2204X2BB-C</v>
          </cell>
          <cell r="E63" t="str">
            <v>BODY</v>
          </cell>
          <cell r="F63">
            <v>153</v>
          </cell>
          <cell r="G63">
            <v>14.7</v>
          </cell>
          <cell r="H63">
            <v>42900</v>
          </cell>
          <cell r="J63">
            <v>1035587.48</v>
          </cell>
          <cell r="P63">
            <v>737710.05</v>
          </cell>
          <cell r="R63">
            <v>702581</v>
          </cell>
          <cell r="S63">
            <v>1050587.48</v>
          </cell>
          <cell r="Y63">
            <v>753460.05</v>
          </cell>
          <cell r="AA63">
            <v>717581</v>
          </cell>
        </row>
        <row r="64">
          <cell r="B64" t="str">
            <v>MA6-5167</v>
          </cell>
          <cell r="C64" t="str">
            <v>CLA-15-2204X2BB-C</v>
          </cell>
          <cell r="E64" t="str">
            <v>SOLD</v>
          </cell>
          <cell r="F64">
            <v>144</v>
          </cell>
          <cell r="G64">
            <v>14.7</v>
          </cell>
          <cell r="H64">
            <v>42900</v>
          </cell>
          <cell r="J64">
            <v>695000</v>
          </cell>
          <cell r="P64">
            <v>588000</v>
          </cell>
          <cell r="R64">
            <v>560000</v>
          </cell>
          <cell r="S64">
            <v>710000</v>
          </cell>
          <cell r="Y64">
            <v>603750</v>
          </cell>
          <cell r="AA64">
            <v>575000</v>
          </cell>
        </row>
        <row r="65">
          <cell r="B65" t="str">
            <v>MA6-5168</v>
          </cell>
          <cell r="C65" t="str">
            <v>CLA-15-2204X2BB-C</v>
          </cell>
          <cell r="E65" t="str">
            <v>BODY</v>
          </cell>
          <cell r="F65">
            <v>146</v>
          </cell>
          <cell r="G65">
            <v>14.7</v>
          </cell>
          <cell r="H65">
            <v>42900</v>
          </cell>
          <cell r="J65">
            <v>1035587.48</v>
          </cell>
          <cell r="P65">
            <v>737710.05</v>
          </cell>
          <cell r="R65">
            <v>702581</v>
          </cell>
          <cell r="S65">
            <v>1050587.48</v>
          </cell>
          <cell r="Y65">
            <v>753460.05</v>
          </cell>
          <cell r="AA65">
            <v>717581</v>
          </cell>
        </row>
        <row r="66">
          <cell r="B66" t="str">
            <v>MA6-5169</v>
          </cell>
          <cell r="C66" t="str">
            <v>CLA-15-2204X2BB-C</v>
          </cell>
          <cell r="E66" t="str">
            <v>BODY</v>
          </cell>
          <cell r="F66">
            <v>137</v>
          </cell>
          <cell r="G66">
            <v>14.7</v>
          </cell>
          <cell r="H66">
            <v>42900</v>
          </cell>
          <cell r="J66">
            <v>1035587.48</v>
          </cell>
          <cell r="P66">
            <v>737710.05</v>
          </cell>
          <cell r="R66">
            <v>702581</v>
          </cell>
          <cell r="S66">
            <v>1050587.48</v>
          </cell>
          <cell r="Y66">
            <v>753460.05</v>
          </cell>
          <cell r="AA66">
            <v>717581</v>
          </cell>
        </row>
        <row r="67">
          <cell r="B67" t="str">
            <v>MA6-5170</v>
          </cell>
          <cell r="C67" t="str">
            <v>CLA-15-2204X2BB-C</v>
          </cell>
          <cell r="E67" t="str">
            <v>BODY</v>
          </cell>
          <cell r="F67">
            <v>137</v>
          </cell>
          <cell r="G67">
            <v>14.7</v>
          </cell>
          <cell r="H67">
            <v>42900</v>
          </cell>
          <cell r="J67">
            <v>1035587.48</v>
          </cell>
          <cell r="P67">
            <v>737710.05</v>
          </cell>
          <cell r="R67">
            <v>702581</v>
          </cell>
          <cell r="S67">
            <v>1050587.48</v>
          </cell>
          <cell r="Y67">
            <v>753460.05</v>
          </cell>
          <cell r="AA67">
            <v>717581</v>
          </cell>
        </row>
        <row r="68">
          <cell r="B68" t="str">
            <v>MA6-5173</v>
          </cell>
          <cell r="C68" t="str">
            <v>CLA-15-2204X2BB-C</v>
          </cell>
          <cell r="E68" t="str">
            <v>BODY</v>
          </cell>
          <cell r="F68">
            <v>116</v>
          </cell>
          <cell r="G68">
            <v>14.7</v>
          </cell>
          <cell r="H68">
            <v>42900</v>
          </cell>
          <cell r="J68">
            <v>1205891.6000000001</v>
          </cell>
          <cell r="P68">
            <v>903283.5</v>
          </cell>
          <cell r="R68">
            <v>860270</v>
          </cell>
          <cell r="S68">
            <v>1220891.6000000001</v>
          </cell>
          <cell r="Y68">
            <v>919033.5</v>
          </cell>
          <cell r="AA68">
            <v>875270</v>
          </cell>
        </row>
        <row r="69">
          <cell r="B69" t="str">
            <v>MA6-5351</v>
          </cell>
          <cell r="C69" t="str">
            <v>CLA-15-2204X2BB-C</v>
          </cell>
          <cell r="E69" t="str">
            <v>CKD</v>
          </cell>
          <cell r="F69" t="str">
            <v>2018-02-19</v>
          </cell>
          <cell r="G69">
            <v>15.3</v>
          </cell>
          <cell r="H69">
            <v>42978</v>
          </cell>
          <cell r="J69">
            <v>1002169.8740000001</v>
          </cell>
          <cell r="P69">
            <v>865637.37750000006</v>
          </cell>
          <cell r="R69">
            <v>824416.55</v>
          </cell>
          <cell r="S69">
            <v>1017169.8740000001</v>
          </cell>
          <cell r="Y69">
            <v>881387.37750000006</v>
          </cell>
          <cell r="AA69">
            <v>839416.55</v>
          </cell>
        </row>
        <row r="70">
          <cell r="B70" t="str">
            <v>MA6-5352</v>
          </cell>
          <cell r="C70" t="str">
            <v>CLA-15-2204X2BB-C</v>
          </cell>
          <cell r="E70" t="str">
            <v>BODY</v>
          </cell>
          <cell r="F70">
            <v>4</v>
          </cell>
          <cell r="G70">
            <v>15.3</v>
          </cell>
          <cell r="H70">
            <v>42978</v>
          </cell>
          <cell r="J70">
            <v>1002169.8740000001</v>
          </cell>
          <cell r="P70">
            <v>865637.37750000006</v>
          </cell>
          <cell r="R70">
            <v>824416.55</v>
          </cell>
          <cell r="S70">
            <v>1017169.8740000001</v>
          </cell>
          <cell r="Y70">
            <v>881387.37750000006</v>
          </cell>
          <cell r="AA70">
            <v>839416.55</v>
          </cell>
        </row>
        <row r="71">
          <cell r="B71" t="str">
            <v>MA6-5353</v>
          </cell>
          <cell r="C71" t="str">
            <v>CLA-15-2204X2BB-C</v>
          </cell>
          <cell r="E71" t="str">
            <v>CKD</v>
          </cell>
          <cell r="F71" t="str">
            <v>2018-02-19</v>
          </cell>
          <cell r="G71">
            <v>15.3</v>
          </cell>
          <cell r="H71">
            <v>42978</v>
          </cell>
          <cell r="J71">
            <v>1002169.8740000001</v>
          </cell>
          <cell r="P71">
            <v>865637.37750000006</v>
          </cell>
          <cell r="R71">
            <v>824416.55</v>
          </cell>
          <cell r="S71">
            <v>1017169.8740000001</v>
          </cell>
          <cell r="Y71">
            <v>881387.37750000006</v>
          </cell>
          <cell r="AA71">
            <v>839416.55</v>
          </cell>
        </row>
        <row r="72">
          <cell r="B72" t="str">
            <v>MA6-5354</v>
          </cell>
          <cell r="C72" t="str">
            <v>CLA-15-2204X2BB-C</v>
          </cell>
          <cell r="E72" t="str">
            <v>CKD</v>
          </cell>
          <cell r="F72" t="str">
            <v>2018-02-20</v>
          </cell>
          <cell r="G72">
            <v>15.3</v>
          </cell>
          <cell r="H72">
            <v>42978</v>
          </cell>
          <cell r="J72">
            <v>1002169.8740000001</v>
          </cell>
          <cell r="P72">
            <v>865637.37750000006</v>
          </cell>
          <cell r="R72">
            <v>824416.55</v>
          </cell>
          <cell r="S72">
            <v>1017169.8740000001</v>
          </cell>
          <cell r="Y72">
            <v>881387.37750000006</v>
          </cell>
          <cell r="AA72">
            <v>839416.55</v>
          </cell>
        </row>
        <row r="73">
          <cell r="B73" t="str">
            <v>MA6-5355</v>
          </cell>
          <cell r="C73" t="str">
            <v>CLA-15-2204X2BB-C</v>
          </cell>
          <cell r="E73" t="str">
            <v>SOLD</v>
          </cell>
          <cell r="F73">
            <v>4</v>
          </cell>
          <cell r="G73">
            <v>15.3</v>
          </cell>
          <cell r="H73">
            <v>42978</v>
          </cell>
          <cell r="J73">
            <v>1002169.8740000001</v>
          </cell>
          <cell r="P73">
            <v>865637.37750000006</v>
          </cell>
          <cell r="R73">
            <v>824416.55</v>
          </cell>
          <cell r="S73">
            <v>1017169.8740000001</v>
          </cell>
          <cell r="Y73">
            <v>881387.37750000006</v>
          </cell>
          <cell r="AA73">
            <v>839416.55</v>
          </cell>
        </row>
        <row r="74">
          <cell r="B74" t="str">
            <v>MA6-5356</v>
          </cell>
          <cell r="C74" t="str">
            <v>CLA-15-2204X2BB-C</v>
          </cell>
          <cell r="E74" t="str">
            <v>BODY</v>
          </cell>
          <cell r="F74">
            <v>4</v>
          </cell>
          <cell r="G74">
            <v>15.3</v>
          </cell>
          <cell r="H74">
            <v>42978</v>
          </cell>
          <cell r="J74">
            <v>773994.44</v>
          </cell>
          <cell r="P74">
            <v>643800.15</v>
          </cell>
          <cell r="R74">
            <v>613143</v>
          </cell>
          <cell r="S74">
            <v>788994.44</v>
          </cell>
          <cell r="Y74">
            <v>659550.15</v>
          </cell>
          <cell r="AA74">
            <v>628143</v>
          </cell>
        </row>
        <row r="75">
          <cell r="B75" t="str">
            <v>MA6-5357</v>
          </cell>
          <cell r="C75" t="str">
            <v>CLA-15-2204X2BB-C</v>
          </cell>
          <cell r="E75" t="str">
            <v>SOLD</v>
          </cell>
          <cell r="F75">
            <v>8</v>
          </cell>
          <cell r="G75">
            <v>15.3</v>
          </cell>
          <cell r="H75">
            <v>42978</v>
          </cell>
          <cell r="J75">
            <v>1040891.6000000001</v>
          </cell>
          <cell r="P75">
            <v>903283.5</v>
          </cell>
          <cell r="R75">
            <v>860270</v>
          </cell>
          <cell r="S75">
            <v>1055891.6000000001</v>
          </cell>
          <cell r="Y75">
            <v>919033.5</v>
          </cell>
          <cell r="AA75">
            <v>875270</v>
          </cell>
        </row>
        <row r="76">
          <cell r="B76" t="str">
            <v>MA6-5358</v>
          </cell>
          <cell r="C76" t="str">
            <v>CLA-15-2204X2BB-C</v>
          </cell>
          <cell r="E76" t="str">
            <v>CKD</v>
          </cell>
          <cell r="F76" t="str">
            <v>2018-02-21</v>
          </cell>
          <cell r="G76">
            <v>15.3</v>
          </cell>
          <cell r="H76">
            <v>42978</v>
          </cell>
          <cell r="J76">
            <v>1040891.6000000001</v>
          </cell>
          <cell r="P76">
            <v>903283.5</v>
          </cell>
          <cell r="R76">
            <v>860270</v>
          </cell>
          <cell r="S76">
            <v>1055891.6000000001</v>
          </cell>
          <cell r="Y76">
            <v>919033.5</v>
          </cell>
          <cell r="AA76">
            <v>875270</v>
          </cell>
        </row>
        <row r="77">
          <cell r="B77" t="str">
            <v>MA6-5359</v>
          </cell>
          <cell r="C77" t="str">
            <v>CLA-15-2204X2BB-C</v>
          </cell>
          <cell r="E77" t="str">
            <v>CKD</v>
          </cell>
          <cell r="F77" t="str">
            <v>2018-02-21</v>
          </cell>
          <cell r="G77">
            <v>15.3</v>
          </cell>
          <cell r="H77">
            <v>42978</v>
          </cell>
          <cell r="J77">
            <v>773994.44</v>
          </cell>
          <cell r="P77">
            <v>643800.15</v>
          </cell>
          <cell r="R77">
            <v>613143</v>
          </cell>
          <cell r="S77">
            <v>788994.44</v>
          </cell>
          <cell r="Y77">
            <v>659550.15</v>
          </cell>
          <cell r="AA77">
            <v>628143</v>
          </cell>
        </row>
        <row r="78">
          <cell r="B78" t="str">
            <v>MA6-5360</v>
          </cell>
          <cell r="C78" t="str">
            <v>CLA-15-2204X2BB-C</v>
          </cell>
          <cell r="E78" t="str">
            <v>SOLD</v>
          </cell>
          <cell r="F78">
            <v>14</v>
          </cell>
          <cell r="G78">
            <v>15.3</v>
          </cell>
          <cell r="H78">
            <v>42978</v>
          </cell>
          <cell r="J78">
            <v>773994.44</v>
          </cell>
          <cell r="P78">
            <v>643800.15</v>
          </cell>
          <cell r="R78">
            <v>613143</v>
          </cell>
          <cell r="S78">
            <v>788994.44</v>
          </cell>
          <cell r="Y78">
            <v>659550.15</v>
          </cell>
          <cell r="AA78">
            <v>628143</v>
          </cell>
        </row>
        <row r="79">
          <cell r="B79" t="str">
            <v>MA6-5361</v>
          </cell>
          <cell r="C79" t="str">
            <v>CLA-15-2204X2BB-C</v>
          </cell>
          <cell r="E79" t="str">
            <v>SOLD</v>
          </cell>
          <cell r="F79">
            <v>13</v>
          </cell>
          <cell r="G79">
            <v>15.3</v>
          </cell>
          <cell r="H79">
            <v>42978</v>
          </cell>
          <cell r="J79">
            <v>773994.44</v>
          </cell>
          <cell r="P79">
            <v>643800.15</v>
          </cell>
          <cell r="R79">
            <v>613143</v>
          </cell>
          <cell r="S79">
            <v>788994.44</v>
          </cell>
          <cell r="Y79">
            <v>659550.15</v>
          </cell>
          <cell r="AA79">
            <v>628143</v>
          </cell>
        </row>
        <row r="80">
          <cell r="B80" t="str">
            <v>MA6-5362</v>
          </cell>
          <cell r="C80" t="str">
            <v>CLA-15-2204X2BB-C</v>
          </cell>
          <cell r="E80" t="str">
            <v>SOLD</v>
          </cell>
          <cell r="F80">
            <v>13</v>
          </cell>
          <cell r="G80">
            <v>15.3</v>
          </cell>
          <cell r="H80">
            <v>42978</v>
          </cell>
          <cell r="J80">
            <v>695000</v>
          </cell>
          <cell r="P80">
            <v>567000</v>
          </cell>
          <cell r="R80">
            <v>540000</v>
          </cell>
          <cell r="S80">
            <v>710000</v>
          </cell>
          <cell r="Y80">
            <v>582750</v>
          </cell>
          <cell r="AA80">
            <v>555000</v>
          </cell>
        </row>
        <row r="81">
          <cell r="B81" t="str">
            <v>MA6-5363</v>
          </cell>
          <cell r="C81" t="str">
            <v>CLA-15-2204X2BB-C</v>
          </cell>
          <cell r="E81" t="str">
            <v>SOLD</v>
          </cell>
          <cell r="F81">
            <v>12</v>
          </cell>
          <cell r="G81">
            <v>15.3</v>
          </cell>
          <cell r="H81">
            <v>42978</v>
          </cell>
          <cell r="J81">
            <v>695000</v>
          </cell>
          <cell r="P81">
            <v>567000</v>
          </cell>
          <cell r="R81">
            <v>540000</v>
          </cell>
          <cell r="S81">
            <v>710000</v>
          </cell>
          <cell r="Y81">
            <v>582750</v>
          </cell>
          <cell r="AA81">
            <v>555000</v>
          </cell>
        </row>
        <row r="82">
          <cell r="B82" t="str">
            <v>MA6-5364</v>
          </cell>
          <cell r="C82" t="str">
            <v>CLA-15-2204X2BB-C</v>
          </cell>
          <cell r="E82" t="str">
            <v>SOLD</v>
          </cell>
          <cell r="F82">
            <v>8</v>
          </cell>
          <cell r="G82">
            <v>15.3</v>
          </cell>
          <cell r="H82">
            <v>42978</v>
          </cell>
          <cell r="J82">
            <v>695000</v>
          </cell>
          <cell r="P82">
            <v>588000</v>
          </cell>
          <cell r="R82">
            <v>560000</v>
          </cell>
          <cell r="S82">
            <v>710000</v>
          </cell>
          <cell r="Y82">
            <v>603750</v>
          </cell>
          <cell r="AA82">
            <v>575000</v>
          </cell>
        </row>
        <row r="83">
          <cell r="B83" t="str">
            <v>MA6-5365</v>
          </cell>
          <cell r="C83" t="str">
            <v>CLA-15-2204X2BB-C</v>
          </cell>
          <cell r="E83" t="str">
            <v>SOLD</v>
          </cell>
          <cell r="F83">
            <v>8</v>
          </cell>
          <cell r="G83">
            <v>15.3</v>
          </cell>
          <cell r="H83">
            <v>42978</v>
          </cell>
          <cell r="J83">
            <v>695000</v>
          </cell>
          <cell r="P83">
            <v>588000</v>
          </cell>
          <cell r="R83">
            <v>560000</v>
          </cell>
          <cell r="S83">
            <v>710000</v>
          </cell>
          <cell r="Y83">
            <v>603750</v>
          </cell>
          <cell r="AA83">
            <v>575000</v>
          </cell>
        </row>
        <row r="84">
          <cell r="B84" t="str">
            <v>MA6-5366</v>
          </cell>
          <cell r="C84" t="str">
            <v>CLA-15-2204X2BB-C</v>
          </cell>
          <cell r="E84" t="str">
            <v>SOLD</v>
          </cell>
          <cell r="F84">
            <v>13</v>
          </cell>
          <cell r="G84">
            <v>15.3</v>
          </cell>
          <cell r="H84">
            <v>42978</v>
          </cell>
          <cell r="J84">
            <v>695000</v>
          </cell>
          <cell r="P84">
            <v>588000</v>
          </cell>
          <cell r="R84">
            <v>560000</v>
          </cell>
          <cell r="S84">
            <v>710000</v>
          </cell>
          <cell r="Y84">
            <v>603750</v>
          </cell>
          <cell r="AA84">
            <v>575000</v>
          </cell>
        </row>
        <row r="85">
          <cell r="B85" t="str">
            <v>MA6-5367</v>
          </cell>
          <cell r="C85" t="str">
            <v>CLA-15-2204X2BB-C</v>
          </cell>
          <cell r="E85" t="str">
            <v>CKD</v>
          </cell>
          <cell r="F85" t="str">
            <v>2018-02-15</v>
          </cell>
          <cell r="G85">
            <v>15.3</v>
          </cell>
          <cell r="H85">
            <v>42978</v>
          </cell>
          <cell r="J85">
            <v>695000</v>
          </cell>
          <cell r="P85">
            <v>588000</v>
          </cell>
          <cell r="R85">
            <v>560000</v>
          </cell>
          <cell r="S85">
            <v>710000</v>
          </cell>
          <cell r="Y85">
            <v>603750</v>
          </cell>
          <cell r="AA85">
            <v>575000</v>
          </cell>
        </row>
        <row r="86">
          <cell r="B86" t="str">
            <v>MA6-5368</v>
          </cell>
          <cell r="C86" t="str">
            <v>CLA-15-2204X2BB-C</v>
          </cell>
          <cell r="E86" t="str">
            <v>CKD</v>
          </cell>
          <cell r="F86" t="str">
            <v>2018-02-16</v>
          </cell>
          <cell r="G86">
            <v>15.3</v>
          </cell>
          <cell r="H86">
            <v>42978</v>
          </cell>
          <cell r="J86">
            <v>695000</v>
          </cell>
          <cell r="P86">
            <v>588000</v>
          </cell>
          <cell r="R86">
            <v>560000</v>
          </cell>
          <cell r="S86">
            <v>710000</v>
          </cell>
          <cell r="Y86">
            <v>603750</v>
          </cell>
          <cell r="AA86">
            <v>575000</v>
          </cell>
        </row>
        <row r="87">
          <cell r="B87" t="str">
            <v>MA6-5373</v>
          </cell>
          <cell r="C87" t="str">
            <v>CLA-15-2204X2BB-C</v>
          </cell>
          <cell r="E87" t="str">
            <v>SOLD</v>
          </cell>
          <cell r="F87">
            <v>12</v>
          </cell>
          <cell r="G87">
            <v>15.3</v>
          </cell>
          <cell r="H87">
            <v>42978</v>
          </cell>
          <cell r="J87">
            <v>695000</v>
          </cell>
          <cell r="P87">
            <v>588000</v>
          </cell>
          <cell r="R87">
            <v>560000</v>
          </cell>
          <cell r="S87">
            <v>710000</v>
          </cell>
          <cell r="Y87">
            <v>603750</v>
          </cell>
          <cell r="AA87">
            <v>575000</v>
          </cell>
        </row>
        <row r="88">
          <cell r="B88" t="str">
            <v>MA6-5461</v>
          </cell>
          <cell r="C88" t="str">
            <v>CLA-15-2204X2BB-C</v>
          </cell>
          <cell r="E88" t="str">
            <v>CKD</v>
          </cell>
          <cell r="F88" t="str">
            <v>2018-03-30</v>
          </cell>
          <cell r="G88">
            <v>15.9</v>
          </cell>
          <cell r="H88">
            <v>43039</v>
          </cell>
          <cell r="J88">
            <v>695000</v>
          </cell>
          <cell r="P88">
            <v>572250</v>
          </cell>
          <cell r="R88">
            <v>545000</v>
          </cell>
          <cell r="S88">
            <v>710000</v>
          </cell>
          <cell r="Y88">
            <v>588000</v>
          </cell>
          <cell r="AA88">
            <v>560000</v>
          </cell>
        </row>
        <row r="89">
          <cell r="B89" t="str">
            <v>MA6-5462</v>
          </cell>
          <cell r="C89" t="str">
            <v>CLA-15-2204X2BB-C</v>
          </cell>
          <cell r="E89" t="str">
            <v>CKD</v>
          </cell>
          <cell r="F89" t="str">
            <v>2018-03-30</v>
          </cell>
          <cell r="G89">
            <v>15.9</v>
          </cell>
          <cell r="H89">
            <v>43039</v>
          </cell>
          <cell r="J89">
            <v>695000</v>
          </cell>
          <cell r="P89">
            <v>572250</v>
          </cell>
          <cell r="R89">
            <v>545000</v>
          </cell>
          <cell r="S89">
            <v>710000</v>
          </cell>
          <cell r="Y89">
            <v>588000</v>
          </cell>
          <cell r="AA89">
            <v>560000</v>
          </cell>
        </row>
        <row r="90">
          <cell r="B90" t="str">
            <v>MA6-5463</v>
          </cell>
          <cell r="C90" t="str">
            <v>CLA-15-2204X2BB-C</v>
          </cell>
          <cell r="E90" t="str">
            <v>CKD</v>
          </cell>
          <cell r="F90" t="str">
            <v>2018-05-30</v>
          </cell>
          <cell r="G90">
            <v>15.9</v>
          </cell>
          <cell r="H90">
            <v>43039</v>
          </cell>
          <cell r="J90">
            <v>695000</v>
          </cell>
          <cell r="P90">
            <v>572250</v>
          </cell>
          <cell r="R90">
            <v>545000</v>
          </cell>
          <cell r="S90">
            <v>710000</v>
          </cell>
          <cell r="Y90">
            <v>588000</v>
          </cell>
          <cell r="AA90">
            <v>560000</v>
          </cell>
        </row>
        <row r="91">
          <cell r="B91" t="str">
            <v>TBAKP589</v>
          </cell>
          <cell r="C91" t="str">
            <v>CLA-15-2204X2BB-C</v>
          </cell>
          <cell r="E91" t="str">
            <v>CKD</v>
          </cell>
          <cell r="F91" t="str">
            <v>2018-08-19</v>
          </cell>
          <cell r="G91">
            <v>15.8</v>
          </cell>
          <cell r="H91">
            <v>43159</v>
          </cell>
          <cell r="J91">
            <v>695000</v>
          </cell>
          <cell r="P91">
            <v>588000</v>
          </cell>
          <cell r="R91">
            <v>560000</v>
          </cell>
          <cell r="S91">
            <v>710000</v>
          </cell>
          <cell r="Y91">
            <v>603750</v>
          </cell>
          <cell r="AA91">
            <v>575000</v>
          </cell>
        </row>
        <row r="92">
          <cell r="B92" t="str">
            <v>MC6-3602</v>
          </cell>
          <cell r="C92" t="str">
            <v>CLA-26-2806X4BB-C-K</v>
          </cell>
          <cell r="E92" t="str">
            <v>BOOKED</v>
          </cell>
          <cell r="F92">
            <v>341</v>
          </cell>
          <cell r="G92">
            <v>16</v>
          </cell>
          <cell r="H92">
            <v>42656</v>
          </cell>
          <cell r="J92">
            <v>1050000</v>
          </cell>
          <cell r="P92">
            <v>829500</v>
          </cell>
          <cell r="R92">
            <v>790000</v>
          </cell>
          <cell r="S92">
            <v>1080000</v>
          </cell>
          <cell r="Y92">
            <v>861000</v>
          </cell>
          <cell r="AA92">
            <v>820000</v>
          </cell>
        </row>
        <row r="93">
          <cell r="B93" t="str">
            <v>MC6-3807</v>
          </cell>
          <cell r="C93" t="str">
            <v>CLA-26-2806X4BB-C-K</v>
          </cell>
          <cell r="E93" t="str">
            <v>BODY</v>
          </cell>
          <cell r="F93">
            <v>144</v>
          </cell>
          <cell r="G93">
            <v>14.7</v>
          </cell>
          <cell r="H93">
            <v>42900</v>
          </cell>
          <cell r="J93">
            <v>1050000</v>
          </cell>
          <cell r="P93">
            <v>829500</v>
          </cell>
          <cell r="R93">
            <v>790000</v>
          </cell>
          <cell r="S93">
            <v>1080000</v>
          </cell>
          <cell r="Y93">
            <v>861000</v>
          </cell>
          <cell r="AA93">
            <v>820000</v>
          </cell>
        </row>
        <row r="94">
          <cell r="B94" t="str">
            <v>MC6-3809</v>
          </cell>
          <cell r="C94" t="str">
            <v>CLA-26-2806X4BB-C-K</v>
          </cell>
          <cell r="E94" t="str">
            <v>BODY</v>
          </cell>
          <cell r="F94">
            <v>166</v>
          </cell>
          <cell r="G94">
            <v>14.7</v>
          </cell>
          <cell r="H94">
            <v>42900</v>
          </cell>
          <cell r="J94">
            <v>1050000</v>
          </cell>
          <cell r="P94">
            <v>829500</v>
          </cell>
          <cell r="R94">
            <v>790000</v>
          </cell>
          <cell r="S94">
            <v>1080000</v>
          </cell>
          <cell r="Y94">
            <v>861000</v>
          </cell>
          <cell r="AA94">
            <v>820000</v>
          </cell>
        </row>
        <row r="95">
          <cell r="B95" t="str">
            <v>MC6-3815</v>
          </cell>
          <cell r="C95" t="str">
            <v>CLA-26-2806X4BB-C-K</v>
          </cell>
          <cell r="E95" t="str">
            <v>BODY</v>
          </cell>
          <cell r="F95">
            <v>131</v>
          </cell>
          <cell r="G95">
            <v>14.7</v>
          </cell>
          <cell r="H95">
            <v>42900</v>
          </cell>
          <cell r="J95">
            <v>1050000</v>
          </cell>
          <cell r="P95">
            <v>829500</v>
          </cell>
          <cell r="R95">
            <v>790000</v>
          </cell>
          <cell r="S95">
            <v>1080000</v>
          </cell>
          <cell r="Y95">
            <v>861000</v>
          </cell>
          <cell r="AA95">
            <v>820000</v>
          </cell>
        </row>
        <row r="96">
          <cell r="B96" t="str">
            <v>MC6-3816</v>
          </cell>
          <cell r="C96" t="str">
            <v>CLA-26-2806X4BB-C-K</v>
          </cell>
          <cell r="E96" t="str">
            <v>BODY</v>
          </cell>
          <cell r="F96">
            <v>131</v>
          </cell>
          <cell r="G96">
            <v>14.7</v>
          </cell>
          <cell r="H96">
            <v>42900</v>
          </cell>
          <cell r="J96">
            <v>1050000</v>
          </cell>
          <cell r="P96">
            <v>829500</v>
          </cell>
          <cell r="R96">
            <v>790000</v>
          </cell>
          <cell r="S96">
            <v>1080000</v>
          </cell>
          <cell r="Y96">
            <v>861000</v>
          </cell>
          <cell r="AA96">
            <v>820000</v>
          </cell>
        </row>
        <row r="97">
          <cell r="B97" t="str">
            <v>MC6-3817</v>
          </cell>
          <cell r="C97" t="str">
            <v>CLA-26-2806X4BB-C-K</v>
          </cell>
          <cell r="E97" t="str">
            <v>BODY</v>
          </cell>
          <cell r="F97">
            <v>131</v>
          </cell>
          <cell r="G97">
            <v>14.7</v>
          </cell>
          <cell r="H97">
            <v>42900</v>
          </cell>
          <cell r="J97">
            <v>1050000</v>
          </cell>
          <cell r="P97">
            <v>829500</v>
          </cell>
          <cell r="R97">
            <v>790000</v>
          </cell>
          <cell r="S97">
            <v>1080000</v>
          </cell>
          <cell r="Y97">
            <v>861000</v>
          </cell>
          <cell r="AA97">
            <v>820000</v>
          </cell>
        </row>
        <row r="98">
          <cell r="B98" t="str">
            <v>MC6-3818</v>
          </cell>
          <cell r="C98" t="str">
            <v>CLA-26-2806X4BB-C-K</v>
          </cell>
          <cell r="E98" t="str">
            <v>BODY</v>
          </cell>
          <cell r="F98">
            <v>131</v>
          </cell>
          <cell r="G98">
            <v>14.7</v>
          </cell>
          <cell r="H98">
            <v>42900</v>
          </cell>
          <cell r="J98">
            <v>1050000</v>
          </cell>
          <cell r="P98">
            <v>829500</v>
          </cell>
          <cell r="R98">
            <v>790000</v>
          </cell>
          <cell r="S98">
            <v>1080000</v>
          </cell>
          <cell r="Y98">
            <v>861000</v>
          </cell>
          <cell r="AA98">
            <v>820000</v>
          </cell>
        </row>
        <row r="99">
          <cell r="B99" t="str">
            <v>MC6-3831</v>
          </cell>
          <cell r="C99" t="str">
            <v>CLA-26-2806X4BB-C-K</v>
          </cell>
          <cell r="E99" t="str">
            <v>UNSOLD</v>
          </cell>
          <cell r="F99">
            <v>109</v>
          </cell>
          <cell r="G99">
            <v>14.7</v>
          </cell>
          <cell r="H99">
            <v>42900</v>
          </cell>
          <cell r="J99">
            <v>1050000</v>
          </cell>
          <cell r="P99">
            <v>829500</v>
          </cell>
          <cell r="R99">
            <v>790000</v>
          </cell>
          <cell r="S99">
            <v>1080000</v>
          </cell>
          <cell r="Y99">
            <v>861000</v>
          </cell>
          <cell r="AA99">
            <v>820000</v>
          </cell>
        </row>
        <row r="100">
          <cell r="B100" t="str">
            <v>MC6-3832</v>
          </cell>
          <cell r="C100" t="str">
            <v>CLA-26-2806X4BB-C-K</v>
          </cell>
          <cell r="E100" t="str">
            <v>BODY</v>
          </cell>
          <cell r="F100">
            <v>111</v>
          </cell>
          <cell r="G100">
            <v>14.7</v>
          </cell>
          <cell r="H100">
            <v>42900</v>
          </cell>
          <cell r="J100">
            <v>1050000</v>
          </cell>
          <cell r="P100">
            <v>829500</v>
          </cell>
          <cell r="R100">
            <v>790000</v>
          </cell>
          <cell r="S100">
            <v>1080000</v>
          </cell>
          <cell r="Y100">
            <v>861000</v>
          </cell>
          <cell r="AA100">
            <v>820000</v>
          </cell>
        </row>
        <row r="101">
          <cell r="B101" t="str">
            <v>MC6-3833</v>
          </cell>
          <cell r="C101" t="str">
            <v>CLA-26-2806X4BB-C-K</v>
          </cell>
          <cell r="E101" t="str">
            <v>UNSOLD</v>
          </cell>
          <cell r="F101">
            <v>109</v>
          </cell>
          <cell r="G101">
            <v>14.7</v>
          </cell>
          <cell r="H101">
            <v>42900</v>
          </cell>
          <cell r="J101">
            <v>1050000</v>
          </cell>
          <cell r="P101">
            <v>829500</v>
          </cell>
          <cell r="R101">
            <v>790000</v>
          </cell>
          <cell r="S101">
            <v>1080000</v>
          </cell>
          <cell r="Y101">
            <v>861000</v>
          </cell>
          <cell r="AA101">
            <v>820000</v>
          </cell>
        </row>
        <row r="102">
          <cell r="B102" t="str">
            <v>MC6-3834</v>
          </cell>
          <cell r="C102" t="str">
            <v>CLA-26-2806X4BB-C-K</v>
          </cell>
          <cell r="E102" t="str">
            <v>BODY</v>
          </cell>
          <cell r="F102">
            <v>109</v>
          </cell>
          <cell r="G102">
            <v>14.7</v>
          </cell>
          <cell r="H102">
            <v>42900</v>
          </cell>
          <cell r="J102">
            <v>1050000</v>
          </cell>
          <cell r="P102">
            <v>829500</v>
          </cell>
          <cell r="R102">
            <v>790000</v>
          </cell>
          <cell r="S102">
            <v>1080000</v>
          </cell>
          <cell r="Y102">
            <v>861000</v>
          </cell>
          <cell r="AA102">
            <v>820000</v>
          </cell>
        </row>
        <row r="103">
          <cell r="B103" t="str">
            <v>MC6-3836</v>
          </cell>
          <cell r="C103" t="str">
            <v>CLA-26-2806X4BB-C-K</v>
          </cell>
          <cell r="E103" t="str">
            <v>BOOKED</v>
          </cell>
          <cell r="F103">
            <v>113</v>
          </cell>
          <cell r="G103">
            <v>14.7</v>
          </cell>
          <cell r="H103">
            <v>42900</v>
          </cell>
          <cell r="J103">
            <v>1050000</v>
          </cell>
          <cell r="P103">
            <v>829500</v>
          </cell>
          <cell r="R103">
            <v>790000</v>
          </cell>
          <cell r="S103">
            <v>1080000</v>
          </cell>
          <cell r="Y103">
            <v>861000</v>
          </cell>
          <cell r="AA103">
            <v>820000</v>
          </cell>
        </row>
        <row r="104">
          <cell r="B104" t="str">
            <v>MC6-3901</v>
          </cell>
          <cell r="C104" t="str">
            <v>CLA-26-2806X4BB-C-K</v>
          </cell>
          <cell r="E104" t="str">
            <v>CKD</v>
          </cell>
          <cell r="F104" t="str">
            <v>2018-09-30</v>
          </cell>
          <cell r="G104">
            <v>14.7</v>
          </cell>
          <cell r="H104">
            <v>42947</v>
          </cell>
          <cell r="J104">
            <v>1050000</v>
          </cell>
          <cell r="P104">
            <v>866250</v>
          </cell>
          <cell r="R104">
            <v>825000</v>
          </cell>
          <cell r="S104">
            <v>1080000</v>
          </cell>
          <cell r="Y104">
            <v>897750</v>
          </cell>
          <cell r="AA104">
            <v>855000</v>
          </cell>
        </row>
        <row r="105">
          <cell r="B105" t="str">
            <v>MC6-3902</v>
          </cell>
          <cell r="C105" t="str">
            <v>CLA-26-2806X4BB-C-K</v>
          </cell>
          <cell r="E105" t="str">
            <v>CKD</v>
          </cell>
          <cell r="F105" t="str">
            <v>2018-09-30</v>
          </cell>
          <cell r="G105">
            <v>14.7</v>
          </cell>
          <cell r="H105">
            <v>42947</v>
          </cell>
          <cell r="J105">
            <v>1050000</v>
          </cell>
          <cell r="P105">
            <v>866250</v>
          </cell>
          <cell r="R105">
            <v>825000</v>
          </cell>
          <cell r="S105">
            <v>1080000</v>
          </cell>
          <cell r="Y105">
            <v>897750</v>
          </cell>
          <cell r="AA105">
            <v>855000</v>
          </cell>
        </row>
        <row r="106">
          <cell r="B106" t="str">
            <v>MC6-3903</v>
          </cell>
          <cell r="C106" t="str">
            <v>CLA-26-2806X4BB-C-K</v>
          </cell>
          <cell r="E106" t="str">
            <v>CKD</v>
          </cell>
          <cell r="F106" t="str">
            <v>2018-09-30</v>
          </cell>
          <cell r="G106">
            <v>14.7</v>
          </cell>
          <cell r="H106">
            <v>42947</v>
          </cell>
          <cell r="J106">
            <v>1050000</v>
          </cell>
          <cell r="P106">
            <v>866250</v>
          </cell>
          <cell r="R106">
            <v>825000</v>
          </cell>
          <cell r="S106">
            <v>1080000</v>
          </cell>
          <cell r="Y106">
            <v>897750</v>
          </cell>
          <cell r="AA106">
            <v>855000</v>
          </cell>
        </row>
        <row r="107">
          <cell r="B107" t="str">
            <v>MC6-3904</v>
          </cell>
          <cell r="C107" t="str">
            <v>CLA-26-2806X4BB-C-K</v>
          </cell>
          <cell r="E107" t="str">
            <v>CKD</v>
          </cell>
          <cell r="F107" t="str">
            <v>2018-09-30</v>
          </cell>
          <cell r="G107">
            <v>14.7</v>
          </cell>
          <cell r="H107">
            <v>42947</v>
          </cell>
          <cell r="J107">
            <v>1050000</v>
          </cell>
          <cell r="P107">
            <v>866250</v>
          </cell>
          <cell r="R107">
            <v>825000</v>
          </cell>
          <cell r="S107">
            <v>1080000</v>
          </cell>
          <cell r="Y107">
            <v>897750</v>
          </cell>
          <cell r="AA107">
            <v>855000</v>
          </cell>
        </row>
        <row r="108">
          <cell r="B108" t="str">
            <v>MC6-3905</v>
          </cell>
          <cell r="C108" t="str">
            <v>CLA-26-2806X4BB-C-K</v>
          </cell>
          <cell r="E108" t="str">
            <v>CKD</v>
          </cell>
          <cell r="F108" t="str">
            <v>2018-09-30</v>
          </cell>
          <cell r="G108">
            <v>14.7</v>
          </cell>
          <cell r="H108">
            <v>42947</v>
          </cell>
          <cell r="J108">
            <v>1050000</v>
          </cell>
          <cell r="P108">
            <v>866250</v>
          </cell>
          <cell r="R108">
            <v>825000</v>
          </cell>
          <cell r="S108">
            <v>1080000</v>
          </cell>
          <cell r="Y108">
            <v>897750</v>
          </cell>
          <cell r="AA108">
            <v>855000</v>
          </cell>
        </row>
        <row r="109">
          <cell r="B109" t="str">
            <v>MC6-3906</v>
          </cell>
          <cell r="C109" t="str">
            <v>CLA-26-2806X4BB-C-K</v>
          </cell>
          <cell r="E109" t="str">
            <v>CKD</v>
          </cell>
          <cell r="F109" t="str">
            <v>2018-09-30</v>
          </cell>
          <cell r="G109">
            <v>14.7</v>
          </cell>
          <cell r="H109">
            <v>42947</v>
          </cell>
          <cell r="J109">
            <v>1050000</v>
          </cell>
          <cell r="P109">
            <v>866250</v>
          </cell>
          <cell r="R109">
            <v>825000</v>
          </cell>
          <cell r="S109">
            <v>1080000</v>
          </cell>
          <cell r="Y109">
            <v>897750</v>
          </cell>
          <cell r="AA109">
            <v>855000</v>
          </cell>
        </row>
        <row r="110">
          <cell r="B110" t="str">
            <v>MC6-3907</v>
          </cell>
          <cell r="C110" t="str">
            <v>CLA-26-2806X4BB-C-K</v>
          </cell>
          <cell r="E110" t="str">
            <v>CKD</v>
          </cell>
          <cell r="F110" t="str">
            <v>2018-07-30</v>
          </cell>
          <cell r="G110">
            <v>14.7</v>
          </cell>
          <cell r="H110">
            <v>42947</v>
          </cell>
          <cell r="J110">
            <v>1050000</v>
          </cell>
          <cell r="P110">
            <v>866250</v>
          </cell>
          <cell r="R110">
            <v>825000</v>
          </cell>
          <cell r="S110">
            <v>1080000</v>
          </cell>
          <cell r="Y110">
            <v>897750</v>
          </cell>
          <cell r="AA110">
            <v>855000</v>
          </cell>
        </row>
        <row r="111">
          <cell r="B111" t="str">
            <v>MC6-3908</v>
          </cell>
          <cell r="C111" t="str">
            <v>CLA-26-2806X4BB-C-K</v>
          </cell>
          <cell r="E111" t="str">
            <v>CKD</v>
          </cell>
          <cell r="F111" t="str">
            <v>2018-07-30</v>
          </cell>
          <cell r="G111">
            <v>14.7</v>
          </cell>
          <cell r="H111">
            <v>42947</v>
          </cell>
          <cell r="J111">
            <v>1050000</v>
          </cell>
          <cell r="P111">
            <v>866250</v>
          </cell>
          <cell r="R111">
            <v>825000</v>
          </cell>
          <cell r="S111">
            <v>1080000</v>
          </cell>
          <cell r="Y111">
            <v>897750</v>
          </cell>
          <cell r="AA111">
            <v>855000</v>
          </cell>
        </row>
        <row r="112">
          <cell r="B112" t="str">
            <v>MC6-3909</v>
          </cell>
          <cell r="C112" t="str">
            <v>CLA-26-2806X4BB-C-K</v>
          </cell>
          <cell r="E112" t="str">
            <v>CKD</v>
          </cell>
          <cell r="F112" t="str">
            <v>2018-07-30</v>
          </cell>
          <cell r="G112">
            <v>14.7</v>
          </cell>
          <cell r="H112">
            <v>42947</v>
          </cell>
          <cell r="J112">
            <v>1050000</v>
          </cell>
          <cell r="P112">
            <v>866250</v>
          </cell>
          <cell r="R112">
            <v>825000</v>
          </cell>
          <cell r="S112">
            <v>1080000</v>
          </cell>
          <cell r="Y112">
            <v>897750</v>
          </cell>
          <cell r="AA112">
            <v>855000</v>
          </cell>
        </row>
        <row r="113">
          <cell r="B113" t="str">
            <v>MC6-3910</v>
          </cell>
          <cell r="C113" t="str">
            <v>CLA-26-2806X4BB-C-K</v>
          </cell>
          <cell r="E113" t="str">
            <v>CKD</v>
          </cell>
          <cell r="F113" t="str">
            <v>2018-07-30</v>
          </cell>
          <cell r="G113">
            <v>14.7</v>
          </cell>
          <cell r="H113">
            <v>42947</v>
          </cell>
          <cell r="J113">
            <v>1050000</v>
          </cell>
          <cell r="P113">
            <v>866250</v>
          </cell>
          <cell r="R113">
            <v>825000</v>
          </cell>
          <cell r="S113">
            <v>1080000</v>
          </cell>
          <cell r="Y113">
            <v>897750</v>
          </cell>
          <cell r="AA113">
            <v>855000</v>
          </cell>
        </row>
        <row r="114">
          <cell r="B114" t="str">
            <v>MC6-3911</v>
          </cell>
          <cell r="C114" t="str">
            <v>CLA-26-2806X4BB-C-K</v>
          </cell>
          <cell r="E114" t="str">
            <v>CKD</v>
          </cell>
          <cell r="F114" t="str">
            <v>2018-07-30</v>
          </cell>
          <cell r="G114">
            <v>14.7</v>
          </cell>
          <cell r="H114">
            <v>42947</v>
          </cell>
          <cell r="J114">
            <v>1050000</v>
          </cell>
          <cell r="P114">
            <v>866250</v>
          </cell>
          <cell r="R114">
            <v>825000</v>
          </cell>
          <cell r="S114">
            <v>1080000</v>
          </cell>
          <cell r="Y114">
            <v>897750</v>
          </cell>
          <cell r="AA114">
            <v>855000</v>
          </cell>
        </row>
        <row r="115">
          <cell r="B115" t="str">
            <v>MC6-3912</v>
          </cell>
          <cell r="C115" t="str">
            <v>CLA-26-2806X4BB-C-K</v>
          </cell>
          <cell r="E115" t="str">
            <v>CKD</v>
          </cell>
          <cell r="F115" t="str">
            <v>2018-07-30</v>
          </cell>
          <cell r="G115">
            <v>14.7</v>
          </cell>
          <cell r="H115">
            <v>42947</v>
          </cell>
          <cell r="J115">
            <v>1050000</v>
          </cell>
          <cell r="P115">
            <v>866250</v>
          </cell>
          <cell r="R115">
            <v>825000</v>
          </cell>
          <cell r="S115">
            <v>1080000</v>
          </cell>
          <cell r="Y115">
            <v>897750</v>
          </cell>
          <cell r="AA115">
            <v>855000</v>
          </cell>
        </row>
        <row r="116">
          <cell r="B116" t="str">
            <v>MC6-3985</v>
          </cell>
          <cell r="C116" t="str">
            <v>CLA-26-2806X4BB-C-K</v>
          </cell>
          <cell r="E116" t="str">
            <v>CKD</v>
          </cell>
          <cell r="F116" t="str">
            <v>2018-08-30</v>
          </cell>
          <cell r="G116">
            <v>15.3</v>
          </cell>
          <cell r="H116">
            <v>42978</v>
          </cell>
          <cell r="J116">
            <v>1050000</v>
          </cell>
          <cell r="P116">
            <v>866250</v>
          </cell>
          <cell r="R116">
            <v>825000</v>
          </cell>
          <cell r="S116">
            <v>1080000</v>
          </cell>
          <cell r="Y116">
            <v>897750</v>
          </cell>
          <cell r="AA116">
            <v>855000</v>
          </cell>
        </row>
        <row r="117">
          <cell r="B117" t="str">
            <v>MC6-3986</v>
          </cell>
          <cell r="C117" t="str">
            <v>CLA-26-2806X4BB-C-K</v>
          </cell>
          <cell r="E117" t="str">
            <v>CKD</v>
          </cell>
          <cell r="F117" t="str">
            <v>2018-08-30</v>
          </cell>
          <cell r="G117">
            <v>15.3</v>
          </cell>
          <cell r="H117">
            <v>42978</v>
          </cell>
          <cell r="J117">
            <v>1050000</v>
          </cell>
          <cell r="P117">
            <v>866250</v>
          </cell>
          <cell r="R117">
            <v>825000</v>
          </cell>
          <cell r="S117">
            <v>1080000</v>
          </cell>
          <cell r="Y117">
            <v>897750</v>
          </cell>
          <cell r="AA117">
            <v>855000</v>
          </cell>
        </row>
        <row r="118">
          <cell r="B118" t="str">
            <v>MC6-3987</v>
          </cell>
          <cell r="C118" t="str">
            <v>CLA-26-2806X4BB-C-K</v>
          </cell>
          <cell r="E118" t="str">
            <v>CKD</v>
          </cell>
          <cell r="F118" t="str">
            <v>2018-08-30</v>
          </cell>
          <cell r="G118">
            <v>15.3</v>
          </cell>
          <cell r="H118">
            <v>42978</v>
          </cell>
          <cell r="J118">
            <v>1050000</v>
          </cell>
          <cell r="P118">
            <v>866250</v>
          </cell>
          <cell r="R118">
            <v>825000</v>
          </cell>
          <cell r="S118">
            <v>1080000</v>
          </cell>
          <cell r="Y118">
            <v>897750</v>
          </cell>
          <cell r="AA118">
            <v>855000</v>
          </cell>
        </row>
        <row r="119">
          <cell r="B119" t="str">
            <v>MC6-3988</v>
          </cell>
          <cell r="C119" t="str">
            <v>CLA-26-2806X4BB-C-K</v>
          </cell>
          <cell r="E119" t="str">
            <v>CKD</v>
          </cell>
          <cell r="F119" t="str">
            <v>2018-08-30</v>
          </cell>
          <cell r="G119">
            <v>15.3</v>
          </cell>
          <cell r="H119">
            <v>42978</v>
          </cell>
          <cell r="J119">
            <v>1050000</v>
          </cell>
          <cell r="P119">
            <v>866250</v>
          </cell>
          <cell r="R119">
            <v>825000</v>
          </cell>
          <cell r="S119">
            <v>1080000</v>
          </cell>
          <cell r="Y119">
            <v>897750</v>
          </cell>
          <cell r="AA119">
            <v>855000</v>
          </cell>
        </row>
        <row r="120">
          <cell r="B120" t="str">
            <v>MC6-3989</v>
          </cell>
          <cell r="C120" t="str">
            <v>CLA-26-2806X4BB-C-K</v>
          </cell>
          <cell r="E120" t="str">
            <v>CKD</v>
          </cell>
          <cell r="F120" t="str">
            <v>2018-08-30</v>
          </cell>
          <cell r="G120">
            <v>15.3</v>
          </cell>
          <cell r="H120">
            <v>42978</v>
          </cell>
          <cell r="J120">
            <v>1050000</v>
          </cell>
          <cell r="P120">
            <v>866250</v>
          </cell>
          <cell r="R120">
            <v>825000</v>
          </cell>
          <cell r="S120">
            <v>1080000</v>
          </cell>
          <cell r="Y120">
            <v>897750</v>
          </cell>
          <cell r="AA120">
            <v>855000</v>
          </cell>
        </row>
        <row r="121">
          <cell r="B121" t="str">
            <v>MC6-3990</v>
          </cell>
          <cell r="C121" t="str">
            <v>CLA-26-2806X4BB-C-K</v>
          </cell>
          <cell r="E121" t="str">
            <v>CKD</v>
          </cell>
          <cell r="F121" t="str">
            <v>2018-08-30</v>
          </cell>
          <cell r="G121">
            <v>15.3</v>
          </cell>
          <cell r="H121">
            <v>42978</v>
          </cell>
          <cell r="J121">
            <v>1050000</v>
          </cell>
          <cell r="P121">
            <v>866250</v>
          </cell>
          <cell r="R121">
            <v>825000</v>
          </cell>
          <cell r="S121">
            <v>1080000</v>
          </cell>
          <cell r="Y121">
            <v>897750</v>
          </cell>
          <cell r="AA121">
            <v>855000</v>
          </cell>
        </row>
        <row r="122">
          <cell r="B122" t="str">
            <v>TBAKP516</v>
          </cell>
          <cell r="C122" t="str">
            <v>CLA-26-2806X4BB-C-K</v>
          </cell>
          <cell r="E122" t="str">
            <v>CKD</v>
          </cell>
          <cell r="F122" t="str">
            <v>2018-08-19</v>
          </cell>
          <cell r="G122">
            <v>15.8</v>
          </cell>
          <cell r="H122">
            <v>43159</v>
          </cell>
          <cell r="J122">
            <v>1050000</v>
          </cell>
          <cell r="P122">
            <v>882000</v>
          </cell>
          <cell r="R122">
            <v>840000</v>
          </cell>
          <cell r="S122">
            <v>1080000</v>
          </cell>
          <cell r="Y122">
            <v>913500</v>
          </cell>
          <cell r="AA122">
            <v>870000</v>
          </cell>
        </row>
        <row r="123">
          <cell r="B123">
            <v>48708</v>
          </cell>
          <cell r="C123" t="str">
            <v>CLA-26-2806X4BB-C-L</v>
          </cell>
          <cell r="E123" t="str">
            <v>CKD</v>
          </cell>
          <cell r="F123" t="str">
            <v>2018-08-30</v>
          </cell>
          <cell r="G123">
            <v>15.9</v>
          </cell>
          <cell r="H123">
            <v>43039</v>
          </cell>
          <cell r="J123">
            <v>1040000</v>
          </cell>
          <cell r="P123">
            <v>808500</v>
          </cell>
          <cell r="R123">
            <v>770000</v>
          </cell>
          <cell r="S123">
            <v>1070000</v>
          </cell>
          <cell r="Y123">
            <v>840000</v>
          </cell>
          <cell r="AA123">
            <v>800000</v>
          </cell>
        </row>
        <row r="124">
          <cell r="B124">
            <v>48709</v>
          </cell>
          <cell r="C124" t="str">
            <v>CLA-26-2806X4BB-C-L</v>
          </cell>
          <cell r="E124" t="str">
            <v>CKD</v>
          </cell>
          <cell r="F124" t="str">
            <v>2018-08-30</v>
          </cell>
          <cell r="G124">
            <v>15.9</v>
          </cell>
          <cell r="H124">
            <v>43039</v>
          </cell>
          <cell r="J124">
            <v>1040000</v>
          </cell>
          <cell r="P124">
            <v>808500</v>
          </cell>
          <cell r="R124">
            <v>770000</v>
          </cell>
          <cell r="S124">
            <v>1070000</v>
          </cell>
          <cell r="Y124">
            <v>840000</v>
          </cell>
          <cell r="AA124">
            <v>800000</v>
          </cell>
        </row>
        <row r="125">
          <cell r="B125">
            <v>48710</v>
          </cell>
          <cell r="C125" t="str">
            <v>CLA-26-2806X4BB-C-L</v>
          </cell>
          <cell r="E125" t="str">
            <v>CKD</v>
          </cell>
          <cell r="F125" t="str">
            <v>2018-08-30</v>
          </cell>
          <cell r="G125">
            <v>15.9</v>
          </cell>
          <cell r="H125">
            <v>43039</v>
          </cell>
          <cell r="J125">
            <v>1040000</v>
          </cell>
          <cell r="P125">
            <v>808500</v>
          </cell>
          <cell r="R125">
            <v>770000</v>
          </cell>
          <cell r="S125">
            <v>1070000</v>
          </cell>
          <cell r="Y125">
            <v>840000</v>
          </cell>
          <cell r="AA125">
            <v>800000</v>
          </cell>
        </row>
        <row r="126">
          <cell r="B126">
            <v>48711</v>
          </cell>
          <cell r="C126" t="str">
            <v>CLA-26-2806X4BB-C-L</v>
          </cell>
          <cell r="E126" t="str">
            <v>CKD</v>
          </cell>
          <cell r="F126" t="str">
            <v>2018-08-30</v>
          </cell>
          <cell r="G126">
            <v>15.9</v>
          </cell>
          <cell r="H126">
            <v>43039</v>
          </cell>
          <cell r="J126">
            <v>1040000</v>
          </cell>
          <cell r="P126">
            <v>808500</v>
          </cell>
          <cell r="R126">
            <v>770000</v>
          </cell>
          <cell r="S126">
            <v>1070000</v>
          </cell>
          <cell r="Y126">
            <v>840000</v>
          </cell>
          <cell r="AA126">
            <v>800000</v>
          </cell>
        </row>
        <row r="127">
          <cell r="B127">
            <v>48712</v>
          </cell>
          <cell r="C127" t="str">
            <v>CLA-26-2806X4BB-C-L</v>
          </cell>
          <cell r="E127" t="str">
            <v>CKD</v>
          </cell>
          <cell r="F127" t="str">
            <v>2018-08-30</v>
          </cell>
          <cell r="G127">
            <v>15.9</v>
          </cell>
          <cell r="H127">
            <v>43039</v>
          </cell>
          <cell r="J127">
            <v>1040000</v>
          </cell>
          <cell r="P127">
            <v>808500</v>
          </cell>
          <cell r="R127">
            <v>770000</v>
          </cell>
          <cell r="S127">
            <v>1070000</v>
          </cell>
          <cell r="Y127">
            <v>840000</v>
          </cell>
          <cell r="AA127">
            <v>800000</v>
          </cell>
        </row>
        <row r="128">
          <cell r="B128">
            <v>48713</v>
          </cell>
          <cell r="C128" t="str">
            <v>CLA-26-2806X4BB-C-L</v>
          </cell>
          <cell r="E128" t="str">
            <v>CKD</v>
          </cell>
          <cell r="F128" t="str">
            <v>2018-08-30</v>
          </cell>
          <cell r="G128">
            <v>15.9</v>
          </cell>
          <cell r="H128">
            <v>43039</v>
          </cell>
          <cell r="J128">
            <v>1040000</v>
          </cell>
          <cell r="P128">
            <v>808500</v>
          </cell>
          <cell r="R128">
            <v>770000</v>
          </cell>
          <cell r="S128">
            <v>1070000</v>
          </cell>
          <cell r="Y128">
            <v>840000</v>
          </cell>
          <cell r="AA128">
            <v>800000</v>
          </cell>
        </row>
        <row r="129">
          <cell r="B129" t="str">
            <v>MC6-2570</v>
          </cell>
          <cell r="C129" t="str">
            <v>CLA-26-2806X4BB-C-L</v>
          </cell>
          <cell r="E129" t="str">
            <v>CKD</v>
          </cell>
          <cell r="F129" t="str">
            <v>2018-03-30</v>
          </cell>
          <cell r="G129">
            <v>14.7</v>
          </cell>
          <cell r="H129">
            <v>42937</v>
          </cell>
          <cell r="J129">
            <v>1040000</v>
          </cell>
          <cell r="P129">
            <v>808500</v>
          </cell>
          <cell r="R129">
            <v>770000</v>
          </cell>
          <cell r="S129">
            <v>1070000</v>
          </cell>
          <cell r="Y129">
            <v>840000</v>
          </cell>
          <cell r="AA129">
            <v>800000</v>
          </cell>
        </row>
        <row r="130">
          <cell r="B130" t="str">
            <v>MC6-2571</v>
          </cell>
          <cell r="C130" t="str">
            <v>CLA-26-2806X4BB-C-L</v>
          </cell>
          <cell r="E130" t="str">
            <v>CKD</v>
          </cell>
          <cell r="F130" t="str">
            <v>2018-03-30</v>
          </cell>
          <cell r="G130">
            <v>14.7</v>
          </cell>
          <cell r="H130">
            <v>42937</v>
          </cell>
          <cell r="J130">
            <v>1040000</v>
          </cell>
          <cell r="P130">
            <v>808500</v>
          </cell>
          <cell r="R130">
            <v>770000</v>
          </cell>
          <cell r="S130">
            <v>1070000</v>
          </cell>
          <cell r="Y130">
            <v>840000</v>
          </cell>
          <cell r="AA130">
            <v>800000</v>
          </cell>
        </row>
        <row r="131">
          <cell r="B131" t="str">
            <v>MC6-2572</v>
          </cell>
          <cell r="C131" t="str">
            <v>CLA-26-2806X4BB-C-L</v>
          </cell>
          <cell r="E131" t="str">
            <v>CKD</v>
          </cell>
          <cell r="F131" t="str">
            <v>2018-03-30</v>
          </cell>
          <cell r="G131">
            <v>14.7</v>
          </cell>
          <cell r="H131">
            <v>42937</v>
          </cell>
          <cell r="J131">
            <v>1040000</v>
          </cell>
          <cell r="P131">
            <v>808500</v>
          </cell>
          <cell r="R131">
            <v>770000</v>
          </cell>
          <cell r="S131">
            <v>1070000</v>
          </cell>
          <cell r="Y131">
            <v>840000</v>
          </cell>
          <cell r="AA131">
            <v>800000</v>
          </cell>
        </row>
        <row r="132">
          <cell r="B132" t="str">
            <v>MC6-3743</v>
          </cell>
          <cell r="C132" t="str">
            <v>CLA-26-2806X4BB-C-L</v>
          </cell>
          <cell r="E132" t="str">
            <v>BODY</v>
          </cell>
          <cell r="F132">
            <v>175</v>
          </cell>
          <cell r="G132">
            <v>15.4</v>
          </cell>
          <cell r="H132">
            <v>42804</v>
          </cell>
          <cell r="J132">
            <v>1633574.08</v>
          </cell>
          <cell r="P132">
            <v>1239000</v>
          </cell>
          <cell r="R132">
            <v>1180000</v>
          </cell>
          <cell r="S132">
            <v>1663574.08</v>
          </cell>
          <cell r="Y132">
            <v>1270500</v>
          </cell>
          <cell r="AA132">
            <v>1210000</v>
          </cell>
        </row>
        <row r="133">
          <cell r="B133" t="str">
            <v>MC6-3745</v>
          </cell>
          <cell r="C133" t="str">
            <v>CLA-26-2806X4BB-C-L</v>
          </cell>
          <cell r="E133" t="str">
            <v>BODY</v>
          </cell>
          <cell r="F133">
            <v>145</v>
          </cell>
          <cell r="G133">
            <v>15.4</v>
          </cell>
          <cell r="H133">
            <v>42804</v>
          </cell>
          <cell r="J133">
            <v>1485934.84</v>
          </cell>
          <cell r="P133">
            <v>1097250</v>
          </cell>
          <cell r="R133">
            <v>1045000</v>
          </cell>
          <cell r="S133">
            <v>1515934.84</v>
          </cell>
          <cell r="Y133">
            <v>1128750</v>
          </cell>
          <cell r="AA133">
            <v>1075000</v>
          </cell>
        </row>
        <row r="134">
          <cell r="B134" t="str">
            <v>MC6-3751</v>
          </cell>
          <cell r="C134" t="str">
            <v>CLA-26-2806X4BB-C-L</v>
          </cell>
          <cell r="E134" t="str">
            <v>BODY</v>
          </cell>
          <cell r="F134">
            <v>165</v>
          </cell>
          <cell r="G134">
            <v>15.4</v>
          </cell>
          <cell r="H134">
            <v>42804</v>
          </cell>
          <cell r="J134">
            <v>1633574.08</v>
          </cell>
          <cell r="P134">
            <v>1239000</v>
          </cell>
          <cell r="R134">
            <v>1180000</v>
          </cell>
          <cell r="S134">
            <v>1663574.08</v>
          </cell>
          <cell r="Y134">
            <v>1270500</v>
          </cell>
          <cell r="AA134">
            <v>1210000</v>
          </cell>
        </row>
        <row r="135">
          <cell r="B135" t="str">
            <v>MC6-3752</v>
          </cell>
          <cell r="C135" t="str">
            <v>CLA-26-2806X4BB-C-L</v>
          </cell>
          <cell r="E135" t="str">
            <v>BODY</v>
          </cell>
          <cell r="F135">
            <v>182</v>
          </cell>
          <cell r="G135">
            <v>15.4</v>
          </cell>
          <cell r="H135">
            <v>42804</v>
          </cell>
          <cell r="J135">
            <v>1633574.08</v>
          </cell>
          <cell r="P135">
            <v>1239000</v>
          </cell>
          <cell r="R135">
            <v>1180000</v>
          </cell>
          <cell r="S135">
            <v>1663574.08</v>
          </cell>
          <cell r="Y135">
            <v>1270500</v>
          </cell>
          <cell r="AA135">
            <v>1210000</v>
          </cell>
        </row>
        <row r="136">
          <cell r="B136" t="str">
            <v>MC6-3772</v>
          </cell>
          <cell r="C136" t="str">
            <v>CLA-26-2806X4BB-C-L</v>
          </cell>
          <cell r="E136" t="str">
            <v>BODY</v>
          </cell>
          <cell r="F136">
            <v>137</v>
          </cell>
          <cell r="G136">
            <v>14.7</v>
          </cell>
          <cell r="H136">
            <v>42838</v>
          </cell>
          <cell r="J136">
            <v>1485934.84</v>
          </cell>
          <cell r="P136">
            <v>1086750</v>
          </cell>
          <cell r="R136">
            <v>1035000</v>
          </cell>
          <cell r="S136">
            <v>1515934.84</v>
          </cell>
          <cell r="Y136">
            <v>1118250</v>
          </cell>
          <cell r="AA136">
            <v>1065000</v>
          </cell>
        </row>
        <row r="137">
          <cell r="B137" t="str">
            <v>MC6-3773</v>
          </cell>
          <cell r="C137" t="str">
            <v>CLA-26-2806X4BB-C-L</v>
          </cell>
          <cell r="E137" t="str">
            <v>BODY</v>
          </cell>
          <cell r="F137">
            <v>127</v>
          </cell>
          <cell r="G137">
            <v>14.7</v>
          </cell>
          <cell r="H137">
            <v>42838</v>
          </cell>
          <cell r="J137">
            <v>1485934.84</v>
          </cell>
          <cell r="P137">
            <v>1086750</v>
          </cell>
          <cell r="R137">
            <v>1035000</v>
          </cell>
          <cell r="S137">
            <v>1515934.84</v>
          </cell>
          <cell r="Y137">
            <v>1118250</v>
          </cell>
          <cell r="AA137">
            <v>1065000</v>
          </cell>
        </row>
        <row r="138">
          <cell r="B138" t="str">
            <v>MC6-3776</v>
          </cell>
          <cell r="C138" t="str">
            <v>CLA-26-2806X4BB-C-L</v>
          </cell>
          <cell r="E138" t="str">
            <v>BODY</v>
          </cell>
          <cell r="F138">
            <v>118</v>
          </cell>
          <cell r="G138">
            <v>14.7</v>
          </cell>
          <cell r="H138">
            <v>42838</v>
          </cell>
          <cell r="J138">
            <v>1485934.84</v>
          </cell>
          <cell r="P138">
            <v>1086750</v>
          </cell>
          <cell r="R138">
            <v>1035000</v>
          </cell>
          <cell r="S138">
            <v>1515934.84</v>
          </cell>
          <cell r="Y138">
            <v>1118250</v>
          </cell>
          <cell r="AA138">
            <v>1065000</v>
          </cell>
        </row>
        <row r="139">
          <cell r="B139" t="str">
            <v>MC6-3819</v>
          </cell>
          <cell r="C139" t="str">
            <v>CLA-26-2806X4BB-C-L</v>
          </cell>
          <cell r="E139" t="str">
            <v>BOOKED</v>
          </cell>
          <cell r="F139">
            <v>131</v>
          </cell>
          <cell r="G139">
            <v>14.7</v>
          </cell>
          <cell r="H139">
            <v>42900</v>
          </cell>
          <cell r="J139">
            <v>1180000</v>
          </cell>
          <cell r="P139">
            <v>798000</v>
          </cell>
          <cell r="R139">
            <v>760000</v>
          </cell>
          <cell r="S139">
            <v>1210000</v>
          </cell>
          <cell r="Y139">
            <v>829500</v>
          </cell>
          <cell r="AA139">
            <v>790000</v>
          </cell>
        </row>
        <row r="140">
          <cell r="B140" t="str">
            <v>MC6-3820</v>
          </cell>
          <cell r="C140" t="str">
            <v>CLA-26-2806X4BB-C-L</v>
          </cell>
          <cell r="E140" t="str">
            <v>BODY</v>
          </cell>
          <cell r="F140">
            <v>144</v>
          </cell>
          <cell r="G140">
            <v>14.7</v>
          </cell>
          <cell r="H140">
            <v>42900</v>
          </cell>
          <cell r="J140">
            <v>1485934.84</v>
          </cell>
          <cell r="P140">
            <v>1086750</v>
          </cell>
          <cell r="R140">
            <v>1035000</v>
          </cell>
          <cell r="S140">
            <v>1515934.84</v>
          </cell>
          <cell r="Y140">
            <v>1118250</v>
          </cell>
          <cell r="AA140">
            <v>1065000</v>
          </cell>
        </row>
        <row r="141">
          <cell r="B141" t="str">
            <v>MC6-3821</v>
          </cell>
          <cell r="C141" t="str">
            <v>CLA-26-2806X4BB-C-L</v>
          </cell>
          <cell r="E141" t="str">
            <v>BODY</v>
          </cell>
          <cell r="F141">
            <v>117</v>
          </cell>
          <cell r="G141">
            <v>14.7</v>
          </cell>
          <cell r="H141">
            <v>42900</v>
          </cell>
          <cell r="J141">
            <v>1485934.84</v>
          </cell>
          <cell r="P141">
            <v>1086750</v>
          </cell>
          <cell r="R141">
            <v>1035000</v>
          </cell>
          <cell r="S141">
            <v>1515934.84</v>
          </cell>
          <cell r="Y141">
            <v>1118250</v>
          </cell>
          <cell r="AA141">
            <v>1065000</v>
          </cell>
        </row>
        <row r="142">
          <cell r="B142" t="str">
            <v>MC6-3822</v>
          </cell>
          <cell r="C142" t="str">
            <v>CLA-26-2806X4BB-C-L</v>
          </cell>
          <cell r="E142" t="str">
            <v>BODY</v>
          </cell>
          <cell r="F142">
            <v>145</v>
          </cell>
          <cell r="G142">
            <v>14.7</v>
          </cell>
          <cell r="H142">
            <v>42900</v>
          </cell>
          <cell r="J142">
            <v>1485934.84</v>
          </cell>
          <cell r="P142">
            <v>1086750</v>
          </cell>
          <cell r="R142">
            <v>1035000</v>
          </cell>
          <cell r="S142">
            <v>1515934.84</v>
          </cell>
          <cell r="Y142">
            <v>1118250</v>
          </cell>
          <cell r="AA142">
            <v>1065000</v>
          </cell>
        </row>
        <row r="143">
          <cell r="B143" t="str">
            <v>MC6-3823</v>
          </cell>
          <cell r="C143" t="str">
            <v>CLA-26-2806X4BB-C-L</v>
          </cell>
          <cell r="E143" t="str">
            <v>BODY</v>
          </cell>
          <cell r="F143">
            <v>138</v>
          </cell>
          <cell r="G143">
            <v>14.7</v>
          </cell>
          <cell r="H143">
            <v>42900</v>
          </cell>
          <cell r="J143">
            <v>1485934.84</v>
          </cell>
          <cell r="P143">
            <v>1086750</v>
          </cell>
          <cell r="R143">
            <v>1035000</v>
          </cell>
          <cell r="S143">
            <v>1515934.84</v>
          </cell>
          <cell r="Y143">
            <v>1118250</v>
          </cell>
          <cell r="AA143">
            <v>1065000</v>
          </cell>
        </row>
        <row r="144">
          <cell r="B144" t="str">
            <v>MC6-3824</v>
          </cell>
          <cell r="C144" t="str">
            <v>CLA-26-2806X4BB-C-L</v>
          </cell>
          <cell r="E144" t="str">
            <v>BODY</v>
          </cell>
          <cell r="F144">
            <v>155</v>
          </cell>
          <cell r="G144">
            <v>14.7</v>
          </cell>
          <cell r="H144">
            <v>42900</v>
          </cell>
          <cell r="J144">
            <v>1633574.08</v>
          </cell>
          <cell r="P144">
            <v>1223250</v>
          </cell>
          <cell r="R144">
            <v>1165000</v>
          </cell>
          <cell r="S144">
            <v>1663574.08</v>
          </cell>
          <cell r="Y144">
            <v>1254750</v>
          </cell>
          <cell r="AA144">
            <v>1195000</v>
          </cell>
        </row>
        <row r="145">
          <cell r="B145" t="str">
            <v>MC6-3825</v>
          </cell>
          <cell r="C145" t="str">
            <v>CLA-26-2806X4BB-C-L</v>
          </cell>
          <cell r="E145" t="str">
            <v>BODY</v>
          </cell>
          <cell r="F145">
            <v>144</v>
          </cell>
          <cell r="G145">
            <v>14.7</v>
          </cell>
          <cell r="H145">
            <v>42900</v>
          </cell>
          <cell r="J145">
            <v>1485934.84</v>
          </cell>
          <cell r="P145">
            <v>1086750</v>
          </cell>
          <cell r="R145">
            <v>1035000</v>
          </cell>
          <cell r="S145">
            <v>1515934.84</v>
          </cell>
          <cell r="Y145">
            <v>1118250</v>
          </cell>
          <cell r="AA145">
            <v>1065000</v>
          </cell>
        </row>
        <row r="146">
          <cell r="B146" t="str">
            <v>MC6-3826</v>
          </cell>
          <cell r="C146" t="str">
            <v>CLA-26-2806X4BB-C-L</v>
          </cell>
          <cell r="E146" t="str">
            <v>BODY</v>
          </cell>
          <cell r="F146">
            <v>144</v>
          </cell>
          <cell r="G146">
            <v>14.7</v>
          </cell>
          <cell r="H146">
            <v>42900</v>
          </cell>
          <cell r="J146">
            <v>1485934.84</v>
          </cell>
          <cell r="P146">
            <v>1086750</v>
          </cell>
          <cell r="R146">
            <v>1035000</v>
          </cell>
          <cell r="S146">
            <v>1515934.84</v>
          </cell>
          <cell r="Y146">
            <v>1118250</v>
          </cell>
          <cell r="AA146">
            <v>1065000</v>
          </cell>
        </row>
        <row r="147">
          <cell r="B147" t="str">
            <v>MC6-3827</v>
          </cell>
          <cell r="C147" t="str">
            <v>CLA-26-2806X4BB-C-L</v>
          </cell>
          <cell r="E147" t="str">
            <v>BODY</v>
          </cell>
          <cell r="F147">
            <v>144</v>
          </cell>
          <cell r="G147">
            <v>14.7</v>
          </cell>
          <cell r="H147">
            <v>42900</v>
          </cell>
          <cell r="J147">
            <v>1485934.84</v>
          </cell>
          <cell r="P147">
            <v>1086750</v>
          </cell>
          <cell r="R147">
            <v>1035000</v>
          </cell>
          <cell r="S147">
            <v>1515934.84</v>
          </cell>
          <cell r="Y147">
            <v>1118250</v>
          </cell>
          <cell r="AA147">
            <v>1065000</v>
          </cell>
        </row>
        <row r="148">
          <cell r="B148" t="str">
            <v>MC6-3828</v>
          </cell>
          <cell r="C148" t="str">
            <v>CLA-26-2806X4BB-C-L</v>
          </cell>
          <cell r="E148" t="str">
            <v>BODY</v>
          </cell>
          <cell r="F148">
            <v>144</v>
          </cell>
          <cell r="G148">
            <v>14.7</v>
          </cell>
          <cell r="H148">
            <v>42900</v>
          </cell>
          <cell r="J148">
            <v>1485934.84</v>
          </cell>
          <cell r="P148">
            <v>1086750</v>
          </cell>
          <cell r="R148">
            <v>1035000</v>
          </cell>
          <cell r="S148">
            <v>1515934.84</v>
          </cell>
          <cell r="Y148">
            <v>1118250</v>
          </cell>
          <cell r="AA148">
            <v>1065000</v>
          </cell>
        </row>
        <row r="149">
          <cell r="B149" t="str">
            <v>MC6-3829</v>
          </cell>
          <cell r="C149" t="str">
            <v>CLA-26-2806X4BB-C-L</v>
          </cell>
          <cell r="E149" t="str">
            <v>BODY</v>
          </cell>
          <cell r="F149">
            <v>145</v>
          </cell>
          <cell r="G149">
            <v>14.7</v>
          </cell>
          <cell r="H149">
            <v>42900</v>
          </cell>
          <cell r="J149">
            <v>1485934.84</v>
          </cell>
          <cell r="P149">
            <v>1086750</v>
          </cell>
          <cell r="R149">
            <v>1035000</v>
          </cell>
          <cell r="S149">
            <v>1515934.84</v>
          </cell>
          <cell r="Y149">
            <v>1118250</v>
          </cell>
          <cell r="AA149">
            <v>1065000</v>
          </cell>
        </row>
        <row r="150">
          <cell r="B150" t="str">
            <v>MC6-3839</v>
          </cell>
          <cell r="C150" t="str">
            <v>CLA-26-2806X4BB-C-L</v>
          </cell>
          <cell r="E150" t="str">
            <v>SOLD</v>
          </cell>
          <cell r="F150">
            <v>74</v>
          </cell>
          <cell r="G150">
            <v>14.7</v>
          </cell>
          <cell r="H150">
            <v>42900</v>
          </cell>
          <cell r="J150">
            <v>1040000</v>
          </cell>
          <cell r="P150">
            <v>829500</v>
          </cell>
          <cell r="R150">
            <v>790000</v>
          </cell>
          <cell r="S150">
            <v>1070000</v>
          </cell>
          <cell r="Y150">
            <v>861000</v>
          </cell>
          <cell r="AA150">
            <v>820000</v>
          </cell>
        </row>
        <row r="151">
          <cell r="B151" t="str">
            <v>MC6-3840</v>
          </cell>
          <cell r="C151" t="str">
            <v>CLA-26-2806X4BB-C-L</v>
          </cell>
          <cell r="E151" t="str">
            <v>SOLD</v>
          </cell>
          <cell r="F151">
            <v>33</v>
          </cell>
          <cell r="G151">
            <v>14.7</v>
          </cell>
          <cell r="H151">
            <v>42900</v>
          </cell>
          <cell r="J151">
            <v>1040000</v>
          </cell>
          <cell r="P151">
            <v>829500</v>
          </cell>
          <cell r="R151">
            <v>790000</v>
          </cell>
          <cell r="S151">
            <v>1070000</v>
          </cell>
          <cell r="Y151">
            <v>861000</v>
          </cell>
          <cell r="AA151">
            <v>820000</v>
          </cell>
        </row>
        <row r="152">
          <cell r="B152" t="str">
            <v>MC6-3841</v>
          </cell>
          <cell r="C152" t="str">
            <v>CLA-26-2806X4BB-C-L</v>
          </cell>
          <cell r="E152" t="str">
            <v>SOLD</v>
          </cell>
          <cell r="F152">
            <v>33</v>
          </cell>
          <cell r="G152">
            <v>14.7</v>
          </cell>
          <cell r="H152">
            <v>42900</v>
          </cell>
          <cell r="J152">
            <v>1040000</v>
          </cell>
          <cell r="P152">
            <v>829500</v>
          </cell>
          <cell r="R152">
            <v>790000</v>
          </cell>
          <cell r="S152">
            <v>1070000</v>
          </cell>
          <cell r="Y152">
            <v>861000</v>
          </cell>
          <cell r="AA152">
            <v>820000</v>
          </cell>
        </row>
        <row r="153">
          <cell r="B153" t="str">
            <v>MC6-3842</v>
          </cell>
          <cell r="C153" t="str">
            <v>CLA-26-2806X4BB-C-L</v>
          </cell>
          <cell r="E153" t="str">
            <v>SOLD</v>
          </cell>
          <cell r="F153">
            <v>28</v>
          </cell>
          <cell r="G153">
            <v>14.7</v>
          </cell>
          <cell r="H153">
            <v>42900</v>
          </cell>
          <cell r="J153">
            <v>1040000</v>
          </cell>
          <cell r="P153">
            <v>829500</v>
          </cell>
          <cell r="R153">
            <v>790000</v>
          </cell>
          <cell r="S153">
            <v>1070000</v>
          </cell>
          <cell r="Y153">
            <v>861000</v>
          </cell>
          <cell r="AA153">
            <v>820000</v>
          </cell>
        </row>
        <row r="154">
          <cell r="B154" t="str">
            <v>MC6-3925</v>
          </cell>
          <cell r="C154" t="str">
            <v>CLA-26-2806X4BB-C-L</v>
          </cell>
          <cell r="E154" t="str">
            <v>CKD</v>
          </cell>
          <cell r="F154" t="str">
            <v>2018-05-30</v>
          </cell>
          <cell r="G154">
            <v>14.7</v>
          </cell>
          <cell r="H154">
            <v>42947</v>
          </cell>
          <cell r="J154">
            <v>1040000</v>
          </cell>
          <cell r="P154">
            <v>808500</v>
          </cell>
          <cell r="R154">
            <v>770000</v>
          </cell>
          <cell r="S154">
            <v>1070000</v>
          </cell>
          <cell r="Y154">
            <v>840000</v>
          </cell>
          <cell r="AA154">
            <v>800000</v>
          </cell>
        </row>
        <row r="155">
          <cell r="B155" t="str">
            <v>MC6-3926</v>
          </cell>
          <cell r="C155" t="str">
            <v>CLA-26-2806X4BB-C-L</v>
          </cell>
          <cell r="E155" t="str">
            <v>CKD</v>
          </cell>
          <cell r="F155" t="str">
            <v>2018-05-30</v>
          </cell>
          <cell r="G155">
            <v>14.7</v>
          </cell>
          <cell r="H155">
            <v>42947</v>
          </cell>
          <cell r="J155">
            <v>1040000</v>
          </cell>
          <cell r="P155">
            <v>808500</v>
          </cell>
          <cell r="R155">
            <v>770000</v>
          </cell>
          <cell r="S155">
            <v>1070000</v>
          </cell>
          <cell r="Y155">
            <v>840000</v>
          </cell>
          <cell r="AA155">
            <v>800000</v>
          </cell>
        </row>
        <row r="156">
          <cell r="B156" t="str">
            <v>MC6-3927</v>
          </cell>
          <cell r="C156" t="str">
            <v>CLA-26-2806X4BB-C-L</v>
          </cell>
          <cell r="E156" t="str">
            <v>CKD</v>
          </cell>
          <cell r="F156" t="str">
            <v>2018-05-30</v>
          </cell>
          <cell r="G156">
            <v>14.7</v>
          </cell>
          <cell r="H156">
            <v>42947</v>
          </cell>
          <cell r="J156">
            <v>1040000</v>
          </cell>
          <cell r="P156">
            <v>808500</v>
          </cell>
          <cell r="R156">
            <v>770000</v>
          </cell>
          <cell r="S156">
            <v>1070000</v>
          </cell>
          <cell r="Y156">
            <v>840000</v>
          </cell>
          <cell r="AA156">
            <v>800000</v>
          </cell>
        </row>
        <row r="157">
          <cell r="B157" t="str">
            <v>MC6-3928</v>
          </cell>
          <cell r="C157" t="str">
            <v>CLA-26-2806X4BB-C-L</v>
          </cell>
          <cell r="E157" t="str">
            <v>CKD</v>
          </cell>
          <cell r="F157" t="str">
            <v>2018-05-30</v>
          </cell>
          <cell r="G157">
            <v>14.7</v>
          </cell>
          <cell r="H157">
            <v>42947</v>
          </cell>
          <cell r="J157">
            <v>1040000</v>
          </cell>
          <cell r="P157">
            <v>808500</v>
          </cell>
          <cell r="R157">
            <v>770000</v>
          </cell>
          <cell r="S157">
            <v>1070000</v>
          </cell>
          <cell r="Y157">
            <v>840000</v>
          </cell>
          <cell r="AA157">
            <v>800000</v>
          </cell>
        </row>
        <row r="158">
          <cell r="B158" t="str">
            <v>MC6-3929</v>
          </cell>
          <cell r="C158" t="str">
            <v>CLA-26-2806X4BB-C-L</v>
          </cell>
          <cell r="E158" t="str">
            <v>CKD</v>
          </cell>
          <cell r="F158" t="str">
            <v>2018-05-30</v>
          </cell>
          <cell r="G158">
            <v>14.7</v>
          </cell>
          <cell r="H158">
            <v>42947</v>
          </cell>
          <cell r="J158">
            <v>1040000</v>
          </cell>
          <cell r="P158">
            <v>808500</v>
          </cell>
          <cell r="R158">
            <v>770000</v>
          </cell>
          <cell r="S158">
            <v>1070000</v>
          </cell>
          <cell r="Y158">
            <v>840000</v>
          </cell>
          <cell r="AA158">
            <v>800000</v>
          </cell>
        </row>
        <row r="159">
          <cell r="B159" t="str">
            <v>MC6-3930</v>
          </cell>
          <cell r="C159" t="str">
            <v>CLA-26-2806X4BB-C-L</v>
          </cell>
          <cell r="E159" t="str">
            <v>CKD</v>
          </cell>
          <cell r="F159" t="str">
            <v>2018-06-30</v>
          </cell>
          <cell r="G159">
            <v>14.7</v>
          </cell>
          <cell r="H159">
            <v>42947</v>
          </cell>
          <cell r="J159">
            <v>1040000</v>
          </cell>
          <cell r="P159">
            <v>808500</v>
          </cell>
          <cell r="R159">
            <v>770000</v>
          </cell>
          <cell r="S159">
            <v>1070000</v>
          </cell>
          <cell r="Y159">
            <v>840000</v>
          </cell>
          <cell r="AA159">
            <v>800000</v>
          </cell>
        </row>
        <row r="160">
          <cell r="B160" t="str">
            <v>MC6-3931</v>
          </cell>
          <cell r="C160" t="str">
            <v>CLA-26-2806X4BB-C-L</v>
          </cell>
          <cell r="E160" t="str">
            <v>CKD</v>
          </cell>
          <cell r="F160" t="str">
            <v>2018-05-30</v>
          </cell>
          <cell r="G160">
            <v>14.7</v>
          </cell>
          <cell r="H160">
            <v>42947</v>
          </cell>
          <cell r="J160">
            <v>1040000</v>
          </cell>
          <cell r="P160">
            <v>808500</v>
          </cell>
          <cell r="R160">
            <v>770000</v>
          </cell>
          <cell r="S160">
            <v>1070000</v>
          </cell>
          <cell r="Y160">
            <v>840000</v>
          </cell>
          <cell r="AA160">
            <v>800000</v>
          </cell>
        </row>
        <row r="161">
          <cell r="B161" t="str">
            <v>MC6-3932</v>
          </cell>
          <cell r="C161" t="str">
            <v>CLA-26-2806X4BB-C-L</v>
          </cell>
          <cell r="E161" t="str">
            <v>CKD</v>
          </cell>
          <cell r="F161" t="str">
            <v>2018-05-30</v>
          </cell>
          <cell r="G161">
            <v>14.7</v>
          </cell>
          <cell r="H161">
            <v>42947</v>
          </cell>
          <cell r="J161">
            <v>1040000</v>
          </cell>
          <cell r="P161">
            <v>808500</v>
          </cell>
          <cell r="R161">
            <v>770000</v>
          </cell>
          <cell r="S161">
            <v>1070000</v>
          </cell>
          <cell r="Y161">
            <v>840000</v>
          </cell>
          <cell r="AA161">
            <v>800000</v>
          </cell>
        </row>
        <row r="162">
          <cell r="B162" t="str">
            <v>MC6-3933</v>
          </cell>
          <cell r="C162" t="str">
            <v>CLA-26-2806X4BB-C-L</v>
          </cell>
          <cell r="E162" t="str">
            <v>CKD</v>
          </cell>
          <cell r="F162" t="str">
            <v>2018-05-30</v>
          </cell>
          <cell r="G162">
            <v>14.7</v>
          </cell>
          <cell r="H162">
            <v>42947</v>
          </cell>
          <cell r="J162">
            <v>1040000</v>
          </cell>
          <cell r="P162">
            <v>808500</v>
          </cell>
          <cell r="R162">
            <v>770000</v>
          </cell>
          <cell r="S162">
            <v>1070000</v>
          </cell>
          <cell r="Y162">
            <v>840000</v>
          </cell>
          <cell r="AA162">
            <v>800000</v>
          </cell>
        </row>
        <row r="163">
          <cell r="B163" t="str">
            <v>MC6-3934</v>
          </cell>
          <cell r="C163" t="str">
            <v>CLA-26-2806X4BB-C-L</v>
          </cell>
          <cell r="E163" t="str">
            <v>CKD</v>
          </cell>
          <cell r="F163" t="str">
            <v>2018-06-30</v>
          </cell>
          <cell r="G163">
            <v>14.7</v>
          </cell>
          <cell r="H163">
            <v>42947</v>
          </cell>
          <cell r="J163">
            <v>1040000</v>
          </cell>
          <cell r="P163">
            <v>808500</v>
          </cell>
          <cell r="R163">
            <v>770000</v>
          </cell>
          <cell r="S163">
            <v>1070000</v>
          </cell>
          <cell r="Y163">
            <v>840000</v>
          </cell>
          <cell r="AA163">
            <v>800000</v>
          </cell>
        </row>
        <row r="164">
          <cell r="B164" t="str">
            <v>MC6-3935</v>
          </cell>
          <cell r="C164" t="str">
            <v>CLA-26-2806X4BB-C-L</v>
          </cell>
          <cell r="E164" t="str">
            <v>CKD</v>
          </cell>
          <cell r="F164" t="str">
            <v>2018-06-30</v>
          </cell>
          <cell r="G164">
            <v>14.7</v>
          </cell>
          <cell r="H164">
            <v>42947</v>
          </cell>
          <cell r="J164">
            <v>1040000</v>
          </cell>
          <cell r="P164">
            <v>808500</v>
          </cell>
          <cell r="R164">
            <v>770000</v>
          </cell>
          <cell r="S164">
            <v>1070000</v>
          </cell>
          <cell r="Y164">
            <v>840000</v>
          </cell>
          <cell r="AA164">
            <v>800000</v>
          </cell>
        </row>
        <row r="165">
          <cell r="B165" t="str">
            <v>MC6-3936</v>
          </cell>
          <cell r="C165" t="str">
            <v>CLA-26-2806X4BB-C-L</v>
          </cell>
          <cell r="E165" t="str">
            <v>CKD</v>
          </cell>
          <cell r="F165" t="str">
            <v>2018-06-30</v>
          </cell>
          <cell r="G165">
            <v>14.7</v>
          </cell>
          <cell r="H165">
            <v>42947</v>
          </cell>
          <cell r="J165">
            <v>1040000</v>
          </cell>
          <cell r="P165">
            <v>808500</v>
          </cell>
          <cell r="R165">
            <v>770000</v>
          </cell>
          <cell r="S165">
            <v>1070000</v>
          </cell>
          <cell r="Y165">
            <v>840000</v>
          </cell>
          <cell r="AA165">
            <v>800000</v>
          </cell>
        </row>
        <row r="166">
          <cell r="B166" t="str">
            <v>MC6-3937</v>
          </cell>
          <cell r="C166" t="str">
            <v>CLA-26-2806X4BB-C-L</v>
          </cell>
          <cell r="E166" t="str">
            <v>CKD</v>
          </cell>
          <cell r="F166" t="str">
            <v>2018-06-30</v>
          </cell>
          <cell r="G166">
            <v>14.7</v>
          </cell>
          <cell r="H166">
            <v>42947</v>
          </cell>
          <cell r="J166">
            <v>1040000</v>
          </cell>
          <cell r="P166">
            <v>808500</v>
          </cell>
          <cell r="R166">
            <v>770000</v>
          </cell>
          <cell r="S166">
            <v>1070000</v>
          </cell>
          <cell r="Y166">
            <v>840000</v>
          </cell>
          <cell r="AA166">
            <v>800000</v>
          </cell>
        </row>
        <row r="167">
          <cell r="B167" t="str">
            <v>MC6-3938</v>
          </cell>
          <cell r="C167" t="str">
            <v>CLA-26-2806X4BB-C-L</v>
          </cell>
          <cell r="E167" t="str">
            <v>CKD</v>
          </cell>
          <cell r="F167" t="str">
            <v>2018-07-30</v>
          </cell>
          <cell r="G167">
            <v>14.7</v>
          </cell>
          <cell r="H167">
            <v>42947</v>
          </cell>
          <cell r="J167">
            <v>1040000</v>
          </cell>
          <cell r="P167">
            <v>808500</v>
          </cell>
          <cell r="R167">
            <v>770000</v>
          </cell>
          <cell r="S167">
            <v>1070000</v>
          </cell>
          <cell r="Y167">
            <v>840000</v>
          </cell>
          <cell r="AA167">
            <v>800000</v>
          </cell>
        </row>
        <row r="168">
          <cell r="B168" t="str">
            <v>MC6-3939</v>
          </cell>
          <cell r="C168" t="str">
            <v>CLA-26-2806X4BB-C-L</v>
          </cell>
          <cell r="E168" t="str">
            <v>CKD</v>
          </cell>
          <cell r="F168" t="str">
            <v>2018-07-30</v>
          </cell>
          <cell r="G168">
            <v>14.7</v>
          </cell>
          <cell r="H168">
            <v>42947</v>
          </cell>
          <cell r="J168">
            <v>1040000</v>
          </cell>
          <cell r="P168">
            <v>808500</v>
          </cell>
          <cell r="R168">
            <v>770000</v>
          </cell>
          <cell r="S168">
            <v>1070000</v>
          </cell>
          <cell r="Y168">
            <v>840000</v>
          </cell>
          <cell r="AA168">
            <v>800000</v>
          </cell>
        </row>
        <row r="169">
          <cell r="B169" t="str">
            <v>MC6-3940</v>
          </cell>
          <cell r="C169" t="str">
            <v>CLA-26-2806X4BB-C-L</v>
          </cell>
          <cell r="E169" t="str">
            <v>CKD</v>
          </cell>
          <cell r="F169" t="str">
            <v>2018-07-30</v>
          </cell>
          <cell r="G169">
            <v>14.7</v>
          </cell>
          <cell r="H169">
            <v>42947</v>
          </cell>
          <cell r="J169">
            <v>1040000</v>
          </cell>
          <cell r="P169">
            <v>808500</v>
          </cell>
          <cell r="R169">
            <v>770000</v>
          </cell>
          <cell r="S169">
            <v>1070000</v>
          </cell>
          <cell r="Y169">
            <v>840000</v>
          </cell>
          <cell r="AA169">
            <v>800000</v>
          </cell>
        </row>
        <row r="170">
          <cell r="B170" t="str">
            <v>MC6-3941</v>
          </cell>
          <cell r="C170" t="str">
            <v>CLA-26-2806X4BB-C-L</v>
          </cell>
          <cell r="E170" t="str">
            <v>CKD</v>
          </cell>
          <cell r="F170" t="str">
            <v>2018-07-30</v>
          </cell>
          <cell r="G170">
            <v>14.7</v>
          </cell>
          <cell r="H170">
            <v>42947</v>
          </cell>
          <cell r="J170">
            <v>1040000</v>
          </cell>
          <cell r="P170">
            <v>808500</v>
          </cell>
          <cell r="R170">
            <v>770000</v>
          </cell>
          <cell r="S170">
            <v>1070000</v>
          </cell>
          <cell r="Y170">
            <v>840000</v>
          </cell>
          <cell r="AA170">
            <v>800000</v>
          </cell>
        </row>
        <row r="171">
          <cell r="B171" t="str">
            <v>MC6-3942</v>
          </cell>
          <cell r="C171" t="str">
            <v>CLA-26-2806X4BB-C-L</v>
          </cell>
          <cell r="E171" t="str">
            <v>CKD</v>
          </cell>
          <cell r="F171" t="str">
            <v>2018-07-30</v>
          </cell>
          <cell r="G171">
            <v>14.7</v>
          </cell>
          <cell r="H171">
            <v>42947</v>
          </cell>
          <cell r="J171">
            <v>1040000</v>
          </cell>
          <cell r="P171">
            <v>808500</v>
          </cell>
          <cell r="R171">
            <v>770000</v>
          </cell>
          <cell r="S171">
            <v>1070000</v>
          </cell>
          <cell r="Y171">
            <v>840000</v>
          </cell>
          <cell r="AA171">
            <v>800000</v>
          </cell>
        </row>
        <row r="172">
          <cell r="B172" t="str">
            <v>MC6-3955</v>
          </cell>
          <cell r="C172" t="str">
            <v>CLA-26-2806X4BB-C-L</v>
          </cell>
          <cell r="E172" t="str">
            <v>CKD</v>
          </cell>
          <cell r="F172" t="str">
            <v>2018-02-16</v>
          </cell>
          <cell r="G172">
            <v>15.3</v>
          </cell>
          <cell r="H172">
            <v>42955</v>
          </cell>
          <cell r="J172">
            <v>1040000</v>
          </cell>
          <cell r="P172">
            <v>808500</v>
          </cell>
          <cell r="R172">
            <v>770000</v>
          </cell>
          <cell r="S172">
            <v>1070000</v>
          </cell>
          <cell r="Y172">
            <v>840000</v>
          </cell>
          <cell r="AA172">
            <v>800000</v>
          </cell>
        </row>
        <row r="173">
          <cell r="B173" t="str">
            <v>MC6-3956</v>
          </cell>
          <cell r="C173" t="str">
            <v>CLA-26-2806X4BB-C-L</v>
          </cell>
          <cell r="E173" t="str">
            <v>CKD</v>
          </cell>
          <cell r="F173" t="str">
            <v>2018-02-16</v>
          </cell>
          <cell r="G173">
            <v>15.3</v>
          </cell>
          <cell r="H173">
            <v>42955</v>
          </cell>
          <cell r="J173">
            <v>1040000</v>
          </cell>
          <cell r="P173">
            <v>808500</v>
          </cell>
          <cell r="R173">
            <v>770000</v>
          </cell>
          <cell r="S173">
            <v>1070000</v>
          </cell>
          <cell r="Y173">
            <v>840000</v>
          </cell>
          <cell r="AA173">
            <v>800000</v>
          </cell>
        </row>
        <row r="174">
          <cell r="B174" t="str">
            <v>MC6-3957</v>
          </cell>
          <cell r="C174" t="str">
            <v>CLA-26-2806X4BB-C-L</v>
          </cell>
          <cell r="E174" t="str">
            <v>CKD</v>
          </cell>
          <cell r="F174" t="str">
            <v>2018-02-16</v>
          </cell>
          <cell r="G174">
            <v>15.3</v>
          </cell>
          <cell r="H174">
            <v>42955</v>
          </cell>
          <cell r="J174">
            <v>1040000</v>
          </cell>
          <cell r="P174">
            <v>808500</v>
          </cell>
          <cell r="R174">
            <v>770000</v>
          </cell>
          <cell r="S174">
            <v>1070000</v>
          </cell>
          <cell r="Y174">
            <v>840000</v>
          </cell>
          <cell r="AA174">
            <v>800000</v>
          </cell>
        </row>
        <row r="175">
          <cell r="B175" t="str">
            <v>MC6-3958</v>
          </cell>
          <cell r="C175" t="str">
            <v>CLA-26-2806X4BB-C-L</v>
          </cell>
          <cell r="E175" t="str">
            <v>CKD</v>
          </cell>
          <cell r="F175" t="str">
            <v>2018-02-23</v>
          </cell>
          <cell r="G175">
            <v>15.3</v>
          </cell>
          <cell r="H175">
            <v>42955</v>
          </cell>
          <cell r="J175">
            <v>1040000</v>
          </cell>
          <cell r="P175">
            <v>808500</v>
          </cell>
          <cell r="R175">
            <v>770000</v>
          </cell>
          <cell r="S175">
            <v>1070000</v>
          </cell>
          <cell r="Y175">
            <v>840000</v>
          </cell>
          <cell r="AA175">
            <v>800000</v>
          </cell>
        </row>
        <row r="176">
          <cell r="B176" t="str">
            <v>MC6-3959</v>
          </cell>
          <cell r="C176" t="str">
            <v>CLA-26-2806X4BB-C-L</v>
          </cell>
          <cell r="E176" t="str">
            <v>CKD</v>
          </cell>
          <cell r="F176" t="str">
            <v>2018-03-30</v>
          </cell>
          <cell r="G176">
            <v>15.3</v>
          </cell>
          <cell r="H176">
            <v>42955</v>
          </cell>
          <cell r="J176">
            <v>1040000</v>
          </cell>
          <cell r="P176">
            <v>808500</v>
          </cell>
          <cell r="R176">
            <v>770000</v>
          </cell>
          <cell r="S176">
            <v>1070000</v>
          </cell>
          <cell r="Y176">
            <v>840000</v>
          </cell>
          <cell r="AA176">
            <v>800000</v>
          </cell>
        </row>
        <row r="177">
          <cell r="B177" t="str">
            <v>MC6-3960</v>
          </cell>
          <cell r="C177" t="str">
            <v>CLA-26-2806X4BB-C-L</v>
          </cell>
          <cell r="E177" t="str">
            <v>CKD</v>
          </cell>
          <cell r="F177" t="str">
            <v>2018-03-30</v>
          </cell>
          <cell r="G177">
            <v>15.3</v>
          </cell>
          <cell r="H177">
            <v>42955</v>
          </cell>
          <cell r="J177">
            <v>1040000</v>
          </cell>
          <cell r="P177">
            <v>808500</v>
          </cell>
          <cell r="R177">
            <v>770000</v>
          </cell>
          <cell r="S177">
            <v>1070000</v>
          </cell>
          <cell r="Y177">
            <v>840000</v>
          </cell>
          <cell r="AA177">
            <v>800000</v>
          </cell>
        </row>
        <row r="178">
          <cell r="B178" t="str">
            <v>MC6-3961</v>
          </cell>
          <cell r="C178" t="str">
            <v>CLA-26-2806X4BB-C-L</v>
          </cell>
          <cell r="E178" t="str">
            <v>CKD</v>
          </cell>
          <cell r="F178" t="str">
            <v>2018-04-30</v>
          </cell>
          <cell r="G178">
            <v>15.3</v>
          </cell>
          <cell r="H178">
            <v>42955</v>
          </cell>
          <cell r="J178">
            <v>1040000</v>
          </cell>
          <cell r="P178">
            <v>808500</v>
          </cell>
          <cell r="R178">
            <v>770000</v>
          </cell>
          <cell r="S178">
            <v>1070000</v>
          </cell>
          <cell r="Y178">
            <v>840000</v>
          </cell>
          <cell r="AA178">
            <v>800000</v>
          </cell>
        </row>
        <row r="179">
          <cell r="B179" t="str">
            <v>MC6-3962</v>
          </cell>
          <cell r="C179" t="str">
            <v>CLA-26-2806X4BB-C-L</v>
          </cell>
          <cell r="E179" t="str">
            <v>CKD</v>
          </cell>
          <cell r="F179" t="str">
            <v>2018-04-30</v>
          </cell>
          <cell r="G179">
            <v>15.3</v>
          </cell>
          <cell r="H179">
            <v>42955</v>
          </cell>
          <cell r="J179">
            <v>1040000</v>
          </cell>
          <cell r="P179">
            <v>808500</v>
          </cell>
          <cell r="R179">
            <v>770000</v>
          </cell>
          <cell r="S179">
            <v>1070000</v>
          </cell>
          <cell r="Y179">
            <v>840000</v>
          </cell>
          <cell r="AA179">
            <v>800000</v>
          </cell>
        </row>
        <row r="180">
          <cell r="B180" t="str">
            <v>MC6-3963</v>
          </cell>
          <cell r="C180" t="str">
            <v>CLA-26-2806X4BB-C-L</v>
          </cell>
          <cell r="E180" t="str">
            <v>CKD</v>
          </cell>
          <cell r="F180" t="str">
            <v>2018-04-30</v>
          </cell>
          <cell r="G180">
            <v>15.3</v>
          </cell>
          <cell r="H180">
            <v>42955</v>
          </cell>
          <cell r="J180">
            <v>1040000</v>
          </cell>
          <cell r="P180">
            <v>808500</v>
          </cell>
          <cell r="R180">
            <v>770000</v>
          </cell>
          <cell r="S180">
            <v>1070000</v>
          </cell>
          <cell r="Y180">
            <v>840000</v>
          </cell>
          <cell r="AA180">
            <v>800000</v>
          </cell>
        </row>
        <row r="181">
          <cell r="B181" t="str">
            <v>MC6-3964</v>
          </cell>
          <cell r="C181" t="str">
            <v>CLA-26-2806X4BB-C-L</v>
          </cell>
          <cell r="E181" t="str">
            <v>CKD</v>
          </cell>
          <cell r="F181" t="str">
            <v>2018-04-30</v>
          </cell>
          <cell r="G181">
            <v>15.3</v>
          </cell>
          <cell r="H181">
            <v>42955</v>
          </cell>
          <cell r="J181">
            <v>1040000</v>
          </cell>
          <cell r="P181">
            <v>808500</v>
          </cell>
          <cell r="R181">
            <v>770000</v>
          </cell>
          <cell r="S181">
            <v>1070000</v>
          </cell>
          <cell r="Y181">
            <v>840000</v>
          </cell>
          <cell r="AA181">
            <v>800000</v>
          </cell>
        </row>
        <row r="182">
          <cell r="B182" t="str">
            <v>MC6-3965</v>
          </cell>
          <cell r="C182" t="str">
            <v>CLA-26-2806X4BB-C-L</v>
          </cell>
          <cell r="E182" t="str">
            <v>CKD</v>
          </cell>
          <cell r="F182" t="str">
            <v>2018-04-30</v>
          </cell>
          <cell r="G182">
            <v>15.3</v>
          </cell>
          <cell r="H182">
            <v>42955</v>
          </cell>
          <cell r="J182">
            <v>1040000</v>
          </cell>
          <cell r="P182">
            <v>808500</v>
          </cell>
          <cell r="R182">
            <v>770000</v>
          </cell>
          <cell r="S182">
            <v>1070000</v>
          </cell>
          <cell r="Y182">
            <v>840000</v>
          </cell>
          <cell r="AA182">
            <v>800000</v>
          </cell>
        </row>
        <row r="183">
          <cell r="B183" t="str">
            <v>MC6-3966</v>
          </cell>
          <cell r="C183" t="str">
            <v>CLA-26-2806X4BB-C-L</v>
          </cell>
          <cell r="E183" t="str">
            <v>CKD</v>
          </cell>
          <cell r="F183" t="str">
            <v>2018-05-30</v>
          </cell>
          <cell r="G183">
            <v>15.3</v>
          </cell>
          <cell r="H183">
            <v>42955</v>
          </cell>
          <cell r="J183">
            <v>1040000</v>
          </cell>
          <cell r="P183">
            <v>808500</v>
          </cell>
          <cell r="R183">
            <v>770000</v>
          </cell>
          <cell r="S183">
            <v>1070000</v>
          </cell>
          <cell r="Y183">
            <v>840000</v>
          </cell>
          <cell r="AA183">
            <v>800000</v>
          </cell>
        </row>
        <row r="184">
          <cell r="B184" t="str">
            <v>MC6-3967</v>
          </cell>
          <cell r="C184" t="str">
            <v>CLA-26-2806X4BB-C-L</v>
          </cell>
          <cell r="E184" t="str">
            <v>CKD</v>
          </cell>
          <cell r="F184" t="str">
            <v>2018-05-30</v>
          </cell>
          <cell r="G184">
            <v>15.3</v>
          </cell>
          <cell r="H184">
            <v>42955</v>
          </cell>
          <cell r="J184">
            <v>1040000</v>
          </cell>
          <cell r="P184">
            <v>808500</v>
          </cell>
          <cell r="R184">
            <v>770000</v>
          </cell>
          <cell r="S184">
            <v>1070000</v>
          </cell>
          <cell r="Y184">
            <v>840000</v>
          </cell>
          <cell r="AA184">
            <v>800000</v>
          </cell>
        </row>
        <row r="185">
          <cell r="B185" t="str">
            <v>MC6-3968</v>
          </cell>
          <cell r="C185" t="str">
            <v>CLA-26-2806X4BB-C-L</v>
          </cell>
          <cell r="E185" t="str">
            <v>CKD</v>
          </cell>
          <cell r="F185" t="str">
            <v>2018-05-30</v>
          </cell>
          <cell r="G185">
            <v>15.3</v>
          </cell>
          <cell r="H185">
            <v>42955</v>
          </cell>
          <cell r="J185">
            <v>1040000</v>
          </cell>
          <cell r="P185">
            <v>808500</v>
          </cell>
          <cell r="R185">
            <v>770000</v>
          </cell>
          <cell r="S185">
            <v>1070000</v>
          </cell>
          <cell r="Y185">
            <v>840000</v>
          </cell>
          <cell r="AA185">
            <v>800000</v>
          </cell>
        </row>
        <row r="186">
          <cell r="B186" t="str">
            <v>MC6-3969</v>
          </cell>
          <cell r="C186" t="str">
            <v>CLA-26-2806X4BB-C-L</v>
          </cell>
          <cell r="E186" t="str">
            <v>CKD</v>
          </cell>
          <cell r="F186" t="str">
            <v>2018-05-30</v>
          </cell>
          <cell r="G186">
            <v>15.3</v>
          </cell>
          <cell r="H186">
            <v>42955</v>
          </cell>
          <cell r="J186">
            <v>1040000</v>
          </cell>
          <cell r="P186">
            <v>808500</v>
          </cell>
          <cell r="R186">
            <v>770000</v>
          </cell>
          <cell r="S186">
            <v>1070000</v>
          </cell>
          <cell r="Y186">
            <v>840000</v>
          </cell>
          <cell r="AA186">
            <v>800000</v>
          </cell>
        </row>
        <row r="187">
          <cell r="B187" t="str">
            <v>MC6-3970</v>
          </cell>
          <cell r="C187" t="str">
            <v>CLA-26-2806X4BB-C-L</v>
          </cell>
          <cell r="E187" t="str">
            <v>CKD</v>
          </cell>
          <cell r="F187" t="str">
            <v>2018-05-30</v>
          </cell>
          <cell r="G187">
            <v>15.3</v>
          </cell>
          <cell r="H187">
            <v>42955</v>
          </cell>
          <cell r="J187">
            <v>1040000</v>
          </cell>
          <cell r="P187">
            <v>808500</v>
          </cell>
          <cell r="R187">
            <v>770000</v>
          </cell>
          <cell r="S187">
            <v>1070000</v>
          </cell>
          <cell r="Y187">
            <v>840000</v>
          </cell>
          <cell r="AA187">
            <v>800000</v>
          </cell>
        </row>
        <row r="188">
          <cell r="B188" t="str">
            <v>MC6-3971</v>
          </cell>
          <cell r="C188" t="str">
            <v>CLA-26-2806X4BB-C-L</v>
          </cell>
          <cell r="E188" t="str">
            <v>CKD</v>
          </cell>
          <cell r="F188" t="str">
            <v>2018-05-30</v>
          </cell>
          <cell r="G188">
            <v>15.3</v>
          </cell>
          <cell r="H188">
            <v>42955</v>
          </cell>
          <cell r="J188">
            <v>1040000</v>
          </cell>
          <cell r="P188">
            <v>808500</v>
          </cell>
          <cell r="R188">
            <v>770000</v>
          </cell>
          <cell r="S188">
            <v>1070000</v>
          </cell>
          <cell r="Y188">
            <v>840000</v>
          </cell>
          <cell r="AA188">
            <v>800000</v>
          </cell>
        </row>
        <row r="189">
          <cell r="B189" t="str">
            <v>MC6-3972</v>
          </cell>
          <cell r="C189" t="str">
            <v>CLA-26-2806X4BB-C-L</v>
          </cell>
          <cell r="E189" t="str">
            <v>CKD</v>
          </cell>
          <cell r="F189" t="str">
            <v>2018-05-30</v>
          </cell>
          <cell r="G189">
            <v>15.3</v>
          </cell>
          <cell r="H189">
            <v>42955</v>
          </cell>
          <cell r="J189">
            <v>1040000</v>
          </cell>
          <cell r="P189">
            <v>808500</v>
          </cell>
          <cell r="R189">
            <v>770000</v>
          </cell>
          <cell r="S189">
            <v>1070000</v>
          </cell>
          <cell r="Y189">
            <v>840000</v>
          </cell>
          <cell r="AA189">
            <v>800000</v>
          </cell>
        </row>
        <row r="190">
          <cell r="B190" t="str">
            <v>MC6-3991</v>
          </cell>
          <cell r="C190" t="str">
            <v>CLA-26-2806X4BB-C-L</v>
          </cell>
          <cell r="E190" t="str">
            <v>CKD</v>
          </cell>
          <cell r="F190" t="str">
            <v>2018-07-30</v>
          </cell>
          <cell r="G190">
            <v>15.3</v>
          </cell>
          <cell r="H190">
            <v>42978</v>
          </cell>
          <cell r="J190">
            <v>1040000</v>
          </cell>
          <cell r="P190">
            <v>808500</v>
          </cell>
          <cell r="R190">
            <v>770000</v>
          </cell>
          <cell r="S190">
            <v>1070000</v>
          </cell>
          <cell r="Y190">
            <v>840000</v>
          </cell>
          <cell r="AA190">
            <v>800000</v>
          </cell>
        </row>
        <row r="191">
          <cell r="B191" t="str">
            <v>MC6-3992</v>
          </cell>
          <cell r="C191" t="str">
            <v>CLA-26-2806X4BB-C-L</v>
          </cell>
          <cell r="E191" t="str">
            <v>CKD</v>
          </cell>
          <cell r="F191" t="str">
            <v>2018-07-30</v>
          </cell>
          <cell r="G191">
            <v>15.3</v>
          </cell>
          <cell r="H191">
            <v>42978</v>
          </cell>
          <cell r="J191">
            <v>1040000</v>
          </cell>
          <cell r="P191">
            <v>808500</v>
          </cell>
          <cell r="R191">
            <v>770000</v>
          </cell>
          <cell r="S191">
            <v>1070000</v>
          </cell>
          <cell r="Y191">
            <v>840000</v>
          </cell>
          <cell r="AA191">
            <v>800000</v>
          </cell>
        </row>
        <row r="192">
          <cell r="B192" t="str">
            <v>MC6-3993</v>
          </cell>
          <cell r="C192" t="str">
            <v>CLA-26-2806X4BB-C-L</v>
          </cell>
          <cell r="E192" t="str">
            <v>CKD</v>
          </cell>
          <cell r="F192" t="str">
            <v>2018-07-30</v>
          </cell>
          <cell r="G192">
            <v>15.3</v>
          </cell>
          <cell r="H192">
            <v>42978</v>
          </cell>
          <cell r="J192">
            <v>1040000</v>
          </cell>
          <cell r="P192">
            <v>808500</v>
          </cell>
          <cell r="R192">
            <v>770000</v>
          </cell>
          <cell r="S192">
            <v>1070000</v>
          </cell>
          <cell r="Y192">
            <v>840000</v>
          </cell>
          <cell r="AA192">
            <v>800000</v>
          </cell>
        </row>
        <row r="193">
          <cell r="B193" t="str">
            <v>MC6-3994</v>
          </cell>
          <cell r="C193" t="str">
            <v>CLA-26-2806X4BB-C-L</v>
          </cell>
          <cell r="E193" t="str">
            <v>CKD</v>
          </cell>
          <cell r="F193" t="str">
            <v>2018-07-30</v>
          </cell>
          <cell r="G193">
            <v>15.3</v>
          </cell>
          <cell r="H193">
            <v>42978</v>
          </cell>
          <cell r="J193">
            <v>1040000</v>
          </cell>
          <cell r="P193">
            <v>808500</v>
          </cell>
          <cell r="R193">
            <v>770000</v>
          </cell>
          <cell r="S193">
            <v>1070000</v>
          </cell>
          <cell r="Y193">
            <v>840000</v>
          </cell>
          <cell r="AA193">
            <v>800000</v>
          </cell>
        </row>
        <row r="194">
          <cell r="B194" t="str">
            <v>MC6-3995</v>
          </cell>
          <cell r="C194" t="str">
            <v>CLA-26-2806X4BB-C-L</v>
          </cell>
          <cell r="E194" t="str">
            <v>CKD</v>
          </cell>
          <cell r="F194" t="str">
            <v>2018-07-30</v>
          </cell>
          <cell r="G194">
            <v>15.3</v>
          </cell>
          <cell r="H194">
            <v>42978</v>
          </cell>
          <cell r="J194">
            <v>1040000</v>
          </cell>
          <cell r="P194">
            <v>808500</v>
          </cell>
          <cell r="R194">
            <v>770000</v>
          </cell>
          <cell r="S194">
            <v>1070000</v>
          </cell>
          <cell r="Y194">
            <v>840000</v>
          </cell>
          <cell r="AA194">
            <v>800000</v>
          </cell>
        </row>
        <row r="195">
          <cell r="B195" t="str">
            <v>MC6-3996</v>
          </cell>
          <cell r="C195" t="str">
            <v>CLA-26-2806X4BB-C-L</v>
          </cell>
          <cell r="E195" t="str">
            <v>CKD</v>
          </cell>
          <cell r="F195" t="str">
            <v>2018-07-30</v>
          </cell>
          <cell r="G195">
            <v>15.3</v>
          </cell>
          <cell r="H195">
            <v>42978</v>
          </cell>
          <cell r="J195">
            <v>1040000</v>
          </cell>
          <cell r="P195">
            <v>808500</v>
          </cell>
          <cell r="R195">
            <v>770000</v>
          </cell>
          <cell r="S195">
            <v>1070000</v>
          </cell>
          <cell r="Y195">
            <v>840000</v>
          </cell>
          <cell r="AA195">
            <v>800000</v>
          </cell>
        </row>
        <row r="196">
          <cell r="B196" t="str">
            <v>MC6-3997</v>
          </cell>
          <cell r="C196" t="str">
            <v>CLA-26-2806X4BB-C-L</v>
          </cell>
          <cell r="E196" t="str">
            <v>CKD</v>
          </cell>
          <cell r="F196" t="str">
            <v>2018-08-30</v>
          </cell>
          <cell r="G196">
            <v>15.3</v>
          </cell>
          <cell r="H196">
            <v>42978</v>
          </cell>
          <cell r="J196">
            <v>1040000</v>
          </cell>
          <cell r="P196">
            <v>808500</v>
          </cell>
          <cell r="R196">
            <v>770000</v>
          </cell>
          <cell r="S196">
            <v>1070000</v>
          </cell>
          <cell r="Y196">
            <v>840000</v>
          </cell>
          <cell r="AA196">
            <v>800000</v>
          </cell>
        </row>
        <row r="197">
          <cell r="B197" t="str">
            <v>MC6-3998</v>
          </cell>
          <cell r="C197" t="str">
            <v>CLA-26-2806X4BB-C-L</v>
          </cell>
          <cell r="E197" t="str">
            <v>CKD</v>
          </cell>
          <cell r="F197" t="str">
            <v>2018-08-30</v>
          </cell>
          <cell r="G197">
            <v>15.3</v>
          </cell>
          <cell r="H197">
            <v>42978</v>
          </cell>
          <cell r="J197">
            <v>1040000</v>
          </cell>
          <cell r="P197">
            <v>808500</v>
          </cell>
          <cell r="R197">
            <v>770000</v>
          </cell>
          <cell r="S197">
            <v>1070000</v>
          </cell>
          <cell r="Y197">
            <v>840000</v>
          </cell>
          <cell r="AA197">
            <v>800000</v>
          </cell>
        </row>
        <row r="198">
          <cell r="B198" t="str">
            <v>MC6-3999</v>
          </cell>
          <cell r="C198" t="str">
            <v>CLA-26-2806X4BB-C-L</v>
          </cell>
          <cell r="E198" t="str">
            <v>CKD</v>
          </cell>
          <cell r="F198" t="str">
            <v>2018-08-30</v>
          </cell>
          <cell r="G198">
            <v>15.3</v>
          </cell>
          <cell r="H198">
            <v>42978</v>
          </cell>
          <cell r="J198">
            <v>1040000</v>
          </cell>
          <cell r="P198">
            <v>808500</v>
          </cell>
          <cell r="R198">
            <v>770000</v>
          </cell>
          <cell r="S198">
            <v>1070000</v>
          </cell>
          <cell r="Y198">
            <v>840000</v>
          </cell>
          <cell r="AA198">
            <v>800000</v>
          </cell>
        </row>
        <row r="199">
          <cell r="B199" t="str">
            <v>MC6-4000</v>
          </cell>
          <cell r="C199" t="str">
            <v>CLA-26-2806X4BB-C-L</v>
          </cell>
          <cell r="E199" t="str">
            <v>CKD</v>
          </cell>
          <cell r="F199" t="str">
            <v>2018-06-30</v>
          </cell>
          <cell r="G199">
            <v>15.3</v>
          </cell>
          <cell r="H199">
            <v>42978</v>
          </cell>
          <cell r="J199">
            <v>1040000</v>
          </cell>
          <cell r="P199">
            <v>808500</v>
          </cell>
          <cell r="R199">
            <v>770000</v>
          </cell>
          <cell r="S199">
            <v>1070000</v>
          </cell>
          <cell r="Y199">
            <v>840000</v>
          </cell>
          <cell r="AA199">
            <v>800000</v>
          </cell>
        </row>
        <row r="200">
          <cell r="B200" t="str">
            <v>MC6-4001</v>
          </cell>
          <cell r="C200" t="str">
            <v>CLA-26-2806X4BB-C-L</v>
          </cell>
          <cell r="E200" t="str">
            <v>CKD</v>
          </cell>
          <cell r="F200" t="str">
            <v>2018-06-30</v>
          </cell>
          <cell r="G200">
            <v>15.3</v>
          </cell>
          <cell r="H200">
            <v>42978</v>
          </cell>
          <cell r="J200">
            <v>1040000</v>
          </cell>
          <cell r="P200">
            <v>808500</v>
          </cell>
          <cell r="R200">
            <v>770000</v>
          </cell>
          <cell r="S200">
            <v>1070000</v>
          </cell>
          <cell r="Y200">
            <v>840000</v>
          </cell>
          <cell r="AA200">
            <v>800000</v>
          </cell>
        </row>
        <row r="201">
          <cell r="B201" t="str">
            <v>MC6-4002</v>
          </cell>
          <cell r="C201" t="str">
            <v>CLA-26-2806X4BB-C-L</v>
          </cell>
          <cell r="E201" t="str">
            <v>CKD</v>
          </cell>
          <cell r="F201" t="str">
            <v>2018-06-30</v>
          </cell>
          <cell r="G201">
            <v>15.3</v>
          </cell>
          <cell r="H201">
            <v>42978</v>
          </cell>
          <cell r="J201">
            <v>1040000</v>
          </cell>
          <cell r="P201">
            <v>808500</v>
          </cell>
          <cell r="R201">
            <v>770000</v>
          </cell>
          <cell r="S201">
            <v>1070000</v>
          </cell>
          <cell r="Y201">
            <v>840000</v>
          </cell>
          <cell r="AA201">
            <v>800000</v>
          </cell>
        </row>
        <row r="202">
          <cell r="B202" t="str">
            <v>MC6-4003</v>
          </cell>
          <cell r="C202" t="str">
            <v>CLA-26-2806X4BB-C-L</v>
          </cell>
          <cell r="E202" t="str">
            <v>CKD</v>
          </cell>
          <cell r="F202" t="str">
            <v>2018-06-30</v>
          </cell>
          <cell r="G202">
            <v>15.3</v>
          </cell>
          <cell r="H202">
            <v>42978</v>
          </cell>
          <cell r="J202">
            <v>1040000</v>
          </cell>
          <cell r="P202">
            <v>808500</v>
          </cell>
          <cell r="R202">
            <v>770000</v>
          </cell>
          <cell r="S202">
            <v>1070000</v>
          </cell>
          <cell r="Y202">
            <v>840000</v>
          </cell>
          <cell r="AA202">
            <v>800000</v>
          </cell>
        </row>
        <row r="203">
          <cell r="B203" t="str">
            <v>MC6-4004</v>
          </cell>
          <cell r="C203" t="str">
            <v>CLA-26-2806X4BB-C-L</v>
          </cell>
          <cell r="E203" t="str">
            <v>CKD</v>
          </cell>
          <cell r="F203" t="str">
            <v>2018-06-30</v>
          </cell>
          <cell r="G203">
            <v>15.3</v>
          </cell>
          <cell r="H203">
            <v>42978</v>
          </cell>
          <cell r="J203">
            <v>1040000</v>
          </cell>
          <cell r="P203">
            <v>808500</v>
          </cell>
          <cell r="R203">
            <v>770000</v>
          </cell>
          <cell r="S203">
            <v>1070000</v>
          </cell>
          <cell r="Y203">
            <v>840000</v>
          </cell>
          <cell r="AA203">
            <v>800000</v>
          </cell>
        </row>
        <row r="204">
          <cell r="B204" t="str">
            <v>MC6-4005</v>
          </cell>
          <cell r="C204" t="str">
            <v>CLA-26-2806X4BB-C-L</v>
          </cell>
          <cell r="E204" t="str">
            <v>CKD</v>
          </cell>
          <cell r="F204" t="str">
            <v>2018-07-30</v>
          </cell>
          <cell r="G204">
            <v>15.3</v>
          </cell>
          <cell r="H204">
            <v>42978</v>
          </cell>
          <cell r="J204">
            <v>1040000</v>
          </cell>
          <cell r="P204">
            <v>808500</v>
          </cell>
          <cell r="R204">
            <v>770000</v>
          </cell>
          <cell r="S204">
            <v>1070000</v>
          </cell>
          <cell r="Y204">
            <v>840000</v>
          </cell>
          <cell r="AA204">
            <v>800000</v>
          </cell>
        </row>
        <row r="205">
          <cell r="B205" t="str">
            <v>MC6-4006</v>
          </cell>
          <cell r="C205" t="str">
            <v>CLA-26-2806X4BB-C-L</v>
          </cell>
          <cell r="E205" t="str">
            <v>CKD</v>
          </cell>
          <cell r="F205" t="str">
            <v>2018-07-30</v>
          </cell>
          <cell r="G205">
            <v>15.3</v>
          </cell>
          <cell r="H205">
            <v>42978</v>
          </cell>
          <cell r="J205">
            <v>1040000</v>
          </cell>
          <cell r="P205">
            <v>808500</v>
          </cell>
          <cell r="R205">
            <v>770000</v>
          </cell>
          <cell r="S205">
            <v>1070000</v>
          </cell>
          <cell r="Y205">
            <v>840000</v>
          </cell>
          <cell r="AA205">
            <v>800000</v>
          </cell>
        </row>
        <row r="206">
          <cell r="B206" t="str">
            <v>MC6-4007</v>
          </cell>
          <cell r="C206" t="str">
            <v>CLA-26-2806X4BB-C-L</v>
          </cell>
          <cell r="E206" t="str">
            <v>CKD</v>
          </cell>
          <cell r="F206" t="str">
            <v>2018-07-30</v>
          </cell>
          <cell r="G206">
            <v>15.3</v>
          </cell>
          <cell r="H206">
            <v>42978</v>
          </cell>
          <cell r="J206">
            <v>1040000</v>
          </cell>
          <cell r="P206">
            <v>808500</v>
          </cell>
          <cell r="R206">
            <v>770000</v>
          </cell>
          <cell r="S206">
            <v>1070000</v>
          </cell>
          <cell r="Y206">
            <v>840000</v>
          </cell>
          <cell r="AA206">
            <v>800000</v>
          </cell>
        </row>
        <row r="207">
          <cell r="B207" t="str">
            <v>MC6-4008</v>
          </cell>
          <cell r="C207" t="str">
            <v>CLA-26-2806X4BB-C-L</v>
          </cell>
          <cell r="E207" t="str">
            <v>CKD</v>
          </cell>
          <cell r="F207" t="str">
            <v>2018-07-30</v>
          </cell>
          <cell r="G207">
            <v>15.3</v>
          </cell>
          <cell r="H207">
            <v>42978</v>
          </cell>
          <cell r="J207">
            <v>1040000</v>
          </cell>
          <cell r="P207">
            <v>808500</v>
          </cell>
          <cell r="R207">
            <v>770000</v>
          </cell>
          <cell r="S207">
            <v>1070000</v>
          </cell>
          <cell r="Y207">
            <v>840000</v>
          </cell>
          <cell r="AA207">
            <v>800000</v>
          </cell>
        </row>
        <row r="208">
          <cell r="B208" t="str">
            <v>TBAKP590</v>
          </cell>
          <cell r="C208" t="str">
            <v>CLA-26-2806X4BB-C-L</v>
          </cell>
          <cell r="E208" t="str">
            <v>CKD</v>
          </cell>
          <cell r="F208" t="str">
            <v>2018-08-19</v>
          </cell>
          <cell r="G208">
            <v>15.8</v>
          </cell>
          <cell r="H208">
            <v>43159</v>
          </cell>
          <cell r="J208">
            <v>1040000</v>
          </cell>
          <cell r="P208">
            <v>829500</v>
          </cell>
          <cell r="R208">
            <v>790000</v>
          </cell>
          <cell r="S208">
            <v>1070000</v>
          </cell>
          <cell r="Y208">
            <v>861000</v>
          </cell>
          <cell r="AA208">
            <v>820000</v>
          </cell>
        </row>
        <row r="209">
          <cell r="B209" t="str">
            <v>MC6-2258</v>
          </cell>
          <cell r="C209" t="str">
            <v>CLA-26-2806X4BB-C-M</v>
          </cell>
          <cell r="E209" t="str">
            <v>SOLD</v>
          </cell>
          <cell r="F209">
            <v>20</v>
          </cell>
          <cell r="G209">
            <v>14.7</v>
          </cell>
          <cell r="H209">
            <v>42937</v>
          </cell>
          <cell r="J209">
            <v>1090000</v>
          </cell>
          <cell r="P209">
            <v>838950</v>
          </cell>
          <cell r="R209">
            <v>799000</v>
          </cell>
          <cell r="S209">
            <v>1120000</v>
          </cell>
          <cell r="Y209">
            <v>870450</v>
          </cell>
          <cell r="AA209">
            <v>829000</v>
          </cell>
        </row>
        <row r="210">
          <cell r="B210" t="str">
            <v>MC6-2259</v>
          </cell>
          <cell r="C210" t="str">
            <v>CLA-26-2806X4BB-C-M</v>
          </cell>
          <cell r="E210" t="str">
            <v>SOLD</v>
          </cell>
          <cell r="F210">
            <v>13</v>
          </cell>
          <cell r="G210">
            <v>14.7</v>
          </cell>
          <cell r="H210">
            <v>42937</v>
          </cell>
          <cell r="J210">
            <v>1090000</v>
          </cell>
          <cell r="P210">
            <v>838950</v>
          </cell>
          <cell r="R210">
            <v>799000</v>
          </cell>
          <cell r="S210">
            <v>1120000</v>
          </cell>
          <cell r="Y210">
            <v>870450</v>
          </cell>
          <cell r="AA210">
            <v>829000</v>
          </cell>
        </row>
        <row r="211">
          <cell r="B211" t="str">
            <v>MC6-2262</v>
          </cell>
          <cell r="C211" t="str">
            <v>CLA-26-2806X4BB-C-M</v>
          </cell>
          <cell r="E211" t="str">
            <v>BODY</v>
          </cell>
          <cell r="F211">
            <v>22</v>
          </cell>
          <cell r="G211">
            <v>14.7</v>
          </cell>
          <cell r="H211">
            <v>42937</v>
          </cell>
          <cell r="J211">
            <v>1492840</v>
          </cell>
          <cell r="P211">
            <v>1228500</v>
          </cell>
          <cell r="R211">
            <v>1170000</v>
          </cell>
          <cell r="S211">
            <v>1522840</v>
          </cell>
          <cell r="Y211">
            <v>1260000</v>
          </cell>
          <cell r="AA211">
            <v>1200000</v>
          </cell>
        </row>
        <row r="212">
          <cell r="B212" t="str">
            <v>MC6-3737</v>
          </cell>
          <cell r="C212" t="str">
            <v>CLA-26-2806X4BB-C-M</v>
          </cell>
          <cell r="E212" t="str">
            <v>BODY</v>
          </cell>
          <cell r="F212">
            <v>188</v>
          </cell>
          <cell r="G212">
            <v>15.4</v>
          </cell>
          <cell r="H212">
            <v>42784</v>
          </cell>
          <cell r="J212">
            <v>1877720</v>
          </cell>
          <cell r="P212">
            <v>1228500</v>
          </cell>
          <cell r="R212">
            <v>1170000</v>
          </cell>
          <cell r="S212">
            <v>1907720</v>
          </cell>
          <cell r="Y212">
            <v>1260000</v>
          </cell>
          <cell r="AA212">
            <v>1200000</v>
          </cell>
        </row>
        <row r="213">
          <cell r="B213" t="str">
            <v>MC6-3913</v>
          </cell>
          <cell r="C213" t="str">
            <v>CLA-26-2806X4BB-C-M</v>
          </cell>
          <cell r="E213" t="str">
            <v>CKD</v>
          </cell>
          <cell r="F213" t="str">
            <v>2018-09-30</v>
          </cell>
          <cell r="G213">
            <v>14.7</v>
          </cell>
          <cell r="H213">
            <v>42947</v>
          </cell>
          <cell r="J213">
            <v>1090000</v>
          </cell>
          <cell r="P213">
            <v>838950</v>
          </cell>
          <cell r="R213">
            <v>799000</v>
          </cell>
          <cell r="S213">
            <v>1120000</v>
          </cell>
          <cell r="Y213">
            <v>870450</v>
          </cell>
          <cell r="AA213">
            <v>829000</v>
          </cell>
        </row>
        <row r="214">
          <cell r="B214" t="str">
            <v>MC6-3914</v>
          </cell>
          <cell r="C214" t="str">
            <v>CLA-26-2806X4BB-C-M</v>
          </cell>
          <cell r="E214" t="str">
            <v>CKD</v>
          </cell>
          <cell r="F214" t="str">
            <v>2018-05-30</v>
          </cell>
          <cell r="G214">
            <v>14.7</v>
          </cell>
          <cell r="H214">
            <v>42947</v>
          </cell>
          <cell r="J214">
            <v>1477720</v>
          </cell>
          <cell r="P214">
            <v>1228500</v>
          </cell>
          <cell r="R214">
            <v>1170000</v>
          </cell>
          <cell r="S214">
            <v>1507720</v>
          </cell>
          <cell r="Y214">
            <v>1260000</v>
          </cell>
          <cell r="AA214">
            <v>1200000</v>
          </cell>
        </row>
        <row r="215">
          <cell r="B215" t="str">
            <v>MC6-3915</v>
          </cell>
          <cell r="C215" t="str">
            <v>CLA-26-2806X4BB-C-M</v>
          </cell>
          <cell r="E215" t="str">
            <v>CKD</v>
          </cell>
          <cell r="F215" t="str">
            <v>2018-05-30</v>
          </cell>
          <cell r="G215">
            <v>14.7</v>
          </cell>
          <cell r="H215">
            <v>42947</v>
          </cell>
          <cell r="J215">
            <v>1477720</v>
          </cell>
          <cell r="P215">
            <v>1228500</v>
          </cell>
          <cell r="R215">
            <v>1170000</v>
          </cell>
          <cell r="S215">
            <v>1507720</v>
          </cell>
          <cell r="Y215">
            <v>1260000</v>
          </cell>
          <cell r="AA215">
            <v>1200000</v>
          </cell>
        </row>
        <row r="216">
          <cell r="B216" t="str">
            <v>MC6-3916</v>
          </cell>
          <cell r="C216" t="str">
            <v>CLA-26-2806X4BB-C-M</v>
          </cell>
          <cell r="E216" t="str">
            <v>CKD</v>
          </cell>
          <cell r="F216" t="str">
            <v>2018-09-30</v>
          </cell>
          <cell r="G216">
            <v>14.7</v>
          </cell>
          <cell r="H216">
            <v>42947</v>
          </cell>
          <cell r="J216">
            <v>1477720</v>
          </cell>
          <cell r="P216">
            <v>1228500</v>
          </cell>
          <cell r="R216">
            <v>1170000</v>
          </cell>
          <cell r="S216">
            <v>1507720</v>
          </cell>
          <cell r="Y216">
            <v>1260000</v>
          </cell>
          <cell r="AA216">
            <v>1200000</v>
          </cell>
        </row>
        <row r="217">
          <cell r="B217" t="str">
            <v>MC6-3917</v>
          </cell>
          <cell r="C217" t="str">
            <v>CLA-26-2806X4BB-C-M</v>
          </cell>
          <cell r="E217" t="str">
            <v>CKD</v>
          </cell>
          <cell r="F217" t="str">
            <v>2018-09-30</v>
          </cell>
          <cell r="G217">
            <v>14.7</v>
          </cell>
          <cell r="H217">
            <v>42947</v>
          </cell>
          <cell r="J217">
            <v>1090000</v>
          </cell>
          <cell r="P217">
            <v>838950</v>
          </cell>
          <cell r="R217">
            <v>799000</v>
          </cell>
          <cell r="S217">
            <v>1120000</v>
          </cell>
          <cell r="Y217">
            <v>870450</v>
          </cell>
          <cell r="AA217">
            <v>829000</v>
          </cell>
        </row>
        <row r="218">
          <cell r="B218" t="str">
            <v>MC6-3918</v>
          </cell>
          <cell r="C218" t="str">
            <v>CLA-26-2806X4BB-C-M</v>
          </cell>
          <cell r="E218" t="str">
            <v>CKD</v>
          </cell>
          <cell r="F218" t="str">
            <v>2018-06-30</v>
          </cell>
          <cell r="G218">
            <v>14.7</v>
          </cell>
          <cell r="H218">
            <v>42947</v>
          </cell>
          <cell r="J218">
            <v>1090000</v>
          </cell>
          <cell r="P218">
            <v>838950</v>
          </cell>
          <cell r="R218">
            <v>799000</v>
          </cell>
          <cell r="S218">
            <v>1120000</v>
          </cell>
          <cell r="Y218">
            <v>870450</v>
          </cell>
          <cell r="AA218">
            <v>829000</v>
          </cell>
        </row>
        <row r="219">
          <cell r="B219" t="str">
            <v>MC6-3919</v>
          </cell>
          <cell r="C219" t="str">
            <v>CLA-26-2806X4BB-C-M</v>
          </cell>
          <cell r="E219" t="str">
            <v>CKD</v>
          </cell>
          <cell r="F219" t="str">
            <v>2018-06-30</v>
          </cell>
          <cell r="G219">
            <v>14.7</v>
          </cell>
          <cell r="H219">
            <v>42947</v>
          </cell>
          <cell r="J219">
            <v>1090000</v>
          </cell>
          <cell r="P219">
            <v>838950</v>
          </cell>
          <cell r="R219">
            <v>799000</v>
          </cell>
          <cell r="S219">
            <v>1120000</v>
          </cell>
          <cell r="Y219">
            <v>870450</v>
          </cell>
          <cell r="AA219">
            <v>829000</v>
          </cell>
        </row>
        <row r="220">
          <cell r="B220" t="str">
            <v>MC6-3920</v>
          </cell>
          <cell r="C220" t="str">
            <v>CLA-26-2806X4BB-C-M</v>
          </cell>
          <cell r="E220" t="str">
            <v>CKD</v>
          </cell>
          <cell r="F220" t="str">
            <v>2018-06-30</v>
          </cell>
          <cell r="G220">
            <v>14.7</v>
          </cell>
          <cell r="H220">
            <v>42947</v>
          </cell>
          <cell r="J220">
            <v>1090000</v>
          </cell>
          <cell r="P220">
            <v>838950</v>
          </cell>
          <cell r="R220">
            <v>799000</v>
          </cell>
          <cell r="S220">
            <v>1120000</v>
          </cell>
          <cell r="Y220">
            <v>870450</v>
          </cell>
          <cell r="AA220">
            <v>829000</v>
          </cell>
        </row>
        <row r="221">
          <cell r="B221" t="str">
            <v>MC6-3921</v>
          </cell>
          <cell r="C221" t="str">
            <v>CLA-26-2806X4BB-C-M</v>
          </cell>
          <cell r="E221" t="str">
            <v>CKD</v>
          </cell>
          <cell r="F221" t="str">
            <v>2018-06-30</v>
          </cell>
          <cell r="G221">
            <v>14.7</v>
          </cell>
          <cell r="H221">
            <v>42947</v>
          </cell>
          <cell r="J221">
            <v>1090000</v>
          </cell>
          <cell r="P221">
            <v>838950</v>
          </cell>
          <cell r="R221">
            <v>799000</v>
          </cell>
          <cell r="S221">
            <v>1120000</v>
          </cell>
          <cell r="Y221">
            <v>870450</v>
          </cell>
          <cell r="AA221">
            <v>829000</v>
          </cell>
        </row>
        <row r="222">
          <cell r="B222" t="str">
            <v>MC6-3922</v>
          </cell>
          <cell r="C222" t="str">
            <v>CLA-26-2806X4BB-C-M</v>
          </cell>
          <cell r="E222" t="str">
            <v>CKD</v>
          </cell>
          <cell r="F222" t="str">
            <v>2018-11-30</v>
          </cell>
          <cell r="G222">
            <v>14.7</v>
          </cell>
          <cell r="H222">
            <v>42947</v>
          </cell>
          <cell r="J222">
            <v>1090000</v>
          </cell>
          <cell r="P222">
            <v>838950</v>
          </cell>
          <cell r="R222">
            <v>799000</v>
          </cell>
          <cell r="S222">
            <v>1120000</v>
          </cell>
          <cell r="Y222">
            <v>870450</v>
          </cell>
          <cell r="AA222">
            <v>829000</v>
          </cell>
        </row>
        <row r="223">
          <cell r="B223" t="str">
            <v>MC6-3923</v>
          </cell>
          <cell r="C223" t="str">
            <v>CLA-26-2806X4BB-C-M</v>
          </cell>
          <cell r="E223" t="str">
            <v>CKD</v>
          </cell>
          <cell r="F223" t="str">
            <v>2018-11-30</v>
          </cell>
          <cell r="G223">
            <v>14.7</v>
          </cell>
          <cell r="H223">
            <v>42947</v>
          </cell>
          <cell r="J223">
            <v>1090000</v>
          </cell>
          <cell r="P223">
            <v>838950</v>
          </cell>
          <cell r="R223">
            <v>799000</v>
          </cell>
          <cell r="S223">
            <v>1120000</v>
          </cell>
          <cell r="Y223">
            <v>870450</v>
          </cell>
          <cell r="AA223">
            <v>829000</v>
          </cell>
        </row>
        <row r="224">
          <cell r="B224" t="str">
            <v>MC6-3924</v>
          </cell>
          <cell r="C224" t="str">
            <v>CLA-26-2806X4BB-C-M</v>
          </cell>
          <cell r="E224" t="str">
            <v>CKD</v>
          </cell>
          <cell r="F224" t="str">
            <v>2018-11-30</v>
          </cell>
          <cell r="G224">
            <v>14.7</v>
          </cell>
          <cell r="H224">
            <v>42947</v>
          </cell>
          <cell r="J224">
            <v>1090000</v>
          </cell>
          <cell r="P224">
            <v>838950</v>
          </cell>
          <cell r="R224">
            <v>799000</v>
          </cell>
          <cell r="S224">
            <v>1120000</v>
          </cell>
          <cell r="Y224">
            <v>870450</v>
          </cell>
          <cell r="AA224">
            <v>829000</v>
          </cell>
        </row>
        <row r="225">
          <cell r="B225" t="str">
            <v>TBAKP564</v>
          </cell>
          <cell r="C225" t="str">
            <v>CLA-26-2806X4BB-C-M</v>
          </cell>
          <cell r="E225" t="str">
            <v>CKD</v>
          </cell>
          <cell r="F225" t="str">
            <v>2018-08-19</v>
          </cell>
          <cell r="G225">
            <v>15.8</v>
          </cell>
          <cell r="H225">
            <v>43159</v>
          </cell>
          <cell r="J225">
            <v>1090000</v>
          </cell>
          <cell r="P225">
            <v>871500</v>
          </cell>
          <cell r="R225">
            <v>830000</v>
          </cell>
          <cell r="S225">
            <v>1120000</v>
          </cell>
          <cell r="Y225">
            <v>903000</v>
          </cell>
          <cell r="AA225">
            <v>860000</v>
          </cell>
        </row>
        <row r="226">
          <cell r="B226">
            <v>49059</v>
          </cell>
          <cell r="C226" t="str">
            <v>TGM-15-2404X2BL-C</v>
          </cell>
          <cell r="E226" t="str">
            <v>CKD</v>
          </cell>
          <cell r="F226" t="str">
            <v>2018-04-30</v>
          </cell>
          <cell r="G226">
            <v>15.9</v>
          </cell>
          <cell r="H226">
            <v>43069</v>
          </cell>
          <cell r="J226">
            <v>985000</v>
          </cell>
          <cell r="P226">
            <v>829500</v>
          </cell>
          <cell r="R226">
            <v>790000</v>
          </cell>
          <cell r="S226">
            <v>1005000</v>
          </cell>
          <cell r="Y226">
            <v>850500</v>
          </cell>
          <cell r="AA226">
            <v>810000</v>
          </cell>
        </row>
        <row r="227">
          <cell r="B227" t="str">
            <v>TBAKP758</v>
          </cell>
          <cell r="C227" t="str">
            <v>TGM-15-2404X2BL-C</v>
          </cell>
          <cell r="E227" t="str">
            <v>CKD</v>
          </cell>
          <cell r="F227" t="str">
            <v>2018-08-19</v>
          </cell>
          <cell r="G227">
            <v>15.8</v>
          </cell>
          <cell r="H227">
            <v>43159</v>
          </cell>
          <cell r="J227">
            <v>985000</v>
          </cell>
          <cell r="P227">
            <v>829500</v>
          </cell>
          <cell r="R227">
            <v>790000</v>
          </cell>
          <cell r="S227">
            <v>1005000</v>
          </cell>
          <cell r="Y227">
            <v>850500</v>
          </cell>
          <cell r="AA227">
            <v>810000</v>
          </cell>
        </row>
        <row r="228">
          <cell r="B228" t="str">
            <v>N62-0445</v>
          </cell>
          <cell r="C228" t="str">
            <v>TGM-18-2404X2BB-C-K</v>
          </cell>
          <cell r="E228" t="str">
            <v>SOLD</v>
          </cell>
          <cell r="F228">
            <v>174</v>
          </cell>
          <cell r="G228">
            <v>14.7</v>
          </cell>
          <cell r="H228">
            <v>42859</v>
          </cell>
          <cell r="J228">
            <v>1010000</v>
          </cell>
          <cell r="P228">
            <v>866250</v>
          </cell>
          <cell r="R228">
            <v>825000</v>
          </cell>
          <cell r="S228">
            <v>1030000</v>
          </cell>
          <cell r="Y228">
            <v>887250</v>
          </cell>
          <cell r="AA228">
            <v>845000</v>
          </cell>
        </row>
        <row r="229">
          <cell r="B229" t="str">
            <v>TBAKP405</v>
          </cell>
          <cell r="C229" t="str">
            <v>TGM-18-2404X2BB-C-K</v>
          </cell>
          <cell r="E229" t="str">
            <v>CKD</v>
          </cell>
          <cell r="F229" t="str">
            <v>2018-08-19</v>
          </cell>
          <cell r="G229">
            <v>15.8</v>
          </cell>
          <cell r="H229">
            <v>43159</v>
          </cell>
          <cell r="J229">
            <v>1010000</v>
          </cell>
          <cell r="P229">
            <v>866250</v>
          </cell>
          <cell r="R229">
            <v>825000</v>
          </cell>
          <cell r="S229">
            <v>1030000</v>
          </cell>
          <cell r="Y229">
            <v>887250</v>
          </cell>
          <cell r="AA229">
            <v>845000</v>
          </cell>
        </row>
        <row r="230">
          <cell r="B230">
            <v>49061</v>
          </cell>
          <cell r="C230" t="str">
            <v>TGM-18-2404X4BB-C-DWA</v>
          </cell>
          <cell r="E230" t="str">
            <v>CKD</v>
          </cell>
          <cell r="F230" t="str">
            <v>2018-04-30</v>
          </cell>
          <cell r="G230">
            <v>15.9</v>
          </cell>
          <cell r="H230">
            <v>43069</v>
          </cell>
          <cell r="J230">
            <v>1290000</v>
          </cell>
          <cell r="P230">
            <v>997500</v>
          </cell>
          <cell r="R230">
            <v>950000</v>
          </cell>
          <cell r="S230">
            <v>1315000</v>
          </cell>
          <cell r="Y230">
            <v>1023750</v>
          </cell>
          <cell r="AA230">
            <v>975000</v>
          </cell>
        </row>
        <row r="231">
          <cell r="B231">
            <v>49062</v>
          </cell>
          <cell r="C231" t="str">
            <v>TGM-18-2404X4BB-C-DWA</v>
          </cell>
          <cell r="E231" t="str">
            <v>CKD</v>
          </cell>
          <cell r="F231" t="str">
            <v>2018-04-30</v>
          </cell>
          <cell r="G231">
            <v>15.9</v>
          </cell>
          <cell r="H231">
            <v>43069</v>
          </cell>
          <cell r="J231">
            <v>1290000</v>
          </cell>
          <cell r="P231">
            <v>997500</v>
          </cell>
          <cell r="R231">
            <v>950000</v>
          </cell>
          <cell r="S231">
            <v>1315000</v>
          </cell>
          <cell r="Y231">
            <v>1023750</v>
          </cell>
          <cell r="AA231">
            <v>975000</v>
          </cell>
        </row>
        <row r="232">
          <cell r="B232">
            <v>49063</v>
          </cell>
          <cell r="C232" t="str">
            <v>TGM-18-2404X4BB-C-DWA</v>
          </cell>
          <cell r="E232" t="str">
            <v>CKD</v>
          </cell>
          <cell r="F232" t="str">
            <v>2018-04-30</v>
          </cell>
          <cell r="G232">
            <v>15.9</v>
          </cell>
          <cell r="H232">
            <v>43069</v>
          </cell>
          <cell r="J232">
            <v>1290000</v>
          </cell>
          <cell r="P232">
            <v>997500</v>
          </cell>
          <cell r="R232">
            <v>950000</v>
          </cell>
          <cell r="S232">
            <v>1315000</v>
          </cell>
          <cell r="Y232">
            <v>1023750</v>
          </cell>
          <cell r="AA232">
            <v>975000</v>
          </cell>
        </row>
        <row r="233">
          <cell r="B233" t="str">
            <v>TBAKP471</v>
          </cell>
          <cell r="C233" t="str">
            <v>TGM-18-2404X4BB-C-DWA</v>
          </cell>
          <cell r="E233" t="str">
            <v>CKD</v>
          </cell>
          <cell r="F233" t="str">
            <v>2018-08-19</v>
          </cell>
          <cell r="G233">
            <v>15.8</v>
          </cell>
          <cell r="H233">
            <v>43159</v>
          </cell>
          <cell r="J233">
            <v>1290000</v>
          </cell>
          <cell r="P233">
            <v>997500</v>
          </cell>
          <cell r="R233">
            <v>950000</v>
          </cell>
          <cell r="S233">
            <v>1315000</v>
          </cell>
          <cell r="Y233">
            <v>1023750</v>
          </cell>
          <cell r="AA233">
            <v>975000</v>
          </cell>
        </row>
        <row r="234">
          <cell r="B234">
            <v>48884</v>
          </cell>
          <cell r="C234" t="str">
            <v>TGM-18-2404X4BB-C-SWA</v>
          </cell>
          <cell r="E234" t="str">
            <v>CKD</v>
          </cell>
          <cell r="F234" t="str">
            <v>2018-04-30</v>
          </cell>
          <cell r="G234">
            <v>15.9</v>
          </cell>
          <cell r="H234">
            <v>43069</v>
          </cell>
          <cell r="J234">
            <v>1400000</v>
          </cell>
          <cell r="P234">
            <v>1048950</v>
          </cell>
          <cell r="R234">
            <v>999000</v>
          </cell>
          <cell r="S234">
            <v>1425000</v>
          </cell>
          <cell r="Y234">
            <v>1075200</v>
          </cell>
          <cell r="AA234">
            <v>1024000</v>
          </cell>
        </row>
        <row r="235">
          <cell r="B235">
            <v>48885</v>
          </cell>
          <cell r="C235" t="str">
            <v>TGM-18-2404X4BB-C-SWA</v>
          </cell>
          <cell r="E235" t="str">
            <v>CKD</v>
          </cell>
          <cell r="F235" t="str">
            <v>2018-04-30</v>
          </cell>
          <cell r="G235">
            <v>15.9</v>
          </cell>
          <cell r="H235">
            <v>43069</v>
          </cell>
          <cell r="J235">
            <v>1400000</v>
          </cell>
          <cell r="P235">
            <v>1048950</v>
          </cell>
          <cell r="R235">
            <v>999000</v>
          </cell>
          <cell r="S235">
            <v>1425000</v>
          </cell>
          <cell r="Y235">
            <v>1075200</v>
          </cell>
          <cell r="AA235">
            <v>1024000</v>
          </cell>
        </row>
        <row r="236">
          <cell r="B236">
            <v>48886</v>
          </cell>
          <cell r="C236" t="str">
            <v>TGM-18-2404X4BB-C-SWA</v>
          </cell>
          <cell r="E236" t="str">
            <v>CKD</v>
          </cell>
          <cell r="F236" t="str">
            <v>2018-04-30</v>
          </cell>
          <cell r="G236">
            <v>15.9</v>
          </cell>
          <cell r="H236">
            <v>43069</v>
          </cell>
          <cell r="J236">
            <v>1400000</v>
          </cell>
          <cell r="P236">
            <v>1048950</v>
          </cell>
          <cell r="R236">
            <v>999000</v>
          </cell>
          <cell r="S236">
            <v>1425000</v>
          </cell>
          <cell r="Y236">
            <v>1075200</v>
          </cell>
          <cell r="AA236">
            <v>1024000</v>
          </cell>
        </row>
        <row r="237">
          <cell r="B237">
            <v>48887</v>
          </cell>
          <cell r="C237" t="str">
            <v>TGM-18-2404X4BB-C-SWA</v>
          </cell>
          <cell r="E237" t="str">
            <v>CKD</v>
          </cell>
          <cell r="F237" t="str">
            <v>2018-04-30</v>
          </cell>
          <cell r="G237">
            <v>15.9</v>
          </cell>
          <cell r="H237">
            <v>43069</v>
          </cell>
          <cell r="J237">
            <v>1400000</v>
          </cell>
          <cell r="P237">
            <v>1048950</v>
          </cell>
          <cell r="R237">
            <v>999000</v>
          </cell>
          <cell r="S237">
            <v>1425000</v>
          </cell>
          <cell r="Y237">
            <v>1075200</v>
          </cell>
          <cell r="AA237">
            <v>1024000</v>
          </cell>
        </row>
        <row r="238">
          <cell r="B238">
            <v>48888</v>
          </cell>
          <cell r="C238" t="str">
            <v>TGM-18-2404X4BB-C-SWA</v>
          </cell>
          <cell r="E238" t="str">
            <v>CKD</v>
          </cell>
          <cell r="F238" t="str">
            <v>2018-04-30</v>
          </cell>
          <cell r="G238">
            <v>15.9</v>
          </cell>
          <cell r="H238">
            <v>43069</v>
          </cell>
          <cell r="J238">
            <v>1400000</v>
          </cell>
          <cell r="P238">
            <v>1048950</v>
          </cell>
          <cell r="R238">
            <v>999000</v>
          </cell>
          <cell r="S238">
            <v>1425000</v>
          </cell>
          <cell r="Y238">
            <v>1075200</v>
          </cell>
          <cell r="AA238">
            <v>1024000</v>
          </cell>
        </row>
        <row r="239">
          <cell r="B239">
            <v>48889</v>
          </cell>
          <cell r="C239" t="str">
            <v>TGM-18-2404X4BB-C-SWA</v>
          </cell>
          <cell r="E239" t="str">
            <v>CKD</v>
          </cell>
          <cell r="F239" t="str">
            <v>2018-04-30</v>
          </cell>
          <cell r="G239">
            <v>15.9</v>
          </cell>
          <cell r="H239">
            <v>43069</v>
          </cell>
          <cell r="J239">
            <v>1400000</v>
          </cell>
          <cell r="P239">
            <v>1048950</v>
          </cell>
          <cell r="R239">
            <v>999000</v>
          </cell>
          <cell r="S239">
            <v>1425000</v>
          </cell>
          <cell r="Y239">
            <v>1075200</v>
          </cell>
          <cell r="AA239">
            <v>1024000</v>
          </cell>
        </row>
        <row r="240">
          <cell r="B240">
            <v>48892</v>
          </cell>
          <cell r="C240" t="str">
            <v>TGM-18-2404X4BB-C-SWA</v>
          </cell>
          <cell r="E240" t="str">
            <v>CKD</v>
          </cell>
          <cell r="F240" t="str">
            <v>2018-04-30</v>
          </cell>
          <cell r="G240">
            <v>15.9</v>
          </cell>
          <cell r="H240">
            <v>43069</v>
          </cell>
          <cell r="J240">
            <v>1400000</v>
          </cell>
          <cell r="P240">
            <v>1048950</v>
          </cell>
          <cell r="R240">
            <v>999000</v>
          </cell>
          <cell r="S240">
            <v>1425000</v>
          </cell>
          <cell r="Y240">
            <v>1075200</v>
          </cell>
          <cell r="AA240">
            <v>1024000</v>
          </cell>
        </row>
        <row r="241">
          <cell r="B241">
            <v>48893</v>
          </cell>
          <cell r="C241" t="str">
            <v>TGM-18-2404X4BB-C-SWA</v>
          </cell>
          <cell r="E241" t="str">
            <v>CKD</v>
          </cell>
          <cell r="F241" t="str">
            <v>2018-04-30</v>
          </cell>
          <cell r="G241">
            <v>15.9</v>
          </cell>
          <cell r="H241">
            <v>43069</v>
          </cell>
          <cell r="J241">
            <v>1400000</v>
          </cell>
          <cell r="P241">
            <v>1048950</v>
          </cell>
          <cell r="R241">
            <v>999000</v>
          </cell>
          <cell r="S241">
            <v>1425000</v>
          </cell>
          <cell r="Y241">
            <v>1075200</v>
          </cell>
          <cell r="AA241">
            <v>1024000</v>
          </cell>
        </row>
        <row r="242">
          <cell r="B242">
            <v>48894</v>
          </cell>
          <cell r="C242" t="str">
            <v>TGM-18-2404X4BB-C-SWA</v>
          </cell>
          <cell r="E242" t="str">
            <v>CKD</v>
          </cell>
          <cell r="F242" t="str">
            <v>2018-05-30</v>
          </cell>
          <cell r="G242">
            <v>15.9</v>
          </cell>
          <cell r="H242">
            <v>43069</v>
          </cell>
          <cell r="J242">
            <v>1400000</v>
          </cell>
          <cell r="P242">
            <v>1039500</v>
          </cell>
          <cell r="R242">
            <v>990000</v>
          </cell>
          <cell r="S242">
            <v>1425000</v>
          </cell>
          <cell r="Y242">
            <v>1065750</v>
          </cell>
          <cell r="AA242">
            <v>1015000</v>
          </cell>
        </row>
        <row r="243">
          <cell r="B243">
            <v>49065</v>
          </cell>
          <cell r="C243" t="str">
            <v>TGM-18-2404X4BB-C-SWA</v>
          </cell>
          <cell r="E243" t="str">
            <v>CKD</v>
          </cell>
          <cell r="F243" t="str">
            <v>2018-04-30</v>
          </cell>
          <cell r="G243">
            <v>15.9</v>
          </cell>
          <cell r="H243">
            <v>43069</v>
          </cell>
          <cell r="J243">
            <v>1400000</v>
          </cell>
          <cell r="P243">
            <v>1039500</v>
          </cell>
          <cell r="R243">
            <v>990000</v>
          </cell>
          <cell r="S243">
            <v>1425000</v>
          </cell>
          <cell r="Y243">
            <v>1065750</v>
          </cell>
          <cell r="AA243">
            <v>1015000</v>
          </cell>
        </row>
        <row r="244">
          <cell r="B244">
            <v>49066</v>
          </cell>
          <cell r="C244" t="str">
            <v>TGM-18-2404X4BB-C-SWA</v>
          </cell>
          <cell r="E244" t="str">
            <v>CKD</v>
          </cell>
          <cell r="F244" t="str">
            <v>2018-05-30</v>
          </cell>
          <cell r="G244">
            <v>15.9</v>
          </cell>
          <cell r="H244">
            <v>43069</v>
          </cell>
          <cell r="J244">
            <v>1400000</v>
          </cell>
          <cell r="P244">
            <v>1039500</v>
          </cell>
          <cell r="R244">
            <v>990000</v>
          </cell>
          <cell r="S244">
            <v>1425000</v>
          </cell>
          <cell r="Y244">
            <v>1065750</v>
          </cell>
          <cell r="AA244">
            <v>1015000</v>
          </cell>
        </row>
        <row r="245">
          <cell r="B245">
            <v>49067</v>
          </cell>
          <cell r="C245" t="str">
            <v>TGM-18-2404X4BB-C-SWA</v>
          </cell>
          <cell r="E245" t="str">
            <v>CKD</v>
          </cell>
          <cell r="F245" t="str">
            <v>2018-05-30</v>
          </cell>
          <cell r="G245">
            <v>15.9</v>
          </cell>
          <cell r="H245">
            <v>43069</v>
          </cell>
          <cell r="J245">
            <v>1400000</v>
          </cell>
          <cell r="P245">
            <v>1039500</v>
          </cell>
          <cell r="R245">
            <v>990000</v>
          </cell>
          <cell r="S245">
            <v>1425000</v>
          </cell>
          <cell r="Y245">
            <v>1065750</v>
          </cell>
          <cell r="AA245">
            <v>1015000</v>
          </cell>
        </row>
        <row r="246">
          <cell r="B246">
            <v>49068</v>
          </cell>
          <cell r="C246" t="str">
            <v>TGM-18-2404X4BB-C-SWA</v>
          </cell>
          <cell r="E246" t="str">
            <v>CKD</v>
          </cell>
          <cell r="F246" t="str">
            <v>2018-05-30</v>
          </cell>
          <cell r="G246">
            <v>15.9</v>
          </cell>
          <cell r="H246">
            <v>43069</v>
          </cell>
          <cell r="J246">
            <v>1400000</v>
          </cell>
          <cell r="P246">
            <v>1039500</v>
          </cell>
          <cell r="R246">
            <v>990000</v>
          </cell>
          <cell r="S246">
            <v>1425000</v>
          </cell>
          <cell r="Y246">
            <v>1065750</v>
          </cell>
          <cell r="AA246">
            <v>1015000</v>
          </cell>
        </row>
        <row r="247">
          <cell r="B247">
            <v>49226</v>
          </cell>
          <cell r="C247" t="str">
            <v>TGM-18-2404X4BB-C-SWA</v>
          </cell>
          <cell r="E247" t="str">
            <v>CKD</v>
          </cell>
          <cell r="F247" t="str">
            <v>2018-06-20</v>
          </cell>
          <cell r="G247">
            <v>15.8</v>
          </cell>
          <cell r="H247">
            <v>43144</v>
          </cell>
          <cell r="J247">
            <v>1400000</v>
          </cell>
          <cell r="P247">
            <v>1048950</v>
          </cell>
          <cell r="R247">
            <v>999000</v>
          </cell>
          <cell r="S247">
            <v>1425000</v>
          </cell>
          <cell r="Y247">
            <v>1075200</v>
          </cell>
          <cell r="AA247">
            <v>1024000</v>
          </cell>
        </row>
        <row r="248">
          <cell r="B248">
            <v>49227</v>
          </cell>
          <cell r="C248" t="str">
            <v>TGM-18-2404X4BB-C-SWA</v>
          </cell>
          <cell r="E248" t="str">
            <v>CKD</v>
          </cell>
          <cell r="F248" t="str">
            <v>2018-06-20</v>
          </cell>
          <cell r="G248">
            <v>15.8</v>
          </cell>
          <cell r="H248">
            <v>43144</v>
          </cell>
          <cell r="J248">
            <v>1400000</v>
          </cell>
          <cell r="P248">
            <v>1048950</v>
          </cell>
          <cell r="R248">
            <v>999000</v>
          </cell>
          <cell r="S248">
            <v>1425000</v>
          </cell>
          <cell r="Y248">
            <v>1075200</v>
          </cell>
          <cell r="AA248">
            <v>1024000</v>
          </cell>
        </row>
        <row r="249">
          <cell r="B249">
            <v>49228</v>
          </cell>
          <cell r="C249" t="str">
            <v>TGM-18-2404X4BB-C-SWA</v>
          </cell>
          <cell r="E249" t="str">
            <v>CKD</v>
          </cell>
          <cell r="F249" t="str">
            <v>2018-06-20</v>
          </cell>
          <cell r="G249">
            <v>15.8</v>
          </cell>
          <cell r="H249">
            <v>43144</v>
          </cell>
          <cell r="J249">
            <v>1400000</v>
          </cell>
          <cell r="P249">
            <v>1048950</v>
          </cell>
          <cell r="R249">
            <v>999000</v>
          </cell>
          <cell r="S249">
            <v>1425000</v>
          </cell>
          <cell r="Y249">
            <v>1075200</v>
          </cell>
          <cell r="AA249">
            <v>1024000</v>
          </cell>
        </row>
        <row r="250">
          <cell r="B250">
            <v>49229</v>
          </cell>
          <cell r="C250" t="str">
            <v>TGM-18-2404X4BB-C-SWA</v>
          </cell>
          <cell r="E250" t="str">
            <v>CKD</v>
          </cell>
          <cell r="F250" t="str">
            <v>2018-06-20</v>
          </cell>
          <cell r="G250">
            <v>15.8</v>
          </cell>
          <cell r="H250">
            <v>43144</v>
          </cell>
          <cell r="J250">
            <v>1400000</v>
          </cell>
          <cell r="P250">
            <v>1048950</v>
          </cell>
          <cell r="R250">
            <v>999000</v>
          </cell>
          <cell r="S250">
            <v>1425000</v>
          </cell>
          <cell r="Y250">
            <v>1075200</v>
          </cell>
          <cell r="AA250">
            <v>1024000</v>
          </cell>
        </row>
        <row r="251">
          <cell r="B251">
            <v>49230</v>
          </cell>
          <cell r="C251" t="str">
            <v>TGM-18-2404X4BB-C-SWA</v>
          </cell>
          <cell r="E251" t="str">
            <v>CKD</v>
          </cell>
          <cell r="F251" t="str">
            <v>2018-06-29</v>
          </cell>
          <cell r="G251">
            <v>15.8</v>
          </cell>
          <cell r="H251">
            <v>43144</v>
          </cell>
          <cell r="J251">
            <v>1400000</v>
          </cell>
          <cell r="P251">
            <v>1048950</v>
          </cell>
          <cell r="R251">
            <v>999000</v>
          </cell>
          <cell r="S251">
            <v>1425000</v>
          </cell>
          <cell r="Y251">
            <v>1075200</v>
          </cell>
          <cell r="AA251">
            <v>1024000</v>
          </cell>
        </row>
        <row r="252">
          <cell r="B252">
            <v>49231</v>
          </cell>
          <cell r="C252" t="str">
            <v>TGM-18-2404X4BB-C-SWA</v>
          </cell>
          <cell r="E252" t="str">
            <v>CKD</v>
          </cell>
          <cell r="F252" t="str">
            <v>2018-06-29</v>
          </cell>
          <cell r="G252">
            <v>15.8</v>
          </cell>
          <cell r="H252">
            <v>43144</v>
          </cell>
          <cell r="J252">
            <v>1400000</v>
          </cell>
          <cell r="P252">
            <v>1048950</v>
          </cell>
          <cell r="R252">
            <v>999000</v>
          </cell>
          <cell r="S252">
            <v>1425000</v>
          </cell>
          <cell r="Y252">
            <v>1075200</v>
          </cell>
          <cell r="AA252">
            <v>1024000</v>
          </cell>
        </row>
        <row r="253">
          <cell r="B253">
            <v>49232</v>
          </cell>
          <cell r="C253" t="str">
            <v>TGM-18-2404X4BB-C-SWA</v>
          </cell>
          <cell r="E253" t="str">
            <v>CKD</v>
          </cell>
          <cell r="F253" t="str">
            <v>2018-06-29</v>
          </cell>
          <cell r="G253">
            <v>15.8</v>
          </cell>
          <cell r="H253">
            <v>43144</v>
          </cell>
          <cell r="J253">
            <v>1400000</v>
          </cell>
          <cell r="P253">
            <v>1048950</v>
          </cell>
          <cell r="R253">
            <v>999000</v>
          </cell>
          <cell r="S253">
            <v>1425000</v>
          </cell>
          <cell r="Y253">
            <v>1075200</v>
          </cell>
          <cell r="AA253">
            <v>1024000</v>
          </cell>
        </row>
        <row r="254">
          <cell r="B254">
            <v>49233</v>
          </cell>
          <cell r="C254" t="str">
            <v>TGM-18-2404X4BB-C-SWA</v>
          </cell>
          <cell r="E254" t="str">
            <v>CKD</v>
          </cell>
          <cell r="F254" t="str">
            <v>2018-06-29</v>
          </cell>
          <cell r="G254">
            <v>15.8</v>
          </cell>
          <cell r="H254">
            <v>43144</v>
          </cell>
          <cell r="J254">
            <v>1400000</v>
          </cell>
          <cell r="P254">
            <v>1048950</v>
          </cell>
          <cell r="R254">
            <v>999000</v>
          </cell>
          <cell r="S254">
            <v>1425000</v>
          </cell>
          <cell r="Y254">
            <v>1075200</v>
          </cell>
          <cell r="AA254">
            <v>1024000</v>
          </cell>
        </row>
        <row r="255">
          <cell r="B255">
            <v>49234</v>
          </cell>
          <cell r="C255" t="str">
            <v>TGM-18-2404X4BB-C-SWA</v>
          </cell>
          <cell r="E255" t="str">
            <v>CKD</v>
          </cell>
          <cell r="F255" t="str">
            <v>2018-07-06</v>
          </cell>
          <cell r="G255">
            <v>15.8</v>
          </cell>
          <cell r="H255">
            <v>43144</v>
          </cell>
          <cell r="J255">
            <v>1400000</v>
          </cell>
          <cell r="P255">
            <v>1048950</v>
          </cell>
          <cell r="R255">
            <v>999000</v>
          </cell>
          <cell r="S255">
            <v>1425000</v>
          </cell>
          <cell r="Y255">
            <v>1075200</v>
          </cell>
          <cell r="AA255">
            <v>1024000</v>
          </cell>
        </row>
        <row r="256">
          <cell r="B256">
            <v>49235</v>
          </cell>
          <cell r="C256" t="str">
            <v>TGM-18-2404X4BB-C-SWA</v>
          </cell>
          <cell r="E256" t="str">
            <v>CKD</v>
          </cell>
          <cell r="F256" t="str">
            <v>2018-07-06</v>
          </cell>
          <cell r="G256">
            <v>15.8</v>
          </cell>
          <cell r="H256">
            <v>43144</v>
          </cell>
          <cell r="J256">
            <v>1400000</v>
          </cell>
          <cell r="P256">
            <v>1048950</v>
          </cell>
          <cell r="R256">
            <v>999000</v>
          </cell>
          <cell r="S256">
            <v>1425000</v>
          </cell>
          <cell r="Y256">
            <v>1075200</v>
          </cell>
          <cell r="AA256">
            <v>1024000</v>
          </cell>
        </row>
        <row r="257">
          <cell r="B257">
            <v>49236</v>
          </cell>
          <cell r="C257" t="str">
            <v>TGM-18-2404X4BB-C-SWA</v>
          </cell>
          <cell r="E257" t="str">
            <v>CKD</v>
          </cell>
          <cell r="F257" t="str">
            <v>2018-07-06</v>
          </cell>
          <cell r="G257">
            <v>15.8</v>
          </cell>
          <cell r="H257">
            <v>43144</v>
          </cell>
          <cell r="J257">
            <v>1400000</v>
          </cell>
          <cell r="P257">
            <v>1048950</v>
          </cell>
          <cell r="R257">
            <v>999000</v>
          </cell>
          <cell r="S257">
            <v>1425000</v>
          </cell>
          <cell r="Y257">
            <v>1075200</v>
          </cell>
          <cell r="AA257">
            <v>1024000</v>
          </cell>
        </row>
        <row r="258">
          <cell r="B258">
            <v>49237</v>
          </cell>
          <cell r="C258" t="str">
            <v>TGM-18-2404X4BB-C-SWA</v>
          </cell>
          <cell r="E258" t="str">
            <v>CKD</v>
          </cell>
          <cell r="F258" t="str">
            <v>2018-07-06</v>
          </cell>
          <cell r="G258">
            <v>15.8</v>
          </cell>
          <cell r="H258">
            <v>43144</v>
          </cell>
          <cell r="J258">
            <v>1400000</v>
          </cell>
          <cell r="P258">
            <v>1048950</v>
          </cell>
          <cell r="R258">
            <v>999000</v>
          </cell>
          <cell r="S258">
            <v>1425000</v>
          </cell>
          <cell r="Y258">
            <v>1075200</v>
          </cell>
          <cell r="AA258">
            <v>1024000</v>
          </cell>
        </row>
        <row r="259">
          <cell r="B259" t="str">
            <v>N38-C574</v>
          </cell>
          <cell r="C259" t="str">
            <v>TGM-18-2404X4BB-C-SWA</v>
          </cell>
          <cell r="E259" t="str">
            <v>UNSOLD</v>
          </cell>
          <cell r="F259">
            <v>41</v>
          </cell>
          <cell r="G259">
            <v>14.7</v>
          </cell>
          <cell r="H259">
            <v>42935</v>
          </cell>
          <cell r="J259">
            <v>1400000</v>
          </cell>
          <cell r="P259">
            <v>1048950</v>
          </cell>
          <cell r="R259">
            <v>999000</v>
          </cell>
          <cell r="S259">
            <v>1425000</v>
          </cell>
          <cell r="Y259">
            <v>1075200</v>
          </cell>
          <cell r="AA259">
            <v>1024000</v>
          </cell>
        </row>
        <row r="260">
          <cell r="B260" t="str">
            <v>N38-C580</v>
          </cell>
          <cell r="C260" t="str">
            <v>TGM-18-2404X4BB-C-SWA</v>
          </cell>
          <cell r="E260" t="str">
            <v>UNSOLD</v>
          </cell>
          <cell r="F260">
            <v>41</v>
          </cell>
          <cell r="G260">
            <v>14.7</v>
          </cell>
          <cell r="H260">
            <v>42935</v>
          </cell>
          <cell r="J260">
            <v>1400000</v>
          </cell>
          <cell r="P260">
            <v>1048950</v>
          </cell>
          <cell r="R260">
            <v>999000</v>
          </cell>
          <cell r="S260">
            <v>1425000</v>
          </cell>
          <cell r="Y260">
            <v>1075200</v>
          </cell>
          <cell r="AA260">
            <v>1024000</v>
          </cell>
        </row>
        <row r="261">
          <cell r="B261" t="str">
            <v>N38-C973</v>
          </cell>
          <cell r="C261" t="str">
            <v>TGM-18-2404X4BB-C-SWA</v>
          </cell>
          <cell r="E261" t="str">
            <v>UNSOLD</v>
          </cell>
          <cell r="F261">
            <v>19</v>
          </cell>
          <cell r="G261">
            <v>15.3</v>
          </cell>
          <cell r="H261">
            <v>42950</v>
          </cell>
          <cell r="J261">
            <v>1400000</v>
          </cell>
          <cell r="P261">
            <v>1039500</v>
          </cell>
          <cell r="R261">
            <v>990000</v>
          </cell>
          <cell r="S261">
            <v>1425000</v>
          </cell>
          <cell r="Y261">
            <v>1065750</v>
          </cell>
          <cell r="AA261">
            <v>1015000</v>
          </cell>
        </row>
        <row r="262">
          <cell r="B262" t="str">
            <v>N38-C979</v>
          </cell>
          <cell r="C262" t="str">
            <v>TGM-18-2404X4BB-C-SWA</v>
          </cell>
          <cell r="E262" t="str">
            <v>UNSOLD</v>
          </cell>
          <cell r="F262">
            <v>19</v>
          </cell>
          <cell r="G262">
            <v>15.3</v>
          </cell>
          <cell r="H262">
            <v>42950</v>
          </cell>
          <cell r="J262">
            <v>1400000</v>
          </cell>
          <cell r="P262">
            <v>1039500</v>
          </cell>
          <cell r="R262">
            <v>990000</v>
          </cell>
          <cell r="S262">
            <v>1425000</v>
          </cell>
          <cell r="Y262">
            <v>1065750</v>
          </cell>
          <cell r="AA262">
            <v>1015000</v>
          </cell>
        </row>
        <row r="263">
          <cell r="B263" t="str">
            <v>N38-D388</v>
          </cell>
          <cell r="C263" t="str">
            <v>TGM-18-2404X4BB-C-SWA</v>
          </cell>
          <cell r="E263" t="str">
            <v>UNSOLD</v>
          </cell>
          <cell r="F263">
            <v>19</v>
          </cell>
          <cell r="G263">
            <v>15.3</v>
          </cell>
          <cell r="H263">
            <v>42950</v>
          </cell>
          <cell r="J263">
            <v>1400000</v>
          </cell>
          <cell r="P263">
            <v>1039500</v>
          </cell>
          <cell r="R263">
            <v>990000</v>
          </cell>
          <cell r="S263">
            <v>1425000</v>
          </cell>
          <cell r="Y263">
            <v>1065750</v>
          </cell>
          <cell r="AA263">
            <v>1015000</v>
          </cell>
        </row>
        <row r="264">
          <cell r="B264" t="str">
            <v>N64-0630</v>
          </cell>
          <cell r="C264" t="str">
            <v>TGM-18-2404X4BB-C-SWA</v>
          </cell>
          <cell r="E264" t="str">
            <v>SOLD</v>
          </cell>
          <cell r="F264">
            <v>12</v>
          </cell>
          <cell r="G264">
            <v>14.7</v>
          </cell>
          <cell r="H264">
            <v>42937</v>
          </cell>
          <cell r="J264">
            <v>1400000</v>
          </cell>
          <cell r="P264">
            <v>1048950</v>
          </cell>
          <cell r="R264">
            <v>999000</v>
          </cell>
          <cell r="S264">
            <v>1425000</v>
          </cell>
          <cell r="Y264">
            <v>1075200</v>
          </cell>
          <cell r="AA264">
            <v>1024000</v>
          </cell>
        </row>
        <row r="265">
          <cell r="B265" t="str">
            <v>N64-0764</v>
          </cell>
          <cell r="C265" t="str">
            <v>TGM-18-2404X4BB-C-SWA</v>
          </cell>
          <cell r="E265" t="str">
            <v>CKD</v>
          </cell>
          <cell r="F265" t="str">
            <v>2018-02-27</v>
          </cell>
          <cell r="G265">
            <v>15.3</v>
          </cell>
          <cell r="H265">
            <v>42978</v>
          </cell>
          <cell r="J265">
            <v>1400000</v>
          </cell>
          <cell r="P265">
            <v>1039500</v>
          </cell>
          <cell r="R265">
            <v>990000</v>
          </cell>
          <cell r="S265">
            <v>1425000</v>
          </cell>
          <cell r="Y265">
            <v>1065750</v>
          </cell>
          <cell r="AA265">
            <v>1015000</v>
          </cell>
        </row>
        <row r="266">
          <cell r="B266" t="str">
            <v>N64-0765</v>
          </cell>
          <cell r="C266" t="str">
            <v>TGM-18-2404X4BB-C-SWA</v>
          </cell>
          <cell r="E266" t="str">
            <v>CKD</v>
          </cell>
          <cell r="F266" t="str">
            <v>2018-02-28</v>
          </cell>
          <cell r="G266">
            <v>15.3</v>
          </cell>
          <cell r="H266">
            <v>42978</v>
          </cell>
          <cell r="J266">
            <v>1400000</v>
          </cell>
          <cell r="P266">
            <v>1039500</v>
          </cell>
          <cell r="R266">
            <v>990000</v>
          </cell>
          <cell r="S266">
            <v>1425000</v>
          </cell>
          <cell r="Y266">
            <v>1065750</v>
          </cell>
          <cell r="AA266">
            <v>1015000</v>
          </cell>
        </row>
        <row r="267">
          <cell r="B267" t="str">
            <v>N64-0770</v>
          </cell>
          <cell r="C267" t="str">
            <v>TGM-18-2404X4BB-C-SWA</v>
          </cell>
          <cell r="E267" t="str">
            <v>CKD</v>
          </cell>
          <cell r="F267" t="str">
            <v>2018-03-30</v>
          </cell>
          <cell r="G267">
            <v>15.3</v>
          </cell>
          <cell r="H267">
            <v>42978</v>
          </cell>
          <cell r="J267">
            <v>1400000</v>
          </cell>
          <cell r="P267">
            <v>1048950</v>
          </cell>
          <cell r="R267">
            <v>999000</v>
          </cell>
          <cell r="S267">
            <v>1425000</v>
          </cell>
          <cell r="Y267">
            <v>1075200</v>
          </cell>
          <cell r="AA267">
            <v>1024000</v>
          </cell>
        </row>
        <row r="268">
          <cell r="B268" t="str">
            <v>N64-0771</v>
          </cell>
          <cell r="C268" t="str">
            <v>TGM-18-2404X4BB-C-SWA</v>
          </cell>
          <cell r="E268" t="str">
            <v>CKD</v>
          </cell>
          <cell r="F268" t="str">
            <v>2018-03-30</v>
          </cell>
          <cell r="G268">
            <v>15.3</v>
          </cell>
          <cell r="H268">
            <v>42978</v>
          </cell>
          <cell r="J268">
            <v>1400000</v>
          </cell>
          <cell r="P268">
            <v>1048950</v>
          </cell>
          <cell r="R268">
            <v>999000</v>
          </cell>
          <cell r="S268">
            <v>1425000</v>
          </cell>
          <cell r="Y268">
            <v>1075200</v>
          </cell>
          <cell r="AA268">
            <v>1024000</v>
          </cell>
        </row>
        <row r="269">
          <cell r="B269" t="str">
            <v>N64-0772</v>
          </cell>
          <cell r="C269" t="str">
            <v>TGM-18-2404X4BB-C-SWA</v>
          </cell>
          <cell r="E269" t="str">
            <v>CKD</v>
          </cell>
          <cell r="F269" t="str">
            <v>2018-03-30</v>
          </cell>
          <cell r="G269">
            <v>15.3</v>
          </cell>
          <cell r="H269">
            <v>42978</v>
          </cell>
          <cell r="J269">
            <v>1400000</v>
          </cell>
          <cell r="P269">
            <v>1048950</v>
          </cell>
          <cell r="R269">
            <v>999000</v>
          </cell>
          <cell r="S269">
            <v>1425000</v>
          </cell>
          <cell r="Y269">
            <v>1075200</v>
          </cell>
          <cell r="AA269">
            <v>1024000</v>
          </cell>
        </row>
        <row r="270">
          <cell r="B270" t="str">
            <v>N64-0773</v>
          </cell>
          <cell r="C270" t="str">
            <v>TGM-18-2404X4BB-C-SWA</v>
          </cell>
          <cell r="E270" t="str">
            <v>CKD</v>
          </cell>
          <cell r="F270" t="str">
            <v>2018-03-30</v>
          </cell>
          <cell r="G270">
            <v>15.3</v>
          </cell>
          <cell r="H270">
            <v>42978</v>
          </cell>
          <cell r="J270">
            <v>1400000</v>
          </cell>
          <cell r="P270">
            <v>1048950</v>
          </cell>
          <cell r="R270">
            <v>999000</v>
          </cell>
          <cell r="S270">
            <v>1425000</v>
          </cell>
          <cell r="Y270">
            <v>1075200</v>
          </cell>
          <cell r="AA270">
            <v>1024000</v>
          </cell>
        </row>
        <row r="271">
          <cell r="B271" t="str">
            <v>N64-0774</v>
          </cell>
          <cell r="C271" t="str">
            <v>TGM-18-2404X4BB-C-SWA</v>
          </cell>
          <cell r="E271" t="str">
            <v>CKD</v>
          </cell>
          <cell r="F271" t="str">
            <v>2018-03-30</v>
          </cell>
          <cell r="G271">
            <v>15.3</v>
          </cell>
          <cell r="H271">
            <v>42978</v>
          </cell>
          <cell r="J271">
            <v>1400000</v>
          </cell>
          <cell r="P271">
            <v>1048950</v>
          </cell>
          <cell r="R271">
            <v>999000</v>
          </cell>
          <cell r="S271">
            <v>1425000</v>
          </cell>
          <cell r="Y271">
            <v>1075200</v>
          </cell>
          <cell r="AA271">
            <v>1024000</v>
          </cell>
        </row>
        <row r="272">
          <cell r="B272" t="str">
            <v>N64-0824</v>
          </cell>
          <cell r="C272" t="str">
            <v>TGM-18-2404X4BB-C-SWA</v>
          </cell>
          <cell r="E272" t="str">
            <v>CKD</v>
          </cell>
          <cell r="F272" t="str">
            <v>2018-02-23</v>
          </cell>
          <cell r="G272">
            <v>15.3</v>
          </cell>
          <cell r="H272">
            <v>42978</v>
          </cell>
          <cell r="J272">
            <v>1400000</v>
          </cell>
          <cell r="P272">
            <v>1048950</v>
          </cell>
          <cell r="R272">
            <v>999000</v>
          </cell>
          <cell r="S272">
            <v>1425000</v>
          </cell>
          <cell r="Y272">
            <v>1075200</v>
          </cell>
          <cell r="AA272">
            <v>1024000</v>
          </cell>
        </row>
        <row r="273">
          <cell r="B273" t="str">
            <v>N64-0825</v>
          </cell>
          <cell r="C273" t="str">
            <v>TGM-18-2404X4BB-C-SWA</v>
          </cell>
          <cell r="E273" t="str">
            <v>CKD</v>
          </cell>
          <cell r="F273" t="str">
            <v>2018-02-26</v>
          </cell>
          <cell r="G273">
            <v>15.3</v>
          </cell>
          <cell r="H273">
            <v>42978</v>
          </cell>
          <cell r="J273">
            <v>1400000</v>
          </cell>
          <cell r="P273">
            <v>1048950</v>
          </cell>
          <cell r="R273">
            <v>999000</v>
          </cell>
          <cell r="S273">
            <v>1425000</v>
          </cell>
          <cell r="Y273">
            <v>1075200</v>
          </cell>
          <cell r="AA273">
            <v>1024000</v>
          </cell>
        </row>
        <row r="274">
          <cell r="B274" t="str">
            <v>N64-0826</v>
          </cell>
          <cell r="C274" t="str">
            <v>TGM-18-2404X4BB-C-SWA</v>
          </cell>
          <cell r="E274" t="str">
            <v>CKD</v>
          </cell>
          <cell r="F274" t="str">
            <v>2018-02-26</v>
          </cell>
          <cell r="G274">
            <v>15.3</v>
          </cell>
          <cell r="H274">
            <v>42978</v>
          </cell>
          <cell r="J274">
            <v>1400000</v>
          </cell>
          <cell r="P274">
            <v>1048950</v>
          </cell>
          <cell r="R274">
            <v>999000</v>
          </cell>
          <cell r="S274">
            <v>1425000</v>
          </cell>
          <cell r="Y274">
            <v>1075200</v>
          </cell>
          <cell r="AA274">
            <v>1024000</v>
          </cell>
        </row>
        <row r="275">
          <cell r="B275" t="str">
            <v>N64-0827</v>
          </cell>
          <cell r="C275" t="str">
            <v>TGM-18-2404X4BB-C-SWA</v>
          </cell>
          <cell r="E275" t="str">
            <v>CKD</v>
          </cell>
          <cell r="F275" t="str">
            <v>2018-02-28</v>
          </cell>
          <cell r="G275">
            <v>15.3</v>
          </cell>
          <cell r="H275">
            <v>42978</v>
          </cell>
          <cell r="J275">
            <v>1400000</v>
          </cell>
          <cell r="P275">
            <v>1039500</v>
          </cell>
          <cell r="R275">
            <v>990000</v>
          </cell>
          <cell r="S275">
            <v>1425000</v>
          </cell>
          <cell r="Y275">
            <v>1065750</v>
          </cell>
          <cell r="AA275">
            <v>1015000</v>
          </cell>
        </row>
        <row r="276">
          <cell r="B276" t="str">
            <v>N64-0836</v>
          </cell>
          <cell r="C276" t="str">
            <v>TGM-18-2404X4BB-C-SWA</v>
          </cell>
          <cell r="E276" t="str">
            <v>CKD</v>
          </cell>
          <cell r="F276" t="str">
            <v>2018-02-23</v>
          </cell>
          <cell r="G276">
            <v>14.7</v>
          </cell>
          <cell r="H276">
            <v>42947</v>
          </cell>
          <cell r="J276">
            <v>1400000</v>
          </cell>
          <cell r="P276">
            <v>1048950</v>
          </cell>
          <cell r="R276">
            <v>999000</v>
          </cell>
          <cell r="S276">
            <v>1425000</v>
          </cell>
          <cell r="Y276">
            <v>1075200</v>
          </cell>
          <cell r="AA276">
            <v>1024000</v>
          </cell>
        </row>
        <row r="277">
          <cell r="B277" t="str">
            <v>N64-0837</v>
          </cell>
          <cell r="C277" t="str">
            <v>TGM-18-2404X4BB-C-SWA</v>
          </cell>
          <cell r="E277" t="str">
            <v>CKD</v>
          </cell>
          <cell r="F277" t="str">
            <v>2018-02-23</v>
          </cell>
          <cell r="G277">
            <v>14.7</v>
          </cell>
          <cell r="H277">
            <v>42947</v>
          </cell>
          <cell r="J277">
            <v>1400000</v>
          </cell>
          <cell r="P277">
            <v>1048950</v>
          </cell>
          <cell r="R277">
            <v>999000</v>
          </cell>
          <cell r="S277">
            <v>1425000</v>
          </cell>
          <cell r="Y277">
            <v>1075200</v>
          </cell>
          <cell r="AA277">
            <v>1024000</v>
          </cell>
        </row>
        <row r="278">
          <cell r="B278" t="str">
            <v>N64-0838</v>
          </cell>
          <cell r="C278" t="str">
            <v>TGM-18-2404X4BB-C-SWA</v>
          </cell>
          <cell r="E278" t="str">
            <v>CKD</v>
          </cell>
          <cell r="F278" t="str">
            <v>2018-02-27</v>
          </cell>
          <cell r="G278">
            <v>15.3</v>
          </cell>
          <cell r="H278">
            <v>42978</v>
          </cell>
          <cell r="J278">
            <v>1400000</v>
          </cell>
          <cell r="P278">
            <v>1039500</v>
          </cell>
          <cell r="R278">
            <v>990000</v>
          </cell>
          <cell r="S278">
            <v>1425000</v>
          </cell>
          <cell r="Y278">
            <v>1065750</v>
          </cell>
          <cell r="AA278">
            <v>1015000</v>
          </cell>
        </row>
        <row r="279">
          <cell r="B279" t="str">
            <v>N64-0839</v>
          </cell>
          <cell r="C279" t="str">
            <v>TGM-18-2404X4BB-C-SWA</v>
          </cell>
          <cell r="E279" t="str">
            <v>CKD</v>
          </cell>
          <cell r="F279" t="str">
            <v>2018-02-27</v>
          </cell>
          <cell r="G279">
            <v>15.3</v>
          </cell>
          <cell r="H279">
            <v>42978</v>
          </cell>
          <cell r="J279">
            <v>1400000</v>
          </cell>
          <cell r="P279">
            <v>1039500</v>
          </cell>
          <cell r="R279">
            <v>990000</v>
          </cell>
          <cell r="S279">
            <v>1425000</v>
          </cell>
          <cell r="Y279">
            <v>1065750</v>
          </cell>
          <cell r="AA279">
            <v>1015000</v>
          </cell>
        </row>
        <row r="280">
          <cell r="B280" t="str">
            <v>N64-0870</v>
          </cell>
          <cell r="C280" t="str">
            <v>TGM-18-2404X4BB-C-SWA</v>
          </cell>
          <cell r="E280" t="str">
            <v>CKD</v>
          </cell>
          <cell r="F280" t="str">
            <v>2018-03-30</v>
          </cell>
          <cell r="G280">
            <v>15.3</v>
          </cell>
          <cell r="H280">
            <v>42978</v>
          </cell>
          <cell r="J280">
            <v>1400000</v>
          </cell>
          <cell r="P280">
            <v>1048950</v>
          </cell>
          <cell r="R280">
            <v>999000</v>
          </cell>
          <cell r="S280">
            <v>1425000</v>
          </cell>
          <cell r="Y280">
            <v>1075200</v>
          </cell>
          <cell r="AA280">
            <v>1024000</v>
          </cell>
        </row>
        <row r="281">
          <cell r="B281" t="str">
            <v>N64-0875</v>
          </cell>
          <cell r="C281" t="str">
            <v>TGM-18-2404X4BB-C-SWA</v>
          </cell>
          <cell r="E281" t="str">
            <v>CKD</v>
          </cell>
          <cell r="F281" t="str">
            <v>2018-03-30</v>
          </cell>
          <cell r="G281">
            <v>15.3</v>
          </cell>
          <cell r="H281">
            <v>42978</v>
          </cell>
          <cell r="J281">
            <v>1400000</v>
          </cell>
          <cell r="P281">
            <v>1048950</v>
          </cell>
          <cell r="R281">
            <v>999000</v>
          </cell>
          <cell r="S281">
            <v>1425000</v>
          </cell>
          <cell r="Y281">
            <v>1075200</v>
          </cell>
          <cell r="AA281">
            <v>1024000</v>
          </cell>
        </row>
        <row r="282">
          <cell r="B282" t="str">
            <v>N64-0884</v>
          </cell>
          <cell r="C282" t="str">
            <v>TGM-18-2404X4BB-C-SWA</v>
          </cell>
          <cell r="E282" t="str">
            <v>SOLD</v>
          </cell>
          <cell r="F282">
            <v>17</v>
          </cell>
          <cell r="G282">
            <v>14.7</v>
          </cell>
          <cell r="H282">
            <v>42937</v>
          </cell>
          <cell r="J282">
            <v>1400000</v>
          </cell>
          <cell r="P282">
            <v>1048950</v>
          </cell>
          <cell r="R282">
            <v>999000</v>
          </cell>
          <cell r="S282">
            <v>1425000</v>
          </cell>
          <cell r="Y282">
            <v>1075200</v>
          </cell>
          <cell r="AA282">
            <v>1024000</v>
          </cell>
        </row>
        <row r="283">
          <cell r="B283" t="str">
            <v>N64-0885</v>
          </cell>
          <cell r="C283" t="str">
            <v>TGM-18-2404X4BB-C-SWA</v>
          </cell>
          <cell r="E283" t="str">
            <v>SOLD</v>
          </cell>
          <cell r="F283">
            <v>15</v>
          </cell>
          <cell r="G283">
            <v>14.7</v>
          </cell>
          <cell r="H283">
            <v>42937</v>
          </cell>
          <cell r="J283">
            <v>1400000</v>
          </cell>
          <cell r="P283">
            <v>1048950</v>
          </cell>
          <cell r="R283">
            <v>999000</v>
          </cell>
          <cell r="S283">
            <v>1425000</v>
          </cell>
          <cell r="Y283">
            <v>1075200</v>
          </cell>
          <cell r="AA283">
            <v>1024000</v>
          </cell>
        </row>
        <row r="284">
          <cell r="B284" t="str">
            <v>N64-0886</v>
          </cell>
          <cell r="C284" t="str">
            <v>TGM-18-2404X4BB-C-SWA</v>
          </cell>
          <cell r="E284" t="str">
            <v>SOLD</v>
          </cell>
          <cell r="F284">
            <v>12</v>
          </cell>
          <cell r="G284">
            <v>14.7</v>
          </cell>
          <cell r="H284">
            <v>42937</v>
          </cell>
          <cell r="J284">
            <v>1400000</v>
          </cell>
          <cell r="P284">
            <v>1048950</v>
          </cell>
          <cell r="R284">
            <v>999000</v>
          </cell>
          <cell r="S284">
            <v>1425000</v>
          </cell>
          <cell r="Y284">
            <v>1075200</v>
          </cell>
          <cell r="AA284">
            <v>1024000</v>
          </cell>
        </row>
        <row r="285">
          <cell r="B285" t="str">
            <v>TBAKP481</v>
          </cell>
          <cell r="C285" t="str">
            <v>TGM-18-2404X4BB-C-SWA</v>
          </cell>
          <cell r="E285" t="str">
            <v>CKD</v>
          </cell>
          <cell r="F285" t="str">
            <v>2018-08-19</v>
          </cell>
          <cell r="G285">
            <v>15.8</v>
          </cell>
          <cell r="H285">
            <v>43159</v>
          </cell>
          <cell r="J285">
            <v>1400000</v>
          </cell>
          <cell r="P285">
            <v>1048950</v>
          </cell>
          <cell r="R285">
            <v>999000</v>
          </cell>
          <cell r="S285">
            <v>1425000</v>
          </cell>
          <cell r="Y285">
            <v>1075200</v>
          </cell>
          <cell r="AA285">
            <v>1024000</v>
          </cell>
        </row>
        <row r="286">
          <cell r="B286" t="str">
            <v>N38-B450</v>
          </cell>
          <cell r="C286" t="str">
            <v>TGM-18-2404X4BB-DK-DWA</v>
          </cell>
          <cell r="E286" t="str">
            <v>UNSOLD</v>
          </cell>
          <cell r="F286">
            <v>383</v>
          </cell>
          <cell r="G286">
            <v>16</v>
          </cell>
          <cell r="H286">
            <v>42626</v>
          </cell>
          <cell r="J286">
            <v>1360000</v>
          </cell>
          <cell r="P286">
            <v>1144500</v>
          </cell>
          <cell r="R286">
            <v>1090000</v>
          </cell>
          <cell r="S286">
            <v>1385000</v>
          </cell>
          <cell r="Y286">
            <v>1170750</v>
          </cell>
          <cell r="AA286">
            <v>1115000</v>
          </cell>
        </row>
        <row r="287">
          <cell r="B287" t="str">
            <v>TBATG0M4</v>
          </cell>
          <cell r="C287" t="str">
            <v>TGM-18-2404X4BB-DK-DWA</v>
          </cell>
          <cell r="E287" t="str">
            <v>CKD</v>
          </cell>
          <cell r="F287" t="str">
            <v>2018-06-18</v>
          </cell>
          <cell r="G287">
            <v>15.8</v>
          </cell>
          <cell r="H287">
            <v>43159</v>
          </cell>
          <cell r="J287">
            <v>1360000</v>
          </cell>
          <cell r="P287">
            <v>1207500</v>
          </cell>
          <cell r="R287">
            <v>1150000</v>
          </cell>
          <cell r="S287">
            <v>1385000</v>
          </cell>
          <cell r="Y287">
            <v>1233750</v>
          </cell>
          <cell r="AA287">
            <v>1175000</v>
          </cell>
        </row>
        <row r="288">
          <cell r="B288" t="str">
            <v>N62-0450</v>
          </cell>
          <cell r="C288" t="str">
            <v>TGM-18-2804X2BB-C-K</v>
          </cell>
          <cell r="E288" t="str">
            <v>SOLD</v>
          </cell>
          <cell r="F288">
            <v>6</v>
          </cell>
          <cell r="G288">
            <v>15.3</v>
          </cell>
          <cell r="H288">
            <v>42978</v>
          </cell>
          <cell r="J288">
            <v>1040000</v>
          </cell>
          <cell r="P288">
            <v>882000</v>
          </cell>
          <cell r="R288">
            <v>840000</v>
          </cell>
          <cell r="S288">
            <v>1065000</v>
          </cell>
          <cell r="Y288">
            <v>908250</v>
          </cell>
          <cell r="AA288">
            <v>865000</v>
          </cell>
        </row>
        <row r="289">
          <cell r="B289" t="str">
            <v>TBAKP669</v>
          </cell>
          <cell r="C289" t="str">
            <v>TGM-18-2804X2BB-C-K</v>
          </cell>
          <cell r="E289" t="str">
            <v>CKD</v>
          </cell>
          <cell r="F289" t="str">
            <v>2018-08-19</v>
          </cell>
          <cell r="G289">
            <v>15.8</v>
          </cell>
          <cell r="H289">
            <v>43159</v>
          </cell>
          <cell r="J289">
            <v>1040000</v>
          </cell>
          <cell r="P289">
            <v>882000</v>
          </cell>
          <cell r="R289">
            <v>840000</v>
          </cell>
          <cell r="S289">
            <v>1065000</v>
          </cell>
          <cell r="Y289">
            <v>908250</v>
          </cell>
          <cell r="AA289">
            <v>865000</v>
          </cell>
        </row>
        <row r="290">
          <cell r="B290" t="str">
            <v>N08-D419</v>
          </cell>
          <cell r="C290" t="str">
            <v>TGM-18-2804X2BB-DK-DWA</v>
          </cell>
          <cell r="E290" t="str">
            <v>SOLD</v>
          </cell>
          <cell r="F290">
            <v>609</v>
          </cell>
          <cell r="G290">
            <v>18</v>
          </cell>
          <cell r="H290">
            <v>42447</v>
          </cell>
          <cell r="J290">
            <v>1360000</v>
          </cell>
          <cell r="P290">
            <v>1181250</v>
          </cell>
          <cell r="R290">
            <v>1125000</v>
          </cell>
          <cell r="S290">
            <v>1385000</v>
          </cell>
          <cell r="Y290">
            <v>1207500</v>
          </cell>
          <cell r="AA290">
            <v>1150000</v>
          </cell>
        </row>
        <row r="291">
          <cell r="B291" t="str">
            <v>N08-D427</v>
          </cell>
          <cell r="C291" t="str">
            <v>TGM-18-2804X2BB-DK-DWA</v>
          </cell>
          <cell r="E291" t="str">
            <v>SOLD</v>
          </cell>
          <cell r="F291">
            <v>609</v>
          </cell>
          <cell r="G291">
            <v>18</v>
          </cell>
          <cell r="H291">
            <v>42447</v>
          </cell>
          <cell r="J291">
            <v>1360000</v>
          </cell>
          <cell r="P291">
            <v>1181250</v>
          </cell>
          <cell r="R291">
            <v>1125000</v>
          </cell>
          <cell r="S291">
            <v>1385000</v>
          </cell>
          <cell r="Y291">
            <v>1207500</v>
          </cell>
          <cell r="AA291">
            <v>1150000</v>
          </cell>
        </row>
        <row r="292">
          <cell r="B292" t="str">
            <v>TBATG0M3</v>
          </cell>
          <cell r="C292" t="str">
            <v>TGM-18-2804X2BB-DK-DWA</v>
          </cell>
          <cell r="E292" t="str">
            <v>CKD</v>
          </cell>
          <cell r="F292" t="str">
            <v>2018-06-18</v>
          </cell>
          <cell r="G292">
            <v>15.8</v>
          </cell>
          <cell r="H292">
            <v>43159</v>
          </cell>
          <cell r="J292">
            <v>1360000</v>
          </cell>
          <cell r="P292">
            <v>1181250</v>
          </cell>
          <cell r="R292">
            <v>1125000</v>
          </cell>
          <cell r="S292">
            <v>1385000</v>
          </cell>
          <cell r="Y292">
            <v>1207500</v>
          </cell>
          <cell r="AA292">
            <v>1150000</v>
          </cell>
        </row>
        <row r="293">
          <cell r="B293">
            <v>49060</v>
          </cell>
          <cell r="C293" t="str">
            <v>TGM-18-2804X2BB-L</v>
          </cell>
          <cell r="E293" t="str">
            <v>CKD</v>
          </cell>
          <cell r="F293" t="str">
            <v>2018-03-30</v>
          </cell>
          <cell r="G293">
            <v>15.9</v>
          </cell>
          <cell r="H293">
            <v>43069</v>
          </cell>
          <cell r="J293">
            <v>1130000</v>
          </cell>
          <cell r="P293">
            <v>918750</v>
          </cell>
          <cell r="R293">
            <v>875000</v>
          </cell>
          <cell r="S293">
            <v>1155000</v>
          </cell>
          <cell r="Y293">
            <v>945000</v>
          </cell>
          <cell r="AA293">
            <v>900000</v>
          </cell>
        </row>
        <row r="294">
          <cell r="B294" t="str">
            <v>TBAKP404</v>
          </cell>
          <cell r="C294" t="str">
            <v>TGM-18-2804X2BB-L</v>
          </cell>
          <cell r="E294" t="str">
            <v>CKD</v>
          </cell>
          <cell r="F294" t="str">
            <v>2018-08-19</v>
          </cell>
          <cell r="G294">
            <v>15.8</v>
          </cell>
          <cell r="H294">
            <v>43159</v>
          </cell>
          <cell r="J294">
            <v>1130000</v>
          </cell>
          <cell r="P294">
            <v>918750</v>
          </cell>
          <cell r="R294">
            <v>875000</v>
          </cell>
          <cell r="S294">
            <v>1155000</v>
          </cell>
          <cell r="Y294">
            <v>945000</v>
          </cell>
          <cell r="AA294">
            <v>900000</v>
          </cell>
        </row>
        <row r="295">
          <cell r="B295" t="str">
            <v>N38-E047</v>
          </cell>
          <cell r="C295" t="str">
            <v>TGM-18-3304X4BB-DK-SWA</v>
          </cell>
          <cell r="E295" t="str">
            <v>CKD</v>
          </cell>
          <cell r="F295" t="str">
            <v>2018-04-30</v>
          </cell>
          <cell r="G295">
            <v>15.9</v>
          </cell>
          <cell r="H295">
            <v>43059</v>
          </cell>
          <cell r="J295">
            <v>1995000</v>
          </cell>
          <cell r="P295">
            <v>1281000</v>
          </cell>
          <cell r="R295">
            <v>1220000</v>
          </cell>
          <cell r="S295">
            <v>2075000</v>
          </cell>
          <cell r="Y295">
            <v>1365000</v>
          </cell>
          <cell r="AA295">
            <v>1300000</v>
          </cell>
        </row>
        <row r="296">
          <cell r="B296" t="str">
            <v>N38-E048</v>
          </cell>
          <cell r="C296" t="str">
            <v>TGM-18-3304X4BB-DK-SWA</v>
          </cell>
          <cell r="E296" t="str">
            <v>CKD</v>
          </cell>
          <cell r="F296" t="str">
            <v>2018-04-30</v>
          </cell>
          <cell r="G296">
            <v>15.9</v>
          </cell>
          <cell r="H296">
            <v>43059</v>
          </cell>
          <cell r="J296">
            <v>1995000</v>
          </cell>
          <cell r="P296">
            <v>1281000</v>
          </cell>
          <cell r="R296">
            <v>1220000</v>
          </cell>
          <cell r="S296">
            <v>2075000</v>
          </cell>
          <cell r="Y296">
            <v>1365000</v>
          </cell>
          <cell r="AA296">
            <v>1300000</v>
          </cell>
        </row>
        <row r="297">
          <cell r="B297" t="str">
            <v>TBATG0M2</v>
          </cell>
          <cell r="C297" t="str">
            <v>TGM-18-3304X4BB-DK-SWA</v>
          </cell>
          <cell r="E297" t="str">
            <v>CKD</v>
          </cell>
          <cell r="F297" t="str">
            <v>2018-06-18</v>
          </cell>
          <cell r="G297">
            <v>15.8</v>
          </cell>
          <cell r="H297">
            <v>43159</v>
          </cell>
          <cell r="J297">
            <v>1995000</v>
          </cell>
          <cell r="P297">
            <v>1281000</v>
          </cell>
          <cell r="R297">
            <v>1220000</v>
          </cell>
          <cell r="S297">
            <v>2075000</v>
          </cell>
          <cell r="Y297">
            <v>1365000</v>
          </cell>
          <cell r="AA297">
            <v>1300000</v>
          </cell>
        </row>
        <row r="298">
          <cell r="B298">
            <v>49069</v>
          </cell>
          <cell r="C298" t="str">
            <v>TGM-25-2806X2BL-L</v>
          </cell>
          <cell r="E298" t="str">
            <v>CKD</v>
          </cell>
          <cell r="F298" t="str">
            <v>2018-04-30</v>
          </cell>
          <cell r="G298">
            <v>15.9</v>
          </cell>
          <cell r="H298">
            <v>43069</v>
          </cell>
          <cell r="J298">
            <v>1380000</v>
          </cell>
          <cell r="P298">
            <v>1097250</v>
          </cell>
          <cell r="R298">
            <v>1045000</v>
          </cell>
          <cell r="S298">
            <v>1405000</v>
          </cell>
          <cell r="Y298">
            <v>1123500</v>
          </cell>
          <cell r="AA298">
            <v>1070000</v>
          </cell>
        </row>
        <row r="299">
          <cell r="B299">
            <v>49070</v>
          </cell>
          <cell r="C299" t="str">
            <v>TGM-25-2806X2BL-L</v>
          </cell>
          <cell r="E299" t="str">
            <v>CKD</v>
          </cell>
          <cell r="F299" t="str">
            <v>2018-04-30</v>
          </cell>
          <cell r="G299">
            <v>15.9</v>
          </cell>
          <cell r="H299">
            <v>43069</v>
          </cell>
          <cell r="J299">
            <v>1380000</v>
          </cell>
          <cell r="P299">
            <v>1097250</v>
          </cell>
          <cell r="R299">
            <v>1045000</v>
          </cell>
          <cell r="S299">
            <v>1405000</v>
          </cell>
          <cell r="Y299">
            <v>1123500</v>
          </cell>
          <cell r="AA299">
            <v>1070000</v>
          </cell>
        </row>
        <row r="300">
          <cell r="B300">
            <v>49071</v>
          </cell>
          <cell r="C300" t="str">
            <v>TGM-25-2806X2BL-L</v>
          </cell>
          <cell r="E300" t="str">
            <v>CKD</v>
          </cell>
          <cell r="F300" t="str">
            <v>2018-04-30</v>
          </cell>
          <cell r="G300">
            <v>15.9</v>
          </cell>
          <cell r="H300">
            <v>43069</v>
          </cell>
          <cell r="J300">
            <v>1380000</v>
          </cell>
          <cell r="P300">
            <v>1097250</v>
          </cell>
          <cell r="R300">
            <v>1045000</v>
          </cell>
          <cell r="S300">
            <v>1405000</v>
          </cell>
          <cell r="Y300">
            <v>1123500</v>
          </cell>
          <cell r="AA300">
            <v>1070000</v>
          </cell>
        </row>
        <row r="301">
          <cell r="B301">
            <v>49072</v>
          </cell>
          <cell r="C301" t="str">
            <v>TGM-25-2806X2BL-L</v>
          </cell>
          <cell r="E301" t="str">
            <v>CKD</v>
          </cell>
          <cell r="F301" t="str">
            <v>2018-05-30</v>
          </cell>
          <cell r="G301">
            <v>15.9</v>
          </cell>
          <cell r="H301">
            <v>43069</v>
          </cell>
          <cell r="J301">
            <v>1380000</v>
          </cell>
          <cell r="P301">
            <v>1097250</v>
          </cell>
          <cell r="R301">
            <v>1045000</v>
          </cell>
          <cell r="S301">
            <v>1405000</v>
          </cell>
          <cell r="Y301">
            <v>1123500</v>
          </cell>
          <cell r="AA301">
            <v>1070000</v>
          </cell>
        </row>
        <row r="302">
          <cell r="B302">
            <v>49073</v>
          </cell>
          <cell r="C302" t="str">
            <v>TGM-25-2806X2BL-L</v>
          </cell>
          <cell r="E302" t="str">
            <v>CKD</v>
          </cell>
          <cell r="F302" t="str">
            <v>2018-05-30</v>
          </cell>
          <cell r="G302">
            <v>15.9</v>
          </cell>
          <cell r="H302">
            <v>43069</v>
          </cell>
          <cell r="J302">
            <v>1380000</v>
          </cell>
          <cell r="P302">
            <v>1097250</v>
          </cell>
          <cell r="R302">
            <v>1045000</v>
          </cell>
          <cell r="S302">
            <v>1405000</v>
          </cell>
          <cell r="Y302">
            <v>1123500</v>
          </cell>
          <cell r="AA302">
            <v>1070000</v>
          </cell>
        </row>
        <row r="303">
          <cell r="B303">
            <v>49074</v>
          </cell>
          <cell r="C303" t="str">
            <v>TGM-25-2806X2BL-L</v>
          </cell>
          <cell r="E303" t="str">
            <v>CKD</v>
          </cell>
          <cell r="F303" t="str">
            <v>2018-05-30</v>
          </cell>
          <cell r="G303">
            <v>15.9</v>
          </cell>
          <cell r="H303">
            <v>43069</v>
          </cell>
          <cell r="J303">
            <v>1380000</v>
          </cell>
          <cell r="P303">
            <v>1097250</v>
          </cell>
          <cell r="R303">
            <v>1045000</v>
          </cell>
          <cell r="S303">
            <v>1405000</v>
          </cell>
          <cell r="Y303">
            <v>1123500</v>
          </cell>
          <cell r="AA303">
            <v>1070000</v>
          </cell>
        </row>
        <row r="304">
          <cell r="B304">
            <v>49075</v>
          </cell>
          <cell r="C304" t="str">
            <v>TGM-25-2806X2BL-L</v>
          </cell>
          <cell r="E304" t="str">
            <v>CKD</v>
          </cell>
          <cell r="F304" t="str">
            <v>2018-05-30</v>
          </cell>
          <cell r="G304">
            <v>15.9</v>
          </cell>
          <cell r="H304">
            <v>43069</v>
          </cell>
          <cell r="J304">
            <v>1380000</v>
          </cell>
          <cell r="P304">
            <v>1097250</v>
          </cell>
          <cell r="R304">
            <v>1045000</v>
          </cell>
          <cell r="S304">
            <v>1405000</v>
          </cell>
          <cell r="Y304">
            <v>1123500</v>
          </cell>
          <cell r="AA304">
            <v>1070000</v>
          </cell>
        </row>
        <row r="305">
          <cell r="B305">
            <v>49076</v>
          </cell>
          <cell r="C305" t="str">
            <v>TGM-25-2806X2BL-L</v>
          </cell>
          <cell r="E305" t="str">
            <v>CKD</v>
          </cell>
          <cell r="F305" t="str">
            <v>2018-05-30</v>
          </cell>
          <cell r="G305">
            <v>15.9</v>
          </cell>
          <cell r="H305">
            <v>43069</v>
          </cell>
          <cell r="J305">
            <v>1380000</v>
          </cell>
          <cell r="P305">
            <v>1097250</v>
          </cell>
          <cell r="R305">
            <v>1045000</v>
          </cell>
          <cell r="S305">
            <v>1405000</v>
          </cell>
          <cell r="Y305">
            <v>1123500</v>
          </cell>
          <cell r="AA305">
            <v>1070000</v>
          </cell>
        </row>
        <row r="306">
          <cell r="B306">
            <v>49077</v>
          </cell>
          <cell r="C306" t="str">
            <v>TGM-25-2806X2BL-L</v>
          </cell>
          <cell r="E306" t="str">
            <v>CKD</v>
          </cell>
          <cell r="F306" t="str">
            <v>2018-05-30</v>
          </cell>
          <cell r="G306">
            <v>15.9</v>
          </cell>
          <cell r="H306">
            <v>43069</v>
          </cell>
          <cell r="J306">
            <v>1380000</v>
          </cell>
          <cell r="P306">
            <v>1097250</v>
          </cell>
          <cell r="R306">
            <v>1045000</v>
          </cell>
          <cell r="S306">
            <v>1405000</v>
          </cell>
          <cell r="Y306">
            <v>1123500</v>
          </cell>
          <cell r="AA306">
            <v>1070000</v>
          </cell>
        </row>
        <row r="307">
          <cell r="B307">
            <v>49078</v>
          </cell>
          <cell r="C307" t="str">
            <v>TGM-25-2806X2BL-L</v>
          </cell>
          <cell r="E307" t="str">
            <v>CKD</v>
          </cell>
          <cell r="F307" t="str">
            <v>2018-05-30</v>
          </cell>
          <cell r="G307">
            <v>15.9</v>
          </cell>
          <cell r="H307">
            <v>43069</v>
          </cell>
          <cell r="J307">
            <v>1380000</v>
          </cell>
          <cell r="P307">
            <v>1097250</v>
          </cell>
          <cell r="R307">
            <v>1045000</v>
          </cell>
          <cell r="S307">
            <v>1405000</v>
          </cell>
          <cell r="Y307">
            <v>1123500</v>
          </cell>
          <cell r="AA307">
            <v>1070000</v>
          </cell>
        </row>
        <row r="308">
          <cell r="B308">
            <v>49079</v>
          </cell>
          <cell r="C308" t="str">
            <v>TGM-25-2806X2BL-L</v>
          </cell>
          <cell r="E308" t="str">
            <v>CKD</v>
          </cell>
          <cell r="F308" t="str">
            <v>2018-06-30</v>
          </cell>
          <cell r="G308">
            <v>15.9</v>
          </cell>
          <cell r="H308">
            <v>43069</v>
          </cell>
          <cell r="J308">
            <v>1380000</v>
          </cell>
          <cell r="P308">
            <v>1097250</v>
          </cell>
          <cell r="R308">
            <v>1045000</v>
          </cell>
          <cell r="S308">
            <v>1405000</v>
          </cell>
          <cell r="Y308">
            <v>1123500</v>
          </cell>
          <cell r="AA308">
            <v>1070000</v>
          </cell>
        </row>
        <row r="309">
          <cell r="B309">
            <v>49080</v>
          </cell>
          <cell r="C309" t="str">
            <v>TGM-25-2806X2BL-L</v>
          </cell>
          <cell r="E309" t="str">
            <v>CKD</v>
          </cell>
          <cell r="F309" t="str">
            <v>2018-06-30</v>
          </cell>
          <cell r="G309">
            <v>15.9</v>
          </cell>
          <cell r="H309">
            <v>43069</v>
          </cell>
          <cell r="J309">
            <v>1380000</v>
          </cell>
          <cell r="P309">
            <v>1097250</v>
          </cell>
          <cell r="R309">
            <v>1045000</v>
          </cell>
          <cell r="S309">
            <v>1405000</v>
          </cell>
          <cell r="Y309">
            <v>1123500</v>
          </cell>
          <cell r="AA309">
            <v>1070000</v>
          </cell>
        </row>
        <row r="310">
          <cell r="B310">
            <v>49081</v>
          </cell>
          <cell r="C310" t="str">
            <v>TGM-25-2806X2BL-L</v>
          </cell>
          <cell r="E310" t="str">
            <v>CKD</v>
          </cell>
          <cell r="F310" t="str">
            <v>2018-06-30</v>
          </cell>
          <cell r="G310">
            <v>15.9</v>
          </cell>
          <cell r="H310">
            <v>43069</v>
          </cell>
          <cell r="J310">
            <v>1380000</v>
          </cell>
          <cell r="P310">
            <v>1097250</v>
          </cell>
          <cell r="R310">
            <v>1045000</v>
          </cell>
          <cell r="S310">
            <v>1405000</v>
          </cell>
          <cell r="Y310">
            <v>1123500</v>
          </cell>
          <cell r="AA310">
            <v>1070000</v>
          </cell>
        </row>
        <row r="311">
          <cell r="B311">
            <v>49082</v>
          </cell>
          <cell r="C311" t="str">
            <v>TGM-25-2806X2BL-L</v>
          </cell>
          <cell r="E311" t="str">
            <v>CKD</v>
          </cell>
          <cell r="F311" t="str">
            <v>2018-06-30</v>
          </cell>
          <cell r="G311">
            <v>15.9</v>
          </cell>
          <cell r="H311">
            <v>43069</v>
          </cell>
          <cell r="J311">
            <v>1380000</v>
          </cell>
          <cell r="P311">
            <v>1097250</v>
          </cell>
          <cell r="R311">
            <v>1045000</v>
          </cell>
          <cell r="S311">
            <v>1405000</v>
          </cell>
          <cell r="Y311">
            <v>1123500</v>
          </cell>
          <cell r="AA311">
            <v>1070000</v>
          </cell>
        </row>
        <row r="312">
          <cell r="B312">
            <v>49083</v>
          </cell>
          <cell r="C312" t="str">
            <v>TGM-25-2806X2BL-L</v>
          </cell>
          <cell r="E312" t="str">
            <v>CKD</v>
          </cell>
          <cell r="F312" t="str">
            <v>2018-06-30</v>
          </cell>
          <cell r="G312">
            <v>15.9</v>
          </cell>
          <cell r="H312">
            <v>43069</v>
          </cell>
          <cell r="J312">
            <v>1380000</v>
          </cell>
          <cell r="P312">
            <v>1097250</v>
          </cell>
          <cell r="R312">
            <v>1045000</v>
          </cell>
          <cell r="S312">
            <v>1405000</v>
          </cell>
          <cell r="Y312">
            <v>1123500</v>
          </cell>
          <cell r="AA312">
            <v>1070000</v>
          </cell>
        </row>
        <row r="313">
          <cell r="B313">
            <v>49084</v>
          </cell>
          <cell r="C313" t="str">
            <v>TGM-25-2806X2BL-L</v>
          </cell>
          <cell r="E313" t="str">
            <v>CKD</v>
          </cell>
          <cell r="F313" t="str">
            <v>2018-06-30</v>
          </cell>
          <cell r="G313">
            <v>15.9</v>
          </cell>
          <cell r="H313">
            <v>43069</v>
          </cell>
          <cell r="J313">
            <v>1380000</v>
          </cell>
          <cell r="P313">
            <v>1097250</v>
          </cell>
          <cell r="R313">
            <v>1045000</v>
          </cell>
          <cell r="S313">
            <v>1405000</v>
          </cell>
          <cell r="Y313">
            <v>1123500</v>
          </cell>
          <cell r="AA313">
            <v>1070000</v>
          </cell>
        </row>
        <row r="314">
          <cell r="B314">
            <v>49085</v>
          </cell>
          <cell r="C314" t="str">
            <v>TGM-25-2806X2BL-L</v>
          </cell>
          <cell r="E314" t="str">
            <v>CKD</v>
          </cell>
          <cell r="F314" t="str">
            <v>2018-06-30</v>
          </cell>
          <cell r="G314">
            <v>15.9</v>
          </cell>
          <cell r="H314">
            <v>43069</v>
          </cell>
          <cell r="J314">
            <v>1380000</v>
          </cell>
          <cell r="P314">
            <v>1097250</v>
          </cell>
          <cell r="R314">
            <v>1045000</v>
          </cell>
          <cell r="S314">
            <v>1405000</v>
          </cell>
          <cell r="Y314">
            <v>1123500</v>
          </cell>
          <cell r="AA314">
            <v>1070000</v>
          </cell>
        </row>
        <row r="315">
          <cell r="B315">
            <v>49086</v>
          </cell>
          <cell r="C315" t="str">
            <v>TGM-25-2806X2BL-L</v>
          </cell>
          <cell r="E315" t="str">
            <v>CKD</v>
          </cell>
          <cell r="F315" t="str">
            <v>2018-06-30</v>
          </cell>
          <cell r="G315">
            <v>15.9</v>
          </cell>
          <cell r="H315">
            <v>43069</v>
          </cell>
          <cell r="J315">
            <v>1380000</v>
          </cell>
          <cell r="P315">
            <v>1097250</v>
          </cell>
          <cell r="R315">
            <v>1045000</v>
          </cell>
          <cell r="S315">
            <v>1405000</v>
          </cell>
          <cell r="Y315">
            <v>1123500</v>
          </cell>
          <cell r="AA315">
            <v>1070000</v>
          </cell>
        </row>
        <row r="316">
          <cell r="B316">
            <v>49087</v>
          </cell>
          <cell r="C316" t="str">
            <v>TGM-25-2806X2BL-L</v>
          </cell>
          <cell r="E316" t="str">
            <v>CKD</v>
          </cell>
          <cell r="F316" t="str">
            <v>2018-06-30</v>
          </cell>
          <cell r="G316">
            <v>15.9</v>
          </cell>
          <cell r="H316">
            <v>43069</v>
          </cell>
          <cell r="J316">
            <v>1380000</v>
          </cell>
          <cell r="P316">
            <v>1097250</v>
          </cell>
          <cell r="R316">
            <v>1045000</v>
          </cell>
          <cell r="S316">
            <v>1405000</v>
          </cell>
          <cell r="Y316">
            <v>1123500</v>
          </cell>
          <cell r="AA316">
            <v>1070000</v>
          </cell>
        </row>
        <row r="317">
          <cell r="B317">
            <v>49088</v>
          </cell>
          <cell r="C317" t="str">
            <v>TGM-25-2806X2BL-L</v>
          </cell>
          <cell r="E317" t="str">
            <v>CKD</v>
          </cell>
          <cell r="F317" t="str">
            <v>2018-06-30</v>
          </cell>
          <cell r="G317">
            <v>15.9</v>
          </cell>
          <cell r="H317">
            <v>43069</v>
          </cell>
          <cell r="J317">
            <v>1380000</v>
          </cell>
          <cell r="P317">
            <v>1097250</v>
          </cell>
          <cell r="R317">
            <v>1045000</v>
          </cell>
          <cell r="S317">
            <v>1405000</v>
          </cell>
          <cell r="Y317">
            <v>1123500</v>
          </cell>
          <cell r="AA317">
            <v>1070000</v>
          </cell>
        </row>
        <row r="318">
          <cell r="B318">
            <v>49089</v>
          </cell>
          <cell r="C318" t="str">
            <v>TGM-25-2806X2BL-L</v>
          </cell>
          <cell r="E318" t="str">
            <v>CKD</v>
          </cell>
          <cell r="F318" t="str">
            <v>2018-07-30</v>
          </cell>
          <cell r="G318">
            <v>15.9</v>
          </cell>
          <cell r="H318">
            <v>43069</v>
          </cell>
          <cell r="J318">
            <v>1380000</v>
          </cell>
          <cell r="P318">
            <v>1097250</v>
          </cell>
          <cell r="R318">
            <v>1045000</v>
          </cell>
          <cell r="S318">
            <v>1405000</v>
          </cell>
          <cell r="Y318">
            <v>1123500</v>
          </cell>
          <cell r="AA318">
            <v>1070000</v>
          </cell>
        </row>
        <row r="319">
          <cell r="B319">
            <v>49090</v>
          </cell>
          <cell r="C319" t="str">
            <v>TGM-25-2806X2BL-L</v>
          </cell>
          <cell r="E319" t="str">
            <v>CKD</v>
          </cell>
          <cell r="F319" t="str">
            <v>2018-07-30</v>
          </cell>
          <cell r="G319">
            <v>15.9</v>
          </cell>
          <cell r="H319">
            <v>43069</v>
          </cell>
          <cell r="J319">
            <v>1380000</v>
          </cell>
          <cell r="P319">
            <v>1097250</v>
          </cell>
          <cell r="R319">
            <v>1045000</v>
          </cell>
          <cell r="S319">
            <v>1405000</v>
          </cell>
          <cell r="Y319">
            <v>1123500</v>
          </cell>
          <cell r="AA319">
            <v>1070000</v>
          </cell>
        </row>
        <row r="320">
          <cell r="B320">
            <v>49091</v>
          </cell>
          <cell r="C320" t="str">
            <v>TGM-25-2806X2BL-L</v>
          </cell>
          <cell r="E320" t="str">
            <v>CKD</v>
          </cell>
          <cell r="F320" t="str">
            <v>2018-07-30</v>
          </cell>
          <cell r="G320">
            <v>15.9</v>
          </cell>
          <cell r="H320">
            <v>43069</v>
          </cell>
          <cell r="J320">
            <v>1380000</v>
          </cell>
          <cell r="P320">
            <v>1097250</v>
          </cell>
          <cell r="R320">
            <v>1045000</v>
          </cell>
          <cell r="S320">
            <v>1405000</v>
          </cell>
          <cell r="Y320">
            <v>1123500</v>
          </cell>
          <cell r="AA320">
            <v>1070000</v>
          </cell>
        </row>
        <row r="321">
          <cell r="B321">
            <v>49092</v>
          </cell>
          <cell r="C321" t="str">
            <v>TGM-25-2806X2BL-L</v>
          </cell>
          <cell r="E321" t="str">
            <v>CKD</v>
          </cell>
          <cell r="F321" t="str">
            <v>2018-07-30</v>
          </cell>
          <cell r="G321">
            <v>15.9</v>
          </cell>
          <cell r="H321">
            <v>43069</v>
          </cell>
          <cell r="J321">
            <v>1380000</v>
          </cell>
          <cell r="P321">
            <v>1097250</v>
          </cell>
          <cell r="R321">
            <v>1045000</v>
          </cell>
          <cell r="S321">
            <v>1405000</v>
          </cell>
          <cell r="Y321">
            <v>1123500</v>
          </cell>
          <cell r="AA321">
            <v>1070000</v>
          </cell>
        </row>
        <row r="322">
          <cell r="B322">
            <v>49093</v>
          </cell>
          <cell r="C322" t="str">
            <v>TGM-25-2806X2BL-L</v>
          </cell>
          <cell r="E322" t="str">
            <v>CKD</v>
          </cell>
          <cell r="F322" t="str">
            <v>2018-07-30</v>
          </cell>
          <cell r="G322">
            <v>15.9</v>
          </cell>
          <cell r="H322">
            <v>43069</v>
          </cell>
          <cell r="J322">
            <v>1380000</v>
          </cell>
          <cell r="P322">
            <v>1097250</v>
          </cell>
          <cell r="R322">
            <v>1045000</v>
          </cell>
          <cell r="S322">
            <v>1405000</v>
          </cell>
          <cell r="Y322">
            <v>1123500</v>
          </cell>
          <cell r="AA322">
            <v>1070000</v>
          </cell>
        </row>
        <row r="323">
          <cell r="B323">
            <v>49094</v>
          </cell>
          <cell r="C323" t="str">
            <v>TGM-25-2806X2BL-L</v>
          </cell>
          <cell r="E323" t="str">
            <v>CKD</v>
          </cell>
          <cell r="F323" t="str">
            <v>2018-07-30</v>
          </cell>
          <cell r="G323">
            <v>15.9</v>
          </cell>
          <cell r="H323">
            <v>43069</v>
          </cell>
          <cell r="J323">
            <v>1380000</v>
          </cell>
          <cell r="P323">
            <v>1097250</v>
          </cell>
          <cell r="R323">
            <v>1045000</v>
          </cell>
          <cell r="S323">
            <v>1405000</v>
          </cell>
          <cell r="Y323">
            <v>1123500</v>
          </cell>
          <cell r="AA323">
            <v>1070000</v>
          </cell>
        </row>
        <row r="324">
          <cell r="B324">
            <v>49095</v>
          </cell>
          <cell r="C324" t="str">
            <v>TGM-25-2806X2BL-L</v>
          </cell>
          <cell r="E324" t="str">
            <v>CKD</v>
          </cell>
          <cell r="F324" t="str">
            <v>2018-07-30</v>
          </cell>
          <cell r="G324">
            <v>15.9</v>
          </cell>
          <cell r="H324">
            <v>43069</v>
          </cell>
          <cell r="J324">
            <v>1380000</v>
          </cell>
          <cell r="P324">
            <v>1097250</v>
          </cell>
          <cell r="R324">
            <v>1045000</v>
          </cell>
          <cell r="S324">
            <v>1405000</v>
          </cell>
          <cell r="Y324">
            <v>1123500</v>
          </cell>
          <cell r="AA324">
            <v>1070000</v>
          </cell>
        </row>
        <row r="325">
          <cell r="B325">
            <v>49096</v>
          </cell>
          <cell r="C325" t="str">
            <v>TGM-25-2806X2BL-L</v>
          </cell>
          <cell r="E325" t="str">
            <v>CKD</v>
          </cell>
          <cell r="F325" t="str">
            <v>2018-07-30</v>
          </cell>
          <cell r="G325">
            <v>15.9</v>
          </cell>
          <cell r="H325">
            <v>43069</v>
          </cell>
          <cell r="J325">
            <v>1380000</v>
          </cell>
          <cell r="P325">
            <v>1097250</v>
          </cell>
          <cell r="R325">
            <v>1045000</v>
          </cell>
          <cell r="S325">
            <v>1405000</v>
          </cell>
          <cell r="Y325">
            <v>1123500</v>
          </cell>
          <cell r="AA325">
            <v>1070000</v>
          </cell>
        </row>
        <row r="326">
          <cell r="B326">
            <v>49097</v>
          </cell>
          <cell r="C326" t="str">
            <v>TGM-25-2806X2BL-L</v>
          </cell>
          <cell r="E326" t="str">
            <v>CKD</v>
          </cell>
          <cell r="F326" t="str">
            <v>2018-07-30</v>
          </cell>
          <cell r="G326">
            <v>15.9</v>
          </cell>
          <cell r="H326">
            <v>43069</v>
          </cell>
          <cell r="J326">
            <v>1380000</v>
          </cell>
          <cell r="P326">
            <v>1097250</v>
          </cell>
          <cell r="R326">
            <v>1045000</v>
          </cell>
          <cell r="S326">
            <v>1405000</v>
          </cell>
          <cell r="Y326">
            <v>1123500</v>
          </cell>
          <cell r="AA326">
            <v>1070000</v>
          </cell>
        </row>
        <row r="327">
          <cell r="B327">
            <v>49098</v>
          </cell>
          <cell r="C327" t="str">
            <v>TGM-25-2806X2BL-L</v>
          </cell>
          <cell r="E327" t="str">
            <v>CKD</v>
          </cell>
          <cell r="F327" t="str">
            <v>2018-07-30</v>
          </cell>
          <cell r="G327">
            <v>15.9</v>
          </cell>
          <cell r="H327">
            <v>43069</v>
          </cell>
          <cell r="J327">
            <v>1380000</v>
          </cell>
          <cell r="P327">
            <v>1097250</v>
          </cell>
          <cell r="R327">
            <v>1045000</v>
          </cell>
          <cell r="S327">
            <v>1405000</v>
          </cell>
          <cell r="Y327">
            <v>1123500</v>
          </cell>
          <cell r="AA327">
            <v>1070000</v>
          </cell>
        </row>
        <row r="328">
          <cell r="B328">
            <v>49099</v>
          </cell>
          <cell r="C328" t="str">
            <v>TGM-25-2806X2BL-L</v>
          </cell>
          <cell r="E328" t="str">
            <v>CKD</v>
          </cell>
          <cell r="F328" t="str">
            <v>2018-08-30</v>
          </cell>
          <cell r="G328">
            <v>15.9</v>
          </cell>
          <cell r="H328">
            <v>43069</v>
          </cell>
          <cell r="J328">
            <v>1380000</v>
          </cell>
          <cell r="P328">
            <v>1097250</v>
          </cell>
          <cell r="R328">
            <v>1045000</v>
          </cell>
          <cell r="S328">
            <v>1405000</v>
          </cell>
          <cell r="Y328">
            <v>1123500</v>
          </cell>
          <cell r="AA328">
            <v>1070000</v>
          </cell>
        </row>
        <row r="329">
          <cell r="B329">
            <v>49100</v>
          </cell>
          <cell r="C329" t="str">
            <v>TGM-25-2806X2BL-L</v>
          </cell>
          <cell r="E329" t="str">
            <v>CKD</v>
          </cell>
          <cell r="F329" t="str">
            <v>2018-08-30</v>
          </cell>
          <cell r="G329">
            <v>15.9</v>
          </cell>
          <cell r="H329">
            <v>43069</v>
          </cell>
          <cell r="J329">
            <v>1380000</v>
          </cell>
          <cell r="P329">
            <v>1097250</v>
          </cell>
          <cell r="R329">
            <v>1045000</v>
          </cell>
          <cell r="S329">
            <v>1405000</v>
          </cell>
          <cell r="Y329">
            <v>1123500</v>
          </cell>
          <cell r="AA329">
            <v>1070000</v>
          </cell>
        </row>
        <row r="330">
          <cell r="B330">
            <v>49101</v>
          </cell>
          <cell r="C330" t="str">
            <v>TGM-25-2806X2BL-L</v>
          </cell>
          <cell r="E330" t="str">
            <v>CKD</v>
          </cell>
          <cell r="F330" t="str">
            <v>2018-08-30</v>
          </cell>
          <cell r="G330">
            <v>15.9</v>
          </cell>
          <cell r="H330">
            <v>43069</v>
          </cell>
          <cell r="J330">
            <v>1380000</v>
          </cell>
          <cell r="P330">
            <v>1097250</v>
          </cell>
          <cell r="R330">
            <v>1045000</v>
          </cell>
          <cell r="S330">
            <v>1405000</v>
          </cell>
          <cell r="Y330">
            <v>1123500</v>
          </cell>
          <cell r="AA330">
            <v>1070000</v>
          </cell>
        </row>
        <row r="331">
          <cell r="B331">
            <v>49102</v>
          </cell>
          <cell r="C331" t="str">
            <v>TGM-25-2806X2BL-L</v>
          </cell>
          <cell r="E331" t="str">
            <v>CKD</v>
          </cell>
          <cell r="F331" t="str">
            <v>2018-08-30</v>
          </cell>
          <cell r="G331">
            <v>15.9</v>
          </cell>
          <cell r="H331">
            <v>43069</v>
          </cell>
          <cell r="J331">
            <v>1380000</v>
          </cell>
          <cell r="P331">
            <v>1097250</v>
          </cell>
          <cell r="R331">
            <v>1045000</v>
          </cell>
          <cell r="S331">
            <v>1405000</v>
          </cell>
          <cell r="Y331">
            <v>1123500</v>
          </cell>
          <cell r="AA331">
            <v>1070000</v>
          </cell>
        </row>
        <row r="332">
          <cell r="B332">
            <v>49103</v>
          </cell>
          <cell r="C332" t="str">
            <v>TGM-25-2806X2BL-L</v>
          </cell>
          <cell r="E332" t="str">
            <v>CKD</v>
          </cell>
          <cell r="F332" t="str">
            <v>2018-08-30</v>
          </cell>
          <cell r="G332">
            <v>15.9</v>
          </cell>
          <cell r="H332">
            <v>43069</v>
          </cell>
          <cell r="J332">
            <v>1380000</v>
          </cell>
          <cell r="P332">
            <v>1097250</v>
          </cell>
          <cell r="R332">
            <v>1045000</v>
          </cell>
          <cell r="S332">
            <v>1405000</v>
          </cell>
          <cell r="Y332">
            <v>1123500</v>
          </cell>
          <cell r="AA332">
            <v>1070000</v>
          </cell>
        </row>
        <row r="333">
          <cell r="B333">
            <v>49104</v>
          </cell>
          <cell r="C333" t="str">
            <v>TGM-25-2806X2BL-L</v>
          </cell>
          <cell r="E333" t="str">
            <v>CKD</v>
          </cell>
          <cell r="F333" t="str">
            <v>2018-08-30</v>
          </cell>
          <cell r="G333">
            <v>15.9</v>
          </cell>
          <cell r="H333">
            <v>43069</v>
          </cell>
          <cell r="J333">
            <v>1380000</v>
          </cell>
          <cell r="P333">
            <v>1097250</v>
          </cell>
          <cell r="R333">
            <v>1045000</v>
          </cell>
          <cell r="S333">
            <v>1405000</v>
          </cell>
          <cell r="Y333">
            <v>1123500</v>
          </cell>
          <cell r="AA333">
            <v>1070000</v>
          </cell>
        </row>
        <row r="334">
          <cell r="B334">
            <v>49105</v>
          </cell>
          <cell r="C334" t="str">
            <v>TGM-25-2806X2BL-L</v>
          </cell>
          <cell r="E334" t="str">
            <v>CKD</v>
          </cell>
          <cell r="F334" t="str">
            <v>2018-08-30</v>
          </cell>
          <cell r="G334">
            <v>15.9</v>
          </cell>
          <cell r="H334">
            <v>43069</v>
          </cell>
          <cell r="J334">
            <v>1380000</v>
          </cell>
          <cell r="P334">
            <v>1097250</v>
          </cell>
          <cell r="R334">
            <v>1045000</v>
          </cell>
          <cell r="S334">
            <v>1405000</v>
          </cell>
          <cell r="Y334">
            <v>1123500</v>
          </cell>
          <cell r="AA334">
            <v>1070000</v>
          </cell>
        </row>
        <row r="335">
          <cell r="B335">
            <v>49106</v>
          </cell>
          <cell r="C335" t="str">
            <v>TGM-25-2806X2BL-L</v>
          </cell>
          <cell r="E335" t="str">
            <v>CKD</v>
          </cell>
          <cell r="F335" t="str">
            <v>2018-08-30</v>
          </cell>
          <cell r="G335">
            <v>15.9</v>
          </cell>
          <cell r="H335">
            <v>43069</v>
          </cell>
          <cell r="J335">
            <v>1380000</v>
          </cell>
          <cell r="P335">
            <v>1097250</v>
          </cell>
          <cell r="R335">
            <v>1045000</v>
          </cell>
          <cell r="S335">
            <v>1405000</v>
          </cell>
          <cell r="Y335">
            <v>1123500</v>
          </cell>
          <cell r="AA335">
            <v>1070000</v>
          </cell>
        </row>
        <row r="336">
          <cell r="B336">
            <v>49107</v>
          </cell>
          <cell r="C336" t="str">
            <v>TGM-25-2806X2BL-L</v>
          </cell>
          <cell r="E336" t="str">
            <v>CKD</v>
          </cell>
          <cell r="F336" t="str">
            <v>2018-08-30</v>
          </cell>
          <cell r="G336">
            <v>15.9</v>
          </cell>
          <cell r="H336">
            <v>43069</v>
          </cell>
          <cell r="J336">
            <v>1380000</v>
          </cell>
          <cell r="P336">
            <v>1097250</v>
          </cell>
          <cell r="R336">
            <v>1045000</v>
          </cell>
          <cell r="S336">
            <v>1405000</v>
          </cell>
          <cell r="Y336">
            <v>1123500</v>
          </cell>
          <cell r="AA336">
            <v>1070000</v>
          </cell>
        </row>
        <row r="337">
          <cell r="B337">
            <v>49108</v>
          </cell>
          <cell r="C337" t="str">
            <v>TGM-25-2806X2BL-L</v>
          </cell>
          <cell r="E337" t="str">
            <v>CKD</v>
          </cell>
          <cell r="F337" t="str">
            <v>2018-08-30</v>
          </cell>
          <cell r="G337">
            <v>15.9</v>
          </cell>
          <cell r="H337">
            <v>43069</v>
          </cell>
          <cell r="J337">
            <v>1380000</v>
          </cell>
          <cell r="P337">
            <v>1097250</v>
          </cell>
          <cell r="R337">
            <v>1045000</v>
          </cell>
          <cell r="S337">
            <v>1405000</v>
          </cell>
          <cell r="Y337">
            <v>1123500</v>
          </cell>
          <cell r="AA337">
            <v>1070000</v>
          </cell>
        </row>
        <row r="338">
          <cell r="B338">
            <v>49109</v>
          </cell>
          <cell r="C338" t="str">
            <v>TGM-25-2806X2BL-L</v>
          </cell>
          <cell r="E338" t="str">
            <v>CKD</v>
          </cell>
          <cell r="F338" t="str">
            <v>2018-09-30</v>
          </cell>
          <cell r="G338">
            <v>15.9</v>
          </cell>
          <cell r="H338">
            <v>43069</v>
          </cell>
          <cell r="J338">
            <v>1380000</v>
          </cell>
          <cell r="P338">
            <v>1097250</v>
          </cell>
          <cell r="R338">
            <v>1045000</v>
          </cell>
          <cell r="S338">
            <v>1405000</v>
          </cell>
          <cell r="Y338">
            <v>1123500</v>
          </cell>
          <cell r="AA338">
            <v>1070000</v>
          </cell>
        </row>
        <row r="339">
          <cell r="B339">
            <v>49110</v>
          </cell>
          <cell r="C339" t="str">
            <v>TGM-25-2806X2BL-L</v>
          </cell>
          <cell r="E339" t="str">
            <v>CKD</v>
          </cell>
          <cell r="F339" t="str">
            <v>2018-09-30</v>
          </cell>
          <cell r="G339">
            <v>15.9</v>
          </cell>
          <cell r="H339">
            <v>43069</v>
          </cell>
          <cell r="J339">
            <v>1380000</v>
          </cell>
          <cell r="P339">
            <v>1097250</v>
          </cell>
          <cell r="R339">
            <v>1045000</v>
          </cell>
          <cell r="S339">
            <v>1405000</v>
          </cell>
          <cell r="Y339">
            <v>1123500</v>
          </cell>
          <cell r="AA339">
            <v>1070000</v>
          </cell>
        </row>
        <row r="340">
          <cell r="B340">
            <v>49111</v>
          </cell>
          <cell r="C340" t="str">
            <v>TGM-25-2806X2BL-L</v>
          </cell>
          <cell r="E340" t="str">
            <v>CKD</v>
          </cell>
          <cell r="F340" t="str">
            <v>2018-09-30</v>
          </cell>
          <cell r="G340">
            <v>15.9</v>
          </cell>
          <cell r="H340">
            <v>43069</v>
          </cell>
          <cell r="J340">
            <v>1380000</v>
          </cell>
          <cell r="P340">
            <v>1097250</v>
          </cell>
          <cell r="R340">
            <v>1045000</v>
          </cell>
          <cell r="S340">
            <v>1405000</v>
          </cell>
          <cell r="Y340">
            <v>1123500</v>
          </cell>
          <cell r="AA340">
            <v>1070000</v>
          </cell>
        </row>
        <row r="341">
          <cell r="B341">
            <v>49112</v>
          </cell>
          <cell r="C341" t="str">
            <v>TGM-25-2806X2BL-L</v>
          </cell>
          <cell r="E341" t="str">
            <v>CKD</v>
          </cell>
          <cell r="F341" t="str">
            <v>2018-09-30</v>
          </cell>
          <cell r="G341">
            <v>15.9</v>
          </cell>
          <cell r="H341">
            <v>43069</v>
          </cell>
          <cell r="J341">
            <v>1380000</v>
          </cell>
          <cell r="P341">
            <v>1097250</v>
          </cell>
          <cell r="R341">
            <v>1045000</v>
          </cell>
          <cell r="S341">
            <v>1405000</v>
          </cell>
          <cell r="Y341">
            <v>1123500</v>
          </cell>
          <cell r="AA341">
            <v>1070000</v>
          </cell>
        </row>
        <row r="342">
          <cell r="B342">
            <v>49113</v>
          </cell>
          <cell r="C342" t="str">
            <v>TGM-25-2806X2BL-L</v>
          </cell>
          <cell r="E342" t="str">
            <v>CKD</v>
          </cell>
          <cell r="F342" t="str">
            <v>2018-09-30</v>
          </cell>
          <cell r="G342">
            <v>15.9</v>
          </cell>
          <cell r="H342">
            <v>43069</v>
          </cell>
          <cell r="J342">
            <v>1380000</v>
          </cell>
          <cell r="P342">
            <v>1097250</v>
          </cell>
          <cell r="R342">
            <v>1045000</v>
          </cell>
          <cell r="S342">
            <v>1405000</v>
          </cell>
          <cell r="Y342">
            <v>1123500</v>
          </cell>
          <cell r="AA342">
            <v>1070000</v>
          </cell>
        </row>
        <row r="343">
          <cell r="B343">
            <v>49114</v>
          </cell>
          <cell r="C343" t="str">
            <v>TGM-25-2806X2BL-L</v>
          </cell>
          <cell r="E343" t="str">
            <v>CKD</v>
          </cell>
          <cell r="F343" t="str">
            <v>2018-09-30</v>
          </cell>
          <cell r="G343">
            <v>15.9</v>
          </cell>
          <cell r="H343">
            <v>43069</v>
          </cell>
          <cell r="J343">
            <v>1380000</v>
          </cell>
          <cell r="P343">
            <v>1097250</v>
          </cell>
          <cell r="R343">
            <v>1045000</v>
          </cell>
          <cell r="S343">
            <v>1405000</v>
          </cell>
          <cell r="Y343">
            <v>1123500</v>
          </cell>
          <cell r="AA343">
            <v>1070000</v>
          </cell>
        </row>
        <row r="344">
          <cell r="B344">
            <v>49115</v>
          </cell>
          <cell r="C344" t="str">
            <v>TGM-25-2806X2BL-L</v>
          </cell>
          <cell r="E344" t="str">
            <v>CKD</v>
          </cell>
          <cell r="F344" t="str">
            <v>2018-09-30</v>
          </cell>
          <cell r="G344">
            <v>15.9</v>
          </cell>
          <cell r="H344">
            <v>43069</v>
          </cell>
          <cell r="J344">
            <v>1380000</v>
          </cell>
          <cell r="P344">
            <v>1097250</v>
          </cell>
          <cell r="R344">
            <v>1045000</v>
          </cell>
          <cell r="S344">
            <v>1405000</v>
          </cell>
          <cell r="Y344">
            <v>1123500</v>
          </cell>
          <cell r="AA344">
            <v>1070000</v>
          </cell>
        </row>
        <row r="345">
          <cell r="B345">
            <v>49116</v>
          </cell>
          <cell r="C345" t="str">
            <v>TGM-25-2806X2BL-L</v>
          </cell>
          <cell r="E345" t="str">
            <v>CKD</v>
          </cell>
          <cell r="F345" t="str">
            <v>2018-09-30</v>
          </cell>
          <cell r="G345">
            <v>15.9</v>
          </cell>
          <cell r="H345">
            <v>43069</v>
          </cell>
          <cell r="J345">
            <v>1380000</v>
          </cell>
          <cell r="P345">
            <v>1097250</v>
          </cell>
          <cell r="R345">
            <v>1045000</v>
          </cell>
          <cell r="S345">
            <v>1405000</v>
          </cell>
          <cell r="Y345">
            <v>1123500</v>
          </cell>
          <cell r="AA345">
            <v>1070000</v>
          </cell>
        </row>
        <row r="346">
          <cell r="B346">
            <v>49117</v>
          </cell>
          <cell r="C346" t="str">
            <v>TGM-25-2806X2BL-L</v>
          </cell>
          <cell r="E346" t="str">
            <v>CKD</v>
          </cell>
          <cell r="F346" t="str">
            <v>2018-09-30</v>
          </cell>
          <cell r="G346">
            <v>15.9</v>
          </cell>
          <cell r="H346">
            <v>43069</v>
          </cell>
          <cell r="J346">
            <v>1380000</v>
          </cell>
          <cell r="P346">
            <v>1097250</v>
          </cell>
          <cell r="R346">
            <v>1045000</v>
          </cell>
          <cell r="S346">
            <v>1405000</v>
          </cell>
          <cell r="Y346">
            <v>1123500</v>
          </cell>
          <cell r="AA346">
            <v>1070000</v>
          </cell>
        </row>
        <row r="347">
          <cell r="B347">
            <v>49118</v>
          </cell>
          <cell r="C347" t="str">
            <v>TGM-25-2806X2BL-L</v>
          </cell>
          <cell r="E347" t="str">
            <v>CKD</v>
          </cell>
          <cell r="F347" t="str">
            <v>2018-09-30</v>
          </cell>
          <cell r="G347">
            <v>15.9</v>
          </cell>
          <cell r="H347">
            <v>43069</v>
          </cell>
          <cell r="J347">
            <v>1380000</v>
          </cell>
          <cell r="P347">
            <v>1097250</v>
          </cell>
          <cell r="R347">
            <v>1045000</v>
          </cell>
          <cell r="S347">
            <v>1405000</v>
          </cell>
          <cell r="Y347">
            <v>1123500</v>
          </cell>
          <cell r="AA347">
            <v>1070000</v>
          </cell>
        </row>
        <row r="348">
          <cell r="B348">
            <v>49119</v>
          </cell>
          <cell r="C348" t="str">
            <v>TGM-25-2806X2BL-L</v>
          </cell>
          <cell r="E348" t="str">
            <v>CKD</v>
          </cell>
          <cell r="F348" t="str">
            <v>2018-10-30</v>
          </cell>
          <cell r="G348">
            <v>15.9</v>
          </cell>
          <cell r="H348">
            <v>43069</v>
          </cell>
          <cell r="J348">
            <v>1380000</v>
          </cell>
          <cell r="P348">
            <v>1097250</v>
          </cell>
          <cell r="R348">
            <v>1045000</v>
          </cell>
          <cell r="S348">
            <v>1405000</v>
          </cell>
          <cell r="Y348">
            <v>1123500</v>
          </cell>
          <cell r="AA348">
            <v>1070000</v>
          </cell>
        </row>
        <row r="349">
          <cell r="B349">
            <v>49120</v>
          </cell>
          <cell r="C349" t="str">
            <v>TGM-25-2806X2BL-L</v>
          </cell>
          <cell r="E349" t="str">
            <v>CKD</v>
          </cell>
          <cell r="F349" t="str">
            <v>2018-10-30</v>
          </cell>
          <cell r="G349">
            <v>15.9</v>
          </cell>
          <cell r="H349">
            <v>43069</v>
          </cell>
          <cell r="J349">
            <v>1380000</v>
          </cell>
          <cell r="P349">
            <v>1097250</v>
          </cell>
          <cell r="R349">
            <v>1045000</v>
          </cell>
          <cell r="S349">
            <v>1405000</v>
          </cell>
          <cell r="Y349">
            <v>1123500</v>
          </cell>
          <cell r="AA349">
            <v>1070000</v>
          </cell>
        </row>
        <row r="350">
          <cell r="B350">
            <v>49121</v>
          </cell>
          <cell r="C350" t="str">
            <v>TGM-25-2806X2BL-L</v>
          </cell>
          <cell r="E350" t="str">
            <v>CKD</v>
          </cell>
          <cell r="F350" t="str">
            <v>2018-10-30</v>
          </cell>
          <cell r="G350">
            <v>15.9</v>
          </cell>
          <cell r="H350">
            <v>43069</v>
          </cell>
          <cell r="J350">
            <v>1380000</v>
          </cell>
          <cell r="P350">
            <v>1097250</v>
          </cell>
          <cell r="R350">
            <v>1045000</v>
          </cell>
          <cell r="S350">
            <v>1405000</v>
          </cell>
          <cell r="Y350">
            <v>1123500</v>
          </cell>
          <cell r="AA350">
            <v>1070000</v>
          </cell>
        </row>
        <row r="351">
          <cell r="B351">
            <v>49122</v>
          </cell>
          <cell r="C351" t="str">
            <v>TGM-25-2806X2BL-L</v>
          </cell>
          <cell r="E351" t="str">
            <v>CKD</v>
          </cell>
          <cell r="F351" t="str">
            <v>2018-10-30</v>
          </cell>
          <cell r="G351">
            <v>15.9</v>
          </cell>
          <cell r="H351">
            <v>43069</v>
          </cell>
          <cell r="J351">
            <v>1380000</v>
          </cell>
          <cell r="P351">
            <v>1097250</v>
          </cell>
          <cell r="R351">
            <v>1045000</v>
          </cell>
          <cell r="S351">
            <v>1405000</v>
          </cell>
          <cell r="Y351">
            <v>1123500</v>
          </cell>
          <cell r="AA351">
            <v>1070000</v>
          </cell>
        </row>
        <row r="352">
          <cell r="B352">
            <v>49123</v>
          </cell>
          <cell r="C352" t="str">
            <v>TGM-25-2806X2BL-L</v>
          </cell>
          <cell r="E352" t="str">
            <v>CKD</v>
          </cell>
          <cell r="F352" t="str">
            <v>2018-10-30</v>
          </cell>
          <cell r="G352">
            <v>15.9</v>
          </cell>
          <cell r="H352">
            <v>43069</v>
          </cell>
          <cell r="J352">
            <v>1380000</v>
          </cell>
          <cell r="P352">
            <v>1097250</v>
          </cell>
          <cell r="R352">
            <v>1045000</v>
          </cell>
          <cell r="S352">
            <v>1405000</v>
          </cell>
          <cell r="Y352">
            <v>1123500</v>
          </cell>
          <cell r="AA352">
            <v>1070000</v>
          </cell>
        </row>
        <row r="353">
          <cell r="B353">
            <v>49124</v>
          </cell>
          <cell r="C353" t="str">
            <v>TGM-25-2806X2BL-L</v>
          </cell>
          <cell r="E353" t="str">
            <v>CKD</v>
          </cell>
          <cell r="F353" t="str">
            <v>2018-10-30</v>
          </cell>
          <cell r="G353">
            <v>15.9</v>
          </cell>
          <cell r="H353">
            <v>43069</v>
          </cell>
          <cell r="J353">
            <v>1380000</v>
          </cell>
          <cell r="P353">
            <v>1097250</v>
          </cell>
          <cell r="R353">
            <v>1045000</v>
          </cell>
          <cell r="S353">
            <v>1405000</v>
          </cell>
          <cell r="Y353">
            <v>1123500</v>
          </cell>
          <cell r="AA353">
            <v>1070000</v>
          </cell>
        </row>
        <row r="354">
          <cell r="B354">
            <v>49125</v>
          </cell>
          <cell r="C354" t="str">
            <v>TGM-25-2806X2BL-L</v>
          </cell>
          <cell r="E354" t="str">
            <v>CKD</v>
          </cell>
          <cell r="F354" t="str">
            <v>2018-10-30</v>
          </cell>
          <cell r="G354">
            <v>15.9</v>
          </cell>
          <cell r="H354">
            <v>43069</v>
          </cell>
          <cell r="J354">
            <v>1380000</v>
          </cell>
          <cell r="P354">
            <v>1097250</v>
          </cell>
          <cell r="R354">
            <v>1045000</v>
          </cell>
          <cell r="S354">
            <v>1405000</v>
          </cell>
          <cell r="Y354">
            <v>1123500</v>
          </cell>
          <cell r="AA354">
            <v>1070000</v>
          </cell>
        </row>
        <row r="355">
          <cell r="B355">
            <v>49126</v>
          </cell>
          <cell r="C355" t="str">
            <v>TGM-25-2806X2BL-L</v>
          </cell>
          <cell r="E355" t="str">
            <v>CKD</v>
          </cell>
          <cell r="F355" t="str">
            <v>2018-10-30</v>
          </cell>
          <cell r="G355">
            <v>15.9</v>
          </cell>
          <cell r="H355">
            <v>43069</v>
          </cell>
          <cell r="J355">
            <v>1380000</v>
          </cell>
          <cell r="P355">
            <v>1097250</v>
          </cell>
          <cell r="R355">
            <v>1045000</v>
          </cell>
          <cell r="S355">
            <v>1405000</v>
          </cell>
          <cell r="Y355">
            <v>1123500</v>
          </cell>
          <cell r="AA355">
            <v>1070000</v>
          </cell>
        </row>
        <row r="356">
          <cell r="B356">
            <v>49127</v>
          </cell>
          <cell r="C356" t="str">
            <v>TGM-25-2806X2BL-L</v>
          </cell>
          <cell r="E356" t="str">
            <v>CKD</v>
          </cell>
          <cell r="F356" t="str">
            <v>2018-10-30</v>
          </cell>
          <cell r="G356">
            <v>15.9</v>
          </cell>
          <cell r="H356">
            <v>43069</v>
          </cell>
          <cell r="J356">
            <v>1380000</v>
          </cell>
          <cell r="P356">
            <v>1097250</v>
          </cell>
          <cell r="R356">
            <v>1045000</v>
          </cell>
          <cell r="S356">
            <v>1405000</v>
          </cell>
          <cell r="Y356">
            <v>1123500</v>
          </cell>
          <cell r="AA356">
            <v>1070000</v>
          </cell>
        </row>
        <row r="357">
          <cell r="B357">
            <v>49128</v>
          </cell>
          <cell r="C357" t="str">
            <v>TGM-25-2806X2BL-L</v>
          </cell>
          <cell r="E357" t="str">
            <v>CKD</v>
          </cell>
          <cell r="F357" t="str">
            <v>2018-10-30</v>
          </cell>
          <cell r="G357">
            <v>15.9</v>
          </cell>
          <cell r="H357">
            <v>43069</v>
          </cell>
          <cell r="J357">
            <v>1380000</v>
          </cell>
          <cell r="P357">
            <v>1097250</v>
          </cell>
          <cell r="R357">
            <v>1045000</v>
          </cell>
          <cell r="S357">
            <v>1405000</v>
          </cell>
          <cell r="Y357">
            <v>1123500</v>
          </cell>
          <cell r="AA357">
            <v>1070000</v>
          </cell>
        </row>
        <row r="358">
          <cell r="B358">
            <v>49238</v>
          </cell>
          <cell r="C358" t="str">
            <v>TGM-25-2806X2BL-L</v>
          </cell>
          <cell r="E358" t="str">
            <v>CKD</v>
          </cell>
          <cell r="F358" t="str">
            <v>2018-05-22</v>
          </cell>
          <cell r="G358">
            <v>15.8</v>
          </cell>
          <cell r="H358">
            <v>43144</v>
          </cell>
          <cell r="J358">
            <v>1380000</v>
          </cell>
          <cell r="P358">
            <v>1097250</v>
          </cell>
          <cell r="R358">
            <v>1045000</v>
          </cell>
          <cell r="S358">
            <v>1405000</v>
          </cell>
          <cell r="Y358">
            <v>1123500</v>
          </cell>
          <cell r="AA358">
            <v>1070000</v>
          </cell>
        </row>
        <row r="359">
          <cell r="B359">
            <v>49239</v>
          </cell>
          <cell r="C359" t="str">
            <v>TGM-25-2806X2BL-L</v>
          </cell>
          <cell r="E359" t="str">
            <v>CKD</v>
          </cell>
          <cell r="F359" t="str">
            <v>2018-05-22</v>
          </cell>
          <cell r="G359">
            <v>15.8</v>
          </cell>
          <cell r="H359">
            <v>43144</v>
          </cell>
          <cell r="J359">
            <v>1380000</v>
          </cell>
          <cell r="P359">
            <v>1097250</v>
          </cell>
          <cell r="R359">
            <v>1045000</v>
          </cell>
          <cell r="S359">
            <v>1405000</v>
          </cell>
          <cell r="Y359">
            <v>1123500</v>
          </cell>
          <cell r="AA359">
            <v>1070000</v>
          </cell>
        </row>
        <row r="360">
          <cell r="B360">
            <v>49240</v>
          </cell>
          <cell r="C360" t="str">
            <v>TGM-25-2806X2BL-L</v>
          </cell>
          <cell r="E360" t="str">
            <v>CKD</v>
          </cell>
          <cell r="F360" t="str">
            <v>2018-05-22</v>
          </cell>
          <cell r="G360">
            <v>15.8</v>
          </cell>
          <cell r="H360">
            <v>43144</v>
          </cell>
          <cell r="J360">
            <v>1380000</v>
          </cell>
          <cell r="P360">
            <v>1097250</v>
          </cell>
          <cell r="R360">
            <v>1045000</v>
          </cell>
          <cell r="S360">
            <v>1405000</v>
          </cell>
          <cell r="Y360">
            <v>1123500</v>
          </cell>
          <cell r="AA360">
            <v>1070000</v>
          </cell>
        </row>
        <row r="361">
          <cell r="B361">
            <v>49241</v>
          </cell>
          <cell r="C361" t="str">
            <v>TGM-25-2806X2BL-L</v>
          </cell>
          <cell r="E361" t="str">
            <v>CKD</v>
          </cell>
          <cell r="F361" t="str">
            <v>2018-05-22</v>
          </cell>
          <cell r="G361">
            <v>15.8</v>
          </cell>
          <cell r="H361">
            <v>43144</v>
          </cell>
          <cell r="J361">
            <v>1380000</v>
          </cell>
          <cell r="P361">
            <v>1097250</v>
          </cell>
          <cell r="R361">
            <v>1045000</v>
          </cell>
          <cell r="S361">
            <v>1405000</v>
          </cell>
          <cell r="Y361">
            <v>1123500</v>
          </cell>
          <cell r="AA361">
            <v>1070000</v>
          </cell>
        </row>
        <row r="362">
          <cell r="B362">
            <v>49242</v>
          </cell>
          <cell r="C362" t="str">
            <v>TGM-25-2806X2BL-L</v>
          </cell>
          <cell r="E362" t="str">
            <v>CKD</v>
          </cell>
          <cell r="F362" t="str">
            <v>2018-06-02</v>
          </cell>
          <cell r="G362">
            <v>15.8</v>
          </cell>
          <cell r="H362">
            <v>43144</v>
          </cell>
          <cell r="J362">
            <v>1380000</v>
          </cell>
          <cell r="P362">
            <v>1097250</v>
          </cell>
          <cell r="R362">
            <v>1045000</v>
          </cell>
          <cell r="S362">
            <v>1405000</v>
          </cell>
          <cell r="Y362">
            <v>1123500</v>
          </cell>
          <cell r="AA362">
            <v>1070000</v>
          </cell>
        </row>
        <row r="363">
          <cell r="B363">
            <v>49243</v>
          </cell>
          <cell r="C363" t="str">
            <v>TGM-25-2806X2BL-L</v>
          </cell>
          <cell r="E363" t="str">
            <v>CKD</v>
          </cell>
          <cell r="F363" t="str">
            <v>2018-06-02</v>
          </cell>
          <cell r="G363">
            <v>15.8</v>
          </cell>
          <cell r="H363">
            <v>43144</v>
          </cell>
          <cell r="J363">
            <v>1380000</v>
          </cell>
          <cell r="P363">
            <v>1097250</v>
          </cell>
          <cell r="R363">
            <v>1045000</v>
          </cell>
          <cell r="S363">
            <v>1405000</v>
          </cell>
          <cell r="Y363">
            <v>1123500</v>
          </cell>
          <cell r="AA363">
            <v>1070000</v>
          </cell>
        </row>
        <row r="364">
          <cell r="B364">
            <v>49244</v>
          </cell>
          <cell r="C364" t="str">
            <v>TGM-25-2806X2BL-L</v>
          </cell>
          <cell r="E364" t="str">
            <v>CKD</v>
          </cell>
          <cell r="F364" t="str">
            <v>2018-06-02</v>
          </cell>
          <cell r="G364">
            <v>15.8</v>
          </cell>
          <cell r="H364">
            <v>43144</v>
          </cell>
          <cell r="J364">
            <v>1380000</v>
          </cell>
          <cell r="P364">
            <v>1097250</v>
          </cell>
          <cell r="R364">
            <v>1045000</v>
          </cell>
          <cell r="S364">
            <v>1405000</v>
          </cell>
          <cell r="Y364">
            <v>1123500</v>
          </cell>
          <cell r="AA364">
            <v>1070000</v>
          </cell>
        </row>
        <row r="365">
          <cell r="B365">
            <v>49245</v>
          </cell>
          <cell r="C365" t="str">
            <v>TGM-25-2806X2BL-L</v>
          </cell>
          <cell r="E365" t="str">
            <v>CKD</v>
          </cell>
          <cell r="F365" t="str">
            <v>2018-06-02</v>
          </cell>
          <cell r="G365">
            <v>15.8</v>
          </cell>
          <cell r="H365">
            <v>43144</v>
          </cell>
          <cell r="J365">
            <v>1380000</v>
          </cell>
          <cell r="P365">
            <v>1097250</v>
          </cell>
          <cell r="R365">
            <v>1045000</v>
          </cell>
          <cell r="S365">
            <v>1405000</v>
          </cell>
          <cell r="Y365">
            <v>1123500</v>
          </cell>
          <cell r="AA365">
            <v>1070000</v>
          </cell>
        </row>
        <row r="366">
          <cell r="B366">
            <v>49246</v>
          </cell>
          <cell r="C366" t="str">
            <v>TGM-25-2806X2BL-L</v>
          </cell>
          <cell r="E366" t="str">
            <v>CKD</v>
          </cell>
          <cell r="F366" t="str">
            <v>2018-06-09</v>
          </cell>
          <cell r="G366">
            <v>15.8</v>
          </cell>
          <cell r="H366">
            <v>43144</v>
          </cell>
          <cell r="J366">
            <v>1380000</v>
          </cell>
          <cell r="P366">
            <v>1097250</v>
          </cell>
          <cell r="R366">
            <v>1045000</v>
          </cell>
          <cell r="S366">
            <v>1405000</v>
          </cell>
          <cell r="Y366">
            <v>1123500</v>
          </cell>
          <cell r="AA366">
            <v>1070000</v>
          </cell>
        </row>
        <row r="367">
          <cell r="B367">
            <v>49247</v>
          </cell>
          <cell r="C367" t="str">
            <v>TGM-25-2806X2BL-L</v>
          </cell>
          <cell r="E367" t="str">
            <v>CKD</v>
          </cell>
          <cell r="F367" t="str">
            <v>2018-06-09</v>
          </cell>
          <cell r="G367">
            <v>15.8</v>
          </cell>
          <cell r="H367">
            <v>43144</v>
          </cell>
          <cell r="J367">
            <v>1380000</v>
          </cell>
          <cell r="P367">
            <v>1097250</v>
          </cell>
          <cell r="R367">
            <v>1045000</v>
          </cell>
          <cell r="S367">
            <v>1405000</v>
          </cell>
          <cell r="Y367">
            <v>1123500</v>
          </cell>
          <cell r="AA367">
            <v>1070000</v>
          </cell>
        </row>
        <row r="368">
          <cell r="B368">
            <v>49248</v>
          </cell>
          <cell r="C368" t="str">
            <v>TGM-25-2806X2BL-L</v>
          </cell>
          <cell r="E368" t="str">
            <v>CKD</v>
          </cell>
          <cell r="F368" t="str">
            <v>2018-06-09</v>
          </cell>
          <cell r="G368">
            <v>15.8</v>
          </cell>
          <cell r="H368">
            <v>43144</v>
          </cell>
          <cell r="J368">
            <v>1380000</v>
          </cell>
          <cell r="P368">
            <v>1097250</v>
          </cell>
          <cell r="R368">
            <v>1045000</v>
          </cell>
          <cell r="S368">
            <v>1405000</v>
          </cell>
          <cell r="Y368">
            <v>1123500</v>
          </cell>
          <cell r="AA368">
            <v>1070000</v>
          </cell>
        </row>
        <row r="369">
          <cell r="B369">
            <v>49249</v>
          </cell>
          <cell r="C369" t="str">
            <v>TGM-25-2806X2BL-L</v>
          </cell>
          <cell r="E369" t="str">
            <v>CKD</v>
          </cell>
          <cell r="F369" t="str">
            <v>2018-06-09</v>
          </cell>
          <cell r="G369">
            <v>15.8</v>
          </cell>
          <cell r="H369">
            <v>43144</v>
          </cell>
          <cell r="J369">
            <v>1380000</v>
          </cell>
          <cell r="P369">
            <v>1097250</v>
          </cell>
          <cell r="R369">
            <v>1045000</v>
          </cell>
          <cell r="S369">
            <v>1405000</v>
          </cell>
          <cell r="Y369">
            <v>1123500</v>
          </cell>
          <cell r="AA369">
            <v>1070000</v>
          </cell>
        </row>
        <row r="370">
          <cell r="B370">
            <v>49250</v>
          </cell>
          <cell r="C370" t="str">
            <v>TGM-25-2806X2BL-L</v>
          </cell>
          <cell r="E370" t="str">
            <v>CKD</v>
          </cell>
          <cell r="F370" t="str">
            <v>2018-06-16</v>
          </cell>
          <cell r="G370">
            <v>15.8</v>
          </cell>
          <cell r="H370">
            <v>43144</v>
          </cell>
          <cell r="J370">
            <v>1380000</v>
          </cell>
          <cell r="P370">
            <v>1097250</v>
          </cell>
          <cell r="R370">
            <v>1045000</v>
          </cell>
          <cell r="S370">
            <v>1405000</v>
          </cell>
          <cell r="Y370">
            <v>1123500</v>
          </cell>
          <cell r="AA370">
            <v>1070000</v>
          </cell>
        </row>
        <row r="371">
          <cell r="B371">
            <v>49251</v>
          </cell>
          <cell r="C371" t="str">
            <v>TGM-25-2806X2BL-L</v>
          </cell>
          <cell r="E371" t="str">
            <v>CKD</v>
          </cell>
          <cell r="F371" t="str">
            <v>2018-06-16</v>
          </cell>
          <cell r="G371">
            <v>15.8</v>
          </cell>
          <cell r="H371">
            <v>43144</v>
          </cell>
          <cell r="J371">
            <v>1380000</v>
          </cell>
          <cell r="P371">
            <v>1097250</v>
          </cell>
          <cell r="R371">
            <v>1045000</v>
          </cell>
          <cell r="S371">
            <v>1405000</v>
          </cell>
          <cell r="Y371">
            <v>1123500</v>
          </cell>
          <cell r="AA371">
            <v>1070000</v>
          </cell>
        </row>
        <row r="372">
          <cell r="B372">
            <v>49252</v>
          </cell>
          <cell r="C372" t="str">
            <v>TGM-25-2806X2BL-L</v>
          </cell>
          <cell r="E372" t="str">
            <v>CKD</v>
          </cell>
          <cell r="F372" t="str">
            <v>2018-06-16</v>
          </cell>
          <cell r="G372">
            <v>15.8</v>
          </cell>
          <cell r="H372">
            <v>43144</v>
          </cell>
          <cell r="J372">
            <v>1380000</v>
          </cell>
          <cell r="P372">
            <v>1097250</v>
          </cell>
          <cell r="R372">
            <v>1045000</v>
          </cell>
          <cell r="S372">
            <v>1405000</v>
          </cell>
          <cell r="Y372">
            <v>1123500</v>
          </cell>
          <cell r="AA372">
            <v>1070000</v>
          </cell>
        </row>
        <row r="373">
          <cell r="B373">
            <v>49253</v>
          </cell>
          <cell r="C373" t="str">
            <v>TGM-25-2806X2BL-L</v>
          </cell>
          <cell r="E373" t="str">
            <v>CKD</v>
          </cell>
          <cell r="F373" t="str">
            <v>2018-06-16</v>
          </cell>
          <cell r="G373">
            <v>15.8</v>
          </cell>
          <cell r="H373">
            <v>43144</v>
          </cell>
          <cell r="J373">
            <v>1380000</v>
          </cell>
          <cell r="P373">
            <v>1097250</v>
          </cell>
          <cell r="R373">
            <v>1045000</v>
          </cell>
          <cell r="S373">
            <v>1405000</v>
          </cell>
          <cell r="Y373">
            <v>1123500</v>
          </cell>
          <cell r="AA373">
            <v>1070000</v>
          </cell>
        </row>
        <row r="374">
          <cell r="B374" t="str">
            <v>N65-0839</v>
          </cell>
          <cell r="C374" t="str">
            <v>TGM-25-2806X2BL-L</v>
          </cell>
          <cell r="E374" t="str">
            <v>CKD</v>
          </cell>
          <cell r="F374" t="str">
            <v>2018-03-30</v>
          </cell>
          <cell r="G374">
            <v>15.3</v>
          </cell>
          <cell r="H374">
            <v>42978</v>
          </cell>
          <cell r="J374">
            <v>1380000</v>
          </cell>
          <cell r="P374">
            <v>1048950</v>
          </cell>
          <cell r="R374">
            <v>999000</v>
          </cell>
          <cell r="S374">
            <v>1405000</v>
          </cell>
          <cell r="Y374">
            <v>1075200</v>
          </cell>
          <cell r="AA374">
            <v>1024000</v>
          </cell>
        </row>
        <row r="375">
          <cell r="B375" t="str">
            <v>N65-0840</v>
          </cell>
          <cell r="C375" t="str">
            <v>TGM-25-2806X2BL-L</v>
          </cell>
          <cell r="E375" t="str">
            <v>CKD</v>
          </cell>
          <cell r="F375" t="str">
            <v>2018-03-30</v>
          </cell>
          <cell r="G375">
            <v>15.3</v>
          </cell>
          <cell r="H375">
            <v>42978</v>
          </cell>
          <cell r="J375">
            <v>1380000</v>
          </cell>
          <cell r="P375">
            <v>1048950</v>
          </cell>
          <cell r="R375">
            <v>999000</v>
          </cell>
          <cell r="S375">
            <v>1405000</v>
          </cell>
          <cell r="Y375">
            <v>1075200</v>
          </cell>
          <cell r="AA375">
            <v>1024000</v>
          </cell>
        </row>
        <row r="376">
          <cell r="B376" t="str">
            <v>N65-0875</v>
          </cell>
          <cell r="C376" t="str">
            <v>TGM-25-2806X2BL-L</v>
          </cell>
          <cell r="E376" t="str">
            <v>SOLD</v>
          </cell>
          <cell r="F376">
            <v>28</v>
          </cell>
          <cell r="G376">
            <v>14.7</v>
          </cell>
          <cell r="H376">
            <v>42937</v>
          </cell>
          <cell r="J376">
            <v>1380000</v>
          </cell>
          <cell r="P376">
            <v>1097250</v>
          </cell>
          <cell r="R376">
            <v>1045000</v>
          </cell>
          <cell r="S376">
            <v>1405000</v>
          </cell>
          <cell r="Y376">
            <v>1123500</v>
          </cell>
          <cell r="AA376">
            <v>1070000</v>
          </cell>
        </row>
        <row r="377">
          <cell r="B377" t="str">
            <v>N65-0876</v>
          </cell>
          <cell r="C377" t="str">
            <v>TGM-25-2806X2BL-L</v>
          </cell>
          <cell r="E377" t="str">
            <v>SOLD</v>
          </cell>
          <cell r="F377">
            <v>17</v>
          </cell>
          <cell r="G377">
            <v>14.7</v>
          </cell>
          <cell r="H377">
            <v>42937</v>
          </cell>
          <cell r="J377">
            <v>1380000</v>
          </cell>
          <cell r="P377">
            <v>1097250</v>
          </cell>
          <cell r="R377">
            <v>1045000</v>
          </cell>
          <cell r="S377">
            <v>1405000</v>
          </cell>
          <cell r="Y377">
            <v>1123500</v>
          </cell>
          <cell r="AA377">
            <v>1070000</v>
          </cell>
        </row>
        <row r="378">
          <cell r="B378" t="str">
            <v>N65-0877</v>
          </cell>
          <cell r="C378" t="str">
            <v>TGM-25-2806X2BL-L</v>
          </cell>
          <cell r="E378" t="str">
            <v>CKD</v>
          </cell>
          <cell r="F378" t="str">
            <v>2018-02-08</v>
          </cell>
          <cell r="G378">
            <v>14.7</v>
          </cell>
          <cell r="H378">
            <v>42937</v>
          </cell>
          <cell r="J378">
            <v>1380000</v>
          </cell>
          <cell r="P378">
            <v>1097250</v>
          </cell>
          <cell r="R378">
            <v>1045000</v>
          </cell>
          <cell r="S378">
            <v>1405000</v>
          </cell>
          <cell r="Y378">
            <v>1123500</v>
          </cell>
          <cell r="AA378">
            <v>1070000</v>
          </cell>
        </row>
        <row r="379">
          <cell r="B379" t="str">
            <v>N65-0878</v>
          </cell>
          <cell r="C379" t="str">
            <v>TGM-25-2806X2BL-L</v>
          </cell>
          <cell r="E379" t="str">
            <v>SOLD</v>
          </cell>
          <cell r="F379">
            <v>6</v>
          </cell>
          <cell r="G379">
            <v>14.7</v>
          </cell>
          <cell r="H379">
            <v>42937</v>
          </cell>
          <cell r="J379">
            <v>1380000</v>
          </cell>
          <cell r="P379">
            <v>1097250</v>
          </cell>
          <cell r="R379">
            <v>1045000</v>
          </cell>
          <cell r="S379">
            <v>1405000</v>
          </cell>
          <cell r="Y379">
            <v>1123500</v>
          </cell>
          <cell r="AA379">
            <v>1070000</v>
          </cell>
        </row>
        <row r="380">
          <cell r="B380" t="str">
            <v>N65-0881</v>
          </cell>
          <cell r="C380" t="str">
            <v>TGM-25-2806X2BL-L</v>
          </cell>
          <cell r="E380" t="str">
            <v>CKD</v>
          </cell>
          <cell r="F380" t="str">
            <v>2018-03-30</v>
          </cell>
          <cell r="G380">
            <v>14.7</v>
          </cell>
          <cell r="H380">
            <v>42947</v>
          </cell>
          <cell r="J380">
            <v>1380000</v>
          </cell>
          <cell r="P380">
            <v>1048950</v>
          </cell>
          <cell r="R380">
            <v>999000</v>
          </cell>
          <cell r="S380">
            <v>1405000</v>
          </cell>
          <cell r="Y380">
            <v>1075200</v>
          </cell>
          <cell r="AA380">
            <v>1024000</v>
          </cell>
        </row>
        <row r="381">
          <cell r="B381" t="str">
            <v>N65-0882</v>
          </cell>
          <cell r="C381" t="str">
            <v>TGM-25-2806X2BL-L</v>
          </cell>
          <cell r="E381" t="str">
            <v>CKD</v>
          </cell>
          <cell r="F381" t="str">
            <v>2018-03-30</v>
          </cell>
          <cell r="G381">
            <v>14.7</v>
          </cell>
          <cell r="H381">
            <v>42947</v>
          </cell>
          <cell r="J381">
            <v>1380000</v>
          </cell>
          <cell r="P381">
            <v>1097250</v>
          </cell>
          <cell r="R381">
            <v>1045000</v>
          </cell>
          <cell r="S381">
            <v>1405000</v>
          </cell>
          <cell r="Y381">
            <v>1123500</v>
          </cell>
          <cell r="AA381">
            <v>1070000</v>
          </cell>
        </row>
        <row r="382">
          <cell r="B382" t="str">
            <v>N65-0885</v>
          </cell>
          <cell r="C382" t="str">
            <v>TGM-25-2806X2BL-L</v>
          </cell>
          <cell r="E382" t="str">
            <v>CKD</v>
          </cell>
          <cell r="F382" t="str">
            <v>2018-03-30</v>
          </cell>
          <cell r="G382">
            <v>15.3</v>
          </cell>
          <cell r="H382">
            <v>42978</v>
          </cell>
          <cell r="J382">
            <v>1380000</v>
          </cell>
          <cell r="P382">
            <v>1097250</v>
          </cell>
          <cell r="R382">
            <v>1045000</v>
          </cell>
          <cell r="S382">
            <v>1405000</v>
          </cell>
          <cell r="Y382">
            <v>1123500</v>
          </cell>
          <cell r="AA382">
            <v>1070000</v>
          </cell>
        </row>
        <row r="383">
          <cell r="B383" t="str">
            <v>N65-0887</v>
          </cell>
          <cell r="C383" t="str">
            <v>TGM-25-2806X2BL-L</v>
          </cell>
          <cell r="E383" t="str">
            <v>CKD</v>
          </cell>
          <cell r="F383" t="str">
            <v>2018-04-30</v>
          </cell>
          <cell r="G383">
            <v>15.3</v>
          </cell>
          <cell r="H383">
            <v>42978</v>
          </cell>
          <cell r="J383">
            <v>1380000</v>
          </cell>
          <cell r="P383">
            <v>1048950</v>
          </cell>
          <cell r="R383">
            <v>999000</v>
          </cell>
          <cell r="S383">
            <v>1405000</v>
          </cell>
          <cell r="Y383">
            <v>1075200</v>
          </cell>
          <cell r="AA383">
            <v>1024000</v>
          </cell>
        </row>
        <row r="384">
          <cell r="B384" t="str">
            <v>N65-0931</v>
          </cell>
          <cell r="C384" t="str">
            <v>TGM-25-2806X2BL-L</v>
          </cell>
          <cell r="E384" t="str">
            <v>CKD</v>
          </cell>
          <cell r="F384" t="str">
            <v>2018-04-30</v>
          </cell>
          <cell r="G384">
            <v>15.3</v>
          </cell>
          <cell r="H384">
            <v>42978</v>
          </cell>
          <cell r="J384">
            <v>1380000</v>
          </cell>
          <cell r="P384">
            <v>1048950</v>
          </cell>
          <cell r="R384">
            <v>999000</v>
          </cell>
          <cell r="S384">
            <v>1405000</v>
          </cell>
          <cell r="Y384">
            <v>1075200</v>
          </cell>
          <cell r="AA384">
            <v>1024000</v>
          </cell>
        </row>
        <row r="385">
          <cell r="B385" t="str">
            <v>N65-0933</v>
          </cell>
          <cell r="C385" t="str">
            <v>TGM-25-2806X2BL-L</v>
          </cell>
          <cell r="E385" t="str">
            <v>CKD</v>
          </cell>
          <cell r="F385" t="str">
            <v>2018-04-30</v>
          </cell>
          <cell r="G385">
            <v>15.3</v>
          </cell>
          <cell r="H385">
            <v>42978</v>
          </cell>
          <cell r="J385">
            <v>1380000</v>
          </cell>
          <cell r="P385">
            <v>1048950</v>
          </cell>
          <cell r="R385">
            <v>999000</v>
          </cell>
          <cell r="S385">
            <v>1405000</v>
          </cell>
          <cell r="Y385">
            <v>1075200</v>
          </cell>
          <cell r="AA385">
            <v>1024000</v>
          </cell>
        </row>
        <row r="386">
          <cell r="B386" t="str">
            <v>N65-0936</v>
          </cell>
          <cell r="C386" t="str">
            <v>TGM-25-2806X2BL-L</v>
          </cell>
          <cell r="E386" t="str">
            <v>CKD</v>
          </cell>
          <cell r="F386" t="str">
            <v>2018-04-30</v>
          </cell>
          <cell r="G386">
            <v>15.3</v>
          </cell>
          <cell r="H386">
            <v>42978</v>
          </cell>
          <cell r="J386">
            <v>1380000</v>
          </cell>
          <cell r="P386">
            <v>1048950</v>
          </cell>
          <cell r="R386">
            <v>999000</v>
          </cell>
          <cell r="S386">
            <v>1405000</v>
          </cell>
          <cell r="Y386">
            <v>1075200</v>
          </cell>
          <cell r="AA386">
            <v>1024000</v>
          </cell>
        </row>
        <row r="387">
          <cell r="B387" t="str">
            <v>N65-1031</v>
          </cell>
          <cell r="C387" t="str">
            <v>TGM-25-2806X2BL-L</v>
          </cell>
          <cell r="E387" t="str">
            <v>CKD</v>
          </cell>
          <cell r="F387" t="str">
            <v>2018-03-30</v>
          </cell>
          <cell r="G387">
            <v>14.7</v>
          </cell>
          <cell r="H387">
            <v>42947</v>
          </cell>
          <cell r="J387">
            <v>1380000</v>
          </cell>
          <cell r="P387">
            <v>1097250</v>
          </cell>
          <cell r="R387">
            <v>1045000</v>
          </cell>
          <cell r="S387">
            <v>1405000</v>
          </cell>
          <cell r="Y387">
            <v>1123500</v>
          </cell>
          <cell r="AA387">
            <v>1070000</v>
          </cell>
        </row>
        <row r="388">
          <cell r="B388" t="str">
            <v>N65-1032</v>
          </cell>
          <cell r="C388" t="str">
            <v>TGM-25-2806X2BL-L</v>
          </cell>
          <cell r="E388" t="str">
            <v>CKD</v>
          </cell>
          <cell r="F388" t="str">
            <v>2018-03-30</v>
          </cell>
          <cell r="G388">
            <v>14.7</v>
          </cell>
          <cell r="H388">
            <v>42947</v>
          </cell>
          <cell r="J388">
            <v>1380000</v>
          </cell>
          <cell r="P388">
            <v>1097250</v>
          </cell>
          <cell r="R388">
            <v>1045000</v>
          </cell>
          <cell r="S388">
            <v>1405000</v>
          </cell>
          <cell r="Y388">
            <v>1123500</v>
          </cell>
          <cell r="AA388">
            <v>1070000</v>
          </cell>
        </row>
        <row r="389">
          <cell r="B389" t="str">
            <v>N65-1034</v>
          </cell>
          <cell r="C389" t="str">
            <v>TGM-25-2806X2BL-L</v>
          </cell>
          <cell r="E389" t="str">
            <v>CKD</v>
          </cell>
          <cell r="F389" t="str">
            <v>2018-04-30</v>
          </cell>
          <cell r="G389">
            <v>15.3</v>
          </cell>
          <cell r="H389">
            <v>42978</v>
          </cell>
          <cell r="J389">
            <v>1380000</v>
          </cell>
          <cell r="P389">
            <v>1097250</v>
          </cell>
          <cell r="R389">
            <v>1045000</v>
          </cell>
          <cell r="S389">
            <v>1405000</v>
          </cell>
          <cell r="Y389">
            <v>1123500</v>
          </cell>
          <cell r="AA389">
            <v>1070000</v>
          </cell>
        </row>
        <row r="390">
          <cell r="B390" t="str">
            <v>N65-1037</v>
          </cell>
          <cell r="C390" t="str">
            <v>TGM-25-2806X2BL-L</v>
          </cell>
          <cell r="E390" t="str">
            <v>CKD</v>
          </cell>
          <cell r="F390" t="str">
            <v>2018-04-30</v>
          </cell>
          <cell r="G390">
            <v>15.3</v>
          </cell>
          <cell r="H390">
            <v>42978</v>
          </cell>
          <cell r="J390">
            <v>1380000</v>
          </cell>
          <cell r="P390">
            <v>1097250</v>
          </cell>
          <cell r="R390">
            <v>1045000</v>
          </cell>
          <cell r="S390">
            <v>1405000</v>
          </cell>
          <cell r="Y390">
            <v>1123500</v>
          </cell>
          <cell r="AA390">
            <v>1070000</v>
          </cell>
        </row>
        <row r="391">
          <cell r="B391" t="str">
            <v>N65-1038</v>
          </cell>
          <cell r="C391" t="str">
            <v>TGM-25-2806X2BL-L</v>
          </cell>
          <cell r="E391" t="str">
            <v>CKD</v>
          </cell>
          <cell r="F391" t="str">
            <v>2018-04-30</v>
          </cell>
          <cell r="G391">
            <v>15.3</v>
          </cell>
          <cell r="H391">
            <v>42978</v>
          </cell>
          <cell r="J391">
            <v>1380000</v>
          </cell>
          <cell r="P391">
            <v>1097250</v>
          </cell>
          <cell r="R391">
            <v>1045000</v>
          </cell>
          <cell r="S391">
            <v>1405000</v>
          </cell>
          <cell r="Y391">
            <v>1123500</v>
          </cell>
          <cell r="AA391">
            <v>1070000</v>
          </cell>
        </row>
        <row r="392">
          <cell r="B392" t="str">
            <v>N65-1071</v>
          </cell>
          <cell r="C392" t="str">
            <v>TGM-25-2806X2BL-L</v>
          </cell>
          <cell r="E392" t="str">
            <v>CKD</v>
          </cell>
          <cell r="F392" t="str">
            <v>2018-04-30</v>
          </cell>
          <cell r="G392">
            <v>15.3</v>
          </cell>
          <cell r="H392">
            <v>42978</v>
          </cell>
          <cell r="J392">
            <v>1380000</v>
          </cell>
          <cell r="P392">
            <v>1097250</v>
          </cell>
          <cell r="R392">
            <v>1045000</v>
          </cell>
          <cell r="S392">
            <v>1405000</v>
          </cell>
          <cell r="Y392">
            <v>1123500</v>
          </cell>
          <cell r="AA392">
            <v>1070000</v>
          </cell>
        </row>
        <row r="393">
          <cell r="B393" t="str">
            <v>N65-1076</v>
          </cell>
          <cell r="C393" t="str">
            <v>TGM-25-2806X2BL-L</v>
          </cell>
          <cell r="E393" t="str">
            <v>CKD</v>
          </cell>
          <cell r="F393" t="str">
            <v>2018-04-30</v>
          </cell>
          <cell r="G393">
            <v>15.3</v>
          </cell>
          <cell r="H393">
            <v>42978</v>
          </cell>
          <cell r="J393">
            <v>1380000</v>
          </cell>
          <cell r="P393">
            <v>1097250</v>
          </cell>
          <cell r="R393">
            <v>1045000</v>
          </cell>
          <cell r="S393">
            <v>1405000</v>
          </cell>
          <cell r="Y393">
            <v>1123500</v>
          </cell>
          <cell r="AA393">
            <v>1070000</v>
          </cell>
        </row>
        <row r="394">
          <cell r="B394" t="str">
            <v>N65-1078</v>
          </cell>
          <cell r="C394" t="str">
            <v>TGM-25-2806X2BL-L</v>
          </cell>
          <cell r="E394" t="str">
            <v>CKD</v>
          </cell>
          <cell r="F394" t="str">
            <v>2018-04-30</v>
          </cell>
          <cell r="G394">
            <v>15.3</v>
          </cell>
          <cell r="H394">
            <v>42978</v>
          </cell>
          <cell r="J394">
            <v>1380000</v>
          </cell>
          <cell r="P394">
            <v>1097250</v>
          </cell>
          <cell r="R394">
            <v>1045000</v>
          </cell>
          <cell r="S394">
            <v>1405000</v>
          </cell>
          <cell r="Y394">
            <v>1123500</v>
          </cell>
          <cell r="AA394">
            <v>1070000</v>
          </cell>
        </row>
        <row r="395">
          <cell r="B395" t="str">
            <v>N65-1081</v>
          </cell>
          <cell r="C395" t="str">
            <v>TGM-25-2806X2BL-L</v>
          </cell>
          <cell r="E395" t="str">
            <v>CKD</v>
          </cell>
          <cell r="F395" t="str">
            <v>2018-03-30</v>
          </cell>
          <cell r="G395">
            <v>15.3</v>
          </cell>
          <cell r="H395">
            <v>42978</v>
          </cell>
          <cell r="J395">
            <v>1380000</v>
          </cell>
          <cell r="P395">
            <v>1097250</v>
          </cell>
          <cell r="R395">
            <v>1045000</v>
          </cell>
          <cell r="S395">
            <v>1405000</v>
          </cell>
          <cell r="Y395">
            <v>1123500</v>
          </cell>
          <cell r="AA395">
            <v>1070000</v>
          </cell>
        </row>
        <row r="396">
          <cell r="B396" t="str">
            <v>N65-1124</v>
          </cell>
          <cell r="C396" t="str">
            <v>TGM-25-2806X2BL-L</v>
          </cell>
          <cell r="E396" t="str">
            <v>CKD</v>
          </cell>
          <cell r="F396" t="str">
            <v>2018-03-30</v>
          </cell>
          <cell r="G396">
            <v>15.3</v>
          </cell>
          <cell r="H396">
            <v>42978</v>
          </cell>
          <cell r="J396">
            <v>1380000</v>
          </cell>
          <cell r="P396">
            <v>1097250</v>
          </cell>
          <cell r="R396">
            <v>1045000</v>
          </cell>
          <cell r="S396">
            <v>1405000</v>
          </cell>
          <cell r="Y396">
            <v>1123500</v>
          </cell>
          <cell r="AA396">
            <v>1070000</v>
          </cell>
        </row>
        <row r="397">
          <cell r="B397" t="str">
            <v>N65-1128</v>
          </cell>
          <cell r="C397" t="str">
            <v>TGM-25-2806X2BL-L</v>
          </cell>
          <cell r="E397" t="str">
            <v>CKD</v>
          </cell>
          <cell r="F397" t="str">
            <v>2018-03-30</v>
          </cell>
          <cell r="G397">
            <v>15.3</v>
          </cell>
          <cell r="H397">
            <v>42978</v>
          </cell>
          <cell r="J397">
            <v>1380000</v>
          </cell>
          <cell r="P397">
            <v>1097250</v>
          </cell>
          <cell r="R397">
            <v>1045000</v>
          </cell>
          <cell r="S397">
            <v>1405000</v>
          </cell>
          <cell r="Y397">
            <v>1123500</v>
          </cell>
          <cell r="AA397">
            <v>1070000</v>
          </cell>
        </row>
        <row r="398">
          <cell r="B398" t="str">
            <v>N65-1129</v>
          </cell>
          <cell r="C398" t="str">
            <v>TGM-25-2806X2BL-L</v>
          </cell>
          <cell r="E398" t="str">
            <v>CKD</v>
          </cell>
          <cell r="F398" t="str">
            <v>2018-03-30</v>
          </cell>
          <cell r="G398">
            <v>15.3</v>
          </cell>
          <cell r="H398">
            <v>42978</v>
          </cell>
          <cell r="J398">
            <v>1380000</v>
          </cell>
          <cell r="P398">
            <v>1097250</v>
          </cell>
          <cell r="R398">
            <v>1045000</v>
          </cell>
          <cell r="S398">
            <v>1405000</v>
          </cell>
          <cell r="Y398">
            <v>1123500</v>
          </cell>
          <cell r="AA398">
            <v>1070000</v>
          </cell>
        </row>
        <row r="399">
          <cell r="B399" t="str">
            <v>N65-1135</v>
          </cell>
          <cell r="C399" t="str">
            <v>TGM-25-2806X2BL-L</v>
          </cell>
          <cell r="E399" t="str">
            <v>CKD</v>
          </cell>
          <cell r="F399" t="str">
            <v>2018-03-30</v>
          </cell>
          <cell r="G399">
            <v>15.3</v>
          </cell>
          <cell r="H399">
            <v>42978</v>
          </cell>
          <cell r="J399">
            <v>1380000</v>
          </cell>
          <cell r="P399">
            <v>1097250</v>
          </cell>
          <cell r="R399">
            <v>1045000</v>
          </cell>
          <cell r="S399">
            <v>1405000</v>
          </cell>
          <cell r="Y399">
            <v>1123500</v>
          </cell>
          <cell r="AA399">
            <v>1070000</v>
          </cell>
        </row>
        <row r="400">
          <cell r="B400" t="str">
            <v>N65-1136</v>
          </cell>
          <cell r="C400" t="str">
            <v>TGM-25-2806X2BL-L</v>
          </cell>
          <cell r="E400" t="str">
            <v>CKD</v>
          </cell>
          <cell r="F400" t="str">
            <v>2018-03-30</v>
          </cell>
          <cell r="G400">
            <v>15.3</v>
          </cell>
          <cell r="H400">
            <v>42978</v>
          </cell>
          <cell r="J400">
            <v>1380000</v>
          </cell>
          <cell r="P400">
            <v>1097250</v>
          </cell>
          <cell r="R400">
            <v>1045000</v>
          </cell>
          <cell r="S400">
            <v>1405000</v>
          </cell>
          <cell r="Y400">
            <v>1123500</v>
          </cell>
          <cell r="AA400">
            <v>1070000</v>
          </cell>
        </row>
        <row r="401">
          <cell r="B401" t="str">
            <v>N65-1137</v>
          </cell>
          <cell r="C401" t="str">
            <v>TGM-25-2806X2BL-L</v>
          </cell>
          <cell r="E401" t="str">
            <v>CKD</v>
          </cell>
          <cell r="F401" t="str">
            <v>2018-04-30</v>
          </cell>
          <cell r="G401">
            <v>15.3</v>
          </cell>
          <cell r="H401">
            <v>42978</v>
          </cell>
          <cell r="J401">
            <v>1380000</v>
          </cell>
          <cell r="P401">
            <v>1097250</v>
          </cell>
          <cell r="R401">
            <v>1045000</v>
          </cell>
          <cell r="S401">
            <v>1405000</v>
          </cell>
          <cell r="Y401">
            <v>1123500</v>
          </cell>
          <cell r="AA401">
            <v>1070000</v>
          </cell>
        </row>
        <row r="402">
          <cell r="B402" t="str">
            <v>N65-1150</v>
          </cell>
          <cell r="C402" t="str">
            <v>TGM-25-2806X2BL-L</v>
          </cell>
          <cell r="E402" t="str">
            <v>CKD</v>
          </cell>
          <cell r="F402" t="str">
            <v>2018-02-28</v>
          </cell>
          <cell r="G402">
            <v>14.7</v>
          </cell>
          <cell r="H402">
            <v>42947</v>
          </cell>
          <cell r="J402">
            <v>1380000</v>
          </cell>
          <cell r="P402">
            <v>1097250</v>
          </cell>
          <cell r="R402">
            <v>1045000</v>
          </cell>
          <cell r="S402">
            <v>1405000</v>
          </cell>
          <cell r="Y402">
            <v>1123500</v>
          </cell>
          <cell r="AA402">
            <v>1070000</v>
          </cell>
        </row>
        <row r="403">
          <cell r="B403" t="str">
            <v>N65-1210</v>
          </cell>
          <cell r="C403" t="str">
            <v>TGM-25-2806X2BL-L</v>
          </cell>
          <cell r="E403" t="str">
            <v>CKD</v>
          </cell>
          <cell r="F403" t="str">
            <v>2018-02-27</v>
          </cell>
          <cell r="G403">
            <v>14.7</v>
          </cell>
          <cell r="H403">
            <v>42947</v>
          </cell>
          <cell r="J403">
            <v>1380000</v>
          </cell>
          <cell r="P403">
            <v>1097250</v>
          </cell>
          <cell r="R403">
            <v>1045000</v>
          </cell>
          <cell r="S403">
            <v>1405000</v>
          </cell>
          <cell r="Y403">
            <v>1123500</v>
          </cell>
          <cell r="AA403">
            <v>1070000</v>
          </cell>
        </row>
        <row r="404">
          <cell r="B404" t="str">
            <v>N65-1214</v>
          </cell>
          <cell r="C404" t="str">
            <v>TGM-25-2806X2BL-L</v>
          </cell>
          <cell r="E404" t="str">
            <v>CKD</v>
          </cell>
          <cell r="F404" t="str">
            <v>2018-02-28</v>
          </cell>
          <cell r="G404">
            <v>14.7</v>
          </cell>
          <cell r="H404">
            <v>42947</v>
          </cell>
          <cell r="J404">
            <v>1380000</v>
          </cell>
          <cell r="P404">
            <v>1097250</v>
          </cell>
          <cell r="R404">
            <v>1045000</v>
          </cell>
          <cell r="S404">
            <v>1405000</v>
          </cell>
          <cell r="Y404">
            <v>1123500</v>
          </cell>
          <cell r="AA404">
            <v>1070000</v>
          </cell>
        </row>
        <row r="405">
          <cell r="B405" t="str">
            <v>N65-1215</v>
          </cell>
          <cell r="C405" t="str">
            <v>TGM-25-2806X2BL-L</v>
          </cell>
          <cell r="E405" t="str">
            <v>CKD</v>
          </cell>
          <cell r="F405" t="str">
            <v>2018-02-28</v>
          </cell>
          <cell r="G405">
            <v>14.7</v>
          </cell>
          <cell r="H405">
            <v>42947</v>
          </cell>
          <cell r="J405">
            <v>1380000</v>
          </cell>
          <cell r="P405">
            <v>1097250</v>
          </cell>
          <cell r="R405">
            <v>1045000</v>
          </cell>
          <cell r="S405">
            <v>1405000</v>
          </cell>
          <cell r="Y405">
            <v>1123500</v>
          </cell>
          <cell r="AA405">
            <v>1070000</v>
          </cell>
        </row>
        <row r="406">
          <cell r="B406" t="str">
            <v>N65-1216</v>
          </cell>
          <cell r="C406" t="str">
            <v>TGM-25-2806X2BL-L</v>
          </cell>
          <cell r="E406" t="str">
            <v>CKD</v>
          </cell>
          <cell r="F406" t="str">
            <v>2018-02-28</v>
          </cell>
          <cell r="G406">
            <v>14.7</v>
          </cell>
          <cell r="H406">
            <v>42947</v>
          </cell>
          <cell r="J406">
            <v>1380000</v>
          </cell>
          <cell r="P406">
            <v>1097250</v>
          </cell>
          <cell r="R406">
            <v>1045000</v>
          </cell>
          <cell r="S406">
            <v>1405000</v>
          </cell>
          <cell r="Y406">
            <v>1123500</v>
          </cell>
          <cell r="AA406">
            <v>1070000</v>
          </cell>
        </row>
        <row r="407">
          <cell r="B407" t="str">
            <v>N65-1217</v>
          </cell>
          <cell r="C407" t="str">
            <v>TGM-25-2806X2BL-L</v>
          </cell>
          <cell r="E407" t="str">
            <v>CKD</v>
          </cell>
          <cell r="F407" t="str">
            <v>2018-02-28</v>
          </cell>
          <cell r="G407">
            <v>14.7</v>
          </cell>
          <cell r="H407">
            <v>42947</v>
          </cell>
          <cell r="J407">
            <v>1380000</v>
          </cell>
          <cell r="P407">
            <v>1097250</v>
          </cell>
          <cell r="R407">
            <v>1045000</v>
          </cell>
          <cell r="S407">
            <v>1405000</v>
          </cell>
          <cell r="Y407">
            <v>1123500</v>
          </cell>
          <cell r="AA407">
            <v>1070000</v>
          </cell>
        </row>
        <row r="408">
          <cell r="B408" t="str">
            <v>N65-1218</v>
          </cell>
          <cell r="C408" t="str">
            <v>TGM-25-2806X2BL-L</v>
          </cell>
          <cell r="E408" t="str">
            <v>CKD</v>
          </cell>
          <cell r="F408" t="str">
            <v>2018-02-28</v>
          </cell>
          <cell r="G408">
            <v>14.7</v>
          </cell>
          <cell r="H408">
            <v>42947</v>
          </cell>
          <cell r="J408">
            <v>1380000</v>
          </cell>
          <cell r="P408">
            <v>1097250</v>
          </cell>
          <cell r="R408">
            <v>1045000</v>
          </cell>
          <cell r="S408">
            <v>1405000</v>
          </cell>
          <cell r="Y408">
            <v>1123500</v>
          </cell>
          <cell r="AA408">
            <v>1070000</v>
          </cell>
        </row>
        <row r="409">
          <cell r="B409" t="str">
            <v>N65-1222</v>
          </cell>
          <cell r="C409" t="str">
            <v>TGM-25-2806X2BL-L</v>
          </cell>
          <cell r="E409" t="str">
            <v>CKD</v>
          </cell>
          <cell r="F409" t="str">
            <v>2018-02-27</v>
          </cell>
          <cell r="G409">
            <v>14.7</v>
          </cell>
          <cell r="H409">
            <v>42947</v>
          </cell>
          <cell r="J409">
            <v>1380000</v>
          </cell>
          <cell r="P409">
            <v>1097250</v>
          </cell>
          <cell r="R409">
            <v>1045000</v>
          </cell>
          <cell r="S409">
            <v>1405000</v>
          </cell>
          <cell r="Y409">
            <v>1123500</v>
          </cell>
          <cell r="AA409">
            <v>1070000</v>
          </cell>
        </row>
        <row r="410">
          <cell r="B410" t="str">
            <v>N65-1225</v>
          </cell>
          <cell r="C410" t="str">
            <v>TGM-25-2806X2BL-L</v>
          </cell>
          <cell r="E410" t="str">
            <v>CKD</v>
          </cell>
          <cell r="F410" t="str">
            <v>2018-02-27</v>
          </cell>
          <cell r="G410">
            <v>15.3</v>
          </cell>
          <cell r="H410">
            <v>42978</v>
          </cell>
          <cell r="J410">
            <v>1380000</v>
          </cell>
          <cell r="P410">
            <v>1097250</v>
          </cell>
          <cell r="R410">
            <v>1045000</v>
          </cell>
          <cell r="S410">
            <v>1405000</v>
          </cell>
          <cell r="Y410">
            <v>1123500</v>
          </cell>
          <cell r="AA410">
            <v>1070000</v>
          </cell>
        </row>
        <row r="411">
          <cell r="B411" t="str">
            <v>N65-1226</v>
          </cell>
          <cell r="C411" t="str">
            <v>TGM-25-2806X2BL-L</v>
          </cell>
          <cell r="E411" t="str">
            <v>CKD</v>
          </cell>
          <cell r="F411" t="str">
            <v>2018-02-28</v>
          </cell>
          <cell r="G411">
            <v>15.3</v>
          </cell>
          <cell r="H411">
            <v>42978</v>
          </cell>
          <cell r="J411">
            <v>1380000</v>
          </cell>
          <cell r="P411">
            <v>1097250</v>
          </cell>
          <cell r="R411">
            <v>1045000</v>
          </cell>
          <cell r="S411">
            <v>1405000</v>
          </cell>
          <cell r="Y411">
            <v>1123500</v>
          </cell>
          <cell r="AA411">
            <v>1070000</v>
          </cell>
        </row>
        <row r="412">
          <cell r="B412" t="str">
            <v>N65-1227</v>
          </cell>
          <cell r="C412" t="str">
            <v>TGM-25-2806X2BL-L</v>
          </cell>
          <cell r="E412" t="str">
            <v>CKD</v>
          </cell>
          <cell r="F412" t="str">
            <v>2018-02-26</v>
          </cell>
          <cell r="G412">
            <v>15.3</v>
          </cell>
          <cell r="H412">
            <v>42978</v>
          </cell>
          <cell r="J412">
            <v>1380000</v>
          </cell>
          <cell r="P412">
            <v>1097250</v>
          </cell>
          <cell r="R412">
            <v>1045000</v>
          </cell>
          <cell r="S412">
            <v>1405000</v>
          </cell>
          <cell r="Y412">
            <v>1123500</v>
          </cell>
          <cell r="AA412">
            <v>1070000</v>
          </cell>
        </row>
        <row r="413">
          <cell r="B413" t="str">
            <v>N65-1252</v>
          </cell>
          <cell r="C413" t="str">
            <v>TGM-25-2806X2BL-L</v>
          </cell>
          <cell r="E413" t="str">
            <v>CKD</v>
          </cell>
          <cell r="F413" t="str">
            <v>2018-02-28</v>
          </cell>
          <cell r="G413">
            <v>14.7</v>
          </cell>
          <cell r="H413">
            <v>42947</v>
          </cell>
          <cell r="J413">
            <v>1380000</v>
          </cell>
          <cell r="P413">
            <v>1048950</v>
          </cell>
          <cell r="R413">
            <v>999000</v>
          </cell>
          <cell r="S413">
            <v>1405000</v>
          </cell>
          <cell r="Y413">
            <v>1075200</v>
          </cell>
          <cell r="AA413">
            <v>1024000</v>
          </cell>
        </row>
        <row r="414">
          <cell r="B414" t="str">
            <v>N65-1253</v>
          </cell>
          <cell r="C414" t="str">
            <v>TGM-25-2806X2BL-L</v>
          </cell>
          <cell r="E414" t="str">
            <v>CKD</v>
          </cell>
          <cell r="F414" t="str">
            <v>2018-02-28</v>
          </cell>
          <cell r="G414">
            <v>14.7</v>
          </cell>
          <cell r="H414">
            <v>42947</v>
          </cell>
          <cell r="J414">
            <v>1380000</v>
          </cell>
          <cell r="P414">
            <v>1048950</v>
          </cell>
          <cell r="R414">
            <v>999000</v>
          </cell>
          <cell r="S414">
            <v>1405000</v>
          </cell>
          <cell r="Y414">
            <v>1075200</v>
          </cell>
          <cell r="AA414">
            <v>1024000</v>
          </cell>
        </row>
        <row r="415">
          <cell r="B415" t="str">
            <v>N65-1254</v>
          </cell>
          <cell r="C415" t="str">
            <v>TGM-25-2806X2BL-L</v>
          </cell>
          <cell r="E415" t="str">
            <v>CKD</v>
          </cell>
          <cell r="F415" t="str">
            <v>2018-02-28</v>
          </cell>
          <cell r="G415">
            <v>14.7</v>
          </cell>
          <cell r="H415">
            <v>42947</v>
          </cell>
          <cell r="J415">
            <v>1380000</v>
          </cell>
          <cell r="P415">
            <v>1048950</v>
          </cell>
          <cell r="R415">
            <v>999000</v>
          </cell>
          <cell r="S415">
            <v>1405000</v>
          </cell>
          <cell r="Y415">
            <v>1075200</v>
          </cell>
          <cell r="AA415">
            <v>1024000</v>
          </cell>
        </row>
        <row r="416">
          <cell r="B416" t="str">
            <v>N65-1263</v>
          </cell>
          <cell r="C416" t="str">
            <v>TGM-25-2806X2BL-L</v>
          </cell>
          <cell r="E416" t="str">
            <v>CKD</v>
          </cell>
          <cell r="F416" t="str">
            <v>2018-02-26</v>
          </cell>
          <cell r="G416">
            <v>15.3</v>
          </cell>
          <cell r="H416">
            <v>42978</v>
          </cell>
          <cell r="J416">
            <v>1380000</v>
          </cell>
          <cell r="P416">
            <v>1097250</v>
          </cell>
          <cell r="R416">
            <v>1045000</v>
          </cell>
          <cell r="S416">
            <v>1405000</v>
          </cell>
          <cell r="Y416">
            <v>1123500</v>
          </cell>
          <cell r="AA416">
            <v>1070000</v>
          </cell>
        </row>
        <row r="417">
          <cell r="B417" t="str">
            <v>N65-1264</v>
          </cell>
          <cell r="C417" t="str">
            <v>TGM-25-2806X2BL-L</v>
          </cell>
          <cell r="E417" t="str">
            <v>CKD</v>
          </cell>
          <cell r="F417" t="str">
            <v>2018-02-26</v>
          </cell>
          <cell r="G417">
            <v>15.3</v>
          </cell>
          <cell r="H417">
            <v>42978</v>
          </cell>
          <cell r="J417">
            <v>1380000</v>
          </cell>
          <cell r="P417">
            <v>1097250</v>
          </cell>
          <cell r="R417">
            <v>1045000</v>
          </cell>
          <cell r="S417">
            <v>1405000</v>
          </cell>
          <cell r="Y417">
            <v>1123500</v>
          </cell>
          <cell r="AA417">
            <v>1070000</v>
          </cell>
        </row>
        <row r="418">
          <cell r="B418" t="str">
            <v>N65-1265</v>
          </cell>
          <cell r="C418" t="str">
            <v>TGM-25-2806X2BL-L</v>
          </cell>
          <cell r="E418" t="str">
            <v>CKD</v>
          </cell>
          <cell r="F418" t="str">
            <v>2018-02-27</v>
          </cell>
          <cell r="G418">
            <v>15.3</v>
          </cell>
          <cell r="H418">
            <v>42978</v>
          </cell>
          <cell r="J418">
            <v>1380000</v>
          </cell>
          <cell r="P418">
            <v>1097250</v>
          </cell>
          <cell r="R418">
            <v>1045000</v>
          </cell>
          <cell r="S418">
            <v>1405000</v>
          </cell>
          <cell r="Y418">
            <v>1123500</v>
          </cell>
          <cell r="AA418">
            <v>1070000</v>
          </cell>
        </row>
        <row r="419">
          <cell r="B419" t="str">
            <v>N65-1266</v>
          </cell>
          <cell r="C419" t="str">
            <v>TGM-25-2806X2BL-L</v>
          </cell>
          <cell r="E419" t="str">
            <v>CKD</v>
          </cell>
          <cell r="F419" t="str">
            <v>2018-02-28</v>
          </cell>
          <cell r="G419">
            <v>15.3</v>
          </cell>
          <cell r="H419">
            <v>42978</v>
          </cell>
          <cell r="J419">
            <v>1380000</v>
          </cell>
          <cell r="P419">
            <v>1097250</v>
          </cell>
          <cell r="R419">
            <v>1045000</v>
          </cell>
          <cell r="S419">
            <v>1405000</v>
          </cell>
          <cell r="Y419">
            <v>1123500</v>
          </cell>
          <cell r="AA419">
            <v>1070000</v>
          </cell>
        </row>
        <row r="420">
          <cell r="B420" t="str">
            <v>N65-1267</v>
          </cell>
          <cell r="C420" t="str">
            <v>TGM-25-2806X2BL-L</v>
          </cell>
          <cell r="E420" t="str">
            <v>CKD</v>
          </cell>
          <cell r="F420" t="str">
            <v>2018-03-30</v>
          </cell>
          <cell r="G420">
            <v>15.3</v>
          </cell>
          <cell r="H420">
            <v>42978</v>
          </cell>
          <cell r="J420">
            <v>1380000</v>
          </cell>
          <cell r="P420">
            <v>1097250</v>
          </cell>
          <cell r="R420">
            <v>1045000</v>
          </cell>
          <cell r="S420">
            <v>1405000</v>
          </cell>
          <cell r="Y420">
            <v>1123500</v>
          </cell>
          <cell r="AA420">
            <v>1070000</v>
          </cell>
        </row>
        <row r="421">
          <cell r="B421" t="str">
            <v>N65-1272</v>
          </cell>
          <cell r="C421" t="str">
            <v>TGM-25-2806X2BL-L</v>
          </cell>
          <cell r="E421" t="str">
            <v>CKD</v>
          </cell>
          <cell r="F421" t="str">
            <v>2018-03-30</v>
          </cell>
          <cell r="G421">
            <v>15.3</v>
          </cell>
          <cell r="H421">
            <v>42978</v>
          </cell>
          <cell r="J421">
            <v>1380000</v>
          </cell>
          <cell r="P421">
            <v>1097250</v>
          </cell>
          <cell r="R421">
            <v>1045000</v>
          </cell>
          <cell r="S421">
            <v>1405000</v>
          </cell>
          <cell r="Y421">
            <v>1123500</v>
          </cell>
          <cell r="AA421">
            <v>1070000</v>
          </cell>
        </row>
        <row r="422">
          <cell r="B422" t="str">
            <v>N65-1273</v>
          </cell>
          <cell r="C422" t="str">
            <v>TGM-25-2806X2BL-L</v>
          </cell>
          <cell r="E422" t="str">
            <v>CKD</v>
          </cell>
          <cell r="F422" t="str">
            <v>2018-03-30</v>
          </cell>
          <cell r="G422">
            <v>15.3</v>
          </cell>
          <cell r="H422">
            <v>42978</v>
          </cell>
          <cell r="J422">
            <v>1380000</v>
          </cell>
          <cell r="P422">
            <v>1097250</v>
          </cell>
          <cell r="R422">
            <v>1045000</v>
          </cell>
          <cell r="S422">
            <v>1405000</v>
          </cell>
          <cell r="Y422">
            <v>1123500</v>
          </cell>
          <cell r="AA422">
            <v>1070000</v>
          </cell>
        </row>
        <row r="423">
          <cell r="B423" t="str">
            <v>N65-1274</v>
          </cell>
          <cell r="C423" t="str">
            <v>TGM-25-2806X2BL-L</v>
          </cell>
          <cell r="E423" t="str">
            <v>CKD</v>
          </cell>
          <cell r="F423" t="str">
            <v>2018-03-30</v>
          </cell>
          <cell r="G423">
            <v>15.3</v>
          </cell>
          <cell r="H423">
            <v>42978</v>
          </cell>
          <cell r="J423">
            <v>1380000</v>
          </cell>
          <cell r="P423">
            <v>1097250</v>
          </cell>
          <cell r="R423">
            <v>1045000</v>
          </cell>
          <cell r="S423">
            <v>1405000</v>
          </cell>
          <cell r="Y423">
            <v>1123500</v>
          </cell>
          <cell r="AA423">
            <v>1070000</v>
          </cell>
        </row>
        <row r="424">
          <cell r="B424" t="str">
            <v>N65-1275</v>
          </cell>
          <cell r="C424" t="str">
            <v>TGM-25-2806X2BL-L</v>
          </cell>
          <cell r="E424" t="str">
            <v>CKD</v>
          </cell>
          <cell r="F424" t="str">
            <v>2018-03-30</v>
          </cell>
          <cell r="G424">
            <v>15.3</v>
          </cell>
          <cell r="H424">
            <v>42978</v>
          </cell>
          <cell r="J424">
            <v>1380000</v>
          </cell>
          <cell r="P424">
            <v>1097250</v>
          </cell>
          <cell r="R424">
            <v>1045000</v>
          </cell>
          <cell r="S424">
            <v>1405000</v>
          </cell>
          <cell r="Y424">
            <v>1123500</v>
          </cell>
          <cell r="AA424">
            <v>1070000</v>
          </cell>
        </row>
        <row r="425">
          <cell r="B425" t="str">
            <v>N65-1276</v>
          </cell>
          <cell r="C425" t="str">
            <v>TGM-25-2806X2BL-L</v>
          </cell>
          <cell r="E425" t="str">
            <v>CKD</v>
          </cell>
          <cell r="F425" t="str">
            <v>2018-03-30</v>
          </cell>
          <cell r="G425">
            <v>15.3</v>
          </cell>
          <cell r="H425">
            <v>42978</v>
          </cell>
          <cell r="J425">
            <v>1380000</v>
          </cell>
          <cell r="P425">
            <v>1097250</v>
          </cell>
          <cell r="R425">
            <v>1045000</v>
          </cell>
          <cell r="S425">
            <v>1405000</v>
          </cell>
          <cell r="Y425">
            <v>1123500</v>
          </cell>
          <cell r="AA425">
            <v>1070000</v>
          </cell>
        </row>
        <row r="426">
          <cell r="B426" t="str">
            <v>N65-1277</v>
          </cell>
          <cell r="C426" t="str">
            <v>TGM-25-2806X2BL-L</v>
          </cell>
          <cell r="E426" t="str">
            <v>CKD</v>
          </cell>
          <cell r="F426" t="str">
            <v>2018-03-30</v>
          </cell>
          <cell r="G426">
            <v>15.3</v>
          </cell>
          <cell r="H426">
            <v>42978</v>
          </cell>
          <cell r="J426">
            <v>1380000</v>
          </cell>
          <cell r="P426">
            <v>1097250</v>
          </cell>
          <cell r="R426">
            <v>1045000</v>
          </cell>
          <cell r="S426">
            <v>1405000</v>
          </cell>
          <cell r="Y426">
            <v>1123500</v>
          </cell>
          <cell r="AA426">
            <v>1070000</v>
          </cell>
        </row>
        <row r="427">
          <cell r="B427" t="str">
            <v>N65-1278</v>
          </cell>
          <cell r="C427" t="str">
            <v>TGM-25-2806X2BL-L</v>
          </cell>
          <cell r="E427" t="str">
            <v>CKD</v>
          </cell>
          <cell r="F427" t="str">
            <v>2018-03-15</v>
          </cell>
          <cell r="G427">
            <v>15.3</v>
          </cell>
          <cell r="H427">
            <v>42978</v>
          </cell>
          <cell r="J427">
            <v>1380000</v>
          </cell>
          <cell r="P427">
            <v>1097250</v>
          </cell>
          <cell r="R427">
            <v>1045000</v>
          </cell>
          <cell r="S427">
            <v>1405000</v>
          </cell>
          <cell r="Y427">
            <v>1123500</v>
          </cell>
          <cell r="AA427">
            <v>1070000</v>
          </cell>
        </row>
        <row r="428">
          <cell r="B428" t="str">
            <v>N65-1279</v>
          </cell>
          <cell r="C428" t="str">
            <v>TGM-25-2806X2BL-L</v>
          </cell>
          <cell r="E428" t="str">
            <v>CKD</v>
          </cell>
          <cell r="F428" t="str">
            <v>2018-03-15</v>
          </cell>
          <cell r="G428">
            <v>15.3</v>
          </cell>
          <cell r="H428">
            <v>42978</v>
          </cell>
          <cell r="J428">
            <v>1380000</v>
          </cell>
          <cell r="P428">
            <v>1097250</v>
          </cell>
          <cell r="R428">
            <v>1045000</v>
          </cell>
          <cell r="S428">
            <v>1405000</v>
          </cell>
          <cell r="Y428">
            <v>1123500</v>
          </cell>
          <cell r="AA428">
            <v>1070000</v>
          </cell>
        </row>
        <row r="429">
          <cell r="B429" t="str">
            <v>N65-1281</v>
          </cell>
          <cell r="C429" t="str">
            <v>TGM-25-2806X2BL-L</v>
          </cell>
          <cell r="E429" t="str">
            <v>CKD</v>
          </cell>
          <cell r="F429" t="str">
            <v>2018-03-30</v>
          </cell>
          <cell r="G429">
            <v>15.3</v>
          </cell>
          <cell r="H429">
            <v>42978</v>
          </cell>
          <cell r="J429">
            <v>1380000</v>
          </cell>
          <cell r="P429">
            <v>1097250</v>
          </cell>
          <cell r="R429">
            <v>1045000</v>
          </cell>
          <cell r="S429">
            <v>1405000</v>
          </cell>
          <cell r="Y429">
            <v>1123500</v>
          </cell>
          <cell r="AA429">
            <v>1070000</v>
          </cell>
        </row>
        <row r="430">
          <cell r="B430" t="str">
            <v>N65-1282</v>
          </cell>
          <cell r="C430" t="str">
            <v>TGM-25-2806X2BL-L</v>
          </cell>
          <cell r="E430" t="str">
            <v>CKD</v>
          </cell>
          <cell r="F430" t="str">
            <v>2018-03-30</v>
          </cell>
          <cell r="G430">
            <v>15.3</v>
          </cell>
          <cell r="H430">
            <v>42978</v>
          </cell>
          <cell r="J430">
            <v>1380000</v>
          </cell>
          <cell r="P430">
            <v>1097250</v>
          </cell>
          <cell r="R430">
            <v>1045000</v>
          </cell>
          <cell r="S430">
            <v>1405000</v>
          </cell>
          <cell r="Y430">
            <v>1123500</v>
          </cell>
          <cell r="AA430">
            <v>1070000</v>
          </cell>
        </row>
        <row r="431">
          <cell r="B431" t="str">
            <v>N65-1283</v>
          </cell>
          <cell r="C431" t="str">
            <v>TGM-25-2806X2BL-L</v>
          </cell>
          <cell r="E431" t="str">
            <v>CKD</v>
          </cell>
          <cell r="F431" t="str">
            <v>2018-03-30</v>
          </cell>
          <cell r="G431">
            <v>15.3</v>
          </cell>
          <cell r="H431">
            <v>42978</v>
          </cell>
          <cell r="J431">
            <v>1380000</v>
          </cell>
          <cell r="P431">
            <v>1097250</v>
          </cell>
          <cell r="R431">
            <v>1045000</v>
          </cell>
          <cell r="S431">
            <v>1405000</v>
          </cell>
          <cell r="Y431">
            <v>1123500</v>
          </cell>
          <cell r="AA431">
            <v>1070000</v>
          </cell>
        </row>
        <row r="432">
          <cell r="B432" t="str">
            <v>N65-1284</v>
          </cell>
          <cell r="C432" t="str">
            <v>TGM-25-2806X2BL-L</v>
          </cell>
          <cell r="E432" t="str">
            <v>CKD</v>
          </cell>
          <cell r="F432" t="str">
            <v>2018-03-30</v>
          </cell>
          <cell r="G432">
            <v>15.3</v>
          </cell>
          <cell r="H432">
            <v>42978</v>
          </cell>
          <cell r="J432">
            <v>1380000</v>
          </cell>
          <cell r="P432">
            <v>1097250</v>
          </cell>
          <cell r="R432">
            <v>1045000</v>
          </cell>
          <cell r="S432">
            <v>1405000</v>
          </cell>
          <cell r="Y432">
            <v>1123500</v>
          </cell>
          <cell r="AA432">
            <v>1070000</v>
          </cell>
        </row>
        <row r="433">
          <cell r="B433" t="str">
            <v>TBAKP489</v>
          </cell>
          <cell r="C433" t="str">
            <v>TGM-25-2806X2BL-L</v>
          </cell>
          <cell r="E433" t="str">
            <v>CKD</v>
          </cell>
          <cell r="F433" t="str">
            <v>2018-08-19</v>
          </cell>
          <cell r="G433">
            <v>15.8</v>
          </cell>
          <cell r="H433">
            <v>43159</v>
          </cell>
          <cell r="J433">
            <v>1380000</v>
          </cell>
          <cell r="P433">
            <v>1097250</v>
          </cell>
          <cell r="R433">
            <v>1045000</v>
          </cell>
          <cell r="S433">
            <v>1405000</v>
          </cell>
          <cell r="Y433">
            <v>1123500</v>
          </cell>
          <cell r="AA433">
            <v>1070000</v>
          </cell>
        </row>
        <row r="434">
          <cell r="B434" t="str">
            <v>TBAKP482</v>
          </cell>
          <cell r="C434" t="str">
            <v>TGM-25-2806X2BL-LX</v>
          </cell>
          <cell r="E434" t="str">
            <v>CKD</v>
          </cell>
          <cell r="F434" t="str">
            <v>2018-08-19</v>
          </cell>
          <cell r="G434">
            <v>15.8</v>
          </cell>
          <cell r="H434">
            <v>43159</v>
          </cell>
          <cell r="J434">
            <v>1370000</v>
          </cell>
          <cell r="P434">
            <v>1102500</v>
          </cell>
          <cell r="R434">
            <v>1050000</v>
          </cell>
          <cell r="S434">
            <v>1400000</v>
          </cell>
          <cell r="Y434">
            <v>1134000</v>
          </cell>
          <cell r="AA434">
            <v>1080000</v>
          </cell>
        </row>
        <row r="435">
          <cell r="B435" t="str">
            <v>TBAKP632</v>
          </cell>
          <cell r="C435" t="str">
            <v>TGS-19-3604X2BLS-L</v>
          </cell>
          <cell r="E435" t="str">
            <v>CKD</v>
          </cell>
          <cell r="F435" t="str">
            <v>2018-08-19</v>
          </cell>
          <cell r="G435">
            <v>15.8</v>
          </cell>
          <cell r="H435">
            <v>43159</v>
          </cell>
          <cell r="J435">
            <v>1370000</v>
          </cell>
          <cell r="P435">
            <v>1102500</v>
          </cell>
          <cell r="R435">
            <v>1050000</v>
          </cell>
          <cell r="S435">
            <v>1400000</v>
          </cell>
          <cell r="Y435">
            <v>1134000</v>
          </cell>
          <cell r="AA435">
            <v>1080000</v>
          </cell>
        </row>
        <row r="436">
          <cell r="B436" t="str">
            <v>TBAKP011</v>
          </cell>
          <cell r="C436" t="str">
            <v>TGS-19-3604X2BLS-L - INT</v>
          </cell>
          <cell r="E436" t="str">
            <v>CKD</v>
          </cell>
          <cell r="F436" t="str">
            <v>2018-08-19</v>
          </cell>
          <cell r="G436">
            <v>15.8</v>
          </cell>
          <cell r="H436">
            <v>43159</v>
          </cell>
          <cell r="J436">
            <v>1490000</v>
          </cell>
          <cell r="P436">
            <v>1202250</v>
          </cell>
          <cell r="R436">
            <v>1145000</v>
          </cell>
          <cell r="S436">
            <v>1520000</v>
          </cell>
          <cell r="Y436">
            <v>1233750</v>
          </cell>
          <cell r="AA436">
            <v>1175000</v>
          </cell>
        </row>
        <row r="437">
          <cell r="B437" t="str">
            <v>TBATG008</v>
          </cell>
          <cell r="C437" t="str">
            <v>TGS-19-4004X2BLS-L-ALU-PTO</v>
          </cell>
          <cell r="E437" t="str">
            <v>CKD</v>
          </cell>
          <cell r="F437" t="str">
            <v>2018-06-18</v>
          </cell>
          <cell r="G437">
            <v>15.8</v>
          </cell>
          <cell r="H437">
            <v>43159</v>
          </cell>
          <cell r="J437">
            <v>1490000</v>
          </cell>
          <cell r="P437">
            <v>1249500</v>
          </cell>
          <cell r="R437">
            <v>1190000</v>
          </cell>
          <cell r="S437">
            <v>1545000</v>
          </cell>
          <cell r="Y437">
            <v>1307250</v>
          </cell>
          <cell r="AA437">
            <v>1245000</v>
          </cell>
        </row>
        <row r="438">
          <cell r="B438" t="str">
            <v>73W-0235</v>
          </cell>
          <cell r="C438" t="str">
            <v>TGS-25-4406X2BLS-LX</v>
          </cell>
          <cell r="E438" t="str">
            <v>SOLD</v>
          </cell>
          <cell r="F438">
            <v>99</v>
          </cell>
          <cell r="G438">
            <v>14.7</v>
          </cell>
          <cell r="H438">
            <v>42909</v>
          </cell>
          <cell r="J438">
            <v>1660000</v>
          </cell>
          <cell r="P438">
            <v>1354500</v>
          </cell>
          <cell r="R438">
            <v>1290000</v>
          </cell>
          <cell r="S438">
            <v>1715000</v>
          </cell>
          <cell r="Y438">
            <v>1412250</v>
          </cell>
          <cell r="AA438">
            <v>1345000</v>
          </cell>
        </row>
        <row r="439">
          <cell r="B439" t="str">
            <v>73W-0236</v>
          </cell>
          <cell r="C439" t="str">
            <v>TGS-25-4406X2BLS-LX</v>
          </cell>
          <cell r="E439" t="str">
            <v>SOLD</v>
          </cell>
          <cell r="F439">
            <v>99</v>
          </cell>
          <cell r="G439">
            <v>14.7</v>
          </cell>
          <cell r="H439">
            <v>42909</v>
          </cell>
          <cell r="J439">
            <v>1660000</v>
          </cell>
          <cell r="P439">
            <v>1354500</v>
          </cell>
          <cell r="R439">
            <v>1290000</v>
          </cell>
          <cell r="S439">
            <v>1715000</v>
          </cell>
          <cell r="Y439">
            <v>1412250</v>
          </cell>
          <cell r="AA439">
            <v>1345000</v>
          </cell>
        </row>
        <row r="440">
          <cell r="B440" t="str">
            <v>73W-0237</v>
          </cell>
          <cell r="C440" t="str">
            <v>TGS-25-4406X2BLS-LX</v>
          </cell>
          <cell r="E440" t="str">
            <v>SOLD</v>
          </cell>
          <cell r="F440">
            <v>99</v>
          </cell>
          <cell r="G440">
            <v>14.7</v>
          </cell>
          <cell r="H440">
            <v>42909</v>
          </cell>
          <cell r="J440">
            <v>1660000</v>
          </cell>
          <cell r="P440">
            <v>1354500</v>
          </cell>
          <cell r="R440">
            <v>1290000</v>
          </cell>
          <cell r="S440">
            <v>1715000</v>
          </cell>
          <cell r="Y440">
            <v>1412250</v>
          </cell>
          <cell r="AA440">
            <v>1345000</v>
          </cell>
        </row>
        <row r="441">
          <cell r="B441" t="str">
            <v>73W-0238</v>
          </cell>
          <cell r="C441" t="str">
            <v>TGS-25-4406X2BLS-LX</v>
          </cell>
          <cell r="E441" t="str">
            <v>SOLD</v>
          </cell>
          <cell r="F441">
            <v>99</v>
          </cell>
          <cell r="G441">
            <v>14.7</v>
          </cell>
          <cell r="H441">
            <v>42909</v>
          </cell>
          <cell r="J441">
            <v>1660000</v>
          </cell>
          <cell r="P441">
            <v>1354500</v>
          </cell>
          <cell r="R441">
            <v>1290000</v>
          </cell>
          <cell r="S441">
            <v>1715000</v>
          </cell>
          <cell r="Y441">
            <v>1412250</v>
          </cell>
          <cell r="AA441">
            <v>1345000</v>
          </cell>
        </row>
        <row r="442">
          <cell r="B442" t="str">
            <v>73W-0239</v>
          </cell>
          <cell r="C442" t="str">
            <v>TGS-25-4406X2BLS-LX</v>
          </cell>
          <cell r="E442" t="str">
            <v>SOLD</v>
          </cell>
          <cell r="F442">
            <v>104</v>
          </cell>
          <cell r="G442">
            <v>14.7</v>
          </cell>
          <cell r="H442">
            <v>42909</v>
          </cell>
          <cell r="J442">
            <v>1660000</v>
          </cell>
          <cell r="P442">
            <v>1354500</v>
          </cell>
          <cell r="R442">
            <v>1290000</v>
          </cell>
          <cell r="S442">
            <v>1715000</v>
          </cell>
          <cell r="Y442">
            <v>1412250</v>
          </cell>
          <cell r="AA442">
            <v>1345000</v>
          </cell>
        </row>
        <row r="443">
          <cell r="B443" t="str">
            <v>73W-0240</v>
          </cell>
          <cell r="C443" t="str">
            <v>TGS-25-4406X2BLS-LX</v>
          </cell>
          <cell r="E443" t="str">
            <v>UNSOLD</v>
          </cell>
          <cell r="F443">
            <v>104</v>
          </cell>
          <cell r="G443">
            <v>14.7</v>
          </cell>
          <cell r="H443">
            <v>42909</v>
          </cell>
          <cell r="J443">
            <v>1660000</v>
          </cell>
          <cell r="P443">
            <v>1323000</v>
          </cell>
          <cell r="R443">
            <v>1260000</v>
          </cell>
          <cell r="S443">
            <v>1715000</v>
          </cell>
          <cell r="Y443">
            <v>1380750</v>
          </cell>
          <cell r="AA443">
            <v>1315000</v>
          </cell>
        </row>
        <row r="444">
          <cell r="B444" t="str">
            <v>TBATG010</v>
          </cell>
          <cell r="C444" t="str">
            <v>TGS-25-4406X2BLS-LX</v>
          </cell>
          <cell r="E444" t="str">
            <v>CKD</v>
          </cell>
          <cell r="F444" t="str">
            <v>2018-06-18</v>
          </cell>
          <cell r="G444">
            <v>15.8</v>
          </cell>
          <cell r="H444">
            <v>43159</v>
          </cell>
          <cell r="J444">
            <v>1660000</v>
          </cell>
          <cell r="P444">
            <v>1354500</v>
          </cell>
          <cell r="R444">
            <v>1290000</v>
          </cell>
          <cell r="S444">
            <v>1715000</v>
          </cell>
          <cell r="Y444">
            <v>1412250</v>
          </cell>
          <cell r="AA444">
            <v>1345000</v>
          </cell>
        </row>
        <row r="445">
          <cell r="B445" t="str">
            <v>30S-7831</v>
          </cell>
          <cell r="C445" t="str">
            <v>TGS-26-4206X4BLS-L-ADR-EURO6</v>
          </cell>
          <cell r="E445" t="str">
            <v>CKD</v>
          </cell>
          <cell r="F445" t="str">
            <v>2018-03-29</v>
          </cell>
          <cell r="G445">
            <v>15.3</v>
          </cell>
          <cell r="H445">
            <v>42975</v>
          </cell>
          <cell r="J445">
            <v>1990000</v>
          </cell>
          <cell r="P445">
            <v>1732500</v>
          </cell>
          <cell r="R445">
            <v>1650000</v>
          </cell>
          <cell r="S445">
            <v>2070000</v>
          </cell>
          <cell r="Y445">
            <v>1816500</v>
          </cell>
          <cell r="AA445">
            <v>1730000</v>
          </cell>
        </row>
        <row r="446">
          <cell r="B446" t="str">
            <v>30S-7832</v>
          </cell>
          <cell r="C446" t="str">
            <v>TGS-26-4206X4BLS-L-ADR-EURO6</v>
          </cell>
          <cell r="E446" t="str">
            <v>CKD</v>
          </cell>
          <cell r="F446" t="str">
            <v>2018-03-29</v>
          </cell>
          <cell r="G446">
            <v>15.3</v>
          </cell>
          <cell r="H446">
            <v>42975</v>
          </cell>
          <cell r="J446">
            <v>1990000</v>
          </cell>
          <cell r="P446">
            <v>1732500</v>
          </cell>
          <cell r="R446">
            <v>1650000</v>
          </cell>
          <cell r="S446">
            <v>2070000</v>
          </cell>
          <cell r="Y446">
            <v>1816500</v>
          </cell>
          <cell r="AA446">
            <v>1730000</v>
          </cell>
        </row>
        <row r="447">
          <cell r="B447" t="str">
            <v>30S-7833</v>
          </cell>
          <cell r="C447" t="str">
            <v>TGS-26-4206X4BLS-L-ADR-EURO6</v>
          </cell>
          <cell r="E447" t="str">
            <v>CKD</v>
          </cell>
          <cell r="F447" t="str">
            <v>2018-03-29</v>
          </cell>
          <cell r="G447">
            <v>15.3</v>
          </cell>
          <cell r="H447">
            <v>42975</v>
          </cell>
          <cell r="J447">
            <v>1990000</v>
          </cell>
          <cell r="P447">
            <v>1732500</v>
          </cell>
          <cell r="R447">
            <v>1650000</v>
          </cell>
          <cell r="S447">
            <v>2070000</v>
          </cell>
          <cell r="Y447">
            <v>1816500</v>
          </cell>
          <cell r="AA447">
            <v>1730000</v>
          </cell>
        </row>
        <row r="448">
          <cell r="B448" t="str">
            <v>TBATG016</v>
          </cell>
          <cell r="C448" t="str">
            <v>TGS-26-4206X4BLS-L-ADR-EURO6</v>
          </cell>
          <cell r="E448" t="str">
            <v>CKD</v>
          </cell>
          <cell r="F448" t="str">
            <v>2018-06-18</v>
          </cell>
          <cell r="G448">
            <v>15.8</v>
          </cell>
          <cell r="H448">
            <v>43159</v>
          </cell>
          <cell r="J448">
            <v>1990000</v>
          </cell>
          <cell r="P448">
            <v>1732500</v>
          </cell>
          <cell r="R448">
            <v>1650000</v>
          </cell>
          <cell r="S448">
            <v>2070000</v>
          </cell>
          <cell r="Y448">
            <v>1816500</v>
          </cell>
          <cell r="AA448">
            <v>1730000</v>
          </cell>
        </row>
        <row r="449">
          <cell r="B449" t="str">
            <v>78W-1539</v>
          </cell>
          <cell r="C449" t="str">
            <v>TGS-26-4406X4BLS-LX</v>
          </cell>
          <cell r="E449" t="str">
            <v>CKD</v>
          </cell>
          <cell r="F449" t="str">
            <v>2018-03-30</v>
          </cell>
          <cell r="G449">
            <v>14.7</v>
          </cell>
          <cell r="H449">
            <v>42937</v>
          </cell>
          <cell r="J449">
            <v>1790000</v>
          </cell>
          <cell r="P449">
            <v>1370250</v>
          </cell>
          <cell r="R449">
            <v>1305000</v>
          </cell>
          <cell r="S449">
            <v>1845000</v>
          </cell>
          <cell r="Y449">
            <v>1428000</v>
          </cell>
          <cell r="AA449">
            <v>1360000</v>
          </cell>
        </row>
        <row r="450">
          <cell r="B450" t="str">
            <v>78W-1540</v>
          </cell>
          <cell r="C450" t="str">
            <v>TGS-26-4406X4BLS-LX</v>
          </cell>
          <cell r="E450" t="str">
            <v>SOLD</v>
          </cell>
          <cell r="F450">
            <v>27</v>
          </cell>
          <cell r="G450">
            <v>14.7</v>
          </cell>
          <cell r="H450">
            <v>42937</v>
          </cell>
          <cell r="J450">
            <v>1790000</v>
          </cell>
          <cell r="P450">
            <v>1370250</v>
          </cell>
          <cell r="R450">
            <v>1305000</v>
          </cell>
          <cell r="S450">
            <v>1845000</v>
          </cell>
          <cell r="Y450">
            <v>1428000</v>
          </cell>
          <cell r="AA450">
            <v>1360000</v>
          </cell>
        </row>
        <row r="451">
          <cell r="B451" t="str">
            <v>78W-1541</v>
          </cell>
          <cell r="C451" t="str">
            <v>TGS-26-4406X4BLS-LX</v>
          </cell>
          <cell r="E451" t="str">
            <v>SOLD</v>
          </cell>
          <cell r="F451">
            <v>26</v>
          </cell>
          <cell r="G451">
            <v>14.7</v>
          </cell>
          <cell r="H451">
            <v>42937</v>
          </cell>
          <cell r="J451">
            <v>1790000</v>
          </cell>
          <cell r="P451">
            <v>1370250</v>
          </cell>
          <cell r="R451">
            <v>1305000</v>
          </cell>
          <cell r="S451">
            <v>1845000</v>
          </cell>
          <cell r="Y451">
            <v>1428000</v>
          </cell>
          <cell r="AA451">
            <v>1360000</v>
          </cell>
        </row>
        <row r="452">
          <cell r="B452" t="str">
            <v>78W-1907</v>
          </cell>
          <cell r="C452" t="str">
            <v>TGS-26-4406X4BLS-LX</v>
          </cell>
          <cell r="E452" t="str">
            <v>SOLD</v>
          </cell>
          <cell r="F452">
            <v>20</v>
          </cell>
          <cell r="G452">
            <v>14.7</v>
          </cell>
          <cell r="H452">
            <v>42937</v>
          </cell>
          <cell r="J452">
            <v>1790000</v>
          </cell>
          <cell r="P452">
            <v>1370250</v>
          </cell>
          <cell r="R452">
            <v>1305000</v>
          </cell>
          <cell r="S452">
            <v>1845000</v>
          </cell>
          <cell r="Y452">
            <v>1428000</v>
          </cell>
          <cell r="AA452">
            <v>1360000</v>
          </cell>
        </row>
        <row r="453">
          <cell r="B453" t="str">
            <v>78W-1978</v>
          </cell>
          <cell r="C453" t="str">
            <v>TGS-26-4406X4BLS-LX</v>
          </cell>
          <cell r="E453" t="str">
            <v>SOLD</v>
          </cell>
          <cell r="F453">
            <v>20</v>
          </cell>
          <cell r="G453">
            <v>14.7</v>
          </cell>
          <cell r="H453">
            <v>42937</v>
          </cell>
          <cell r="J453">
            <v>1790000</v>
          </cell>
          <cell r="P453">
            <v>1370250</v>
          </cell>
          <cell r="R453">
            <v>1305000</v>
          </cell>
          <cell r="S453">
            <v>1845000</v>
          </cell>
          <cell r="Y453">
            <v>1428000</v>
          </cell>
          <cell r="AA453">
            <v>1360000</v>
          </cell>
        </row>
        <row r="454">
          <cell r="B454" t="str">
            <v>78W-1979</v>
          </cell>
          <cell r="C454" t="str">
            <v>TGS-26-4406X4BLS-LX</v>
          </cell>
          <cell r="E454" t="str">
            <v>SOLD</v>
          </cell>
          <cell r="F454">
            <v>20</v>
          </cell>
          <cell r="G454">
            <v>14.7</v>
          </cell>
          <cell r="H454">
            <v>42937</v>
          </cell>
          <cell r="J454">
            <v>1790000</v>
          </cell>
          <cell r="P454">
            <v>1370250</v>
          </cell>
          <cell r="R454">
            <v>1305000</v>
          </cell>
          <cell r="S454">
            <v>1845000</v>
          </cell>
          <cell r="Y454">
            <v>1428000</v>
          </cell>
          <cell r="AA454">
            <v>1360000</v>
          </cell>
        </row>
        <row r="455">
          <cell r="B455" t="str">
            <v>78W-1981</v>
          </cell>
          <cell r="C455" t="str">
            <v>TGS-26-4406X4BLS-LX</v>
          </cell>
          <cell r="E455" t="str">
            <v>SOLD</v>
          </cell>
          <cell r="F455">
            <v>20</v>
          </cell>
          <cell r="G455">
            <v>14.7</v>
          </cell>
          <cell r="H455">
            <v>42937</v>
          </cell>
          <cell r="J455">
            <v>1790000</v>
          </cell>
          <cell r="P455">
            <v>1370250</v>
          </cell>
          <cell r="R455">
            <v>1305000</v>
          </cell>
          <cell r="S455">
            <v>1845000</v>
          </cell>
          <cell r="Y455">
            <v>1428000</v>
          </cell>
          <cell r="AA455">
            <v>1360000</v>
          </cell>
        </row>
        <row r="456">
          <cell r="B456" t="str">
            <v>78W-1987</v>
          </cell>
          <cell r="C456" t="str">
            <v>TGS-26-4406X4BLS-LX</v>
          </cell>
          <cell r="E456" t="str">
            <v>SOLD</v>
          </cell>
          <cell r="F456">
            <v>20</v>
          </cell>
          <cell r="G456">
            <v>14.7</v>
          </cell>
          <cell r="H456">
            <v>42937</v>
          </cell>
          <cell r="J456">
            <v>1790000</v>
          </cell>
          <cell r="P456">
            <v>1370250</v>
          </cell>
          <cell r="R456">
            <v>1305000</v>
          </cell>
          <cell r="S456">
            <v>1845000</v>
          </cell>
          <cell r="Y456">
            <v>1428000</v>
          </cell>
          <cell r="AA456">
            <v>1360000</v>
          </cell>
        </row>
        <row r="457">
          <cell r="B457" t="str">
            <v>78W-1988</v>
          </cell>
          <cell r="C457" t="str">
            <v>TGS-26-4406X4BLS-LX</v>
          </cell>
          <cell r="E457" t="str">
            <v>SOLD</v>
          </cell>
          <cell r="F457">
            <v>20</v>
          </cell>
          <cell r="G457">
            <v>14.7</v>
          </cell>
          <cell r="H457">
            <v>42937</v>
          </cell>
          <cell r="J457">
            <v>1790000</v>
          </cell>
          <cell r="P457">
            <v>1370250</v>
          </cell>
          <cell r="R457">
            <v>1305000</v>
          </cell>
          <cell r="S457">
            <v>1845000</v>
          </cell>
          <cell r="Y457">
            <v>1428000</v>
          </cell>
          <cell r="AA457">
            <v>1360000</v>
          </cell>
        </row>
        <row r="458">
          <cell r="B458" t="str">
            <v>78W-3392</v>
          </cell>
          <cell r="C458" t="str">
            <v>TGS-26-4406X4BLS-LX</v>
          </cell>
          <cell r="E458" t="str">
            <v>CKD</v>
          </cell>
          <cell r="F458" t="str">
            <v>2018-06-30</v>
          </cell>
          <cell r="G458">
            <v>15.3</v>
          </cell>
          <cell r="H458">
            <v>42978</v>
          </cell>
          <cell r="J458">
            <v>1790000</v>
          </cell>
          <cell r="P458">
            <v>1370250</v>
          </cell>
          <cell r="R458">
            <v>1305000</v>
          </cell>
          <cell r="S458">
            <v>1845000</v>
          </cell>
          <cell r="Y458">
            <v>1428000</v>
          </cell>
          <cell r="AA458">
            <v>1360000</v>
          </cell>
        </row>
        <row r="459">
          <cell r="B459" t="str">
            <v>78W-3393</v>
          </cell>
          <cell r="C459" t="str">
            <v>TGS-26-4406X4BLS-LX</v>
          </cell>
          <cell r="E459" t="str">
            <v>CKD</v>
          </cell>
          <cell r="F459" t="str">
            <v>2018-06-30</v>
          </cell>
          <cell r="G459">
            <v>15.3</v>
          </cell>
          <cell r="H459">
            <v>42978</v>
          </cell>
          <cell r="J459">
            <v>1790000</v>
          </cell>
          <cell r="P459">
            <v>1370250</v>
          </cell>
          <cell r="R459">
            <v>1305000</v>
          </cell>
          <cell r="S459">
            <v>1845000</v>
          </cell>
          <cell r="Y459">
            <v>1428000</v>
          </cell>
          <cell r="AA459">
            <v>1360000</v>
          </cell>
        </row>
        <row r="460">
          <cell r="B460" t="str">
            <v>78W-3394</v>
          </cell>
          <cell r="C460" t="str">
            <v>TGS-26-4406X4BLS-LX</v>
          </cell>
          <cell r="E460" t="str">
            <v>CKD</v>
          </cell>
          <cell r="F460" t="str">
            <v>2018-06-30</v>
          </cell>
          <cell r="G460">
            <v>15.3</v>
          </cell>
          <cell r="H460">
            <v>42978</v>
          </cell>
          <cell r="J460">
            <v>1790000</v>
          </cell>
          <cell r="P460">
            <v>1370250</v>
          </cell>
          <cell r="R460">
            <v>1305000</v>
          </cell>
          <cell r="S460">
            <v>1845000</v>
          </cell>
          <cell r="Y460">
            <v>1428000</v>
          </cell>
          <cell r="AA460">
            <v>1360000</v>
          </cell>
        </row>
        <row r="461">
          <cell r="B461" t="str">
            <v>78W-3395</v>
          </cell>
          <cell r="C461" t="str">
            <v>TGS-26-4406X4BLS-LX</v>
          </cell>
          <cell r="E461" t="str">
            <v>CKD</v>
          </cell>
          <cell r="F461" t="str">
            <v>2018-06-30</v>
          </cell>
          <cell r="G461">
            <v>15.3</v>
          </cell>
          <cell r="H461">
            <v>42978</v>
          </cell>
          <cell r="J461">
            <v>1790000</v>
          </cell>
          <cell r="P461">
            <v>1370250</v>
          </cell>
          <cell r="R461">
            <v>1305000</v>
          </cell>
          <cell r="S461">
            <v>1845000</v>
          </cell>
          <cell r="Y461">
            <v>1428000</v>
          </cell>
          <cell r="AA461">
            <v>1360000</v>
          </cell>
        </row>
        <row r="462">
          <cell r="B462" t="str">
            <v>78W-6117</v>
          </cell>
          <cell r="C462" t="str">
            <v>TGS-26-4406X4BLS-LX</v>
          </cell>
          <cell r="E462" t="str">
            <v>SOLD</v>
          </cell>
          <cell r="F462">
            <v>21</v>
          </cell>
          <cell r="G462">
            <v>14.7</v>
          </cell>
          <cell r="H462">
            <v>42937</v>
          </cell>
          <cell r="J462">
            <v>1790000</v>
          </cell>
          <cell r="P462">
            <v>1370250</v>
          </cell>
          <cell r="R462">
            <v>1305000</v>
          </cell>
          <cell r="S462">
            <v>1845000</v>
          </cell>
          <cell r="Y462">
            <v>1428000</v>
          </cell>
          <cell r="AA462">
            <v>1360000</v>
          </cell>
        </row>
        <row r="463">
          <cell r="B463" t="str">
            <v>78W-6118</v>
          </cell>
          <cell r="C463" t="str">
            <v>TGS-26-4406X4BLS-LX</v>
          </cell>
          <cell r="E463" t="str">
            <v>SOLD</v>
          </cell>
          <cell r="F463">
            <v>21</v>
          </cell>
          <cell r="G463">
            <v>14.7</v>
          </cell>
          <cell r="H463">
            <v>42937</v>
          </cell>
          <cell r="J463">
            <v>1790000</v>
          </cell>
          <cell r="P463">
            <v>1370250</v>
          </cell>
          <cell r="R463">
            <v>1305000</v>
          </cell>
          <cell r="S463">
            <v>1845000</v>
          </cell>
          <cell r="Y463">
            <v>1428000</v>
          </cell>
          <cell r="AA463">
            <v>1360000</v>
          </cell>
        </row>
        <row r="464">
          <cell r="B464" t="str">
            <v>78W-6145</v>
          </cell>
          <cell r="C464" t="str">
            <v>TGS-26-4406X4BLS-LX</v>
          </cell>
          <cell r="E464" t="str">
            <v>SOLD</v>
          </cell>
          <cell r="F464">
            <v>20</v>
          </cell>
          <cell r="G464">
            <v>14.7</v>
          </cell>
          <cell r="H464">
            <v>42937</v>
          </cell>
          <cell r="J464">
            <v>1790000</v>
          </cell>
          <cell r="P464">
            <v>1370250</v>
          </cell>
          <cell r="R464">
            <v>1305000</v>
          </cell>
          <cell r="S464">
            <v>1845000</v>
          </cell>
          <cell r="Y464">
            <v>1428000</v>
          </cell>
          <cell r="AA464">
            <v>1360000</v>
          </cell>
        </row>
        <row r="465">
          <cell r="B465" t="str">
            <v>78W-6148</v>
          </cell>
          <cell r="C465" t="str">
            <v>TGS-26-4406X4BLS-LX</v>
          </cell>
          <cell r="E465" t="str">
            <v>SOLD</v>
          </cell>
          <cell r="F465">
            <v>27</v>
          </cell>
          <cell r="G465">
            <v>14.7</v>
          </cell>
          <cell r="H465">
            <v>42937</v>
          </cell>
          <cell r="J465">
            <v>1790000</v>
          </cell>
          <cell r="P465">
            <v>1370250</v>
          </cell>
          <cell r="R465">
            <v>1305000</v>
          </cell>
          <cell r="S465">
            <v>1845000</v>
          </cell>
          <cell r="Y465">
            <v>1428000</v>
          </cell>
          <cell r="AA465">
            <v>1360000</v>
          </cell>
        </row>
        <row r="466">
          <cell r="B466" t="str">
            <v>78W-6196</v>
          </cell>
          <cell r="C466" t="str">
            <v>TGS-26-4406X4BLS-LX</v>
          </cell>
          <cell r="E466" t="str">
            <v>CKD</v>
          </cell>
          <cell r="F466" t="str">
            <v>2018-03-30</v>
          </cell>
          <cell r="G466">
            <v>14.7</v>
          </cell>
          <cell r="H466">
            <v>42947</v>
          </cell>
          <cell r="J466">
            <v>1790000</v>
          </cell>
          <cell r="P466">
            <v>1370250</v>
          </cell>
          <cell r="R466">
            <v>1305000</v>
          </cell>
          <cell r="S466">
            <v>1845000</v>
          </cell>
          <cell r="Y466">
            <v>1428000</v>
          </cell>
          <cell r="AA466">
            <v>1360000</v>
          </cell>
        </row>
        <row r="467">
          <cell r="B467" t="str">
            <v>78W-6197</v>
          </cell>
          <cell r="C467" t="str">
            <v>TGS-26-4406X4BLS-LX</v>
          </cell>
          <cell r="E467" t="str">
            <v>CKD</v>
          </cell>
          <cell r="F467" t="str">
            <v>2018-03-30</v>
          </cell>
          <cell r="G467">
            <v>14.7</v>
          </cell>
          <cell r="H467">
            <v>42947</v>
          </cell>
          <cell r="J467">
            <v>1790000</v>
          </cell>
          <cell r="P467">
            <v>1370250</v>
          </cell>
          <cell r="R467">
            <v>1305000</v>
          </cell>
          <cell r="S467">
            <v>1845000</v>
          </cell>
          <cell r="Y467">
            <v>1428000</v>
          </cell>
          <cell r="AA467">
            <v>1360000</v>
          </cell>
        </row>
        <row r="468">
          <cell r="B468" t="str">
            <v>78W-6198</v>
          </cell>
          <cell r="C468" t="str">
            <v>TGS-26-4406X4BLS-LX</v>
          </cell>
          <cell r="E468" t="str">
            <v>CKD</v>
          </cell>
          <cell r="F468" t="str">
            <v>2018-03-30</v>
          </cell>
          <cell r="G468">
            <v>14.7</v>
          </cell>
          <cell r="H468">
            <v>42947</v>
          </cell>
          <cell r="J468">
            <v>1790000</v>
          </cell>
          <cell r="P468">
            <v>1370250</v>
          </cell>
          <cell r="R468">
            <v>1305000</v>
          </cell>
          <cell r="S468">
            <v>1845000</v>
          </cell>
          <cell r="Y468">
            <v>1428000</v>
          </cell>
          <cell r="AA468">
            <v>1360000</v>
          </cell>
        </row>
        <row r="469">
          <cell r="B469" t="str">
            <v>78W-6199</v>
          </cell>
          <cell r="C469" t="str">
            <v>TGS-26-4406X4BLS-LX</v>
          </cell>
          <cell r="E469" t="str">
            <v>CKD</v>
          </cell>
          <cell r="F469" t="str">
            <v>2018-04-30</v>
          </cell>
          <cell r="G469">
            <v>14.7</v>
          </cell>
          <cell r="H469">
            <v>42947</v>
          </cell>
          <cell r="J469">
            <v>1790000</v>
          </cell>
          <cell r="P469">
            <v>1370250</v>
          </cell>
          <cell r="R469">
            <v>1305000</v>
          </cell>
          <cell r="S469">
            <v>1845000</v>
          </cell>
          <cell r="Y469">
            <v>1428000</v>
          </cell>
          <cell r="AA469">
            <v>1360000</v>
          </cell>
        </row>
        <row r="470">
          <cell r="B470" t="str">
            <v>78W-6200</v>
          </cell>
          <cell r="C470" t="str">
            <v>TGS-26-4406X4BLS-LX</v>
          </cell>
          <cell r="E470" t="str">
            <v>CKD</v>
          </cell>
          <cell r="F470" t="str">
            <v>2018-04-30</v>
          </cell>
          <cell r="G470">
            <v>14.7</v>
          </cell>
          <cell r="H470">
            <v>42947</v>
          </cell>
          <cell r="J470">
            <v>1790000</v>
          </cell>
          <cell r="P470">
            <v>1370250</v>
          </cell>
          <cell r="R470">
            <v>1305000</v>
          </cell>
          <cell r="S470">
            <v>1845000</v>
          </cell>
          <cell r="Y470">
            <v>1428000</v>
          </cell>
          <cell r="AA470">
            <v>1360000</v>
          </cell>
        </row>
        <row r="471">
          <cell r="B471" t="str">
            <v>78W-6201</v>
          </cell>
          <cell r="C471" t="str">
            <v>TGS-26-4406X4BLS-LX</v>
          </cell>
          <cell r="E471" t="str">
            <v>CKD</v>
          </cell>
          <cell r="F471" t="str">
            <v>2018-04-30</v>
          </cell>
          <cell r="G471">
            <v>14.7</v>
          </cell>
          <cell r="H471">
            <v>42947</v>
          </cell>
          <cell r="J471">
            <v>1790000</v>
          </cell>
          <cell r="P471">
            <v>1370250</v>
          </cell>
          <cell r="R471">
            <v>1305000</v>
          </cell>
          <cell r="S471">
            <v>1845000</v>
          </cell>
          <cell r="Y471">
            <v>1428000</v>
          </cell>
          <cell r="AA471">
            <v>1360000</v>
          </cell>
        </row>
        <row r="472">
          <cell r="B472" t="str">
            <v>78W-6202</v>
          </cell>
          <cell r="C472" t="str">
            <v>TGS-26-4406X4BLS-LX</v>
          </cell>
          <cell r="E472" t="str">
            <v>CKD</v>
          </cell>
          <cell r="F472" t="str">
            <v>2018-04-30</v>
          </cell>
          <cell r="G472">
            <v>14.7</v>
          </cell>
          <cell r="H472">
            <v>42947</v>
          </cell>
          <cell r="J472">
            <v>1790000</v>
          </cell>
          <cell r="P472">
            <v>1370250</v>
          </cell>
          <cell r="R472">
            <v>1305000</v>
          </cell>
          <cell r="S472">
            <v>1845000</v>
          </cell>
          <cell r="Y472">
            <v>1428000</v>
          </cell>
          <cell r="AA472">
            <v>1360000</v>
          </cell>
        </row>
        <row r="473">
          <cell r="B473" t="str">
            <v>78W-6203</v>
          </cell>
          <cell r="C473" t="str">
            <v>TGS-26-4406X4BLS-LX</v>
          </cell>
          <cell r="E473" t="str">
            <v>CKD</v>
          </cell>
          <cell r="F473" t="str">
            <v>2018-04-30</v>
          </cell>
          <cell r="G473">
            <v>14.7</v>
          </cell>
          <cell r="H473">
            <v>42947</v>
          </cell>
          <cell r="J473">
            <v>1790000</v>
          </cell>
          <cell r="P473">
            <v>1370250</v>
          </cell>
          <cell r="R473">
            <v>1305000</v>
          </cell>
          <cell r="S473">
            <v>1845000</v>
          </cell>
          <cell r="Y473">
            <v>1428000</v>
          </cell>
          <cell r="AA473">
            <v>1360000</v>
          </cell>
        </row>
        <row r="474">
          <cell r="B474" t="str">
            <v>78W-6204</v>
          </cell>
          <cell r="C474" t="str">
            <v>TGS-26-4406X4BLS-LX</v>
          </cell>
          <cell r="E474" t="str">
            <v>CKD</v>
          </cell>
          <cell r="F474" t="str">
            <v>2018-04-30</v>
          </cell>
          <cell r="G474">
            <v>14.7</v>
          </cell>
          <cell r="H474">
            <v>42947</v>
          </cell>
          <cell r="J474">
            <v>1790000</v>
          </cell>
          <cell r="P474">
            <v>1370250</v>
          </cell>
          <cell r="R474">
            <v>1305000</v>
          </cell>
          <cell r="S474">
            <v>1845000</v>
          </cell>
          <cell r="Y474">
            <v>1428000</v>
          </cell>
          <cell r="AA474">
            <v>1360000</v>
          </cell>
        </row>
        <row r="475">
          <cell r="B475" t="str">
            <v>78W-6205</v>
          </cell>
          <cell r="C475" t="str">
            <v>TGS-26-4406X4BLS-LX</v>
          </cell>
          <cell r="E475" t="str">
            <v>CKD</v>
          </cell>
          <cell r="F475" t="str">
            <v>2018-04-30</v>
          </cell>
          <cell r="G475">
            <v>14.7</v>
          </cell>
          <cell r="H475">
            <v>42947</v>
          </cell>
          <cell r="J475">
            <v>1790000</v>
          </cell>
          <cell r="P475">
            <v>1370250</v>
          </cell>
          <cell r="R475">
            <v>1305000</v>
          </cell>
          <cell r="S475">
            <v>1845000</v>
          </cell>
          <cell r="Y475">
            <v>1428000</v>
          </cell>
          <cell r="AA475">
            <v>1360000</v>
          </cell>
        </row>
        <row r="476">
          <cell r="B476" t="str">
            <v>78W-6206</v>
          </cell>
          <cell r="C476" t="str">
            <v>TGS-26-4406X4BLS-LX</v>
          </cell>
          <cell r="E476" t="str">
            <v>CKD</v>
          </cell>
          <cell r="F476" t="str">
            <v>2018-04-30</v>
          </cell>
          <cell r="G476">
            <v>14.7</v>
          </cell>
          <cell r="H476">
            <v>42947</v>
          </cell>
          <cell r="J476">
            <v>1790000</v>
          </cell>
          <cell r="P476">
            <v>1370250</v>
          </cell>
          <cell r="R476">
            <v>1305000</v>
          </cell>
          <cell r="S476">
            <v>1845000</v>
          </cell>
          <cell r="Y476">
            <v>1428000</v>
          </cell>
          <cell r="AA476">
            <v>1360000</v>
          </cell>
        </row>
        <row r="477">
          <cell r="B477" t="str">
            <v>78W-6207</v>
          </cell>
          <cell r="C477" t="str">
            <v>TGS-26-4406X4BLS-LX</v>
          </cell>
          <cell r="E477" t="str">
            <v>CKD</v>
          </cell>
          <cell r="F477" t="str">
            <v>2018-06-30</v>
          </cell>
          <cell r="G477">
            <v>14.7</v>
          </cell>
          <cell r="H477">
            <v>42947</v>
          </cell>
          <cell r="J477">
            <v>1790000</v>
          </cell>
          <cell r="P477">
            <v>1370250</v>
          </cell>
          <cell r="R477">
            <v>1305000</v>
          </cell>
          <cell r="S477">
            <v>1845000</v>
          </cell>
          <cell r="Y477">
            <v>1428000</v>
          </cell>
          <cell r="AA477">
            <v>1360000</v>
          </cell>
        </row>
        <row r="478">
          <cell r="B478" t="str">
            <v>78W-6208</v>
          </cell>
          <cell r="C478" t="str">
            <v>TGS-26-4406X4BLS-LX</v>
          </cell>
          <cell r="E478" t="str">
            <v>CKD</v>
          </cell>
          <cell r="F478" t="str">
            <v>2018-06-30</v>
          </cell>
          <cell r="G478">
            <v>14.7</v>
          </cell>
          <cell r="H478">
            <v>42947</v>
          </cell>
          <cell r="J478">
            <v>1790000</v>
          </cell>
          <cell r="P478">
            <v>1370250</v>
          </cell>
          <cell r="R478">
            <v>1305000</v>
          </cell>
          <cell r="S478">
            <v>1845000</v>
          </cell>
          <cell r="Y478">
            <v>1428000</v>
          </cell>
          <cell r="AA478">
            <v>1360000</v>
          </cell>
        </row>
        <row r="479">
          <cell r="B479" t="str">
            <v>78W-6209</v>
          </cell>
          <cell r="C479" t="str">
            <v>TGS-26-4406X4BLS-LX</v>
          </cell>
          <cell r="E479" t="str">
            <v>CKD</v>
          </cell>
          <cell r="F479" t="str">
            <v>2018-03-30</v>
          </cell>
          <cell r="G479">
            <v>14.7</v>
          </cell>
          <cell r="H479">
            <v>42947</v>
          </cell>
          <cell r="J479">
            <v>1790000</v>
          </cell>
          <cell r="P479">
            <v>1370250</v>
          </cell>
          <cell r="R479">
            <v>1305000</v>
          </cell>
          <cell r="S479">
            <v>1845000</v>
          </cell>
          <cell r="Y479">
            <v>1428000</v>
          </cell>
          <cell r="AA479">
            <v>1360000</v>
          </cell>
        </row>
        <row r="480">
          <cell r="B480" t="str">
            <v>78W-6210</v>
          </cell>
          <cell r="C480" t="str">
            <v>TGS-26-4406X4BLS-LX</v>
          </cell>
          <cell r="E480" t="str">
            <v>CKD</v>
          </cell>
          <cell r="F480" t="str">
            <v>2018-03-30</v>
          </cell>
          <cell r="G480">
            <v>14.7</v>
          </cell>
          <cell r="H480">
            <v>42947</v>
          </cell>
          <cell r="J480">
            <v>1790000</v>
          </cell>
          <cell r="P480">
            <v>1370250</v>
          </cell>
          <cell r="R480">
            <v>1305000</v>
          </cell>
          <cell r="S480">
            <v>1845000</v>
          </cell>
          <cell r="Y480">
            <v>1428000</v>
          </cell>
          <cell r="AA480">
            <v>1360000</v>
          </cell>
        </row>
        <row r="481">
          <cell r="B481" t="str">
            <v>78W-6211</v>
          </cell>
          <cell r="C481" t="str">
            <v>TGS-26-4406X4BLS-LX</v>
          </cell>
          <cell r="E481" t="str">
            <v>CKD</v>
          </cell>
          <cell r="F481" t="str">
            <v>2018-04-30</v>
          </cell>
          <cell r="G481">
            <v>14.7</v>
          </cell>
          <cell r="H481">
            <v>42947</v>
          </cell>
          <cell r="J481">
            <v>1790000</v>
          </cell>
          <cell r="P481">
            <v>1370250</v>
          </cell>
          <cell r="R481">
            <v>1305000</v>
          </cell>
          <cell r="S481">
            <v>1845000</v>
          </cell>
          <cell r="Y481">
            <v>1428000</v>
          </cell>
          <cell r="AA481">
            <v>1360000</v>
          </cell>
        </row>
        <row r="482">
          <cell r="B482" t="str">
            <v>78W-6212</v>
          </cell>
          <cell r="C482" t="str">
            <v>TGS-26-4406X4BLS-LX</v>
          </cell>
          <cell r="E482" t="str">
            <v>CKD</v>
          </cell>
          <cell r="F482" t="str">
            <v>2018-04-30</v>
          </cell>
          <cell r="G482">
            <v>14.7</v>
          </cell>
          <cell r="H482">
            <v>42947</v>
          </cell>
          <cell r="J482">
            <v>1790000</v>
          </cell>
          <cell r="P482">
            <v>1370250</v>
          </cell>
          <cell r="R482">
            <v>1305000</v>
          </cell>
          <cell r="S482">
            <v>1845000</v>
          </cell>
          <cell r="Y482">
            <v>1428000</v>
          </cell>
          <cell r="AA482">
            <v>1360000</v>
          </cell>
        </row>
        <row r="483">
          <cell r="B483" t="str">
            <v>78W-6213</v>
          </cell>
          <cell r="C483" t="str">
            <v>TGS-26-4406X4BLS-LX</v>
          </cell>
          <cell r="E483" t="str">
            <v>CKD</v>
          </cell>
          <cell r="F483" t="str">
            <v>2018-04-30</v>
          </cell>
          <cell r="G483">
            <v>14.7</v>
          </cell>
          <cell r="H483">
            <v>42947</v>
          </cell>
          <cell r="J483">
            <v>1790000</v>
          </cell>
          <cell r="P483">
            <v>1370250</v>
          </cell>
          <cell r="R483">
            <v>1305000</v>
          </cell>
          <cell r="S483">
            <v>1845000</v>
          </cell>
          <cell r="Y483">
            <v>1428000</v>
          </cell>
          <cell r="AA483">
            <v>1360000</v>
          </cell>
        </row>
        <row r="484">
          <cell r="B484" t="str">
            <v>78W-6214</v>
          </cell>
          <cell r="C484" t="str">
            <v>TGS-26-4406X4BLS-LX</v>
          </cell>
          <cell r="E484" t="str">
            <v>CKD</v>
          </cell>
          <cell r="F484" t="str">
            <v>2018-04-30</v>
          </cell>
          <cell r="G484">
            <v>14.7</v>
          </cell>
          <cell r="H484">
            <v>42947</v>
          </cell>
          <cell r="J484">
            <v>1790000</v>
          </cell>
          <cell r="P484">
            <v>1370250</v>
          </cell>
          <cell r="R484">
            <v>1305000</v>
          </cell>
          <cell r="S484">
            <v>1845000</v>
          </cell>
          <cell r="Y484">
            <v>1428000</v>
          </cell>
          <cell r="AA484">
            <v>1360000</v>
          </cell>
        </row>
        <row r="485">
          <cell r="B485" t="str">
            <v>78W-6215</v>
          </cell>
          <cell r="C485" t="str">
            <v>TGS-26-4406X4BLS-LX</v>
          </cell>
          <cell r="E485" t="str">
            <v>CKD</v>
          </cell>
          <cell r="F485" t="str">
            <v>2018-04-30</v>
          </cell>
          <cell r="G485">
            <v>14.7</v>
          </cell>
          <cell r="H485">
            <v>42947</v>
          </cell>
          <cell r="J485">
            <v>1790000</v>
          </cell>
          <cell r="P485">
            <v>1370250</v>
          </cell>
          <cell r="R485">
            <v>1305000</v>
          </cell>
          <cell r="S485">
            <v>1845000</v>
          </cell>
          <cell r="Y485">
            <v>1428000</v>
          </cell>
          <cell r="AA485">
            <v>1360000</v>
          </cell>
        </row>
        <row r="486">
          <cell r="B486" t="str">
            <v>78W-6224</v>
          </cell>
          <cell r="C486" t="str">
            <v>TGS-26-4406X4BLS-LX</v>
          </cell>
          <cell r="E486" t="str">
            <v>CKD</v>
          </cell>
          <cell r="F486" t="str">
            <v>2018-04-30</v>
          </cell>
          <cell r="G486">
            <v>14.7</v>
          </cell>
          <cell r="H486">
            <v>42947</v>
          </cell>
          <cell r="J486">
            <v>1790000</v>
          </cell>
          <cell r="P486">
            <v>1370250</v>
          </cell>
          <cell r="R486">
            <v>1305000</v>
          </cell>
          <cell r="S486">
            <v>1845000</v>
          </cell>
          <cell r="Y486">
            <v>1428000</v>
          </cell>
          <cell r="AA486">
            <v>1360000</v>
          </cell>
        </row>
        <row r="487">
          <cell r="B487" t="str">
            <v>78W-6225</v>
          </cell>
          <cell r="C487" t="str">
            <v>TGS-26-4406X4BLS-LX</v>
          </cell>
          <cell r="E487" t="str">
            <v>CKD</v>
          </cell>
          <cell r="F487" t="str">
            <v>2018-04-30</v>
          </cell>
          <cell r="G487">
            <v>14.7</v>
          </cell>
          <cell r="H487">
            <v>42947</v>
          </cell>
          <cell r="J487">
            <v>1790000</v>
          </cell>
          <cell r="P487">
            <v>1370250</v>
          </cell>
          <cell r="R487">
            <v>1305000</v>
          </cell>
          <cell r="S487">
            <v>1845000</v>
          </cell>
          <cell r="Y487">
            <v>1428000</v>
          </cell>
          <cell r="AA487">
            <v>1360000</v>
          </cell>
        </row>
        <row r="488">
          <cell r="B488" t="str">
            <v>78W-6226</v>
          </cell>
          <cell r="C488" t="str">
            <v>TGS-26-4406X4BLS-LX</v>
          </cell>
          <cell r="E488" t="str">
            <v>CKD</v>
          </cell>
          <cell r="F488" t="str">
            <v>2018-04-30</v>
          </cell>
          <cell r="G488">
            <v>14.7</v>
          </cell>
          <cell r="H488">
            <v>42947</v>
          </cell>
          <cell r="J488">
            <v>1790000</v>
          </cell>
          <cell r="P488">
            <v>1370250</v>
          </cell>
          <cell r="R488">
            <v>1305000</v>
          </cell>
          <cell r="S488">
            <v>1845000</v>
          </cell>
          <cell r="Y488">
            <v>1428000</v>
          </cell>
          <cell r="AA488">
            <v>1360000</v>
          </cell>
        </row>
        <row r="489">
          <cell r="B489" t="str">
            <v>78W-6227</v>
          </cell>
          <cell r="C489" t="str">
            <v>TGS-26-4406X4BLS-LX</v>
          </cell>
          <cell r="E489" t="str">
            <v>CKD</v>
          </cell>
          <cell r="F489" t="str">
            <v>2018-04-30</v>
          </cell>
          <cell r="G489">
            <v>14.7</v>
          </cell>
          <cell r="H489">
            <v>42947</v>
          </cell>
          <cell r="J489">
            <v>1790000</v>
          </cell>
          <cell r="P489">
            <v>1370250</v>
          </cell>
          <cell r="R489">
            <v>1305000</v>
          </cell>
          <cell r="S489">
            <v>1845000</v>
          </cell>
          <cell r="Y489">
            <v>1428000</v>
          </cell>
          <cell r="AA489">
            <v>1360000</v>
          </cell>
        </row>
        <row r="490">
          <cell r="B490" t="str">
            <v>78W-6228</v>
          </cell>
          <cell r="C490" t="str">
            <v>TGS-26-4406X4BLS-LX</v>
          </cell>
          <cell r="E490" t="str">
            <v>CKD</v>
          </cell>
          <cell r="F490" t="str">
            <v>2018-06-30</v>
          </cell>
          <cell r="G490">
            <v>14.7</v>
          </cell>
          <cell r="H490">
            <v>42947</v>
          </cell>
          <cell r="J490">
            <v>1790000</v>
          </cell>
          <cell r="P490">
            <v>1370250</v>
          </cell>
          <cell r="R490">
            <v>1305000</v>
          </cell>
          <cell r="S490">
            <v>1845000</v>
          </cell>
          <cell r="Y490">
            <v>1428000</v>
          </cell>
          <cell r="AA490">
            <v>1360000</v>
          </cell>
        </row>
        <row r="491">
          <cell r="B491" t="str">
            <v>78W-6229</v>
          </cell>
          <cell r="C491" t="str">
            <v>TGS-26-4406X4BLS-LX</v>
          </cell>
          <cell r="E491" t="str">
            <v>CKD</v>
          </cell>
          <cell r="F491" t="str">
            <v>2018-06-30</v>
          </cell>
          <cell r="G491">
            <v>14.7</v>
          </cell>
          <cell r="H491">
            <v>42947</v>
          </cell>
          <cell r="J491">
            <v>1790000</v>
          </cell>
          <cell r="P491">
            <v>1370250</v>
          </cell>
          <cell r="R491">
            <v>1305000</v>
          </cell>
          <cell r="S491">
            <v>1845000</v>
          </cell>
          <cell r="Y491">
            <v>1428000</v>
          </cell>
          <cell r="AA491">
            <v>1360000</v>
          </cell>
        </row>
        <row r="492">
          <cell r="B492" t="str">
            <v>78W-6230</v>
          </cell>
          <cell r="C492" t="str">
            <v>TGS-26-4406X4BLS-LX</v>
          </cell>
          <cell r="E492" t="str">
            <v>CKD</v>
          </cell>
          <cell r="F492" t="str">
            <v>2018-06-30</v>
          </cell>
          <cell r="G492">
            <v>14.7</v>
          </cell>
          <cell r="H492">
            <v>42947</v>
          </cell>
          <cell r="J492">
            <v>1790000</v>
          </cell>
          <cell r="P492">
            <v>1370250</v>
          </cell>
          <cell r="R492">
            <v>1305000</v>
          </cell>
          <cell r="S492">
            <v>1845000</v>
          </cell>
          <cell r="Y492">
            <v>1428000</v>
          </cell>
          <cell r="AA492">
            <v>1360000</v>
          </cell>
        </row>
        <row r="493">
          <cell r="B493" t="str">
            <v>78W-6231</v>
          </cell>
          <cell r="C493" t="str">
            <v>TGS-26-4406X4BLS-LX</v>
          </cell>
          <cell r="E493" t="str">
            <v>CKD</v>
          </cell>
          <cell r="F493" t="str">
            <v>2018-06-30</v>
          </cell>
          <cell r="G493">
            <v>14.7</v>
          </cell>
          <cell r="H493">
            <v>42947</v>
          </cell>
          <cell r="J493">
            <v>1790000</v>
          </cell>
          <cell r="P493">
            <v>1370250</v>
          </cell>
          <cell r="R493">
            <v>1305000</v>
          </cell>
          <cell r="S493">
            <v>1845000</v>
          </cell>
          <cell r="Y493">
            <v>1428000</v>
          </cell>
          <cell r="AA493">
            <v>1360000</v>
          </cell>
        </row>
        <row r="494">
          <cell r="B494" t="str">
            <v>78W-6232</v>
          </cell>
          <cell r="C494" t="str">
            <v>TGS-26-4406X4BLS-LX</v>
          </cell>
          <cell r="E494" t="str">
            <v>CKD</v>
          </cell>
          <cell r="F494" t="str">
            <v>2018-06-30</v>
          </cell>
          <cell r="G494">
            <v>14.7</v>
          </cell>
          <cell r="H494">
            <v>42947</v>
          </cell>
          <cell r="J494">
            <v>1790000</v>
          </cell>
          <cell r="P494">
            <v>1370250</v>
          </cell>
          <cell r="R494">
            <v>1305000</v>
          </cell>
          <cell r="S494">
            <v>1845000</v>
          </cell>
          <cell r="Y494">
            <v>1428000</v>
          </cell>
          <cell r="AA494">
            <v>1360000</v>
          </cell>
        </row>
        <row r="495">
          <cell r="B495" t="str">
            <v>78W-6233</v>
          </cell>
          <cell r="C495" t="str">
            <v>TGS-26-4406X4BLS-LX</v>
          </cell>
          <cell r="E495" t="str">
            <v>CKD</v>
          </cell>
          <cell r="F495" t="str">
            <v>2018-05-30</v>
          </cell>
          <cell r="G495">
            <v>14.7</v>
          </cell>
          <cell r="H495">
            <v>42947</v>
          </cell>
          <cell r="J495">
            <v>1790000</v>
          </cell>
          <cell r="P495">
            <v>1370250</v>
          </cell>
          <cell r="R495">
            <v>1305000</v>
          </cell>
          <cell r="S495">
            <v>1845000</v>
          </cell>
          <cell r="Y495">
            <v>1428000</v>
          </cell>
          <cell r="AA495">
            <v>1360000</v>
          </cell>
        </row>
        <row r="496">
          <cell r="B496" t="str">
            <v>78W-6234</v>
          </cell>
          <cell r="C496" t="str">
            <v>TGS-26-4406X4BLS-LX</v>
          </cell>
          <cell r="E496" t="str">
            <v>CKD</v>
          </cell>
          <cell r="F496" t="str">
            <v>2018-05-30</v>
          </cell>
          <cell r="G496">
            <v>14.7</v>
          </cell>
          <cell r="H496">
            <v>42947</v>
          </cell>
          <cell r="J496">
            <v>1790000</v>
          </cell>
          <cell r="P496">
            <v>1370250</v>
          </cell>
          <cell r="R496">
            <v>1305000</v>
          </cell>
          <cell r="S496">
            <v>1845000</v>
          </cell>
          <cell r="Y496">
            <v>1428000</v>
          </cell>
          <cell r="AA496">
            <v>1360000</v>
          </cell>
        </row>
        <row r="497">
          <cell r="B497" t="str">
            <v>78W-6235</v>
          </cell>
          <cell r="C497" t="str">
            <v>TGS-26-4406X4BLS-LX</v>
          </cell>
          <cell r="E497" t="str">
            <v>CKD</v>
          </cell>
          <cell r="F497" t="str">
            <v>2018-05-30</v>
          </cell>
          <cell r="G497">
            <v>14.7</v>
          </cell>
          <cell r="H497">
            <v>42947</v>
          </cell>
          <cell r="J497">
            <v>1790000</v>
          </cell>
          <cell r="P497">
            <v>1370250</v>
          </cell>
          <cell r="R497">
            <v>1305000</v>
          </cell>
          <cell r="S497">
            <v>1845000</v>
          </cell>
          <cell r="Y497">
            <v>1428000</v>
          </cell>
          <cell r="AA497">
            <v>1360000</v>
          </cell>
        </row>
        <row r="498">
          <cell r="B498" t="str">
            <v>78W-6236</v>
          </cell>
          <cell r="C498" t="str">
            <v>TGS-26-4406X4BLS-LX</v>
          </cell>
          <cell r="E498" t="str">
            <v>CKD</v>
          </cell>
          <cell r="F498" t="str">
            <v>2018-05-30</v>
          </cell>
          <cell r="G498">
            <v>14.7</v>
          </cell>
          <cell r="H498">
            <v>42947</v>
          </cell>
          <cell r="J498">
            <v>1790000</v>
          </cell>
          <cell r="P498">
            <v>1370250</v>
          </cell>
          <cell r="R498">
            <v>1305000</v>
          </cell>
          <cell r="S498">
            <v>1845000</v>
          </cell>
          <cell r="Y498">
            <v>1428000</v>
          </cell>
          <cell r="AA498">
            <v>1360000</v>
          </cell>
        </row>
        <row r="499">
          <cell r="B499" t="str">
            <v>78W-6237</v>
          </cell>
          <cell r="C499" t="str">
            <v>TGS-26-4406X4BLS-LX</v>
          </cell>
          <cell r="E499" t="str">
            <v>CKD</v>
          </cell>
          <cell r="F499" t="str">
            <v>2018-05-30</v>
          </cell>
          <cell r="G499">
            <v>14.7</v>
          </cell>
          <cell r="H499">
            <v>42947</v>
          </cell>
          <cell r="J499">
            <v>1790000</v>
          </cell>
          <cell r="P499">
            <v>1370250</v>
          </cell>
          <cell r="R499">
            <v>1305000</v>
          </cell>
          <cell r="S499">
            <v>1845000</v>
          </cell>
          <cell r="Y499">
            <v>1428000</v>
          </cell>
          <cell r="AA499">
            <v>1360000</v>
          </cell>
        </row>
        <row r="500">
          <cell r="B500" t="str">
            <v>78W-6238</v>
          </cell>
          <cell r="C500" t="str">
            <v>TGS-26-4406X4BLS-LX</v>
          </cell>
          <cell r="E500" t="str">
            <v>CKD</v>
          </cell>
          <cell r="F500" t="str">
            <v>2018-05-30</v>
          </cell>
          <cell r="G500">
            <v>14.7</v>
          </cell>
          <cell r="H500">
            <v>42947</v>
          </cell>
          <cell r="J500">
            <v>1790000</v>
          </cell>
          <cell r="P500">
            <v>1370250</v>
          </cell>
          <cell r="R500">
            <v>1305000</v>
          </cell>
          <cell r="S500">
            <v>1845000</v>
          </cell>
          <cell r="Y500">
            <v>1428000</v>
          </cell>
          <cell r="AA500">
            <v>1360000</v>
          </cell>
        </row>
        <row r="501">
          <cell r="B501" t="str">
            <v>78W-6239</v>
          </cell>
          <cell r="C501" t="str">
            <v>TGS-26-4406X4BLS-LX</v>
          </cell>
          <cell r="E501" t="str">
            <v>CKD</v>
          </cell>
          <cell r="F501" t="str">
            <v>2018-05-30</v>
          </cell>
          <cell r="G501">
            <v>14.7</v>
          </cell>
          <cell r="H501">
            <v>42947</v>
          </cell>
          <cell r="J501">
            <v>1790000</v>
          </cell>
          <cell r="P501">
            <v>1370250</v>
          </cell>
          <cell r="R501">
            <v>1305000</v>
          </cell>
          <cell r="S501">
            <v>1845000</v>
          </cell>
          <cell r="Y501">
            <v>1428000</v>
          </cell>
          <cell r="AA501">
            <v>1360000</v>
          </cell>
        </row>
        <row r="502">
          <cell r="B502" t="str">
            <v>78W-6240</v>
          </cell>
          <cell r="C502" t="str">
            <v>TGS-26-4406X4BLS-LX</v>
          </cell>
          <cell r="E502" t="str">
            <v>CKD</v>
          </cell>
          <cell r="F502" t="str">
            <v>2018-04-30</v>
          </cell>
          <cell r="G502">
            <v>14.7</v>
          </cell>
          <cell r="H502">
            <v>42947</v>
          </cell>
          <cell r="J502">
            <v>1790000</v>
          </cell>
          <cell r="P502">
            <v>1370250</v>
          </cell>
          <cell r="R502">
            <v>1305000</v>
          </cell>
          <cell r="S502">
            <v>1845000</v>
          </cell>
          <cell r="Y502">
            <v>1428000</v>
          </cell>
          <cell r="AA502">
            <v>1360000</v>
          </cell>
        </row>
        <row r="503">
          <cell r="B503" t="str">
            <v>78W-6241</v>
          </cell>
          <cell r="C503" t="str">
            <v>TGS-26-4406X4BLS-LX</v>
          </cell>
          <cell r="E503" t="str">
            <v>CKD</v>
          </cell>
          <cell r="F503" t="str">
            <v>2018-04-30</v>
          </cell>
          <cell r="G503">
            <v>14.7</v>
          </cell>
          <cell r="H503">
            <v>42947</v>
          </cell>
          <cell r="J503">
            <v>1790000</v>
          </cell>
          <cell r="P503">
            <v>1370250</v>
          </cell>
          <cell r="R503">
            <v>1305000</v>
          </cell>
          <cell r="S503">
            <v>1845000</v>
          </cell>
          <cell r="Y503">
            <v>1428000</v>
          </cell>
          <cell r="AA503">
            <v>1360000</v>
          </cell>
        </row>
        <row r="504">
          <cell r="B504" t="str">
            <v>78W-6242</v>
          </cell>
          <cell r="C504" t="str">
            <v>TGS-26-4406X4BLS-LX</v>
          </cell>
          <cell r="E504" t="str">
            <v>CKD</v>
          </cell>
          <cell r="F504" t="str">
            <v>2018-03-30</v>
          </cell>
          <cell r="G504">
            <v>14.7</v>
          </cell>
          <cell r="H504">
            <v>42947</v>
          </cell>
          <cell r="J504">
            <v>1790000</v>
          </cell>
          <cell r="P504">
            <v>1370250</v>
          </cell>
          <cell r="R504">
            <v>1305000</v>
          </cell>
          <cell r="S504">
            <v>1845000</v>
          </cell>
          <cell r="Y504">
            <v>1428000</v>
          </cell>
          <cell r="AA504">
            <v>1360000</v>
          </cell>
        </row>
        <row r="505">
          <cell r="B505" t="str">
            <v>78W-6243</v>
          </cell>
          <cell r="C505" t="str">
            <v>TGS-26-4406X4BLS-LX</v>
          </cell>
          <cell r="E505" t="str">
            <v>CKD</v>
          </cell>
          <cell r="F505" t="str">
            <v>2018-03-30</v>
          </cell>
          <cell r="G505">
            <v>14.7</v>
          </cell>
          <cell r="H505">
            <v>42947</v>
          </cell>
          <cell r="J505">
            <v>1790000</v>
          </cell>
          <cell r="P505">
            <v>1370250</v>
          </cell>
          <cell r="R505">
            <v>1305000</v>
          </cell>
          <cell r="S505">
            <v>1845000</v>
          </cell>
          <cell r="Y505">
            <v>1428000</v>
          </cell>
          <cell r="AA505">
            <v>1360000</v>
          </cell>
        </row>
        <row r="506">
          <cell r="B506" t="str">
            <v>78W-6244</v>
          </cell>
          <cell r="C506" t="str">
            <v>TGS-26-4406X4BLS-LX</v>
          </cell>
          <cell r="E506" t="str">
            <v>CKD</v>
          </cell>
          <cell r="F506" t="str">
            <v>2018-03-30</v>
          </cell>
          <cell r="G506">
            <v>15.3</v>
          </cell>
          <cell r="H506">
            <v>42978</v>
          </cell>
          <cell r="J506">
            <v>1790000</v>
          </cell>
          <cell r="P506">
            <v>1370250</v>
          </cell>
          <cell r="R506">
            <v>1305000</v>
          </cell>
          <cell r="S506">
            <v>1845000</v>
          </cell>
          <cell r="Y506">
            <v>1428000</v>
          </cell>
          <cell r="AA506">
            <v>1360000</v>
          </cell>
        </row>
        <row r="507">
          <cell r="B507" t="str">
            <v>78W-6245</v>
          </cell>
          <cell r="C507" t="str">
            <v>TGS-26-4406X4BLS-LX</v>
          </cell>
          <cell r="E507" t="str">
            <v>BOOKED: 2018-02-06</v>
          </cell>
          <cell r="F507">
            <v>22</v>
          </cell>
          <cell r="G507">
            <v>15.3</v>
          </cell>
          <cell r="H507">
            <v>42978</v>
          </cell>
          <cell r="J507">
            <v>1790000</v>
          </cell>
          <cell r="P507">
            <v>1370250</v>
          </cell>
          <cell r="R507">
            <v>1305000</v>
          </cell>
          <cell r="S507">
            <v>1845000</v>
          </cell>
          <cell r="Y507">
            <v>1428000</v>
          </cell>
          <cell r="AA507">
            <v>1360000</v>
          </cell>
        </row>
        <row r="508">
          <cell r="B508" t="str">
            <v>78W-6246</v>
          </cell>
          <cell r="C508" t="str">
            <v>TGS-26-4406X4BLS-LX</v>
          </cell>
          <cell r="E508" t="str">
            <v>SOLD</v>
          </cell>
          <cell r="F508">
            <v>6</v>
          </cell>
          <cell r="G508">
            <v>15.3</v>
          </cell>
          <cell r="H508">
            <v>42978</v>
          </cell>
          <cell r="J508">
            <v>1790000</v>
          </cell>
          <cell r="P508">
            <v>1370250</v>
          </cell>
          <cell r="R508">
            <v>1305000</v>
          </cell>
          <cell r="S508">
            <v>1845000</v>
          </cell>
          <cell r="Y508">
            <v>1428000</v>
          </cell>
          <cell r="AA508">
            <v>1360000</v>
          </cell>
        </row>
        <row r="509">
          <cell r="B509" t="str">
            <v>78W-6247</v>
          </cell>
          <cell r="C509" t="str">
            <v>TGS-26-4406X4BLS-LX</v>
          </cell>
          <cell r="E509" t="str">
            <v>CKD</v>
          </cell>
          <cell r="F509" t="str">
            <v>2018-02-09</v>
          </cell>
          <cell r="G509">
            <v>15.3</v>
          </cell>
          <cell r="H509">
            <v>42978</v>
          </cell>
          <cell r="J509">
            <v>1790000</v>
          </cell>
          <cell r="P509">
            <v>1370250</v>
          </cell>
          <cell r="R509">
            <v>1305000</v>
          </cell>
          <cell r="S509">
            <v>1845000</v>
          </cell>
          <cell r="Y509">
            <v>1428000</v>
          </cell>
          <cell r="AA509">
            <v>1360000</v>
          </cell>
        </row>
        <row r="510">
          <cell r="B510" t="str">
            <v>78W-6248</v>
          </cell>
          <cell r="C510" t="str">
            <v>TGS-26-4406X4BLS-LX</v>
          </cell>
          <cell r="E510" t="str">
            <v>SOLD</v>
          </cell>
          <cell r="F510">
            <v>22</v>
          </cell>
          <cell r="G510">
            <v>15.3</v>
          </cell>
          <cell r="H510">
            <v>42978</v>
          </cell>
          <cell r="J510">
            <v>1790000</v>
          </cell>
          <cell r="P510">
            <v>1370250</v>
          </cell>
          <cell r="R510">
            <v>1305000</v>
          </cell>
          <cell r="S510">
            <v>1845000</v>
          </cell>
          <cell r="Y510">
            <v>1428000</v>
          </cell>
          <cell r="AA510">
            <v>1360000</v>
          </cell>
        </row>
        <row r="511">
          <cell r="B511" t="str">
            <v>78W-6249</v>
          </cell>
          <cell r="C511" t="str">
            <v>TGS-26-4406X4BLS-LX</v>
          </cell>
          <cell r="E511" t="str">
            <v>SOLD</v>
          </cell>
          <cell r="F511">
            <v>27</v>
          </cell>
          <cell r="G511">
            <v>15.3</v>
          </cell>
          <cell r="H511">
            <v>42978</v>
          </cell>
          <cell r="J511">
            <v>1790000</v>
          </cell>
          <cell r="P511">
            <v>1370250</v>
          </cell>
          <cell r="R511">
            <v>1305000</v>
          </cell>
          <cell r="S511">
            <v>1845000</v>
          </cell>
          <cell r="Y511">
            <v>1428000</v>
          </cell>
          <cell r="AA511">
            <v>1360000</v>
          </cell>
        </row>
        <row r="512">
          <cell r="B512" t="str">
            <v>78W-6250</v>
          </cell>
          <cell r="C512" t="str">
            <v>TGS-26-4406X4BLS-LX</v>
          </cell>
          <cell r="E512" t="str">
            <v>SOLD</v>
          </cell>
          <cell r="F512">
            <v>27</v>
          </cell>
          <cell r="G512">
            <v>15.3</v>
          </cell>
          <cell r="H512">
            <v>42978</v>
          </cell>
          <cell r="J512">
            <v>1790000</v>
          </cell>
          <cell r="P512">
            <v>1370250</v>
          </cell>
          <cell r="R512">
            <v>1305000</v>
          </cell>
          <cell r="S512">
            <v>1845000</v>
          </cell>
          <cell r="Y512">
            <v>1428000</v>
          </cell>
          <cell r="AA512">
            <v>1360000</v>
          </cell>
        </row>
        <row r="513">
          <cell r="B513" t="str">
            <v>78W-6251</v>
          </cell>
          <cell r="C513" t="str">
            <v>TGS-26-4406X4BLS-LX</v>
          </cell>
          <cell r="E513" t="str">
            <v>SOLD</v>
          </cell>
          <cell r="F513">
            <v>26</v>
          </cell>
          <cell r="G513">
            <v>15.3</v>
          </cell>
          <cell r="H513">
            <v>42978</v>
          </cell>
          <cell r="J513">
            <v>1790000</v>
          </cell>
          <cell r="P513">
            <v>1370250</v>
          </cell>
          <cell r="R513">
            <v>1305000</v>
          </cell>
          <cell r="S513">
            <v>1845000</v>
          </cell>
          <cell r="Y513">
            <v>1428000</v>
          </cell>
          <cell r="AA513">
            <v>1360000</v>
          </cell>
        </row>
        <row r="514">
          <cell r="B514" t="str">
            <v>78W-6252</v>
          </cell>
          <cell r="C514" t="str">
            <v>TGS-26-4406X4BLS-LX</v>
          </cell>
          <cell r="E514" t="str">
            <v>CKD</v>
          </cell>
          <cell r="F514" t="str">
            <v>2018-03-30</v>
          </cell>
          <cell r="G514">
            <v>15.3</v>
          </cell>
          <cell r="H514">
            <v>42978</v>
          </cell>
          <cell r="J514">
            <v>1790000</v>
          </cell>
          <cell r="P514">
            <v>1370250</v>
          </cell>
          <cell r="R514">
            <v>1305000</v>
          </cell>
          <cell r="S514">
            <v>1845000</v>
          </cell>
          <cell r="Y514">
            <v>1428000</v>
          </cell>
          <cell r="AA514">
            <v>1360000</v>
          </cell>
        </row>
        <row r="515">
          <cell r="B515" t="str">
            <v>78W-6253</v>
          </cell>
          <cell r="C515" t="str">
            <v>TGS-26-4406X4BLS-LX</v>
          </cell>
          <cell r="E515" t="str">
            <v>CKD</v>
          </cell>
          <cell r="F515" t="str">
            <v>2018-03-30</v>
          </cell>
          <cell r="G515">
            <v>15.3</v>
          </cell>
          <cell r="H515">
            <v>42978</v>
          </cell>
          <cell r="J515">
            <v>1790000</v>
          </cell>
          <cell r="P515">
            <v>1370250</v>
          </cell>
          <cell r="R515">
            <v>1305000</v>
          </cell>
          <cell r="S515">
            <v>1845000</v>
          </cell>
          <cell r="Y515">
            <v>1428000</v>
          </cell>
          <cell r="AA515">
            <v>1360000</v>
          </cell>
        </row>
        <row r="516">
          <cell r="B516" t="str">
            <v>78W-6254</v>
          </cell>
          <cell r="C516" t="str">
            <v>TGS-26-4406X4BLS-LX</v>
          </cell>
          <cell r="E516" t="str">
            <v>CKD</v>
          </cell>
          <cell r="F516" t="str">
            <v>2018-03-30</v>
          </cell>
          <cell r="G516">
            <v>15.3</v>
          </cell>
          <cell r="H516">
            <v>42978</v>
          </cell>
          <cell r="J516">
            <v>1790000</v>
          </cell>
          <cell r="P516">
            <v>1370250</v>
          </cell>
          <cell r="R516">
            <v>1305000</v>
          </cell>
          <cell r="S516">
            <v>1845000</v>
          </cell>
          <cell r="Y516">
            <v>1428000</v>
          </cell>
          <cell r="AA516">
            <v>1360000</v>
          </cell>
        </row>
        <row r="517">
          <cell r="B517" t="str">
            <v>78W-6255</v>
          </cell>
          <cell r="C517" t="str">
            <v>TGS-26-4406X4BLS-LX</v>
          </cell>
          <cell r="E517" t="str">
            <v>CKD</v>
          </cell>
          <cell r="F517" t="str">
            <v>2018-03-30</v>
          </cell>
          <cell r="G517">
            <v>15.3</v>
          </cell>
          <cell r="H517">
            <v>42978</v>
          </cell>
          <cell r="J517">
            <v>1790000</v>
          </cell>
          <cell r="P517">
            <v>1370250</v>
          </cell>
          <cell r="R517">
            <v>1305000</v>
          </cell>
          <cell r="S517">
            <v>1845000</v>
          </cell>
          <cell r="Y517">
            <v>1428000</v>
          </cell>
          <cell r="AA517">
            <v>1360000</v>
          </cell>
        </row>
        <row r="518">
          <cell r="B518" t="str">
            <v>78W-6256</v>
          </cell>
          <cell r="C518" t="str">
            <v>TGS-26-4406X4BLS-LX</v>
          </cell>
          <cell r="E518" t="str">
            <v>CKD</v>
          </cell>
          <cell r="F518" t="str">
            <v>2018-03-30</v>
          </cell>
          <cell r="G518">
            <v>15.3</v>
          </cell>
          <cell r="H518">
            <v>42978</v>
          </cell>
          <cell r="J518">
            <v>1790000</v>
          </cell>
          <cell r="P518">
            <v>1370250</v>
          </cell>
          <cell r="R518">
            <v>1305000</v>
          </cell>
          <cell r="S518">
            <v>1845000</v>
          </cell>
          <cell r="Y518">
            <v>1428000</v>
          </cell>
          <cell r="AA518">
            <v>1360000</v>
          </cell>
        </row>
        <row r="519">
          <cell r="B519" t="str">
            <v>78W-6257</v>
          </cell>
          <cell r="C519" t="str">
            <v>TGS-26-4406X4BLS-LX</v>
          </cell>
          <cell r="E519" t="str">
            <v>CKD</v>
          </cell>
          <cell r="F519" t="str">
            <v>2018-03-30</v>
          </cell>
          <cell r="G519">
            <v>15.3</v>
          </cell>
          <cell r="H519">
            <v>42978</v>
          </cell>
          <cell r="J519">
            <v>1790000</v>
          </cell>
          <cell r="P519">
            <v>1370250</v>
          </cell>
          <cell r="R519">
            <v>1305000</v>
          </cell>
          <cell r="S519">
            <v>1845000</v>
          </cell>
          <cell r="Y519">
            <v>1428000</v>
          </cell>
          <cell r="AA519">
            <v>1360000</v>
          </cell>
        </row>
        <row r="520">
          <cell r="B520" t="str">
            <v>78W-6258</v>
          </cell>
          <cell r="C520" t="str">
            <v>TGS-26-4406X4BLS-LX</v>
          </cell>
          <cell r="E520" t="str">
            <v>CKD</v>
          </cell>
          <cell r="F520" t="str">
            <v>2018-03-30</v>
          </cell>
          <cell r="G520">
            <v>15.3</v>
          </cell>
          <cell r="H520">
            <v>42978</v>
          </cell>
          <cell r="J520">
            <v>1790000</v>
          </cell>
          <cell r="P520">
            <v>1370250</v>
          </cell>
          <cell r="R520">
            <v>1305000</v>
          </cell>
          <cell r="S520">
            <v>1845000</v>
          </cell>
          <cell r="Y520">
            <v>1428000</v>
          </cell>
          <cell r="AA520">
            <v>1360000</v>
          </cell>
        </row>
        <row r="521">
          <cell r="B521" t="str">
            <v>78W-6259</v>
          </cell>
          <cell r="C521" t="str">
            <v>TGS-26-4406X4BLS-LX</v>
          </cell>
          <cell r="E521" t="str">
            <v>CKD</v>
          </cell>
          <cell r="F521" t="str">
            <v>2018-03-30</v>
          </cell>
          <cell r="G521">
            <v>15.3</v>
          </cell>
          <cell r="H521">
            <v>42978</v>
          </cell>
          <cell r="J521">
            <v>1790000</v>
          </cell>
          <cell r="P521">
            <v>1370250</v>
          </cell>
          <cell r="R521">
            <v>1305000</v>
          </cell>
          <cell r="S521">
            <v>1845000</v>
          </cell>
          <cell r="Y521">
            <v>1428000</v>
          </cell>
          <cell r="AA521">
            <v>1360000</v>
          </cell>
        </row>
        <row r="522">
          <cell r="B522" t="str">
            <v>78W-6312</v>
          </cell>
          <cell r="C522" t="str">
            <v>TGS-26-4406X4BLS-LX</v>
          </cell>
          <cell r="E522" t="str">
            <v>CKD</v>
          </cell>
          <cell r="F522" t="str">
            <v>2018-03-30</v>
          </cell>
          <cell r="G522">
            <v>15.3</v>
          </cell>
          <cell r="H522">
            <v>42978</v>
          </cell>
          <cell r="J522">
            <v>1790000</v>
          </cell>
          <cell r="P522">
            <v>1370250</v>
          </cell>
          <cell r="R522">
            <v>1305000</v>
          </cell>
          <cell r="S522">
            <v>1845000</v>
          </cell>
          <cell r="Y522">
            <v>1428000</v>
          </cell>
          <cell r="AA522">
            <v>1360000</v>
          </cell>
        </row>
        <row r="523">
          <cell r="B523" t="str">
            <v>78W-6313</v>
          </cell>
          <cell r="C523" t="str">
            <v>TGS-26-4406X4BLS-LX</v>
          </cell>
          <cell r="E523" t="str">
            <v>CKD</v>
          </cell>
          <cell r="F523" t="str">
            <v>2018-03-30</v>
          </cell>
          <cell r="G523">
            <v>15.3</v>
          </cell>
          <cell r="H523">
            <v>42978</v>
          </cell>
          <cell r="J523">
            <v>1790000</v>
          </cell>
          <cell r="P523">
            <v>1370250</v>
          </cell>
          <cell r="R523">
            <v>1305000</v>
          </cell>
          <cell r="S523">
            <v>1845000</v>
          </cell>
          <cell r="Y523">
            <v>1428000</v>
          </cell>
          <cell r="AA523">
            <v>1360000</v>
          </cell>
        </row>
        <row r="524">
          <cell r="B524" t="str">
            <v>78W-6314</v>
          </cell>
          <cell r="C524" t="str">
            <v>TGS-26-4406X4BLS-LX</v>
          </cell>
          <cell r="E524" t="str">
            <v>CKD</v>
          </cell>
          <cell r="F524" t="str">
            <v>2018-03-30</v>
          </cell>
          <cell r="G524">
            <v>15.3</v>
          </cell>
          <cell r="H524">
            <v>42978</v>
          </cell>
          <cell r="J524">
            <v>1790000</v>
          </cell>
          <cell r="P524">
            <v>1370250</v>
          </cell>
          <cell r="R524">
            <v>1305000</v>
          </cell>
          <cell r="S524">
            <v>1845000</v>
          </cell>
          <cell r="Y524">
            <v>1428000</v>
          </cell>
          <cell r="AA524">
            <v>1360000</v>
          </cell>
        </row>
        <row r="525">
          <cell r="B525" t="str">
            <v>78W-6315</v>
          </cell>
          <cell r="C525" t="str">
            <v>TGS-26-4406X4BLS-LX</v>
          </cell>
          <cell r="E525" t="str">
            <v>CKD</v>
          </cell>
          <cell r="F525" t="str">
            <v>2018-05-30</v>
          </cell>
          <cell r="G525">
            <v>15.3</v>
          </cell>
          <cell r="H525">
            <v>42978</v>
          </cell>
          <cell r="J525">
            <v>1790000</v>
          </cell>
          <cell r="P525">
            <v>1370250</v>
          </cell>
          <cell r="R525">
            <v>1305000</v>
          </cell>
          <cell r="S525">
            <v>1845000</v>
          </cell>
          <cell r="Y525">
            <v>1428000</v>
          </cell>
          <cell r="AA525">
            <v>1360000</v>
          </cell>
        </row>
        <row r="526">
          <cell r="B526" t="str">
            <v>78W-6324</v>
          </cell>
          <cell r="C526" t="str">
            <v>TGS-26-4406X4BLS-LX</v>
          </cell>
          <cell r="E526" t="str">
            <v>CKD</v>
          </cell>
          <cell r="F526" t="str">
            <v>2018-05-30</v>
          </cell>
          <cell r="G526">
            <v>15.3</v>
          </cell>
          <cell r="H526">
            <v>42978</v>
          </cell>
          <cell r="J526">
            <v>1790000</v>
          </cell>
          <cell r="P526">
            <v>1370250</v>
          </cell>
          <cell r="R526">
            <v>1305000</v>
          </cell>
          <cell r="S526">
            <v>1845000</v>
          </cell>
          <cell r="Y526">
            <v>1428000</v>
          </cell>
          <cell r="AA526">
            <v>1360000</v>
          </cell>
        </row>
        <row r="527">
          <cell r="B527" t="str">
            <v>78W-6325</v>
          </cell>
          <cell r="C527" t="str">
            <v>TGS-26-4406X4BLS-LX</v>
          </cell>
          <cell r="E527" t="str">
            <v>CKD</v>
          </cell>
          <cell r="F527" t="str">
            <v>2018-05-30</v>
          </cell>
          <cell r="G527">
            <v>15.3</v>
          </cell>
          <cell r="H527">
            <v>42978</v>
          </cell>
          <cell r="J527">
            <v>1790000</v>
          </cell>
          <cell r="P527">
            <v>1370250</v>
          </cell>
          <cell r="R527">
            <v>1305000</v>
          </cell>
          <cell r="S527">
            <v>1845000</v>
          </cell>
          <cell r="Y527">
            <v>1428000</v>
          </cell>
          <cell r="AA527">
            <v>1360000</v>
          </cell>
        </row>
        <row r="528">
          <cell r="B528" t="str">
            <v>78W-6326</v>
          </cell>
          <cell r="C528" t="str">
            <v>TGS-26-4406X4BLS-LX</v>
          </cell>
          <cell r="E528" t="str">
            <v>CKD</v>
          </cell>
          <cell r="F528" t="str">
            <v>2018-05-30</v>
          </cell>
          <cell r="G528">
            <v>15.3</v>
          </cell>
          <cell r="H528">
            <v>42978</v>
          </cell>
          <cell r="J528">
            <v>1790000</v>
          </cell>
          <cell r="P528">
            <v>1370250</v>
          </cell>
          <cell r="R528">
            <v>1305000</v>
          </cell>
          <cell r="S528">
            <v>1845000</v>
          </cell>
          <cell r="Y528">
            <v>1428000</v>
          </cell>
          <cell r="AA528">
            <v>1360000</v>
          </cell>
        </row>
        <row r="529">
          <cell r="B529" t="str">
            <v>78W-6327</v>
          </cell>
          <cell r="C529" t="str">
            <v>TGS-26-4406X4BLS-LX</v>
          </cell>
          <cell r="E529" t="str">
            <v>CKD</v>
          </cell>
          <cell r="F529" t="str">
            <v>2018-05-30</v>
          </cell>
          <cell r="G529">
            <v>15.3</v>
          </cell>
          <cell r="H529">
            <v>42978</v>
          </cell>
          <cell r="J529">
            <v>1790000</v>
          </cell>
          <cell r="P529">
            <v>1370250</v>
          </cell>
          <cell r="R529">
            <v>1305000</v>
          </cell>
          <cell r="S529">
            <v>1845000</v>
          </cell>
          <cell r="Y529">
            <v>1428000</v>
          </cell>
          <cell r="AA529">
            <v>1360000</v>
          </cell>
        </row>
        <row r="530">
          <cell r="B530" t="str">
            <v>78W-6364</v>
          </cell>
          <cell r="C530" t="str">
            <v>TGS-26-4406X4BLS-LX</v>
          </cell>
          <cell r="E530" t="str">
            <v>CKD</v>
          </cell>
          <cell r="F530" t="str">
            <v>2018-05-30</v>
          </cell>
          <cell r="G530">
            <v>15.3</v>
          </cell>
          <cell r="H530">
            <v>42978</v>
          </cell>
          <cell r="J530">
            <v>1790000</v>
          </cell>
          <cell r="P530">
            <v>1370250</v>
          </cell>
          <cell r="R530">
            <v>1305000</v>
          </cell>
          <cell r="S530">
            <v>1845000</v>
          </cell>
          <cell r="Y530">
            <v>1428000</v>
          </cell>
          <cell r="AA530">
            <v>1360000</v>
          </cell>
        </row>
        <row r="531">
          <cell r="B531" t="str">
            <v>78W-6365</v>
          </cell>
          <cell r="C531" t="str">
            <v>TGS-26-4406X4BLS-LX</v>
          </cell>
          <cell r="E531" t="str">
            <v>CKD</v>
          </cell>
          <cell r="F531" t="str">
            <v>2018-05-30</v>
          </cell>
          <cell r="G531">
            <v>15.3</v>
          </cell>
          <cell r="H531">
            <v>42978</v>
          </cell>
          <cell r="J531">
            <v>1790000</v>
          </cell>
          <cell r="P531">
            <v>1370250</v>
          </cell>
          <cell r="R531">
            <v>1305000</v>
          </cell>
          <cell r="S531">
            <v>1845000</v>
          </cell>
          <cell r="Y531">
            <v>1428000</v>
          </cell>
          <cell r="AA531">
            <v>1360000</v>
          </cell>
        </row>
        <row r="532">
          <cell r="B532" t="str">
            <v>78W-6366</v>
          </cell>
          <cell r="C532" t="str">
            <v>TGS-26-4406X4BLS-LX</v>
          </cell>
          <cell r="E532" t="str">
            <v>CKD</v>
          </cell>
          <cell r="F532" t="str">
            <v>2018-05-30</v>
          </cell>
          <cell r="G532">
            <v>15.3</v>
          </cell>
          <cell r="H532">
            <v>42978</v>
          </cell>
          <cell r="J532">
            <v>1790000</v>
          </cell>
          <cell r="P532">
            <v>1370250</v>
          </cell>
          <cell r="R532">
            <v>1305000</v>
          </cell>
          <cell r="S532">
            <v>1845000</v>
          </cell>
          <cell r="Y532">
            <v>1428000</v>
          </cell>
          <cell r="AA532">
            <v>1360000</v>
          </cell>
        </row>
        <row r="533">
          <cell r="B533" t="str">
            <v>78W-6367</v>
          </cell>
          <cell r="C533" t="str">
            <v>TGS-26-4406X4BLS-LX</v>
          </cell>
          <cell r="E533" t="str">
            <v>CKD</v>
          </cell>
          <cell r="F533" t="str">
            <v>2018-05-30</v>
          </cell>
          <cell r="G533">
            <v>15.3</v>
          </cell>
          <cell r="H533">
            <v>42978</v>
          </cell>
          <cell r="J533">
            <v>1790000</v>
          </cell>
          <cell r="P533">
            <v>1370250</v>
          </cell>
          <cell r="R533">
            <v>1305000</v>
          </cell>
          <cell r="S533">
            <v>1845000</v>
          </cell>
          <cell r="Y533">
            <v>1428000</v>
          </cell>
          <cell r="AA533">
            <v>1360000</v>
          </cell>
        </row>
        <row r="534">
          <cell r="B534" t="str">
            <v>78W-6384</v>
          </cell>
          <cell r="C534" t="str">
            <v>TGS-26-4406X4BLS-LX</v>
          </cell>
          <cell r="E534" t="str">
            <v>CKD</v>
          </cell>
          <cell r="F534" t="str">
            <v>2018-03-30</v>
          </cell>
          <cell r="G534">
            <v>15.3</v>
          </cell>
          <cell r="H534">
            <v>42978</v>
          </cell>
          <cell r="J534">
            <v>1790000</v>
          </cell>
          <cell r="P534">
            <v>1370250</v>
          </cell>
          <cell r="R534">
            <v>1305000</v>
          </cell>
          <cell r="S534">
            <v>1845000</v>
          </cell>
          <cell r="Y534">
            <v>1428000</v>
          </cell>
          <cell r="AA534">
            <v>1360000</v>
          </cell>
        </row>
        <row r="535">
          <cell r="B535" t="str">
            <v>78W-6385</v>
          </cell>
          <cell r="C535" t="str">
            <v>TGS-26-4406X4BLS-LX</v>
          </cell>
          <cell r="E535" t="str">
            <v>CKD</v>
          </cell>
          <cell r="F535" t="str">
            <v>2018-03-30</v>
          </cell>
          <cell r="G535">
            <v>15.3</v>
          </cell>
          <cell r="H535">
            <v>42978</v>
          </cell>
          <cell r="J535">
            <v>1790000</v>
          </cell>
          <cell r="P535">
            <v>1370250</v>
          </cell>
          <cell r="R535">
            <v>1305000</v>
          </cell>
          <cell r="S535">
            <v>1845000</v>
          </cell>
          <cell r="Y535">
            <v>1428000</v>
          </cell>
          <cell r="AA535">
            <v>1360000</v>
          </cell>
        </row>
        <row r="536">
          <cell r="B536" t="str">
            <v>78W-6386</v>
          </cell>
          <cell r="C536" t="str">
            <v>TGS-26-4406X4BLS-LX</v>
          </cell>
          <cell r="E536" t="str">
            <v>CKD</v>
          </cell>
          <cell r="F536" t="str">
            <v>2018-06-30</v>
          </cell>
          <cell r="G536">
            <v>15.3</v>
          </cell>
          <cell r="H536">
            <v>42978</v>
          </cell>
          <cell r="J536">
            <v>1790000</v>
          </cell>
          <cell r="P536">
            <v>1370250</v>
          </cell>
          <cell r="R536">
            <v>1305000</v>
          </cell>
          <cell r="S536">
            <v>1845000</v>
          </cell>
          <cell r="Y536">
            <v>1428000</v>
          </cell>
          <cell r="AA536">
            <v>1360000</v>
          </cell>
        </row>
        <row r="537">
          <cell r="B537" t="str">
            <v>78W-6387</v>
          </cell>
          <cell r="C537" t="str">
            <v>TGS-26-4406X4BLS-LX</v>
          </cell>
          <cell r="E537" t="str">
            <v>CKD</v>
          </cell>
          <cell r="F537" t="str">
            <v>2018-06-30</v>
          </cell>
          <cell r="G537">
            <v>15.3</v>
          </cell>
          <cell r="H537">
            <v>42978</v>
          </cell>
          <cell r="J537">
            <v>1790000</v>
          </cell>
          <cell r="P537">
            <v>1370250</v>
          </cell>
          <cell r="R537">
            <v>1305000</v>
          </cell>
          <cell r="S537">
            <v>1845000</v>
          </cell>
          <cell r="Y537">
            <v>1428000</v>
          </cell>
          <cell r="AA537">
            <v>1360000</v>
          </cell>
        </row>
        <row r="538">
          <cell r="B538" t="str">
            <v>78W-6404</v>
          </cell>
          <cell r="C538" t="str">
            <v>TGS-26-4406X4BLS-LX</v>
          </cell>
          <cell r="E538" t="str">
            <v>CKD</v>
          </cell>
          <cell r="F538" t="str">
            <v>2018-04-30</v>
          </cell>
          <cell r="G538">
            <v>15.3</v>
          </cell>
          <cell r="H538">
            <v>42978</v>
          </cell>
          <cell r="J538">
            <v>1790000</v>
          </cell>
          <cell r="P538">
            <v>1370250</v>
          </cell>
          <cell r="R538">
            <v>1305000</v>
          </cell>
          <cell r="S538">
            <v>1845000</v>
          </cell>
          <cell r="Y538">
            <v>1428000</v>
          </cell>
          <cell r="AA538">
            <v>1360000</v>
          </cell>
        </row>
        <row r="539">
          <cell r="B539" t="str">
            <v>78W-6405</v>
          </cell>
          <cell r="C539" t="str">
            <v>TGS-26-4406X4BLS-LX</v>
          </cell>
          <cell r="E539" t="str">
            <v>CKD</v>
          </cell>
          <cell r="F539" t="str">
            <v>2018-04-30</v>
          </cell>
          <cell r="G539">
            <v>15.3</v>
          </cell>
          <cell r="H539">
            <v>42978</v>
          </cell>
          <cell r="J539">
            <v>1790000</v>
          </cell>
          <cell r="P539">
            <v>1370250</v>
          </cell>
          <cell r="R539">
            <v>1305000</v>
          </cell>
          <cell r="S539">
            <v>1845000</v>
          </cell>
          <cell r="Y539">
            <v>1428000</v>
          </cell>
          <cell r="AA539">
            <v>1360000</v>
          </cell>
        </row>
        <row r="540">
          <cell r="B540" t="str">
            <v>78W-6406</v>
          </cell>
          <cell r="C540" t="str">
            <v>TGS-26-4406X4BLS-LX</v>
          </cell>
          <cell r="E540" t="str">
            <v>CKD</v>
          </cell>
          <cell r="F540" t="str">
            <v>2018-06-30</v>
          </cell>
          <cell r="G540">
            <v>15.3</v>
          </cell>
          <cell r="H540">
            <v>42978</v>
          </cell>
          <cell r="J540">
            <v>1790000</v>
          </cell>
          <cell r="P540">
            <v>1370250</v>
          </cell>
          <cell r="R540">
            <v>1305000</v>
          </cell>
          <cell r="S540">
            <v>1845000</v>
          </cell>
          <cell r="Y540">
            <v>1428000</v>
          </cell>
          <cell r="AA540">
            <v>1360000</v>
          </cell>
        </row>
        <row r="541">
          <cell r="B541" t="str">
            <v>78W-6407</v>
          </cell>
          <cell r="C541" t="str">
            <v>TGS-26-4406X4BLS-LX</v>
          </cell>
          <cell r="E541" t="str">
            <v>CKD</v>
          </cell>
          <cell r="F541" t="str">
            <v>2018-06-30</v>
          </cell>
          <cell r="G541">
            <v>15.3</v>
          </cell>
          <cell r="H541">
            <v>42978</v>
          </cell>
          <cell r="J541">
            <v>1790000</v>
          </cell>
          <cell r="P541">
            <v>1370250</v>
          </cell>
          <cell r="R541">
            <v>1305000</v>
          </cell>
          <cell r="S541">
            <v>1845000</v>
          </cell>
          <cell r="Y541">
            <v>1428000</v>
          </cell>
          <cell r="AA541">
            <v>1360000</v>
          </cell>
        </row>
        <row r="542">
          <cell r="B542" t="str">
            <v>78W-6456</v>
          </cell>
          <cell r="C542" t="str">
            <v>TGS-26-4406X4BLS-LX</v>
          </cell>
          <cell r="E542" t="str">
            <v>CKD</v>
          </cell>
          <cell r="F542" t="str">
            <v>2018-07-30</v>
          </cell>
          <cell r="G542">
            <v>15.3</v>
          </cell>
          <cell r="H542">
            <v>42978</v>
          </cell>
          <cell r="J542">
            <v>1790000</v>
          </cell>
          <cell r="P542">
            <v>1370250</v>
          </cell>
          <cell r="R542">
            <v>1305000</v>
          </cell>
          <cell r="S542">
            <v>1845000</v>
          </cell>
          <cell r="Y542">
            <v>1428000</v>
          </cell>
          <cell r="AA542">
            <v>1360000</v>
          </cell>
        </row>
        <row r="543">
          <cell r="B543" t="str">
            <v>78W-6457</v>
          </cell>
          <cell r="C543" t="str">
            <v>TGS-26-4406X4BLS-LX</v>
          </cell>
          <cell r="E543" t="str">
            <v>CKD</v>
          </cell>
          <cell r="F543" t="str">
            <v>2018-07-30</v>
          </cell>
          <cell r="G543">
            <v>15.3</v>
          </cell>
          <cell r="H543">
            <v>42978</v>
          </cell>
          <cell r="J543">
            <v>1790000</v>
          </cell>
          <cell r="P543">
            <v>1370250</v>
          </cell>
          <cell r="R543">
            <v>1305000</v>
          </cell>
          <cell r="S543">
            <v>1845000</v>
          </cell>
          <cell r="Y543">
            <v>1428000</v>
          </cell>
          <cell r="AA543">
            <v>1360000</v>
          </cell>
        </row>
        <row r="544">
          <cell r="B544" t="str">
            <v>78W-6458</v>
          </cell>
          <cell r="C544" t="str">
            <v>TGS-26-4406X4BLS-LX</v>
          </cell>
          <cell r="E544" t="str">
            <v>CKD</v>
          </cell>
          <cell r="F544" t="str">
            <v>2018-07-30</v>
          </cell>
          <cell r="G544">
            <v>15.3</v>
          </cell>
          <cell r="H544">
            <v>42978</v>
          </cell>
          <cell r="J544">
            <v>1790000</v>
          </cell>
          <cell r="P544">
            <v>1370250</v>
          </cell>
          <cell r="R544">
            <v>1305000</v>
          </cell>
          <cell r="S544">
            <v>1845000</v>
          </cell>
          <cell r="Y544">
            <v>1428000</v>
          </cell>
          <cell r="AA544">
            <v>1360000</v>
          </cell>
        </row>
        <row r="545">
          <cell r="B545" t="str">
            <v>78W-6459</v>
          </cell>
          <cell r="C545" t="str">
            <v>TGS-26-4406X4BLS-LX</v>
          </cell>
          <cell r="E545" t="str">
            <v>CKD</v>
          </cell>
          <cell r="F545" t="str">
            <v>2018-07-30</v>
          </cell>
          <cell r="G545">
            <v>15.3</v>
          </cell>
          <cell r="H545">
            <v>42978</v>
          </cell>
          <cell r="J545">
            <v>1790000</v>
          </cell>
          <cell r="P545">
            <v>1370250</v>
          </cell>
          <cell r="R545">
            <v>1305000</v>
          </cell>
          <cell r="S545">
            <v>1845000</v>
          </cell>
          <cell r="Y545">
            <v>1428000</v>
          </cell>
          <cell r="AA545">
            <v>1360000</v>
          </cell>
        </row>
        <row r="546">
          <cell r="B546" t="str">
            <v>78W-6471</v>
          </cell>
          <cell r="C546" t="str">
            <v>TGS-26-4406X4BLS-LX</v>
          </cell>
          <cell r="E546" t="str">
            <v>CKD</v>
          </cell>
          <cell r="F546" t="str">
            <v>2018-07-30</v>
          </cell>
          <cell r="G546">
            <v>15.3</v>
          </cell>
          <cell r="H546">
            <v>42978</v>
          </cell>
          <cell r="J546">
            <v>1790000</v>
          </cell>
          <cell r="P546">
            <v>1370250</v>
          </cell>
          <cell r="R546">
            <v>1305000</v>
          </cell>
          <cell r="S546">
            <v>1845000</v>
          </cell>
          <cell r="Y546">
            <v>1428000</v>
          </cell>
          <cell r="AA546">
            <v>1360000</v>
          </cell>
        </row>
        <row r="547">
          <cell r="B547" t="str">
            <v>78W-6472</v>
          </cell>
          <cell r="C547" t="str">
            <v>TGS-26-4406X4BLS-LX</v>
          </cell>
          <cell r="E547" t="str">
            <v>CKD</v>
          </cell>
          <cell r="F547" t="str">
            <v>2018-07-30</v>
          </cell>
          <cell r="G547">
            <v>15.3</v>
          </cell>
          <cell r="H547">
            <v>42978</v>
          </cell>
          <cell r="J547">
            <v>1790000</v>
          </cell>
          <cell r="P547">
            <v>1370250</v>
          </cell>
          <cell r="R547">
            <v>1305000</v>
          </cell>
          <cell r="S547">
            <v>1845000</v>
          </cell>
          <cell r="Y547">
            <v>1428000</v>
          </cell>
          <cell r="AA547">
            <v>1360000</v>
          </cell>
        </row>
        <row r="548">
          <cell r="B548" t="str">
            <v>78W-6473</v>
          </cell>
          <cell r="C548" t="str">
            <v>TGS-26-4406X4BLS-LX</v>
          </cell>
          <cell r="E548" t="str">
            <v>CKD</v>
          </cell>
          <cell r="F548" t="str">
            <v>2018-07-30</v>
          </cell>
          <cell r="G548">
            <v>15.3</v>
          </cell>
          <cell r="H548">
            <v>42978</v>
          </cell>
          <cell r="J548">
            <v>1790000</v>
          </cell>
          <cell r="P548">
            <v>1370250</v>
          </cell>
          <cell r="R548">
            <v>1305000</v>
          </cell>
          <cell r="S548">
            <v>1845000</v>
          </cell>
          <cell r="Y548">
            <v>1428000</v>
          </cell>
          <cell r="AA548">
            <v>1360000</v>
          </cell>
        </row>
        <row r="549">
          <cell r="B549" t="str">
            <v>78W-6474</v>
          </cell>
          <cell r="C549" t="str">
            <v>TGS-26-4406X4BLS-LX</v>
          </cell>
          <cell r="E549" t="str">
            <v>CKD</v>
          </cell>
          <cell r="F549" t="str">
            <v>2018-07-30</v>
          </cell>
          <cell r="G549">
            <v>15.3</v>
          </cell>
          <cell r="H549">
            <v>42978</v>
          </cell>
          <cell r="J549">
            <v>1790000</v>
          </cell>
          <cell r="P549">
            <v>1370250</v>
          </cell>
          <cell r="R549">
            <v>1305000</v>
          </cell>
          <cell r="S549">
            <v>1845000</v>
          </cell>
          <cell r="Y549">
            <v>1428000</v>
          </cell>
          <cell r="AA549">
            <v>1360000</v>
          </cell>
        </row>
        <row r="550">
          <cell r="B550" t="str">
            <v>78W-6491</v>
          </cell>
          <cell r="C550" t="str">
            <v>TGS-26-4406X4BLS-LX</v>
          </cell>
          <cell r="E550" t="str">
            <v>CKD</v>
          </cell>
          <cell r="F550" t="str">
            <v>2018-03-30</v>
          </cell>
          <cell r="G550">
            <v>15.9</v>
          </cell>
          <cell r="H550">
            <v>43054</v>
          </cell>
          <cell r="J550">
            <v>1790000</v>
          </cell>
          <cell r="P550">
            <v>1370250</v>
          </cell>
          <cell r="R550">
            <v>1305000</v>
          </cell>
          <cell r="S550">
            <v>1845000</v>
          </cell>
          <cell r="Y550">
            <v>1428000</v>
          </cell>
          <cell r="AA550">
            <v>1360000</v>
          </cell>
        </row>
        <row r="551">
          <cell r="B551" t="str">
            <v>78W-6492</v>
          </cell>
          <cell r="C551" t="str">
            <v>TGS-26-4406X4BLS-LX</v>
          </cell>
          <cell r="E551" t="str">
            <v>CKD</v>
          </cell>
          <cell r="F551" t="str">
            <v>2018-03-30</v>
          </cell>
          <cell r="G551">
            <v>15.9</v>
          </cell>
          <cell r="H551">
            <v>43054</v>
          </cell>
          <cell r="J551">
            <v>1790000</v>
          </cell>
          <cell r="P551">
            <v>1370250</v>
          </cell>
          <cell r="R551">
            <v>1305000</v>
          </cell>
          <cell r="S551">
            <v>1845000</v>
          </cell>
          <cell r="Y551">
            <v>1428000</v>
          </cell>
          <cell r="AA551">
            <v>1360000</v>
          </cell>
        </row>
        <row r="552">
          <cell r="B552" t="str">
            <v>78W-6493</v>
          </cell>
          <cell r="C552" t="str">
            <v>TGS-26-4406X4BLS-LX</v>
          </cell>
          <cell r="E552" t="str">
            <v>CKD</v>
          </cell>
          <cell r="F552" t="str">
            <v>2018-03-30</v>
          </cell>
          <cell r="G552">
            <v>15.9</v>
          </cell>
          <cell r="H552">
            <v>43054</v>
          </cell>
          <cell r="J552">
            <v>1790000</v>
          </cell>
          <cell r="P552">
            <v>1370250</v>
          </cell>
          <cell r="R552">
            <v>1305000</v>
          </cell>
          <cell r="S552">
            <v>1845000</v>
          </cell>
          <cell r="Y552">
            <v>1428000</v>
          </cell>
          <cell r="AA552">
            <v>1360000</v>
          </cell>
        </row>
        <row r="553">
          <cell r="B553" t="str">
            <v>78W-6494</v>
          </cell>
          <cell r="C553" t="str">
            <v>TGS-26-4406X4BLS-LX</v>
          </cell>
          <cell r="E553" t="str">
            <v>CKD</v>
          </cell>
          <cell r="F553" t="str">
            <v>2018-03-30</v>
          </cell>
          <cell r="G553">
            <v>15.9</v>
          </cell>
          <cell r="H553">
            <v>43054</v>
          </cell>
          <cell r="J553">
            <v>1790000</v>
          </cell>
          <cell r="P553">
            <v>1370250</v>
          </cell>
          <cell r="R553">
            <v>1305000</v>
          </cell>
          <cell r="S553">
            <v>1845000</v>
          </cell>
          <cell r="Y553">
            <v>1428000</v>
          </cell>
          <cell r="AA553">
            <v>1360000</v>
          </cell>
        </row>
        <row r="554">
          <cell r="B554" t="str">
            <v>78W-6495</v>
          </cell>
          <cell r="C554" t="str">
            <v>TGS-26-4406X4BLS-LX</v>
          </cell>
          <cell r="E554" t="str">
            <v>CKD</v>
          </cell>
          <cell r="F554" t="str">
            <v>2018-03-30</v>
          </cell>
          <cell r="G554">
            <v>15.9</v>
          </cell>
          <cell r="H554">
            <v>43054</v>
          </cell>
          <cell r="J554">
            <v>1790000</v>
          </cell>
          <cell r="P554">
            <v>1370250</v>
          </cell>
          <cell r="R554">
            <v>1305000</v>
          </cell>
          <cell r="S554">
            <v>1845000</v>
          </cell>
          <cell r="Y554">
            <v>1428000</v>
          </cell>
          <cell r="AA554">
            <v>1360000</v>
          </cell>
        </row>
        <row r="555">
          <cell r="B555" t="str">
            <v>78W-6496</v>
          </cell>
          <cell r="C555" t="str">
            <v>TGS-26-4406X4BLS-LX</v>
          </cell>
          <cell r="E555" t="str">
            <v>CKD</v>
          </cell>
          <cell r="F555" t="str">
            <v>2018-03-30</v>
          </cell>
          <cell r="G555">
            <v>15.9</v>
          </cell>
          <cell r="H555">
            <v>43054</v>
          </cell>
          <cell r="J555">
            <v>1790000</v>
          </cell>
          <cell r="P555">
            <v>1370250</v>
          </cell>
          <cell r="R555">
            <v>1305000</v>
          </cell>
          <cell r="S555">
            <v>1845000</v>
          </cell>
          <cell r="Y555">
            <v>1428000</v>
          </cell>
          <cell r="AA555">
            <v>1360000</v>
          </cell>
        </row>
        <row r="556">
          <cell r="B556" t="str">
            <v>78W-6497</v>
          </cell>
          <cell r="C556" t="str">
            <v>TGS-26-4406X4BLS-LX</v>
          </cell>
          <cell r="E556" t="str">
            <v>CKD</v>
          </cell>
          <cell r="F556" t="str">
            <v>2018-03-30</v>
          </cell>
          <cell r="G556">
            <v>15.9</v>
          </cell>
          <cell r="H556">
            <v>43054</v>
          </cell>
          <cell r="J556">
            <v>1790000</v>
          </cell>
          <cell r="P556">
            <v>1370250</v>
          </cell>
          <cell r="R556">
            <v>1305000</v>
          </cell>
          <cell r="S556">
            <v>1845000</v>
          </cell>
          <cell r="Y556">
            <v>1428000</v>
          </cell>
          <cell r="AA556">
            <v>1360000</v>
          </cell>
        </row>
        <row r="557">
          <cell r="B557" t="str">
            <v>78W-6498</v>
          </cell>
          <cell r="C557" t="str">
            <v>TGS-26-4406X4BLS-LX</v>
          </cell>
          <cell r="E557" t="str">
            <v>CKD</v>
          </cell>
          <cell r="F557" t="str">
            <v>2018-04-30</v>
          </cell>
          <cell r="G557">
            <v>15.9</v>
          </cell>
          <cell r="H557">
            <v>43054</v>
          </cell>
          <cell r="J557">
            <v>1790000</v>
          </cell>
          <cell r="P557">
            <v>1370250</v>
          </cell>
          <cell r="R557">
            <v>1305000</v>
          </cell>
          <cell r="S557">
            <v>1845000</v>
          </cell>
          <cell r="Y557">
            <v>1428000</v>
          </cell>
          <cell r="AA557">
            <v>1360000</v>
          </cell>
        </row>
        <row r="558">
          <cell r="B558" t="str">
            <v>78W-6499</v>
          </cell>
          <cell r="C558" t="str">
            <v>TGS-26-4406X4BLS-LX</v>
          </cell>
          <cell r="E558" t="str">
            <v>CKD</v>
          </cell>
          <cell r="F558" t="str">
            <v>2018-05-30</v>
          </cell>
          <cell r="G558">
            <v>15.9</v>
          </cell>
          <cell r="H558">
            <v>43054</v>
          </cell>
          <cell r="J558">
            <v>1790000</v>
          </cell>
          <cell r="P558">
            <v>1370250</v>
          </cell>
          <cell r="R558">
            <v>1305000</v>
          </cell>
          <cell r="S558">
            <v>1845000</v>
          </cell>
          <cell r="Y558">
            <v>1428000</v>
          </cell>
          <cell r="AA558">
            <v>1360000</v>
          </cell>
        </row>
        <row r="559">
          <cell r="B559" t="str">
            <v>78W-6500</v>
          </cell>
          <cell r="C559" t="str">
            <v>TGS-26-4406X4BLS-LX</v>
          </cell>
          <cell r="E559" t="str">
            <v>CKD</v>
          </cell>
          <cell r="F559" t="str">
            <v>2018-05-30</v>
          </cell>
          <cell r="G559">
            <v>15.9</v>
          </cell>
          <cell r="H559">
            <v>43054</v>
          </cell>
          <cell r="J559">
            <v>1790000</v>
          </cell>
          <cell r="P559">
            <v>1370250</v>
          </cell>
          <cell r="R559">
            <v>1305000</v>
          </cell>
          <cell r="S559">
            <v>1845000</v>
          </cell>
          <cell r="Y559">
            <v>1428000</v>
          </cell>
          <cell r="AA559">
            <v>1360000</v>
          </cell>
        </row>
        <row r="560">
          <cell r="B560" t="str">
            <v>78W-6501</v>
          </cell>
          <cell r="C560" t="str">
            <v>TGS-26-4406X4BLS-LX</v>
          </cell>
          <cell r="E560" t="str">
            <v>CKD</v>
          </cell>
          <cell r="F560" t="str">
            <v>2018-05-30</v>
          </cell>
          <cell r="G560">
            <v>15.9</v>
          </cell>
          <cell r="H560">
            <v>43054</v>
          </cell>
          <cell r="J560">
            <v>1790000</v>
          </cell>
          <cell r="P560">
            <v>1370250</v>
          </cell>
          <cell r="R560">
            <v>1305000</v>
          </cell>
          <cell r="S560">
            <v>1845000</v>
          </cell>
          <cell r="Y560">
            <v>1428000</v>
          </cell>
          <cell r="AA560">
            <v>1360000</v>
          </cell>
        </row>
        <row r="561">
          <cell r="B561" t="str">
            <v>TBAKP634</v>
          </cell>
          <cell r="C561" t="str">
            <v>TGS-26-4406X4BLS-LX</v>
          </cell>
          <cell r="E561" t="str">
            <v>CKD</v>
          </cell>
          <cell r="F561" t="str">
            <v>2018-08-19</v>
          </cell>
          <cell r="G561">
            <v>15.8</v>
          </cell>
          <cell r="H561">
            <v>43159</v>
          </cell>
          <cell r="J561">
            <v>1790000</v>
          </cell>
          <cell r="P561">
            <v>1370250</v>
          </cell>
          <cell r="R561">
            <v>1305000</v>
          </cell>
          <cell r="S561">
            <v>1845000</v>
          </cell>
          <cell r="Y561">
            <v>1428000</v>
          </cell>
          <cell r="AA561">
            <v>1360000</v>
          </cell>
        </row>
        <row r="562">
          <cell r="B562">
            <v>48669</v>
          </cell>
          <cell r="C562" t="str">
            <v>TGS-26-4406X4BLS-LX-ALU</v>
          </cell>
          <cell r="E562" t="str">
            <v>CKD</v>
          </cell>
          <cell r="F562" t="str">
            <v>2018-08-30</v>
          </cell>
          <cell r="G562">
            <v>15.9</v>
          </cell>
          <cell r="H562">
            <v>43039</v>
          </cell>
          <cell r="J562">
            <v>1850000</v>
          </cell>
          <cell r="P562">
            <v>1407000</v>
          </cell>
          <cell r="R562">
            <v>1340000</v>
          </cell>
          <cell r="S562">
            <v>1905000</v>
          </cell>
          <cell r="Y562">
            <v>1464750</v>
          </cell>
          <cell r="AA562">
            <v>1395000</v>
          </cell>
        </row>
        <row r="563">
          <cell r="B563">
            <v>48670</v>
          </cell>
          <cell r="C563" t="str">
            <v>TGS-26-4406X4BLS-LX-ALU</v>
          </cell>
          <cell r="E563" t="str">
            <v>CKD</v>
          </cell>
          <cell r="F563" t="str">
            <v>2018-08-30</v>
          </cell>
          <cell r="G563">
            <v>15.9</v>
          </cell>
          <cell r="H563">
            <v>43039</v>
          </cell>
          <cell r="J563">
            <v>1850000</v>
          </cell>
          <cell r="P563">
            <v>1407000</v>
          </cell>
          <cell r="R563">
            <v>1340000</v>
          </cell>
          <cell r="S563">
            <v>1905000</v>
          </cell>
          <cell r="Y563">
            <v>1464750</v>
          </cell>
          <cell r="AA563">
            <v>1395000</v>
          </cell>
        </row>
        <row r="564">
          <cell r="B564">
            <v>48671</v>
          </cell>
          <cell r="C564" t="str">
            <v>TGS-26-4406X4BLS-LX-ALU</v>
          </cell>
          <cell r="E564" t="str">
            <v>CKD</v>
          </cell>
          <cell r="F564" t="str">
            <v>2018-08-30</v>
          </cell>
          <cell r="G564">
            <v>15.9</v>
          </cell>
          <cell r="H564">
            <v>43039</v>
          </cell>
          <cell r="J564">
            <v>1850000</v>
          </cell>
          <cell r="P564">
            <v>1407000</v>
          </cell>
          <cell r="R564">
            <v>1340000</v>
          </cell>
          <cell r="S564">
            <v>1905000</v>
          </cell>
          <cell r="Y564">
            <v>1464750</v>
          </cell>
          <cell r="AA564">
            <v>1395000</v>
          </cell>
        </row>
        <row r="565">
          <cell r="B565">
            <v>48672</v>
          </cell>
          <cell r="C565" t="str">
            <v>TGS-26-4406X4BLS-LX-ALU</v>
          </cell>
          <cell r="E565" t="str">
            <v>CKD</v>
          </cell>
          <cell r="F565" t="str">
            <v>2018-08-30</v>
          </cell>
          <cell r="G565">
            <v>15.9</v>
          </cell>
          <cell r="H565">
            <v>43039</v>
          </cell>
          <cell r="J565">
            <v>1850000</v>
          </cell>
          <cell r="P565">
            <v>1407000</v>
          </cell>
          <cell r="R565">
            <v>1340000</v>
          </cell>
          <cell r="S565">
            <v>1905000</v>
          </cell>
          <cell r="Y565">
            <v>1464750</v>
          </cell>
          <cell r="AA565">
            <v>1395000</v>
          </cell>
        </row>
        <row r="566">
          <cell r="B566">
            <v>48737</v>
          </cell>
          <cell r="C566" t="str">
            <v>TGS-26-4406X4BLS-LX-ALU</v>
          </cell>
          <cell r="E566" t="str">
            <v>CKD</v>
          </cell>
          <cell r="F566" t="str">
            <v>2018-06-30</v>
          </cell>
          <cell r="G566">
            <v>15.9</v>
          </cell>
          <cell r="H566">
            <v>43039</v>
          </cell>
          <cell r="J566">
            <v>1850000</v>
          </cell>
          <cell r="P566">
            <v>1407000</v>
          </cell>
          <cell r="R566">
            <v>1340000</v>
          </cell>
          <cell r="S566">
            <v>1905000</v>
          </cell>
          <cell r="Y566">
            <v>1464750</v>
          </cell>
          <cell r="AA566">
            <v>1395000</v>
          </cell>
        </row>
        <row r="567">
          <cell r="B567">
            <v>48738</v>
          </cell>
          <cell r="C567" t="str">
            <v>TGS-26-4406X4BLS-LX-ALU</v>
          </cell>
          <cell r="E567" t="str">
            <v>CKD</v>
          </cell>
          <cell r="F567" t="str">
            <v>2018-06-30</v>
          </cell>
          <cell r="G567">
            <v>15.9</v>
          </cell>
          <cell r="H567">
            <v>43039</v>
          </cell>
          <cell r="J567">
            <v>1850000</v>
          </cell>
          <cell r="P567">
            <v>1407000</v>
          </cell>
          <cell r="R567">
            <v>1340000</v>
          </cell>
          <cell r="S567">
            <v>1905000</v>
          </cell>
          <cell r="Y567">
            <v>1464750</v>
          </cell>
          <cell r="AA567">
            <v>1395000</v>
          </cell>
        </row>
        <row r="568">
          <cell r="B568">
            <v>48739</v>
          </cell>
          <cell r="C568" t="str">
            <v>TGS-26-4406X4BLS-LX-ALU</v>
          </cell>
          <cell r="E568" t="str">
            <v>CKD</v>
          </cell>
          <cell r="F568" t="str">
            <v>2018-06-30</v>
          </cell>
          <cell r="G568">
            <v>15.9</v>
          </cell>
          <cell r="H568">
            <v>43039</v>
          </cell>
          <cell r="J568">
            <v>1850000</v>
          </cell>
          <cell r="P568">
            <v>1407000</v>
          </cell>
          <cell r="R568">
            <v>1340000</v>
          </cell>
          <cell r="S568">
            <v>1905000</v>
          </cell>
          <cell r="Y568">
            <v>1464750</v>
          </cell>
          <cell r="AA568">
            <v>1395000</v>
          </cell>
        </row>
        <row r="569">
          <cell r="B569">
            <v>48740</v>
          </cell>
          <cell r="C569" t="str">
            <v>TGS-26-4406X4BLS-LX-ALU</v>
          </cell>
          <cell r="E569" t="str">
            <v>CKD</v>
          </cell>
          <cell r="F569" t="str">
            <v>2018-06-30</v>
          </cell>
          <cell r="G569">
            <v>15.9</v>
          </cell>
          <cell r="H569">
            <v>43039</v>
          </cell>
          <cell r="J569">
            <v>1850000</v>
          </cell>
          <cell r="P569">
            <v>1407000</v>
          </cell>
          <cell r="R569">
            <v>1340000</v>
          </cell>
          <cell r="S569">
            <v>1905000</v>
          </cell>
          <cell r="Y569">
            <v>1464750</v>
          </cell>
          <cell r="AA569">
            <v>1395000</v>
          </cell>
        </row>
        <row r="570">
          <cell r="B570">
            <v>48741</v>
          </cell>
          <cell r="C570" t="str">
            <v>TGS-26-4406X4BLS-LX-ALU</v>
          </cell>
          <cell r="E570" t="str">
            <v>CKD</v>
          </cell>
          <cell r="F570" t="str">
            <v>2018-06-30</v>
          </cell>
          <cell r="G570">
            <v>15.9</v>
          </cell>
          <cell r="H570">
            <v>43039</v>
          </cell>
          <cell r="J570">
            <v>1850000</v>
          </cell>
          <cell r="P570">
            <v>1407000</v>
          </cell>
          <cell r="R570">
            <v>1340000</v>
          </cell>
          <cell r="S570">
            <v>1905000</v>
          </cell>
          <cell r="Y570">
            <v>1464750</v>
          </cell>
          <cell r="AA570">
            <v>1395000</v>
          </cell>
        </row>
        <row r="571">
          <cell r="B571">
            <v>48742</v>
          </cell>
          <cell r="C571" t="str">
            <v>TGS-26-4406X4BLS-LX-ALU</v>
          </cell>
          <cell r="E571" t="str">
            <v>CKD</v>
          </cell>
          <cell r="F571" t="str">
            <v>2018-06-30</v>
          </cell>
          <cell r="G571">
            <v>15.9</v>
          </cell>
          <cell r="H571">
            <v>43039</v>
          </cell>
          <cell r="J571">
            <v>1850000</v>
          </cell>
          <cell r="P571">
            <v>1407000</v>
          </cell>
          <cell r="R571">
            <v>1340000</v>
          </cell>
          <cell r="S571">
            <v>1905000</v>
          </cell>
          <cell r="Y571">
            <v>1464750</v>
          </cell>
          <cell r="AA571">
            <v>1395000</v>
          </cell>
        </row>
        <row r="572">
          <cell r="B572">
            <v>48743</v>
          </cell>
          <cell r="C572" t="str">
            <v>TGS-26-4406X4BLS-LX-ALU</v>
          </cell>
          <cell r="E572" t="str">
            <v>CKD</v>
          </cell>
          <cell r="F572" t="str">
            <v>2018-07-30</v>
          </cell>
          <cell r="G572">
            <v>15.9</v>
          </cell>
          <cell r="H572">
            <v>43039</v>
          </cell>
          <cell r="J572">
            <v>1850000</v>
          </cell>
          <cell r="P572">
            <v>1407000</v>
          </cell>
          <cell r="R572">
            <v>1340000</v>
          </cell>
          <cell r="S572">
            <v>1905000</v>
          </cell>
          <cell r="Y572">
            <v>1464750</v>
          </cell>
          <cell r="AA572">
            <v>1395000</v>
          </cell>
        </row>
        <row r="573">
          <cell r="B573">
            <v>48744</v>
          </cell>
          <cell r="C573" t="str">
            <v>TGS-26-4406X4BLS-LX-ALU</v>
          </cell>
          <cell r="E573" t="str">
            <v>CKD</v>
          </cell>
          <cell r="F573" t="str">
            <v>2018-07-30</v>
          </cell>
          <cell r="G573">
            <v>15.9</v>
          </cell>
          <cell r="H573">
            <v>43039</v>
          </cell>
          <cell r="J573">
            <v>1850000</v>
          </cell>
          <cell r="P573">
            <v>1407000</v>
          </cell>
          <cell r="R573">
            <v>1340000</v>
          </cell>
          <cell r="S573">
            <v>1905000</v>
          </cell>
          <cell r="Y573">
            <v>1464750</v>
          </cell>
          <cell r="AA573">
            <v>1395000</v>
          </cell>
        </row>
        <row r="574">
          <cell r="B574">
            <v>48745</v>
          </cell>
          <cell r="C574" t="str">
            <v>TGS-26-4406X4BLS-LX-ALU</v>
          </cell>
          <cell r="E574" t="str">
            <v>CKD</v>
          </cell>
          <cell r="F574" t="str">
            <v>2018-07-30</v>
          </cell>
          <cell r="G574">
            <v>15.9</v>
          </cell>
          <cell r="H574">
            <v>43039</v>
          </cell>
          <cell r="J574">
            <v>1850000</v>
          </cell>
          <cell r="P574">
            <v>1407000</v>
          </cell>
          <cell r="R574">
            <v>1340000</v>
          </cell>
          <cell r="S574">
            <v>1905000</v>
          </cell>
          <cell r="Y574">
            <v>1464750</v>
          </cell>
          <cell r="AA574">
            <v>1395000</v>
          </cell>
        </row>
        <row r="575">
          <cell r="B575">
            <v>48746</v>
          </cell>
          <cell r="C575" t="str">
            <v>TGS-26-4406X4BLS-LX-ALU</v>
          </cell>
          <cell r="E575" t="str">
            <v>CKD</v>
          </cell>
          <cell r="F575" t="str">
            <v>2018-07-30</v>
          </cell>
          <cell r="G575">
            <v>15.9</v>
          </cell>
          <cell r="H575">
            <v>43039</v>
          </cell>
          <cell r="J575">
            <v>1850000</v>
          </cell>
          <cell r="P575">
            <v>1407000</v>
          </cell>
          <cell r="R575">
            <v>1340000</v>
          </cell>
          <cell r="S575">
            <v>1905000</v>
          </cell>
          <cell r="Y575">
            <v>1464750</v>
          </cell>
          <cell r="AA575">
            <v>1395000</v>
          </cell>
        </row>
        <row r="576">
          <cell r="B576">
            <v>48747</v>
          </cell>
          <cell r="C576" t="str">
            <v>TGS-26-4406X4BLS-LX-ALU</v>
          </cell>
          <cell r="E576" t="str">
            <v>CKD</v>
          </cell>
          <cell r="F576" t="str">
            <v>2018-07-30</v>
          </cell>
          <cell r="G576">
            <v>15.9</v>
          </cell>
          <cell r="H576">
            <v>43039</v>
          </cell>
          <cell r="J576">
            <v>1850000</v>
          </cell>
          <cell r="P576">
            <v>1407000</v>
          </cell>
          <cell r="R576">
            <v>1340000</v>
          </cell>
          <cell r="S576">
            <v>1905000</v>
          </cell>
          <cell r="Y576">
            <v>1464750</v>
          </cell>
          <cell r="AA576">
            <v>1395000</v>
          </cell>
        </row>
        <row r="577">
          <cell r="B577">
            <v>48748</v>
          </cell>
          <cell r="C577" t="str">
            <v>TGS-26-4406X4BLS-LX-ALU</v>
          </cell>
          <cell r="E577" t="str">
            <v>CKD</v>
          </cell>
          <cell r="F577" t="str">
            <v>2018-07-30</v>
          </cell>
          <cell r="G577">
            <v>15.9</v>
          </cell>
          <cell r="H577">
            <v>43039</v>
          </cell>
          <cell r="J577">
            <v>1850000</v>
          </cell>
          <cell r="P577">
            <v>1407000</v>
          </cell>
          <cell r="R577">
            <v>1340000</v>
          </cell>
          <cell r="S577">
            <v>1905000</v>
          </cell>
          <cell r="Y577">
            <v>1464750</v>
          </cell>
          <cell r="AA577">
            <v>1395000</v>
          </cell>
        </row>
        <row r="578">
          <cell r="B578">
            <v>48749</v>
          </cell>
          <cell r="C578" t="str">
            <v>TGS-26-4406X4BLS-LX-ALU</v>
          </cell>
          <cell r="E578" t="str">
            <v>CKD</v>
          </cell>
          <cell r="F578" t="str">
            <v>2018-07-30</v>
          </cell>
          <cell r="G578">
            <v>15.9</v>
          </cell>
          <cell r="H578">
            <v>43039</v>
          </cell>
          <cell r="J578">
            <v>1850000</v>
          </cell>
          <cell r="P578">
            <v>1407000</v>
          </cell>
          <cell r="R578">
            <v>1340000</v>
          </cell>
          <cell r="S578">
            <v>1905000</v>
          </cell>
          <cell r="Y578">
            <v>1464750</v>
          </cell>
          <cell r="AA578">
            <v>1395000</v>
          </cell>
        </row>
        <row r="579">
          <cell r="B579">
            <v>48750</v>
          </cell>
          <cell r="C579" t="str">
            <v>TGS-26-4406X4BLS-LX-ALU</v>
          </cell>
          <cell r="E579" t="str">
            <v>CKD</v>
          </cell>
          <cell r="F579" t="str">
            <v>2018-07-30</v>
          </cell>
          <cell r="G579">
            <v>15.9</v>
          </cell>
          <cell r="H579">
            <v>43039</v>
          </cell>
          <cell r="J579">
            <v>1850000</v>
          </cell>
          <cell r="P579">
            <v>1407000</v>
          </cell>
          <cell r="R579">
            <v>1340000</v>
          </cell>
          <cell r="S579">
            <v>1905000</v>
          </cell>
          <cell r="Y579">
            <v>1464750</v>
          </cell>
          <cell r="AA579">
            <v>1395000</v>
          </cell>
        </row>
        <row r="580">
          <cell r="B580">
            <v>48751</v>
          </cell>
          <cell r="C580" t="str">
            <v>TGS-26-4406X4BLS-LX-ALU</v>
          </cell>
          <cell r="E580" t="str">
            <v>CKD</v>
          </cell>
          <cell r="F580" t="str">
            <v>2018-07-30</v>
          </cell>
          <cell r="G580">
            <v>15.9</v>
          </cell>
          <cell r="H580">
            <v>43039</v>
          </cell>
          <cell r="J580">
            <v>1850000</v>
          </cell>
          <cell r="P580">
            <v>1407000</v>
          </cell>
          <cell r="R580">
            <v>1340000</v>
          </cell>
          <cell r="S580">
            <v>1905000</v>
          </cell>
          <cell r="Y580">
            <v>1464750</v>
          </cell>
          <cell r="AA580">
            <v>1395000</v>
          </cell>
        </row>
        <row r="581">
          <cell r="B581">
            <v>48752</v>
          </cell>
          <cell r="C581" t="str">
            <v>TGS-26-4406X4BLS-LX-ALU</v>
          </cell>
          <cell r="E581" t="str">
            <v>CKD</v>
          </cell>
          <cell r="F581" t="str">
            <v>2018-07-30</v>
          </cell>
          <cell r="G581">
            <v>15.9</v>
          </cell>
          <cell r="H581">
            <v>43039</v>
          </cell>
          <cell r="J581">
            <v>1850000</v>
          </cell>
          <cell r="P581">
            <v>1407000</v>
          </cell>
          <cell r="R581">
            <v>1340000</v>
          </cell>
          <cell r="S581">
            <v>1905000</v>
          </cell>
          <cell r="Y581">
            <v>1464750</v>
          </cell>
          <cell r="AA581">
            <v>1395000</v>
          </cell>
        </row>
        <row r="582">
          <cell r="B582">
            <v>48919</v>
          </cell>
          <cell r="C582" t="str">
            <v>TGS-26-4406X4BLS-LX-ALU</v>
          </cell>
          <cell r="E582" t="str">
            <v>CKD</v>
          </cell>
          <cell r="F582" t="str">
            <v>2018-08-30</v>
          </cell>
          <cell r="G582">
            <v>15.9</v>
          </cell>
          <cell r="H582">
            <v>43069</v>
          </cell>
          <cell r="J582">
            <v>1850000</v>
          </cell>
          <cell r="P582">
            <v>1407000</v>
          </cell>
          <cell r="R582">
            <v>1340000</v>
          </cell>
          <cell r="S582">
            <v>1905000</v>
          </cell>
          <cell r="Y582">
            <v>1464750</v>
          </cell>
          <cell r="AA582">
            <v>1395000</v>
          </cell>
        </row>
        <row r="583">
          <cell r="B583">
            <v>48920</v>
          </cell>
          <cell r="C583" t="str">
            <v>TGS-26-4406X4BLS-LX-ALU</v>
          </cell>
          <cell r="E583" t="str">
            <v>CKD</v>
          </cell>
          <cell r="F583" t="str">
            <v>2018-08-30</v>
          </cell>
          <cell r="G583">
            <v>15.9</v>
          </cell>
          <cell r="H583">
            <v>43069</v>
          </cell>
          <cell r="J583">
            <v>1850000</v>
          </cell>
          <cell r="P583">
            <v>1407000</v>
          </cell>
          <cell r="R583">
            <v>1340000</v>
          </cell>
          <cell r="S583">
            <v>1905000</v>
          </cell>
          <cell r="Y583">
            <v>1464750</v>
          </cell>
          <cell r="AA583">
            <v>1395000</v>
          </cell>
        </row>
        <row r="584">
          <cell r="B584">
            <v>48921</v>
          </cell>
          <cell r="C584" t="str">
            <v>TGS-26-4406X4BLS-LX-ALU</v>
          </cell>
          <cell r="E584" t="str">
            <v>CKD</v>
          </cell>
          <cell r="F584" t="str">
            <v>2018-08-30</v>
          </cell>
          <cell r="G584">
            <v>15.9</v>
          </cell>
          <cell r="H584">
            <v>43069</v>
          </cell>
          <cell r="J584">
            <v>1850000</v>
          </cell>
          <cell r="P584">
            <v>1407000</v>
          </cell>
          <cell r="R584">
            <v>1340000</v>
          </cell>
          <cell r="S584">
            <v>1905000</v>
          </cell>
          <cell r="Y584">
            <v>1464750</v>
          </cell>
          <cell r="AA584">
            <v>1395000</v>
          </cell>
        </row>
        <row r="585">
          <cell r="B585">
            <v>48922</v>
          </cell>
          <cell r="C585" t="str">
            <v>TGS-26-4406X4BLS-LX-ALU</v>
          </cell>
          <cell r="E585" t="str">
            <v>CKD</v>
          </cell>
          <cell r="F585" t="str">
            <v>2018-08-30</v>
          </cell>
          <cell r="G585">
            <v>15.9</v>
          </cell>
          <cell r="H585">
            <v>43069</v>
          </cell>
          <cell r="J585">
            <v>1850000</v>
          </cell>
          <cell r="P585">
            <v>1407000</v>
          </cell>
          <cell r="R585">
            <v>1340000</v>
          </cell>
          <cell r="S585">
            <v>1905000</v>
          </cell>
          <cell r="Y585">
            <v>1464750</v>
          </cell>
          <cell r="AA585">
            <v>1395000</v>
          </cell>
        </row>
        <row r="586">
          <cell r="B586">
            <v>48923</v>
          </cell>
          <cell r="C586" t="str">
            <v>TGS-26-4406X4BLS-LX-ALU</v>
          </cell>
          <cell r="E586" t="str">
            <v>CKD</v>
          </cell>
          <cell r="F586" t="str">
            <v>2018-09-30</v>
          </cell>
          <cell r="G586">
            <v>15.9</v>
          </cell>
          <cell r="H586">
            <v>43069</v>
          </cell>
          <cell r="J586">
            <v>1850000</v>
          </cell>
          <cell r="P586">
            <v>1407000</v>
          </cell>
          <cell r="R586">
            <v>1340000</v>
          </cell>
          <cell r="S586">
            <v>1905000</v>
          </cell>
          <cell r="Y586">
            <v>1464750</v>
          </cell>
          <cell r="AA586">
            <v>1395000</v>
          </cell>
        </row>
        <row r="587">
          <cell r="B587">
            <v>48924</v>
          </cell>
          <cell r="C587" t="str">
            <v>TGS-26-4406X4BLS-LX-ALU</v>
          </cell>
          <cell r="E587" t="str">
            <v>CKD</v>
          </cell>
          <cell r="F587" t="str">
            <v>2018-09-30</v>
          </cell>
          <cell r="G587">
            <v>15.9</v>
          </cell>
          <cell r="H587">
            <v>43069</v>
          </cell>
          <cell r="J587">
            <v>1850000</v>
          </cell>
          <cell r="P587">
            <v>1407000</v>
          </cell>
          <cell r="R587">
            <v>1340000</v>
          </cell>
          <cell r="S587">
            <v>1905000</v>
          </cell>
          <cell r="Y587">
            <v>1464750</v>
          </cell>
          <cell r="AA587">
            <v>1395000</v>
          </cell>
        </row>
        <row r="588">
          <cell r="B588">
            <v>48925</v>
          </cell>
          <cell r="C588" t="str">
            <v>TGS-26-4406X4BLS-LX-ALU</v>
          </cell>
          <cell r="E588" t="str">
            <v>CKD</v>
          </cell>
          <cell r="F588" t="str">
            <v>2018-07-30</v>
          </cell>
          <cell r="G588">
            <v>15.9</v>
          </cell>
          <cell r="H588">
            <v>43069</v>
          </cell>
          <cell r="J588">
            <v>1850000</v>
          </cell>
          <cell r="P588">
            <v>1407000</v>
          </cell>
          <cell r="R588">
            <v>1340000</v>
          </cell>
          <cell r="S588">
            <v>1905000</v>
          </cell>
          <cell r="Y588">
            <v>1464750</v>
          </cell>
          <cell r="AA588">
            <v>1395000</v>
          </cell>
        </row>
        <row r="589">
          <cell r="B589">
            <v>48926</v>
          </cell>
          <cell r="C589" t="str">
            <v>TGS-26-4406X4BLS-LX-ALU</v>
          </cell>
          <cell r="E589" t="str">
            <v>CKD</v>
          </cell>
          <cell r="F589" t="str">
            <v>2018-09-30</v>
          </cell>
          <cell r="G589">
            <v>15.9</v>
          </cell>
          <cell r="H589">
            <v>43069</v>
          </cell>
          <cell r="J589">
            <v>1850000</v>
          </cell>
          <cell r="P589">
            <v>1407000</v>
          </cell>
          <cell r="R589">
            <v>1340000</v>
          </cell>
          <cell r="S589">
            <v>1905000</v>
          </cell>
          <cell r="Y589">
            <v>1464750</v>
          </cell>
          <cell r="AA589">
            <v>1395000</v>
          </cell>
        </row>
        <row r="590">
          <cell r="B590">
            <v>48927</v>
          </cell>
          <cell r="C590" t="str">
            <v>TGS-26-4406X4BLS-LX-ALU</v>
          </cell>
          <cell r="E590" t="str">
            <v>CKD</v>
          </cell>
          <cell r="F590" t="str">
            <v>2018-10-30</v>
          </cell>
          <cell r="G590">
            <v>15.9</v>
          </cell>
          <cell r="H590">
            <v>43069</v>
          </cell>
          <cell r="J590">
            <v>1850000</v>
          </cell>
          <cell r="P590">
            <v>1407000</v>
          </cell>
          <cell r="R590">
            <v>1340000</v>
          </cell>
          <cell r="S590">
            <v>1905000</v>
          </cell>
          <cell r="Y590">
            <v>1464750</v>
          </cell>
          <cell r="AA590">
            <v>1395000</v>
          </cell>
        </row>
        <row r="591">
          <cell r="B591">
            <v>48928</v>
          </cell>
          <cell r="C591" t="str">
            <v>TGS-26-4406X4BLS-LX-ALU</v>
          </cell>
          <cell r="E591" t="str">
            <v>CKD</v>
          </cell>
          <cell r="F591" t="str">
            <v>2018-10-30</v>
          </cell>
          <cell r="G591">
            <v>15.9</v>
          </cell>
          <cell r="H591">
            <v>43069</v>
          </cell>
          <cell r="J591">
            <v>1850000</v>
          </cell>
          <cell r="P591">
            <v>1407000</v>
          </cell>
          <cell r="R591">
            <v>1340000</v>
          </cell>
          <cell r="S591">
            <v>1905000</v>
          </cell>
          <cell r="Y591">
            <v>1464750</v>
          </cell>
          <cell r="AA591">
            <v>1395000</v>
          </cell>
        </row>
        <row r="592">
          <cell r="B592">
            <v>48929</v>
          </cell>
          <cell r="C592" t="str">
            <v>TGS-26-4406X4BLS-LX-ALU</v>
          </cell>
          <cell r="E592" t="str">
            <v>CKD</v>
          </cell>
          <cell r="F592" t="str">
            <v>2018-10-30</v>
          </cell>
          <cell r="G592">
            <v>15.9</v>
          </cell>
          <cell r="H592">
            <v>43069</v>
          </cell>
          <cell r="J592">
            <v>1850000</v>
          </cell>
          <cell r="P592">
            <v>1407000</v>
          </cell>
          <cell r="R592">
            <v>1340000</v>
          </cell>
          <cell r="S592">
            <v>1905000</v>
          </cell>
          <cell r="Y592">
            <v>1464750</v>
          </cell>
          <cell r="AA592">
            <v>1395000</v>
          </cell>
        </row>
        <row r="593">
          <cell r="B593">
            <v>48930</v>
          </cell>
          <cell r="C593" t="str">
            <v>TGS-26-4406X4BLS-LX-ALU</v>
          </cell>
          <cell r="E593" t="str">
            <v>CKD</v>
          </cell>
          <cell r="F593" t="str">
            <v>2018-10-30</v>
          </cell>
          <cell r="G593">
            <v>15.9</v>
          </cell>
          <cell r="H593">
            <v>43069</v>
          </cell>
          <cell r="J593">
            <v>1850000</v>
          </cell>
          <cell r="P593">
            <v>1407000</v>
          </cell>
          <cell r="R593">
            <v>1340000</v>
          </cell>
          <cell r="S593">
            <v>1905000</v>
          </cell>
          <cell r="Y593">
            <v>1464750</v>
          </cell>
          <cell r="AA593">
            <v>1395000</v>
          </cell>
        </row>
        <row r="594">
          <cell r="B594">
            <v>48995</v>
          </cell>
          <cell r="C594" t="str">
            <v>TGS-26-4406X4BLS-LX-ALU</v>
          </cell>
          <cell r="E594" t="str">
            <v>CKD</v>
          </cell>
          <cell r="F594" t="str">
            <v>2018-07-30</v>
          </cell>
          <cell r="G594">
            <v>15.9</v>
          </cell>
          <cell r="H594">
            <v>43069</v>
          </cell>
          <cell r="J594">
            <v>1850000</v>
          </cell>
          <cell r="P594">
            <v>1407000</v>
          </cell>
          <cell r="R594">
            <v>1340000</v>
          </cell>
          <cell r="S594">
            <v>1905000</v>
          </cell>
          <cell r="Y594">
            <v>1464750</v>
          </cell>
          <cell r="AA594">
            <v>1395000</v>
          </cell>
        </row>
        <row r="595">
          <cell r="B595">
            <v>48996</v>
          </cell>
          <cell r="C595" t="str">
            <v>TGS-26-4406X4BLS-LX-ALU</v>
          </cell>
          <cell r="E595" t="str">
            <v>CKD</v>
          </cell>
          <cell r="F595" t="str">
            <v>2018-07-30</v>
          </cell>
          <cell r="G595">
            <v>15.9</v>
          </cell>
          <cell r="H595">
            <v>43069</v>
          </cell>
          <cell r="J595">
            <v>1850000</v>
          </cell>
          <cell r="P595">
            <v>1407000</v>
          </cell>
          <cell r="R595">
            <v>1340000</v>
          </cell>
          <cell r="S595">
            <v>1905000</v>
          </cell>
          <cell r="Y595">
            <v>1464750</v>
          </cell>
          <cell r="AA595">
            <v>1395000</v>
          </cell>
        </row>
        <row r="596">
          <cell r="B596">
            <v>48997</v>
          </cell>
          <cell r="C596" t="str">
            <v>TGS-26-4406X4BLS-LX-ALU</v>
          </cell>
          <cell r="E596" t="str">
            <v>CKD</v>
          </cell>
          <cell r="F596" t="str">
            <v>2018-07-30</v>
          </cell>
          <cell r="G596">
            <v>15.9</v>
          </cell>
          <cell r="H596">
            <v>43069</v>
          </cell>
          <cell r="J596">
            <v>1850000</v>
          </cell>
          <cell r="P596">
            <v>1407000</v>
          </cell>
          <cell r="R596">
            <v>1340000</v>
          </cell>
          <cell r="S596">
            <v>1905000</v>
          </cell>
          <cell r="Y596">
            <v>1464750</v>
          </cell>
          <cell r="AA596">
            <v>1395000</v>
          </cell>
        </row>
        <row r="597">
          <cell r="B597">
            <v>48998</v>
          </cell>
          <cell r="C597" t="str">
            <v>TGS-26-4406X4BLS-LX-ALU</v>
          </cell>
          <cell r="E597" t="str">
            <v>CKD</v>
          </cell>
          <cell r="F597" t="str">
            <v>2018-07-30</v>
          </cell>
          <cell r="G597">
            <v>15.9</v>
          </cell>
          <cell r="H597">
            <v>43069</v>
          </cell>
          <cell r="J597">
            <v>1850000</v>
          </cell>
          <cell r="P597">
            <v>1407000</v>
          </cell>
          <cell r="R597">
            <v>1340000</v>
          </cell>
          <cell r="S597">
            <v>1905000</v>
          </cell>
          <cell r="Y597">
            <v>1464750</v>
          </cell>
          <cell r="AA597">
            <v>1395000</v>
          </cell>
        </row>
        <row r="598">
          <cell r="B598">
            <v>48999</v>
          </cell>
          <cell r="C598" t="str">
            <v>TGS-26-4406X4BLS-LX-ALU</v>
          </cell>
          <cell r="E598" t="str">
            <v>CKD</v>
          </cell>
          <cell r="F598" t="str">
            <v>2018-07-30</v>
          </cell>
          <cell r="G598">
            <v>15.9</v>
          </cell>
          <cell r="H598">
            <v>43069</v>
          </cell>
          <cell r="J598">
            <v>1850000</v>
          </cell>
          <cell r="P598">
            <v>1407000</v>
          </cell>
          <cell r="R598">
            <v>1340000</v>
          </cell>
          <cell r="S598">
            <v>1905000</v>
          </cell>
          <cell r="Y598">
            <v>1464750</v>
          </cell>
          <cell r="AA598">
            <v>1395000</v>
          </cell>
        </row>
        <row r="599">
          <cell r="B599">
            <v>49000</v>
          </cell>
          <cell r="C599" t="str">
            <v>TGS-26-4406X4BLS-LX-ALU</v>
          </cell>
          <cell r="E599" t="str">
            <v>CKD</v>
          </cell>
          <cell r="F599" t="str">
            <v>2018-08-30</v>
          </cell>
          <cell r="G599">
            <v>15.9</v>
          </cell>
          <cell r="H599">
            <v>43069</v>
          </cell>
          <cell r="J599">
            <v>1850000</v>
          </cell>
          <cell r="P599">
            <v>1407000</v>
          </cell>
          <cell r="R599">
            <v>1340000</v>
          </cell>
          <cell r="S599">
            <v>1905000</v>
          </cell>
          <cell r="Y599">
            <v>1464750</v>
          </cell>
          <cell r="AA599">
            <v>1395000</v>
          </cell>
        </row>
        <row r="600">
          <cell r="B600">
            <v>49001</v>
          </cell>
          <cell r="C600" t="str">
            <v>TGS-26-4406X4BLS-LX-ALU</v>
          </cell>
          <cell r="E600" t="str">
            <v>CKD</v>
          </cell>
          <cell r="F600" t="str">
            <v>2018-08-30</v>
          </cell>
          <cell r="G600">
            <v>15.9</v>
          </cell>
          <cell r="H600">
            <v>43069</v>
          </cell>
          <cell r="J600">
            <v>1850000</v>
          </cell>
          <cell r="P600">
            <v>1407000</v>
          </cell>
          <cell r="R600">
            <v>1340000</v>
          </cell>
          <cell r="S600">
            <v>1905000</v>
          </cell>
          <cell r="Y600">
            <v>1464750</v>
          </cell>
          <cell r="AA600">
            <v>1395000</v>
          </cell>
        </row>
        <row r="601">
          <cell r="B601">
            <v>49002</v>
          </cell>
          <cell r="C601" t="str">
            <v>TGS-26-4406X4BLS-LX-ALU</v>
          </cell>
          <cell r="E601" t="str">
            <v>CKD</v>
          </cell>
          <cell r="F601" t="str">
            <v>2018-08-30</v>
          </cell>
          <cell r="G601">
            <v>15.9</v>
          </cell>
          <cell r="H601">
            <v>43069</v>
          </cell>
          <cell r="J601">
            <v>1850000</v>
          </cell>
          <cell r="P601">
            <v>1407000</v>
          </cell>
          <cell r="R601">
            <v>1340000</v>
          </cell>
          <cell r="S601">
            <v>1905000</v>
          </cell>
          <cell r="Y601">
            <v>1464750</v>
          </cell>
          <cell r="AA601">
            <v>1395000</v>
          </cell>
        </row>
        <row r="602">
          <cell r="B602">
            <v>49003</v>
          </cell>
          <cell r="C602" t="str">
            <v>TGS-26-4406X4BLS-LX-ALU</v>
          </cell>
          <cell r="E602" t="str">
            <v>CKD</v>
          </cell>
          <cell r="F602" t="str">
            <v>2018-08-30</v>
          </cell>
          <cell r="G602">
            <v>15.9</v>
          </cell>
          <cell r="H602">
            <v>43069</v>
          </cell>
          <cell r="J602">
            <v>1850000</v>
          </cell>
          <cell r="P602">
            <v>1407000</v>
          </cell>
          <cell r="R602">
            <v>1340000</v>
          </cell>
          <cell r="S602">
            <v>1905000</v>
          </cell>
          <cell r="Y602">
            <v>1464750</v>
          </cell>
          <cell r="AA602">
            <v>1395000</v>
          </cell>
        </row>
        <row r="603">
          <cell r="B603">
            <v>49004</v>
          </cell>
          <cell r="C603" t="str">
            <v>TGS-26-4406X4BLS-LX-ALU</v>
          </cell>
          <cell r="E603" t="str">
            <v>CKD</v>
          </cell>
          <cell r="F603" t="str">
            <v>2018-08-30</v>
          </cell>
          <cell r="G603">
            <v>15.9</v>
          </cell>
          <cell r="H603">
            <v>43069</v>
          </cell>
          <cell r="J603">
            <v>1850000</v>
          </cell>
          <cell r="P603">
            <v>1407000</v>
          </cell>
          <cell r="R603">
            <v>1340000</v>
          </cell>
          <cell r="S603">
            <v>1905000</v>
          </cell>
          <cell r="Y603">
            <v>1464750</v>
          </cell>
          <cell r="AA603">
            <v>1395000</v>
          </cell>
        </row>
        <row r="604">
          <cell r="B604">
            <v>49005</v>
          </cell>
          <cell r="C604" t="str">
            <v>TGS-26-4406X4BLS-LX-ALU</v>
          </cell>
          <cell r="E604" t="str">
            <v>CKD</v>
          </cell>
          <cell r="F604" t="str">
            <v>2018-08-30</v>
          </cell>
          <cell r="G604">
            <v>15.9</v>
          </cell>
          <cell r="H604">
            <v>43069</v>
          </cell>
          <cell r="J604">
            <v>1850000</v>
          </cell>
          <cell r="P604">
            <v>1407000</v>
          </cell>
          <cell r="R604">
            <v>1340000</v>
          </cell>
          <cell r="S604">
            <v>1905000</v>
          </cell>
          <cell r="Y604">
            <v>1464750</v>
          </cell>
          <cell r="AA604">
            <v>1395000</v>
          </cell>
        </row>
        <row r="605">
          <cell r="B605">
            <v>49006</v>
          </cell>
          <cell r="C605" t="str">
            <v>TGS-26-4406X4BLS-LX-ALU</v>
          </cell>
          <cell r="E605" t="str">
            <v>CKD</v>
          </cell>
          <cell r="F605" t="str">
            <v>2018-08-30</v>
          </cell>
          <cell r="G605">
            <v>15.9</v>
          </cell>
          <cell r="H605">
            <v>43069</v>
          </cell>
          <cell r="J605">
            <v>1850000</v>
          </cell>
          <cell r="P605">
            <v>1407000</v>
          </cell>
          <cell r="R605">
            <v>1340000</v>
          </cell>
          <cell r="S605">
            <v>1905000</v>
          </cell>
          <cell r="Y605">
            <v>1464750</v>
          </cell>
          <cell r="AA605">
            <v>1395000</v>
          </cell>
        </row>
        <row r="606">
          <cell r="B606">
            <v>49007</v>
          </cell>
          <cell r="C606" t="str">
            <v>TGS-26-4406X4BLS-LX-ALU</v>
          </cell>
          <cell r="E606" t="str">
            <v>CKD</v>
          </cell>
          <cell r="F606" t="str">
            <v>2018-09-30</v>
          </cell>
          <cell r="G606">
            <v>15.9</v>
          </cell>
          <cell r="H606">
            <v>43069</v>
          </cell>
          <cell r="J606">
            <v>1850000</v>
          </cell>
          <cell r="P606">
            <v>1407000</v>
          </cell>
          <cell r="R606">
            <v>1340000</v>
          </cell>
          <cell r="S606">
            <v>1905000</v>
          </cell>
          <cell r="Y606">
            <v>1464750</v>
          </cell>
          <cell r="AA606">
            <v>1395000</v>
          </cell>
        </row>
        <row r="607">
          <cell r="B607">
            <v>49008</v>
          </cell>
          <cell r="C607" t="str">
            <v>TGS-26-4406X4BLS-LX-ALU</v>
          </cell>
          <cell r="E607" t="str">
            <v>CKD</v>
          </cell>
          <cell r="F607" t="str">
            <v>2018-09-30</v>
          </cell>
          <cell r="G607">
            <v>15.9</v>
          </cell>
          <cell r="H607">
            <v>43069</v>
          </cell>
          <cell r="J607">
            <v>1850000</v>
          </cell>
          <cell r="P607">
            <v>1407000</v>
          </cell>
          <cell r="R607">
            <v>1340000</v>
          </cell>
          <cell r="S607">
            <v>1905000</v>
          </cell>
          <cell r="Y607">
            <v>1464750</v>
          </cell>
          <cell r="AA607">
            <v>1395000</v>
          </cell>
        </row>
        <row r="608">
          <cell r="B608">
            <v>49009</v>
          </cell>
          <cell r="C608" t="str">
            <v>TGS-26-4406X4BLS-LX-ALU</v>
          </cell>
          <cell r="E608" t="str">
            <v>CKD</v>
          </cell>
          <cell r="F608" t="str">
            <v>2018-09-30</v>
          </cell>
          <cell r="G608">
            <v>15.9</v>
          </cell>
          <cell r="H608">
            <v>43069</v>
          </cell>
          <cell r="J608">
            <v>1850000</v>
          </cell>
          <cell r="P608">
            <v>1407000</v>
          </cell>
          <cell r="R608">
            <v>1340000</v>
          </cell>
          <cell r="S608">
            <v>1905000</v>
          </cell>
          <cell r="Y608">
            <v>1464750</v>
          </cell>
          <cell r="AA608">
            <v>1395000</v>
          </cell>
        </row>
        <row r="609">
          <cell r="B609">
            <v>49010</v>
          </cell>
          <cell r="C609" t="str">
            <v>TGS-26-4406X4BLS-LX-ALU</v>
          </cell>
          <cell r="E609" t="str">
            <v>CKD</v>
          </cell>
          <cell r="F609" t="str">
            <v>2018-09-30</v>
          </cell>
          <cell r="G609">
            <v>15.9</v>
          </cell>
          <cell r="H609">
            <v>43069</v>
          </cell>
          <cell r="J609">
            <v>1850000</v>
          </cell>
          <cell r="P609">
            <v>1407000</v>
          </cell>
          <cell r="R609">
            <v>1340000</v>
          </cell>
          <cell r="S609">
            <v>1905000</v>
          </cell>
          <cell r="Y609">
            <v>1464750</v>
          </cell>
          <cell r="AA609">
            <v>1395000</v>
          </cell>
        </row>
        <row r="610">
          <cell r="B610">
            <v>49011</v>
          </cell>
          <cell r="C610" t="str">
            <v>TGS-26-4406X4BLS-LX-ALU</v>
          </cell>
          <cell r="E610" t="str">
            <v>CKD</v>
          </cell>
          <cell r="F610" t="str">
            <v>2018-09-30</v>
          </cell>
          <cell r="G610">
            <v>15.9</v>
          </cell>
          <cell r="H610">
            <v>43069</v>
          </cell>
          <cell r="J610">
            <v>1850000</v>
          </cell>
          <cell r="P610">
            <v>1407000</v>
          </cell>
          <cell r="R610">
            <v>1340000</v>
          </cell>
          <cell r="S610">
            <v>1905000</v>
          </cell>
          <cell r="Y610">
            <v>1464750</v>
          </cell>
          <cell r="AA610">
            <v>1395000</v>
          </cell>
        </row>
        <row r="611">
          <cell r="B611">
            <v>49012</v>
          </cell>
          <cell r="C611" t="str">
            <v>TGS-26-4406X4BLS-LX-ALU</v>
          </cell>
          <cell r="E611" t="str">
            <v>CKD</v>
          </cell>
          <cell r="F611" t="str">
            <v>2018-09-30</v>
          </cell>
          <cell r="G611">
            <v>15.9</v>
          </cell>
          <cell r="H611">
            <v>43069</v>
          </cell>
          <cell r="J611">
            <v>1850000</v>
          </cell>
          <cell r="P611">
            <v>1407000</v>
          </cell>
          <cell r="R611">
            <v>1340000</v>
          </cell>
          <cell r="S611">
            <v>1905000</v>
          </cell>
          <cell r="Y611">
            <v>1464750</v>
          </cell>
          <cell r="AA611">
            <v>1395000</v>
          </cell>
        </row>
        <row r="612">
          <cell r="B612">
            <v>49013</v>
          </cell>
          <cell r="C612" t="str">
            <v>TGS-26-4406X4BLS-LX-ALU</v>
          </cell>
          <cell r="E612" t="str">
            <v>CKD</v>
          </cell>
          <cell r="F612" t="str">
            <v>2018-09-30</v>
          </cell>
          <cell r="G612">
            <v>15.9</v>
          </cell>
          <cell r="H612">
            <v>43069</v>
          </cell>
          <cell r="J612">
            <v>1850000</v>
          </cell>
          <cell r="P612">
            <v>1407000</v>
          </cell>
          <cell r="R612">
            <v>1340000</v>
          </cell>
          <cell r="S612">
            <v>1905000</v>
          </cell>
          <cell r="Y612">
            <v>1464750</v>
          </cell>
          <cell r="AA612">
            <v>1395000</v>
          </cell>
        </row>
        <row r="613">
          <cell r="B613">
            <v>49014</v>
          </cell>
          <cell r="C613" t="str">
            <v>TGS-26-4406X4BLS-LX-ALU</v>
          </cell>
          <cell r="E613" t="str">
            <v>CKD</v>
          </cell>
          <cell r="F613" t="str">
            <v>2018-09-30</v>
          </cell>
          <cell r="G613">
            <v>15.9</v>
          </cell>
          <cell r="H613">
            <v>43069</v>
          </cell>
          <cell r="J613">
            <v>1850000</v>
          </cell>
          <cell r="P613">
            <v>1407000</v>
          </cell>
          <cell r="R613">
            <v>1340000</v>
          </cell>
          <cell r="S613">
            <v>1905000</v>
          </cell>
          <cell r="Y613">
            <v>1464750</v>
          </cell>
          <cell r="AA613">
            <v>1395000</v>
          </cell>
        </row>
        <row r="614">
          <cell r="B614">
            <v>49015</v>
          </cell>
          <cell r="C614" t="str">
            <v>TGS-26-4406X4BLS-LX-ALU</v>
          </cell>
          <cell r="E614" t="str">
            <v>CKD</v>
          </cell>
          <cell r="F614" t="str">
            <v>2018-10-30</v>
          </cell>
          <cell r="G614">
            <v>15.9</v>
          </cell>
          <cell r="H614">
            <v>43069</v>
          </cell>
          <cell r="J614">
            <v>1850000</v>
          </cell>
          <cell r="P614">
            <v>1407000</v>
          </cell>
          <cell r="R614">
            <v>1340000</v>
          </cell>
          <cell r="S614">
            <v>1905000</v>
          </cell>
          <cell r="Y614">
            <v>1464750</v>
          </cell>
          <cell r="AA614">
            <v>1395000</v>
          </cell>
        </row>
        <row r="615">
          <cell r="B615">
            <v>49016</v>
          </cell>
          <cell r="C615" t="str">
            <v>TGS-26-4406X4BLS-LX-ALU</v>
          </cell>
          <cell r="E615" t="str">
            <v>CKD</v>
          </cell>
          <cell r="F615" t="str">
            <v>2018-10-30</v>
          </cell>
          <cell r="G615">
            <v>15.9</v>
          </cell>
          <cell r="H615">
            <v>43069</v>
          </cell>
          <cell r="J615">
            <v>1850000</v>
          </cell>
          <cell r="P615">
            <v>1407000</v>
          </cell>
          <cell r="R615">
            <v>1340000</v>
          </cell>
          <cell r="S615">
            <v>1905000</v>
          </cell>
          <cell r="Y615">
            <v>1464750</v>
          </cell>
          <cell r="AA615">
            <v>1395000</v>
          </cell>
        </row>
        <row r="616">
          <cell r="B616">
            <v>49017</v>
          </cell>
          <cell r="C616" t="str">
            <v>TGS-26-4406X4BLS-LX-ALU</v>
          </cell>
          <cell r="E616" t="str">
            <v>CKD</v>
          </cell>
          <cell r="F616" t="str">
            <v>2018-10-30</v>
          </cell>
          <cell r="G616">
            <v>15.9</v>
          </cell>
          <cell r="H616">
            <v>43069</v>
          </cell>
          <cell r="J616">
            <v>1850000</v>
          </cell>
          <cell r="P616">
            <v>1407000</v>
          </cell>
          <cell r="R616">
            <v>1340000</v>
          </cell>
          <cell r="S616">
            <v>1905000</v>
          </cell>
          <cell r="Y616">
            <v>1464750</v>
          </cell>
          <cell r="AA616">
            <v>1395000</v>
          </cell>
        </row>
        <row r="617">
          <cell r="B617">
            <v>49018</v>
          </cell>
          <cell r="C617" t="str">
            <v>TGS-26-4406X4BLS-LX-ALU</v>
          </cell>
          <cell r="E617" t="str">
            <v>CKD</v>
          </cell>
          <cell r="F617" t="str">
            <v>2018-10-30</v>
          </cell>
          <cell r="G617">
            <v>15.9</v>
          </cell>
          <cell r="H617">
            <v>43069</v>
          </cell>
          <cell r="J617">
            <v>1850000</v>
          </cell>
          <cell r="P617">
            <v>1407000</v>
          </cell>
          <cell r="R617">
            <v>1340000</v>
          </cell>
          <cell r="S617">
            <v>1905000</v>
          </cell>
          <cell r="Y617">
            <v>1464750</v>
          </cell>
          <cell r="AA617">
            <v>1395000</v>
          </cell>
        </row>
        <row r="618">
          <cell r="B618">
            <v>49019</v>
          </cell>
          <cell r="C618" t="str">
            <v>TGS-26-4406X4BLS-LX-ALU</v>
          </cell>
          <cell r="E618" t="str">
            <v>CKD</v>
          </cell>
          <cell r="F618" t="str">
            <v>2018-09-30</v>
          </cell>
          <cell r="G618">
            <v>15.9</v>
          </cell>
          <cell r="H618">
            <v>43069</v>
          </cell>
          <cell r="J618">
            <v>1850000</v>
          </cell>
          <cell r="P618">
            <v>1407000</v>
          </cell>
          <cell r="R618">
            <v>1340000</v>
          </cell>
          <cell r="S618">
            <v>1905000</v>
          </cell>
          <cell r="Y618">
            <v>1464750</v>
          </cell>
          <cell r="AA618">
            <v>1395000</v>
          </cell>
        </row>
        <row r="619">
          <cell r="B619">
            <v>49020</v>
          </cell>
          <cell r="C619" t="str">
            <v>TGS-26-4406X4BLS-LX-ALU</v>
          </cell>
          <cell r="E619" t="str">
            <v>CKD</v>
          </cell>
          <cell r="F619" t="str">
            <v>2018-09-30</v>
          </cell>
          <cell r="G619">
            <v>15.9</v>
          </cell>
          <cell r="H619">
            <v>43069</v>
          </cell>
          <cell r="J619">
            <v>1850000</v>
          </cell>
          <cell r="P619">
            <v>1407000</v>
          </cell>
          <cell r="R619">
            <v>1340000</v>
          </cell>
          <cell r="S619">
            <v>1905000</v>
          </cell>
          <cell r="Y619">
            <v>1464750</v>
          </cell>
          <cell r="AA619">
            <v>1395000</v>
          </cell>
        </row>
        <row r="620">
          <cell r="B620">
            <v>49021</v>
          </cell>
          <cell r="C620" t="str">
            <v>TGS-26-4406X4BLS-LX-ALU</v>
          </cell>
          <cell r="E620" t="str">
            <v>CKD</v>
          </cell>
          <cell r="F620" t="str">
            <v>2018-09-30</v>
          </cell>
          <cell r="G620">
            <v>15.9</v>
          </cell>
          <cell r="H620">
            <v>43069</v>
          </cell>
          <cell r="J620">
            <v>1850000</v>
          </cell>
          <cell r="P620">
            <v>1407000</v>
          </cell>
          <cell r="R620">
            <v>1340000</v>
          </cell>
          <cell r="S620">
            <v>1905000</v>
          </cell>
          <cell r="Y620">
            <v>1464750</v>
          </cell>
          <cell r="AA620">
            <v>1395000</v>
          </cell>
        </row>
        <row r="621">
          <cell r="B621">
            <v>49022</v>
          </cell>
          <cell r="C621" t="str">
            <v>TGS-26-4406X4BLS-LX-ALU</v>
          </cell>
          <cell r="E621" t="str">
            <v>CKD</v>
          </cell>
          <cell r="F621" t="str">
            <v>2018-09-30</v>
          </cell>
          <cell r="G621">
            <v>15.9</v>
          </cell>
          <cell r="H621">
            <v>43069</v>
          </cell>
          <cell r="J621">
            <v>1850000</v>
          </cell>
          <cell r="P621">
            <v>1407000</v>
          </cell>
          <cell r="R621">
            <v>1340000</v>
          </cell>
          <cell r="S621">
            <v>1905000</v>
          </cell>
          <cell r="Y621">
            <v>1464750</v>
          </cell>
          <cell r="AA621">
            <v>1395000</v>
          </cell>
        </row>
        <row r="622">
          <cell r="B622">
            <v>49023</v>
          </cell>
          <cell r="C622" t="str">
            <v>TGS-26-4406X4BLS-LX-ALU</v>
          </cell>
          <cell r="E622" t="str">
            <v>CKD</v>
          </cell>
          <cell r="F622" t="str">
            <v>2018-10-30</v>
          </cell>
          <cell r="G622">
            <v>15.9</v>
          </cell>
          <cell r="H622">
            <v>43069</v>
          </cell>
          <cell r="J622">
            <v>1850000</v>
          </cell>
          <cell r="P622">
            <v>1407000</v>
          </cell>
          <cell r="R622">
            <v>1340000</v>
          </cell>
          <cell r="S622">
            <v>1905000</v>
          </cell>
          <cell r="Y622">
            <v>1464750</v>
          </cell>
          <cell r="AA622">
            <v>1395000</v>
          </cell>
        </row>
        <row r="623">
          <cell r="B623">
            <v>49024</v>
          </cell>
          <cell r="C623" t="str">
            <v>TGS-26-4406X4BLS-LX-ALU</v>
          </cell>
          <cell r="E623" t="str">
            <v>CKD</v>
          </cell>
          <cell r="F623" t="str">
            <v>2018-10-30</v>
          </cell>
          <cell r="G623">
            <v>15.9</v>
          </cell>
          <cell r="H623">
            <v>43069</v>
          </cell>
          <cell r="J623">
            <v>1850000</v>
          </cell>
          <cell r="P623">
            <v>1407000</v>
          </cell>
          <cell r="R623">
            <v>1340000</v>
          </cell>
          <cell r="S623">
            <v>1905000</v>
          </cell>
          <cell r="Y623">
            <v>1464750</v>
          </cell>
          <cell r="AA623">
            <v>1395000</v>
          </cell>
        </row>
        <row r="624">
          <cell r="B624">
            <v>49025</v>
          </cell>
          <cell r="C624" t="str">
            <v>TGS-26-4406X4BLS-LX-ALU</v>
          </cell>
          <cell r="E624" t="str">
            <v>CKD</v>
          </cell>
          <cell r="F624" t="str">
            <v>2018-10-30</v>
          </cell>
          <cell r="G624">
            <v>15.9</v>
          </cell>
          <cell r="H624">
            <v>43069</v>
          </cell>
          <cell r="J624">
            <v>1850000</v>
          </cell>
          <cell r="P624">
            <v>1407000</v>
          </cell>
          <cell r="R624">
            <v>1340000</v>
          </cell>
          <cell r="S624">
            <v>1905000</v>
          </cell>
          <cell r="Y624">
            <v>1464750</v>
          </cell>
          <cell r="AA624">
            <v>1395000</v>
          </cell>
        </row>
        <row r="625">
          <cell r="B625">
            <v>49026</v>
          </cell>
          <cell r="C625" t="str">
            <v>TGS-26-4406X4BLS-LX-ALU</v>
          </cell>
          <cell r="E625" t="str">
            <v>CKD</v>
          </cell>
          <cell r="F625" t="str">
            <v>2018-10-30</v>
          </cell>
          <cell r="G625">
            <v>15.9</v>
          </cell>
          <cell r="H625">
            <v>43069</v>
          </cell>
          <cell r="J625">
            <v>1850000</v>
          </cell>
          <cell r="P625">
            <v>1407000</v>
          </cell>
          <cell r="R625">
            <v>1340000</v>
          </cell>
          <cell r="S625">
            <v>1905000</v>
          </cell>
          <cell r="Y625">
            <v>1464750</v>
          </cell>
          <cell r="AA625">
            <v>1395000</v>
          </cell>
        </row>
        <row r="626">
          <cell r="B626">
            <v>49027</v>
          </cell>
          <cell r="C626" t="str">
            <v>TGS-26-4406X4BLS-LX-ALU</v>
          </cell>
          <cell r="E626" t="str">
            <v>CKD</v>
          </cell>
          <cell r="F626" t="str">
            <v>2018-10-30</v>
          </cell>
          <cell r="G626">
            <v>15.9</v>
          </cell>
          <cell r="H626">
            <v>43069</v>
          </cell>
          <cell r="J626">
            <v>1850000</v>
          </cell>
          <cell r="P626">
            <v>1407000</v>
          </cell>
          <cell r="R626">
            <v>1340000</v>
          </cell>
          <cell r="S626">
            <v>1905000</v>
          </cell>
          <cell r="Y626">
            <v>1464750</v>
          </cell>
          <cell r="AA626">
            <v>1395000</v>
          </cell>
        </row>
        <row r="627">
          <cell r="B627">
            <v>49028</v>
          </cell>
          <cell r="C627" t="str">
            <v>TGS-26-4406X4BLS-LX-ALU</v>
          </cell>
          <cell r="E627" t="str">
            <v>CKD</v>
          </cell>
          <cell r="F627" t="str">
            <v>2018-10-30</v>
          </cell>
          <cell r="G627">
            <v>15.9</v>
          </cell>
          <cell r="H627">
            <v>43069</v>
          </cell>
          <cell r="J627">
            <v>1850000</v>
          </cell>
          <cell r="P627">
            <v>1407000</v>
          </cell>
          <cell r="R627">
            <v>1340000</v>
          </cell>
          <cell r="S627">
            <v>1905000</v>
          </cell>
          <cell r="Y627">
            <v>1464750</v>
          </cell>
          <cell r="AA627">
            <v>1395000</v>
          </cell>
        </row>
        <row r="628">
          <cell r="B628">
            <v>49029</v>
          </cell>
          <cell r="C628" t="str">
            <v>TGS-26-4406X4BLS-LX-ALU</v>
          </cell>
          <cell r="E628" t="str">
            <v>CKD</v>
          </cell>
          <cell r="F628" t="str">
            <v>2018-10-30</v>
          </cell>
          <cell r="G628">
            <v>15.9</v>
          </cell>
          <cell r="H628">
            <v>43069</v>
          </cell>
          <cell r="J628">
            <v>1850000</v>
          </cell>
          <cell r="P628">
            <v>1407000</v>
          </cell>
          <cell r="R628">
            <v>1340000</v>
          </cell>
          <cell r="S628">
            <v>1905000</v>
          </cell>
          <cell r="Y628">
            <v>1464750</v>
          </cell>
          <cell r="AA628">
            <v>1395000</v>
          </cell>
        </row>
        <row r="629">
          <cell r="B629">
            <v>49030</v>
          </cell>
          <cell r="C629" t="str">
            <v>TGS-26-4406X4BLS-LX-ALU</v>
          </cell>
          <cell r="E629" t="str">
            <v>CKD</v>
          </cell>
          <cell r="F629" t="str">
            <v>2018-10-30</v>
          </cell>
          <cell r="G629">
            <v>15.9</v>
          </cell>
          <cell r="H629">
            <v>43069</v>
          </cell>
          <cell r="J629">
            <v>1850000</v>
          </cell>
          <cell r="P629">
            <v>1407000</v>
          </cell>
          <cell r="R629">
            <v>1340000</v>
          </cell>
          <cell r="S629">
            <v>1905000</v>
          </cell>
          <cell r="Y629">
            <v>1464750</v>
          </cell>
          <cell r="AA629">
            <v>1395000</v>
          </cell>
        </row>
        <row r="630">
          <cell r="B630" t="str">
            <v>78W-6168</v>
          </cell>
          <cell r="C630" t="str">
            <v>TGS-26-4406X4BLS-LX-ALU</v>
          </cell>
          <cell r="E630" t="str">
            <v>CKD</v>
          </cell>
          <cell r="F630" t="str">
            <v>2018-02-20</v>
          </cell>
          <cell r="G630">
            <v>14.7</v>
          </cell>
          <cell r="H630">
            <v>42947</v>
          </cell>
          <cell r="J630">
            <v>1850000</v>
          </cell>
          <cell r="P630">
            <v>1417500</v>
          </cell>
          <cell r="R630">
            <v>1350000</v>
          </cell>
          <cell r="S630">
            <v>1905000</v>
          </cell>
          <cell r="Y630">
            <v>1475250</v>
          </cell>
          <cell r="AA630">
            <v>1405000</v>
          </cell>
        </row>
        <row r="631">
          <cell r="B631" t="str">
            <v>78W-6169</v>
          </cell>
          <cell r="C631" t="str">
            <v>TGS-26-4406X4BLS-LX-ALU</v>
          </cell>
          <cell r="E631" t="str">
            <v>SOLD</v>
          </cell>
          <cell r="F631">
            <v>7</v>
          </cell>
          <cell r="G631">
            <v>14.7</v>
          </cell>
          <cell r="H631">
            <v>42947</v>
          </cell>
          <cell r="J631">
            <v>1850000</v>
          </cell>
          <cell r="P631">
            <v>1417500</v>
          </cell>
          <cell r="R631">
            <v>1350000</v>
          </cell>
          <cell r="S631">
            <v>1905000</v>
          </cell>
          <cell r="Y631">
            <v>1475250</v>
          </cell>
          <cell r="AA631">
            <v>1405000</v>
          </cell>
        </row>
        <row r="632">
          <cell r="B632" t="str">
            <v>78W-6170</v>
          </cell>
          <cell r="C632" t="str">
            <v>TGS-26-4406X4BLS-LX-ALU</v>
          </cell>
          <cell r="E632" t="str">
            <v>SOLD</v>
          </cell>
          <cell r="F632">
            <v>7</v>
          </cell>
          <cell r="G632">
            <v>14.7</v>
          </cell>
          <cell r="H632">
            <v>42947</v>
          </cell>
          <cell r="J632">
            <v>1850000</v>
          </cell>
          <cell r="P632">
            <v>1417500</v>
          </cell>
          <cell r="R632">
            <v>1350000</v>
          </cell>
          <cell r="S632">
            <v>1905000</v>
          </cell>
          <cell r="Y632">
            <v>1475250</v>
          </cell>
          <cell r="AA632">
            <v>1405000</v>
          </cell>
        </row>
        <row r="633">
          <cell r="B633" t="str">
            <v>78W-6171</v>
          </cell>
          <cell r="C633" t="str">
            <v>TGS-26-4406X4BLS-LX-ALU</v>
          </cell>
          <cell r="E633" t="str">
            <v>CKD</v>
          </cell>
          <cell r="F633" t="str">
            <v>2018-02-21</v>
          </cell>
          <cell r="G633">
            <v>14.7</v>
          </cell>
          <cell r="H633">
            <v>42947</v>
          </cell>
          <cell r="J633">
            <v>1850000</v>
          </cell>
          <cell r="P633">
            <v>1417500</v>
          </cell>
          <cell r="R633">
            <v>1350000</v>
          </cell>
          <cell r="S633">
            <v>1905000</v>
          </cell>
          <cell r="Y633">
            <v>1475250</v>
          </cell>
          <cell r="AA633">
            <v>1405000</v>
          </cell>
        </row>
        <row r="634">
          <cell r="B634" t="str">
            <v>78W-6172</v>
          </cell>
          <cell r="C634" t="str">
            <v>TGS-26-4406X4BLS-LX-ALU</v>
          </cell>
          <cell r="E634" t="str">
            <v>CKD</v>
          </cell>
          <cell r="F634" t="str">
            <v>2018-02-21</v>
          </cell>
          <cell r="G634">
            <v>14.7</v>
          </cell>
          <cell r="H634">
            <v>42947</v>
          </cell>
          <cell r="J634">
            <v>1850000</v>
          </cell>
          <cell r="P634">
            <v>1417500</v>
          </cell>
          <cell r="R634">
            <v>1350000</v>
          </cell>
          <cell r="S634">
            <v>1905000</v>
          </cell>
          <cell r="Y634">
            <v>1475250</v>
          </cell>
          <cell r="AA634">
            <v>1405000</v>
          </cell>
        </row>
        <row r="635">
          <cell r="B635" t="str">
            <v>78W-6173</v>
          </cell>
          <cell r="C635" t="str">
            <v>TGS-26-4406X4BLS-LX-ALU</v>
          </cell>
          <cell r="E635" t="str">
            <v>UNSOLD</v>
          </cell>
          <cell r="F635">
            <v>7</v>
          </cell>
          <cell r="G635">
            <v>14.7</v>
          </cell>
          <cell r="H635">
            <v>42947</v>
          </cell>
          <cell r="J635">
            <v>1850000</v>
          </cell>
          <cell r="P635">
            <v>1407000</v>
          </cell>
          <cell r="R635">
            <v>1340000</v>
          </cell>
          <cell r="S635">
            <v>1905000</v>
          </cell>
          <cell r="Y635">
            <v>1464750</v>
          </cell>
          <cell r="AA635">
            <v>1395000</v>
          </cell>
        </row>
        <row r="636">
          <cell r="B636" t="str">
            <v>78W-6174</v>
          </cell>
          <cell r="C636" t="str">
            <v>TGS-26-4406X4BLS-LX-ALU</v>
          </cell>
          <cell r="E636" t="str">
            <v>CKD</v>
          </cell>
          <cell r="F636" t="str">
            <v>2018-02-22</v>
          </cell>
          <cell r="G636">
            <v>14.7</v>
          </cell>
          <cell r="H636">
            <v>42947</v>
          </cell>
          <cell r="J636">
            <v>1850000</v>
          </cell>
          <cell r="P636">
            <v>1407000</v>
          </cell>
          <cell r="R636">
            <v>1340000</v>
          </cell>
          <cell r="S636">
            <v>1905000</v>
          </cell>
          <cell r="Y636">
            <v>1464750</v>
          </cell>
          <cell r="AA636">
            <v>1395000</v>
          </cell>
        </row>
        <row r="637">
          <cell r="B637" t="str">
            <v>78W-6175</v>
          </cell>
          <cell r="C637" t="str">
            <v>TGS-26-4406X4BLS-LX-ALU</v>
          </cell>
          <cell r="E637" t="str">
            <v>CKD</v>
          </cell>
          <cell r="F637" t="str">
            <v>2018-02-22</v>
          </cell>
          <cell r="G637">
            <v>14.7</v>
          </cell>
          <cell r="H637">
            <v>42947</v>
          </cell>
          <cell r="J637">
            <v>1850000</v>
          </cell>
          <cell r="P637">
            <v>1407000</v>
          </cell>
          <cell r="R637">
            <v>1340000</v>
          </cell>
          <cell r="S637">
            <v>1905000</v>
          </cell>
          <cell r="Y637">
            <v>1464750</v>
          </cell>
          <cell r="AA637">
            <v>1395000</v>
          </cell>
        </row>
        <row r="638">
          <cell r="B638" t="str">
            <v>78W-6188</v>
          </cell>
          <cell r="C638" t="str">
            <v>TGS-26-4406X4BLS-LX-ALU</v>
          </cell>
          <cell r="E638" t="str">
            <v>CKD</v>
          </cell>
          <cell r="F638" t="str">
            <v>2018-02-28</v>
          </cell>
          <cell r="G638">
            <v>14.7</v>
          </cell>
          <cell r="H638">
            <v>42947</v>
          </cell>
          <cell r="J638">
            <v>1850000</v>
          </cell>
          <cell r="P638">
            <v>1417500</v>
          </cell>
          <cell r="R638">
            <v>1350000</v>
          </cell>
          <cell r="S638">
            <v>1905000</v>
          </cell>
          <cell r="Y638">
            <v>1475250</v>
          </cell>
          <cell r="AA638">
            <v>1405000</v>
          </cell>
        </row>
        <row r="639">
          <cell r="B639" t="str">
            <v>78W-6189</v>
          </cell>
          <cell r="C639" t="str">
            <v>TGS-26-4406X4BLS-LX-ALU</v>
          </cell>
          <cell r="E639" t="str">
            <v>CKD</v>
          </cell>
          <cell r="F639" t="str">
            <v>2018-02-28</v>
          </cell>
          <cell r="G639">
            <v>14.7</v>
          </cell>
          <cell r="H639">
            <v>42947</v>
          </cell>
          <cell r="J639">
            <v>1850000</v>
          </cell>
          <cell r="P639">
            <v>1417500</v>
          </cell>
          <cell r="R639">
            <v>1350000</v>
          </cell>
          <cell r="S639">
            <v>1905000</v>
          </cell>
          <cell r="Y639">
            <v>1475250</v>
          </cell>
          <cell r="AA639">
            <v>1405000</v>
          </cell>
        </row>
        <row r="640">
          <cell r="B640" t="str">
            <v>78W-6190</v>
          </cell>
          <cell r="C640" t="str">
            <v>TGS-26-4406X4BLS-LX-ALU</v>
          </cell>
          <cell r="E640" t="str">
            <v>SOLD</v>
          </cell>
          <cell r="F640">
            <v>5</v>
          </cell>
          <cell r="G640">
            <v>14.7</v>
          </cell>
          <cell r="H640">
            <v>42947</v>
          </cell>
          <cell r="J640">
            <v>1850000</v>
          </cell>
          <cell r="P640">
            <v>1417500</v>
          </cell>
          <cell r="R640">
            <v>1350000</v>
          </cell>
          <cell r="S640">
            <v>1905000</v>
          </cell>
          <cell r="Y640">
            <v>1475250</v>
          </cell>
          <cell r="AA640">
            <v>1405000</v>
          </cell>
        </row>
        <row r="641">
          <cell r="B641" t="str">
            <v>78W-6191</v>
          </cell>
          <cell r="C641" t="str">
            <v>TGS-26-4406X4BLS-LX-ALU</v>
          </cell>
          <cell r="E641" t="str">
            <v>CKD</v>
          </cell>
          <cell r="F641" t="str">
            <v>2018-02-28</v>
          </cell>
          <cell r="G641">
            <v>14.7</v>
          </cell>
          <cell r="H641">
            <v>42947</v>
          </cell>
          <cell r="J641">
            <v>1850000</v>
          </cell>
          <cell r="P641">
            <v>1417500</v>
          </cell>
          <cell r="R641">
            <v>1350000</v>
          </cell>
          <cell r="S641">
            <v>1905000</v>
          </cell>
          <cell r="Y641">
            <v>1475250</v>
          </cell>
          <cell r="AA641">
            <v>1405000</v>
          </cell>
        </row>
        <row r="642">
          <cell r="B642" t="str">
            <v>78W-6216</v>
          </cell>
          <cell r="C642" t="str">
            <v>TGS-26-4406X4BLS-LX-ALU</v>
          </cell>
          <cell r="E642" t="str">
            <v>CKD</v>
          </cell>
          <cell r="F642" t="str">
            <v>2018-02-20</v>
          </cell>
          <cell r="G642">
            <v>14.7</v>
          </cell>
          <cell r="H642">
            <v>42947</v>
          </cell>
          <cell r="J642">
            <v>1850000</v>
          </cell>
          <cell r="P642">
            <v>1417500</v>
          </cell>
          <cell r="R642">
            <v>1350000</v>
          </cell>
          <cell r="S642">
            <v>1905000</v>
          </cell>
          <cell r="Y642">
            <v>1475250</v>
          </cell>
          <cell r="AA642">
            <v>1405000</v>
          </cell>
        </row>
        <row r="643">
          <cell r="B643" t="str">
            <v>78W-6217</v>
          </cell>
          <cell r="C643" t="str">
            <v>TGS-26-4406X4BLS-LX-ALU</v>
          </cell>
          <cell r="E643" t="str">
            <v>CKD</v>
          </cell>
          <cell r="F643" t="str">
            <v>2018-02-20</v>
          </cell>
          <cell r="G643">
            <v>14.7</v>
          </cell>
          <cell r="H643">
            <v>42947</v>
          </cell>
          <cell r="J643">
            <v>1850000</v>
          </cell>
          <cell r="P643">
            <v>1417500</v>
          </cell>
          <cell r="R643">
            <v>1350000</v>
          </cell>
          <cell r="S643">
            <v>1905000</v>
          </cell>
          <cell r="Y643">
            <v>1475250</v>
          </cell>
          <cell r="AA643">
            <v>1405000</v>
          </cell>
        </row>
        <row r="644">
          <cell r="B644" t="str">
            <v>78W-6218</v>
          </cell>
          <cell r="C644" t="str">
            <v>TGS-26-4406X4BLS-LX-ALU</v>
          </cell>
          <cell r="E644" t="str">
            <v>CKD</v>
          </cell>
          <cell r="F644" t="str">
            <v>2018-02-20</v>
          </cell>
          <cell r="G644">
            <v>14.7</v>
          </cell>
          <cell r="H644">
            <v>42947</v>
          </cell>
          <cell r="J644">
            <v>1850000</v>
          </cell>
          <cell r="P644">
            <v>1417500</v>
          </cell>
          <cell r="R644">
            <v>1350000</v>
          </cell>
          <cell r="S644">
            <v>1905000</v>
          </cell>
          <cell r="Y644">
            <v>1475250</v>
          </cell>
          <cell r="AA644">
            <v>1405000</v>
          </cell>
        </row>
        <row r="645">
          <cell r="B645" t="str">
            <v>78W-6219</v>
          </cell>
          <cell r="C645" t="str">
            <v>TGS-26-4406X4BLS-LX-ALU</v>
          </cell>
          <cell r="E645" t="str">
            <v>SOLD</v>
          </cell>
          <cell r="F645">
            <v>5</v>
          </cell>
          <cell r="G645">
            <v>14.7</v>
          </cell>
          <cell r="H645">
            <v>42947</v>
          </cell>
          <cell r="J645">
            <v>1850000</v>
          </cell>
          <cell r="P645">
            <v>1417500</v>
          </cell>
          <cell r="R645">
            <v>1350000</v>
          </cell>
          <cell r="S645">
            <v>1905000</v>
          </cell>
          <cell r="Y645">
            <v>1475250</v>
          </cell>
          <cell r="AA645">
            <v>1405000</v>
          </cell>
        </row>
        <row r="646">
          <cell r="B646" t="str">
            <v>78W-6292</v>
          </cell>
          <cell r="C646" t="str">
            <v>TGS-26-4406X4BLS-LX-ALU</v>
          </cell>
          <cell r="E646" t="str">
            <v>SOLD</v>
          </cell>
          <cell r="F646">
            <v>5</v>
          </cell>
          <cell r="G646">
            <v>15.3</v>
          </cell>
          <cell r="H646">
            <v>42978</v>
          </cell>
          <cell r="J646">
            <v>1850000</v>
          </cell>
          <cell r="P646">
            <v>1417500</v>
          </cell>
          <cell r="R646">
            <v>1350000</v>
          </cell>
          <cell r="S646">
            <v>1905000</v>
          </cell>
          <cell r="Y646">
            <v>1475250</v>
          </cell>
          <cell r="AA646">
            <v>1405000</v>
          </cell>
        </row>
        <row r="647">
          <cell r="B647" t="str">
            <v>78W-6293</v>
          </cell>
          <cell r="C647" t="str">
            <v>TGS-26-4406X4BLS-LX-ALU</v>
          </cell>
          <cell r="E647" t="str">
            <v>CKD</v>
          </cell>
          <cell r="F647" t="str">
            <v>2018-02-20</v>
          </cell>
          <cell r="G647">
            <v>15.3</v>
          </cell>
          <cell r="H647">
            <v>42978</v>
          </cell>
          <cell r="J647">
            <v>1850000</v>
          </cell>
          <cell r="P647">
            <v>1417500</v>
          </cell>
          <cell r="R647">
            <v>1350000</v>
          </cell>
          <cell r="S647">
            <v>1905000</v>
          </cell>
          <cell r="Y647">
            <v>1475250</v>
          </cell>
          <cell r="AA647">
            <v>1405000</v>
          </cell>
        </row>
        <row r="648">
          <cell r="B648" t="str">
            <v>78W-6294</v>
          </cell>
          <cell r="C648" t="str">
            <v>TGS-26-4406X4BLS-LX-ALU</v>
          </cell>
          <cell r="E648" t="str">
            <v>CKD</v>
          </cell>
          <cell r="F648" t="str">
            <v>2018-02-22</v>
          </cell>
          <cell r="G648">
            <v>15.3</v>
          </cell>
          <cell r="H648">
            <v>42978</v>
          </cell>
          <cell r="J648">
            <v>1850000</v>
          </cell>
          <cell r="P648">
            <v>1417500</v>
          </cell>
          <cell r="R648">
            <v>1350000</v>
          </cell>
          <cell r="S648">
            <v>1905000</v>
          </cell>
          <cell r="Y648">
            <v>1475250</v>
          </cell>
          <cell r="AA648">
            <v>1405000</v>
          </cell>
        </row>
        <row r="649">
          <cell r="B649" t="str">
            <v>78W-6295</v>
          </cell>
          <cell r="C649" t="str">
            <v>TGS-26-4406X4BLS-LX-ALU</v>
          </cell>
          <cell r="E649" t="str">
            <v>CKD</v>
          </cell>
          <cell r="F649" t="str">
            <v>2018-02-22</v>
          </cell>
          <cell r="G649">
            <v>15.3</v>
          </cell>
          <cell r="H649">
            <v>42978</v>
          </cell>
          <cell r="J649">
            <v>1850000</v>
          </cell>
          <cell r="P649">
            <v>1417500</v>
          </cell>
          <cell r="R649">
            <v>1350000</v>
          </cell>
          <cell r="S649">
            <v>1905000</v>
          </cell>
          <cell r="Y649">
            <v>1475250</v>
          </cell>
          <cell r="AA649">
            <v>1405000</v>
          </cell>
        </row>
        <row r="650">
          <cell r="B650" t="str">
            <v>78W-6300</v>
          </cell>
          <cell r="C650" t="str">
            <v>TGS-26-4406X4BLS-LX-ALU</v>
          </cell>
          <cell r="E650" t="str">
            <v>CKD</v>
          </cell>
          <cell r="F650" t="str">
            <v>2018-02-22</v>
          </cell>
          <cell r="G650">
            <v>15.3</v>
          </cell>
          <cell r="H650">
            <v>42978</v>
          </cell>
          <cell r="J650">
            <v>1850000</v>
          </cell>
          <cell r="P650">
            <v>1417500</v>
          </cell>
          <cell r="R650">
            <v>1350000</v>
          </cell>
          <cell r="S650">
            <v>1905000</v>
          </cell>
          <cell r="Y650">
            <v>1475250</v>
          </cell>
          <cell r="AA650">
            <v>1405000</v>
          </cell>
        </row>
        <row r="651">
          <cell r="B651" t="str">
            <v>78W-6301</v>
          </cell>
          <cell r="C651" t="str">
            <v>TGS-26-4406X4BLS-LX-ALU</v>
          </cell>
          <cell r="E651" t="str">
            <v>CKD</v>
          </cell>
          <cell r="F651" t="str">
            <v>2018-02-22</v>
          </cell>
          <cell r="G651">
            <v>15.3</v>
          </cell>
          <cell r="H651">
            <v>42978</v>
          </cell>
          <cell r="J651">
            <v>1850000</v>
          </cell>
          <cell r="P651">
            <v>1417500</v>
          </cell>
          <cell r="R651">
            <v>1350000</v>
          </cell>
          <cell r="S651">
            <v>1905000</v>
          </cell>
          <cell r="Y651">
            <v>1475250</v>
          </cell>
          <cell r="AA651">
            <v>1405000</v>
          </cell>
        </row>
        <row r="652">
          <cell r="B652" t="str">
            <v>78W-6302</v>
          </cell>
          <cell r="C652" t="str">
            <v>TGS-26-4406X4BLS-LX-ALU</v>
          </cell>
          <cell r="E652" t="str">
            <v>CKD</v>
          </cell>
          <cell r="F652" t="str">
            <v>2018-03-30</v>
          </cell>
          <cell r="G652">
            <v>15.3</v>
          </cell>
          <cell r="H652">
            <v>42978</v>
          </cell>
          <cell r="J652">
            <v>1850000</v>
          </cell>
          <cell r="P652">
            <v>1417500</v>
          </cell>
          <cell r="R652">
            <v>1350000</v>
          </cell>
          <cell r="S652">
            <v>1905000</v>
          </cell>
          <cell r="Y652">
            <v>1475250</v>
          </cell>
          <cell r="AA652">
            <v>1405000</v>
          </cell>
        </row>
        <row r="653">
          <cell r="B653" t="str">
            <v>78W-6303</v>
          </cell>
          <cell r="C653" t="str">
            <v>TGS-26-4406X4BLS-LX-ALU</v>
          </cell>
          <cell r="E653" t="str">
            <v>CKD</v>
          </cell>
          <cell r="F653" t="str">
            <v>2018-03-30</v>
          </cell>
          <cell r="G653">
            <v>15.3</v>
          </cell>
          <cell r="H653">
            <v>42978</v>
          </cell>
          <cell r="J653">
            <v>1850000</v>
          </cell>
          <cell r="P653">
            <v>1417500</v>
          </cell>
          <cell r="R653">
            <v>1350000</v>
          </cell>
          <cell r="S653">
            <v>1905000</v>
          </cell>
          <cell r="Y653">
            <v>1475250</v>
          </cell>
          <cell r="AA653">
            <v>1405000</v>
          </cell>
        </row>
        <row r="654">
          <cell r="B654" t="str">
            <v>78W-6316</v>
          </cell>
          <cell r="C654" t="str">
            <v>TGS-26-4406X4BLS-LX-ALU</v>
          </cell>
          <cell r="E654" t="str">
            <v>CKD</v>
          </cell>
          <cell r="F654" t="str">
            <v>2018-03-30</v>
          </cell>
          <cell r="G654">
            <v>15.3</v>
          </cell>
          <cell r="H654">
            <v>42978</v>
          </cell>
          <cell r="J654">
            <v>1850000</v>
          </cell>
          <cell r="P654">
            <v>1417500</v>
          </cell>
          <cell r="R654">
            <v>1350000</v>
          </cell>
          <cell r="S654">
            <v>1905000</v>
          </cell>
          <cell r="Y654">
            <v>1475250</v>
          </cell>
          <cell r="AA654">
            <v>1405000</v>
          </cell>
        </row>
        <row r="655">
          <cell r="B655" t="str">
            <v>78W-6317</v>
          </cell>
          <cell r="C655" t="str">
            <v>TGS-26-4406X4BLS-LX-ALU</v>
          </cell>
          <cell r="E655" t="str">
            <v>CKD</v>
          </cell>
          <cell r="F655" t="str">
            <v>2018-03-30</v>
          </cell>
          <cell r="G655">
            <v>15.3</v>
          </cell>
          <cell r="H655">
            <v>42978</v>
          </cell>
          <cell r="J655">
            <v>1850000</v>
          </cell>
          <cell r="P655">
            <v>1417500</v>
          </cell>
          <cell r="R655">
            <v>1350000</v>
          </cell>
          <cell r="S655">
            <v>1905000</v>
          </cell>
          <cell r="Y655">
            <v>1475250</v>
          </cell>
          <cell r="AA655">
            <v>1405000</v>
          </cell>
        </row>
        <row r="656">
          <cell r="B656" t="str">
            <v>78W-6318</v>
          </cell>
          <cell r="C656" t="str">
            <v>TGS-26-4406X4BLS-LX-ALU</v>
          </cell>
          <cell r="E656" t="str">
            <v>CKD</v>
          </cell>
          <cell r="F656" t="str">
            <v>2018-03-30</v>
          </cell>
          <cell r="G656">
            <v>15.3</v>
          </cell>
          <cell r="H656">
            <v>42978</v>
          </cell>
          <cell r="J656">
            <v>1850000</v>
          </cell>
          <cell r="P656">
            <v>1417500</v>
          </cell>
          <cell r="R656">
            <v>1350000</v>
          </cell>
          <cell r="S656">
            <v>1905000</v>
          </cell>
          <cell r="Y656">
            <v>1475250</v>
          </cell>
          <cell r="AA656">
            <v>1405000</v>
          </cell>
        </row>
        <row r="657">
          <cell r="B657" t="str">
            <v>78W-6319</v>
          </cell>
          <cell r="C657" t="str">
            <v>TGS-26-4406X4BLS-LX-ALU</v>
          </cell>
          <cell r="E657" t="str">
            <v>CKD</v>
          </cell>
          <cell r="F657" t="str">
            <v>2018-03-30</v>
          </cell>
          <cell r="G657">
            <v>15.3</v>
          </cell>
          <cell r="H657">
            <v>42978</v>
          </cell>
          <cell r="J657">
            <v>1850000</v>
          </cell>
          <cell r="P657">
            <v>1417500</v>
          </cell>
          <cell r="R657">
            <v>1350000</v>
          </cell>
          <cell r="S657">
            <v>1905000</v>
          </cell>
          <cell r="Y657">
            <v>1475250</v>
          </cell>
          <cell r="AA657">
            <v>1405000</v>
          </cell>
        </row>
        <row r="658">
          <cell r="B658" t="str">
            <v>78W-6320</v>
          </cell>
          <cell r="C658" t="str">
            <v>TGS-26-4406X4BLS-LX-ALU</v>
          </cell>
          <cell r="E658" t="str">
            <v>CKD</v>
          </cell>
          <cell r="F658" t="str">
            <v>2018-03-30</v>
          </cell>
          <cell r="G658">
            <v>15.3</v>
          </cell>
          <cell r="H658">
            <v>42978</v>
          </cell>
          <cell r="J658">
            <v>1850000</v>
          </cell>
          <cell r="P658">
            <v>1417500</v>
          </cell>
          <cell r="R658">
            <v>1350000</v>
          </cell>
          <cell r="S658">
            <v>1905000</v>
          </cell>
          <cell r="Y658">
            <v>1475250</v>
          </cell>
          <cell r="AA658">
            <v>1405000</v>
          </cell>
        </row>
        <row r="659">
          <cell r="B659" t="str">
            <v>78W-6321</v>
          </cell>
          <cell r="C659" t="str">
            <v>TGS-26-4406X4BLS-LX-ALU</v>
          </cell>
          <cell r="E659" t="str">
            <v>CKD</v>
          </cell>
          <cell r="F659" t="str">
            <v>2018-03-30</v>
          </cell>
          <cell r="G659">
            <v>15.3</v>
          </cell>
          <cell r="H659">
            <v>42978</v>
          </cell>
          <cell r="J659">
            <v>1850000</v>
          </cell>
          <cell r="P659">
            <v>1417500</v>
          </cell>
          <cell r="R659">
            <v>1350000</v>
          </cell>
          <cell r="S659">
            <v>1905000</v>
          </cell>
          <cell r="Y659">
            <v>1475250</v>
          </cell>
          <cell r="AA659">
            <v>1405000</v>
          </cell>
        </row>
        <row r="660">
          <cell r="B660" t="str">
            <v>78W-6322</v>
          </cell>
          <cell r="C660" t="str">
            <v>TGS-26-4406X4BLS-LX-ALU</v>
          </cell>
          <cell r="E660" t="str">
            <v>CKD</v>
          </cell>
          <cell r="F660" t="str">
            <v>2018-03-30</v>
          </cell>
          <cell r="G660">
            <v>15.3</v>
          </cell>
          <cell r="H660">
            <v>42978</v>
          </cell>
          <cell r="J660">
            <v>1850000</v>
          </cell>
          <cell r="P660">
            <v>1417500</v>
          </cell>
          <cell r="R660">
            <v>1350000</v>
          </cell>
          <cell r="S660">
            <v>1905000</v>
          </cell>
          <cell r="Y660">
            <v>1475250</v>
          </cell>
          <cell r="AA660">
            <v>1405000</v>
          </cell>
        </row>
        <row r="661">
          <cell r="B661" t="str">
            <v>78W-6323</v>
          </cell>
          <cell r="C661" t="str">
            <v>TGS-26-4406X4BLS-LX-ALU</v>
          </cell>
          <cell r="E661" t="str">
            <v>CKD</v>
          </cell>
          <cell r="F661" t="str">
            <v>2018-03-30</v>
          </cell>
          <cell r="G661">
            <v>15.3</v>
          </cell>
          <cell r="H661">
            <v>42978</v>
          </cell>
          <cell r="J661">
            <v>1850000</v>
          </cell>
          <cell r="P661">
            <v>1417500</v>
          </cell>
          <cell r="R661">
            <v>1350000</v>
          </cell>
          <cell r="S661">
            <v>1905000</v>
          </cell>
          <cell r="Y661">
            <v>1475250</v>
          </cell>
          <cell r="AA661">
            <v>1405000</v>
          </cell>
        </row>
        <row r="662">
          <cell r="B662" t="str">
            <v>78W-6328</v>
          </cell>
          <cell r="C662" t="str">
            <v>TGS-26-4406X4BLS-LX-ALU</v>
          </cell>
          <cell r="E662" t="str">
            <v>CKD</v>
          </cell>
          <cell r="F662" t="str">
            <v>2018-03-30</v>
          </cell>
          <cell r="G662">
            <v>15.3</v>
          </cell>
          <cell r="H662">
            <v>42978</v>
          </cell>
          <cell r="J662">
            <v>1850000</v>
          </cell>
          <cell r="P662">
            <v>1417500</v>
          </cell>
          <cell r="R662">
            <v>1350000</v>
          </cell>
          <cell r="S662">
            <v>1905000</v>
          </cell>
          <cell r="Y662">
            <v>1475250</v>
          </cell>
          <cell r="AA662">
            <v>1405000</v>
          </cell>
        </row>
        <row r="663">
          <cell r="B663" t="str">
            <v>78W-6329</v>
          </cell>
          <cell r="C663" t="str">
            <v>TGS-26-4406X4BLS-LX-ALU</v>
          </cell>
          <cell r="E663" t="str">
            <v>CKD</v>
          </cell>
          <cell r="F663" t="str">
            <v>2018-03-30</v>
          </cell>
          <cell r="G663">
            <v>15.3</v>
          </cell>
          <cell r="H663">
            <v>42978</v>
          </cell>
          <cell r="J663">
            <v>1850000</v>
          </cell>
          <cell r="P663">
            <v>1417500</v>
          </cell>
          <cell r="R663">
            <v>1350000</v>
          </cell>
          <cell r="S663">
            <v>1905000</v>
          </cell>
          <cell r="Y663">
            <v>1475250</v>
          </cell>
          <cell r="AA663">
            <v>1405000</v>
          </cell>
        </row>
        <row r="664">
          <cell r="B664" t="str">
            <v>78W-6330</v>
          </cell>
          <cell r="C664" t="str">
            <v>TGS-26-4406X4BLS-LX-ALU</v>
          </cell>
          <cell r="E664" t="str">
            <v>CKD</v>
          </cell>
          <cell r="F664" t="str">
            <v>2018-03-30</v>
          </cell>
          <cell r="G664">
            <v>15.3</v>
          </cell>
          <cell r="H664">
            <v>42978</v>
          </cell>
          <cell r="J664">
            <v>1850000</v>
          </cell>
          <cell r="P664">
            <v>1417500</v>
          </cell>
          <cell r="R664">
            <v>1350000</v>
          </cell>
          <cell r="S664">
            <v>1905000</v>
          </cell>
          <cell r="Y664">
            <v>1475250</v>
          </cell>
          <cell r="AA664">
            <v>1405000</v>
          </cell>
        </row>
        <row r="665">
          <cell r="B665" t="str">
            <v>78W-6331</v>
          </cell>
          <cell r="C665" t="str">
            <v>TGS-26-4406X4BLS-LX-ALU</v>
          </cell>
          <cell r="E665" t="str">
            <v>CKD</v>
          </cell>
          <cell r="F665" t="str">
            <v>2018-03-30</v>
          </cell>
          <cell r="G665">
            <v>15.3</v>
          </cell>
          <cell r="H665">
            <v>42978</v>
          </cell>
          <cell r="J665">
            <v>1850000</v>
          </cell>
          <cell r="P665">
            <v>1417500</v>
          </cell>
          <cell r="R665">
            <v>1350000</v>
          </cell>
          <cell r="S665">
            <v>1905000</v>
          </cell>
          <cell r="Y665">
            <v>1475250</v>
          </cell>
          <cell r="AA665">
            <v>1405000</v>
          </cell>
        </row>
        <row r="666">
          <cell r="B666" t="str">
            <v>78W-6332</v>
          </cell>
          <cell r="C666" t="str">
            <v>TGS-26-4406X4BLS-LX-ALU</v>
          </cell>
          <cell r="E666" t="str">
            <v>CKD</v>
          </cell>
          <cell r="F666" t="str">
            <v>2018-03-30</v>
          </cell>
          <cell r="G666">
            <v>15.3</v>
          </cell>
          <cell r="H666">
            <v>42978</v>
          </cell>
          <cell r="J666">
            <v>1850000</v>
          </cell>
          <cell r="P666">
            <v>1417500</v>
          </cell>
          <cell r="R666">
            <v>1350000</v>
          </cell>
          <cell r="S666">
            <v>1905000</v>
          </cell>
          <cell r="Y666">
            <v>1475250</v>
          </cell>
          <cell r="AA666">
            <v>1405000</v>
          </cell>
        </row>
        <row r="667">
          <cell r="B667" t="str">
            <v>78W-6333</v>
          </cell>
          <cell r="C667" t="str">
            <v>TGS-26-4406X4BLS-LX-ALU</v>
          </cell>
          <cell r="E667" t="str">
            <v>CKD</v>
          </cell>
          <cell r="F667" t="str">
            <v>2018-03-30</v>
          </cell>
          <cell r="G667">
            <v>15.3</v>
          </cell>
          <cell r="H667">
            <v>42978</v>
          </cell>
          <cell r="J667">
            <v>1850000</v>
          </cell>
          <cell r="P667">
            <v>1417500</v>
          </cell>
          <cell r="R667">
            <v>1350000</v>
          </cell>
          <cell r="S667">
            <v>1905000</v>
          </cell>
          <cell r="Y667">
            <v>1475250</v>
          </cell>
          <cell r="AA667">
            <v>1405000</v>
          </cell>
        </row>
        <row r="668">
          <cell r="B668" t="str">
            <v>78W-6334</v>
          </cell>
          <cell r="C668" t="str">
            <v>TGS-26-4406X4BLS-LX-ALU</v>
          </cell>
          <cell r="E668" t="str">
            <v>CKD</v>
          </cell>
          <cell r="F668" t="str">
            <v>2018-03-30</v>
          </cell>
          <cell r="G668">
            <v>15.3</v>
          </cell>
          <cell r="H668">
            <v>42978</v>
          </cell>
          <cell r="J668">
            <v>1850000</v>
          </cell>
          <cell r="P668">
            <v>1417500</v>
          </cell>
          <cell r="R668">
            <v>1350000</v>
          </cell>
          <cell r="S668">
            <v>1905000</v>
          </cell>
          <cell r="Y668">
            <v>1475250</v>
          </cell>
          <cell r="AA668">
            <v>1405000</v>
          </cell>
        </row>
        <row r="669">
          <cell r="B669" t="str">
            <v>78W-6335</v>
          </cell>
          <cell r="C669" t="str">
            <v>TGS-26-4406X4BLS-LX-ALU</v>
          </cell>
          <cell r="E669" t="str">
            <v>CKD</v>
          </cell>
          <cell r="F669" t="str">
            <v>2018-03-30</v>
          </cell>
          <cell r="G669">
            <v>15.3</v>
          </cell>
          <cell r="H669">
            <v>42978</v>
          </cell>
          <cell r="J669">
            <v>1850000</v>
          </cell>
          <cell r="P669">
            <v>1417500</v>
          </cell>
          <cell r="R669">
            <v>1350000</v>
          </cell>
          <cell r="S669">
            <v>1905000</v>
          </cell>
          <cell r="Y669">
            <v>1475250</v>
          </cell>
          <cell r="AA669">
            <v>1405000</v>
          </cell>
        </row>
        <row r="670">
          <cell r="B670" t="str">
            <v>78W-6340</v>
          </cell>
          <cell r="C670" t="str">
            <v>TGS-26-4406X4BLS-LX-ALU</v>
          </cell>
          <cell r="E670" t="str">
            <v>CKD</v>
          </cell>
          <cell r="F670" t="str">
            <v>2018-03-30</v>
          </cell>
          <cell r="G670">
            <v>15.3</v>
          </cell>
          <cell r="H670">
            <v>42978</v>
          </cell>
          <cell r="J670">
            <v>1850000</v>
          </cell>
          <cell r="P670">
            <v>1417500</v>
          </cell>
          <cell r="R670">
            <v>1350000</v>
          </cell>
          <cell r="S670">
            <v>1905000</v>
          </cell>
          <cell r="Y670">
            <v>1475250</v>
          </cell>
          <cell r="AA670">
            <v>1405000</v>
          </cell>
        </row>
        <row r="671">
          <cell r="B671" t="str">
            <v>78W-6341</v>
          </cell>
          <cell r="C671" t="str">
            <v>TGS-26-4406X4BLS-LX-ALU</v>
          </cell>
          <cell r="E671" t="str">
            <v>CKD</v>
          </cell>
          <cell r="F671" t="str">
            <v>2018-03-30</v>
          </cell>
          <cell r="G671">
            <v>15.3</v>
          </cell>
          <cell r="H671">
            <v>42978</v>
          </cell>
          <cell r="J671">
            <v>1850000</v>
          </cell>
          <cell r="P671">
            <v>1417500</v>
          </cell>
          <cell r="R671">
            <v>1350000</v>
          </cell>
          <cell r="S671">
            <v>1905000</v>
          </cell>
          <cell r="Y671">
            <v>1475250</v>
          </cell>
          <cell r="AA671">
            <v>1405000</v>
          </cell>
        </row>
        <row r="672">
          <cell r="B672" t="str">
            <v>78W-6342</v>
          </cell>
          <cell r="C672" t="str">
            <v>TGS-26-4406X4BLS-LX-ALU</v>
          </cell>
          <cell r="E672" t="str">
            <v>CKD</v>
          </cell>
          <cell r="F672" t="str">
            <v>2018-03-30</v>
          </cell>
          <cell r="G672">
            <v>15.3</v>
          </cell>
          <cell r="H672">
            <v>42978</v>
          </cell>
          <cell r="J672">
            <v>1850000</v>
          </cell>
          <cell r="P672">
            <v>1417500</v>
          </cell>
          <cell r="R672">
            <v>1350000</v>
          </cell>
          <cell r="S672">
            <v>1905000</v>
          </cell>
          <cell r="Y672">
            <v>1475250</v>
          </cell>
          <cell r="AA672">
            <v>1405000</v>
          </cell>
        </row>
        <row r="673">
          <cell r="B673" t="str">
            <v>78W-6343</v>
          </cell>
          <cell r="C673" t="str">
            <v>TGS-26-4406X4BLS-LX-ALU</v>
          </cell>
          <cell r="E673" t="str">
            <v>CKD</v>
          </cell>
          <cell r="F673" t="str">
            <v>2018-04-30</v>
          </cell>
          <cell r="G673">
            <v>15.3</v>
          </cell>
          <cell r="H673">
            <v>42978</v>
          </cell>
          <cell r="J673">
            <v>1850000</v>
          </cell>
          <cell r="P673">
            <v>1417500</v>
          </cell>
          <cell r="R673">
            <v>1350000</v>
          </cell>
          <cell r="S673">
            <v>1905000</v>
          </cell>
          <cell r="Y673">
            <v>1475250</v>
          </cell>
          <cell r="AA673">
            <v>1405000</v>
          </cell>
        </row>
        <row r="674">
          <cell r="B674" t="str">
            <v>78W-6344</v>
          </cell>
          <cell r="C674" t="str">
            <v>TGS-26-4406X4BLS-LX-ALU</v>
          </cell>
          <cell r="E674" t="str">
            <v>CKD</v>
          </cell>
          <cell r="F674" t="str">
            <v>2018-04-30</v>
          </cell>
          <cell r="G674">
            <v>15.3</v>
          </cell>
          <cell r="H674">
            <v>42978</v>
          </cell>
          <cell r="J674">
            <v>1850000</v>
          </cell>
          <cell r="P674">
            <v>1417500</v>
          </cell>
          <cell r="R674">
            <v>1350000</v>
          </cell>
          <cell r="S674">
            <v>1905000</v>
          </cell>
          <cell r="Y674">
            <v>1475250</v>
          </cell>
          <cell r="AA674">
            <v>1405000</v>
          </cell>
        </row>
        <row r="675">
          <cell r="B675" t="str">
            <v>78W-6345</v>
          </cell>
          <cell r="C675" t="str">
            <v>TGS-26-4406X4BLS-LX-ALU</v>
          </cell>
          <cell r="E675" t="str">
            <v>CKD</v>
          </cell>
          <cell r="F675" t="str">
            <v>2018-04-30</v>
          </cell>
          <cell r="G675">
            <v>15.3</v>
          </cell>
          <cell r="H675">
            <v>42978</v>
          </cell>
          <cell r="J675">
            <v>1850000</v>
          </cell>
          <cell r="P675">
            <v>1417500</v>
          </cell>
          <cell r="R675">
            <v>1350000</v>
          </cell>
          <cell r="S675">
            <v>1905000</v>
          </cell>
          <cell r="Y675">
            <v>1475250</v>
          </cell>
          <cell r="AA675">
            <v>1405000</v>
          </cell>
        </row>
        <row r="676">
          <cell r="B676" t="str">
            <v>78W-6346</v>
          </cell>
          <cell r="C676" t="str">
            <v>TGS-26-4406X4BLS-LX-ALU</v>
          </cell>
          <cell r="E676" t="str">
            <v>CKD</v>
          </cell>
          <cell r="F676" t="str">
            <v>2018-04-30</v>
          </cell>
          <cell r="G676">
            <v>15.3</v>
          </cell>
          <cell r="H676">
            <v>42978</v>
          </cell>
          <cell r="J676">
            <v>1850000</v>
          </cell>
          <cell r="P676">
            <v>1417500</v>
          </cell>
          <cell r="R676">
            <v>1350000</v>
          </cell>
          <cell r="S676">
            <v>1905000</v>
          </cell>
          <cell r="Y676">
            <v>1475250</v>
          </cell>
          <cell r="AA676">
            <v>1405000</v>
          </cell>
        </row>
        <row r="677">
          <cell r="B677" t="str">
            <v>78W-6347</v>
          </cell>
          <cell r="C677" t="str">
            <v>TGS-26-4406X4BLS-LX-ALU</v>
          </cell>
          <cell r="E677" t="str">
            <v>CKD</v>
          </cell>
          <cell r="F677" t="str">
            <v>2018-04-30</v>
          </cell>
          <cell r="G677">
            <v>15.3</v>
          </cell>
          <cell r="H677">
            <v>42978</v>
          </cell>
          <cell r="J677">
            <v>1850000</v>
          </cell>
          <cell r="P677">
            <v>1417500</v>
          </cell>
          <cell r="R677">
            <v>1350000</v>
          </cell>
          <cell r="S677">
            <v>1905000</v>
          </cell>
          <cell r="Y677">
            <v>1475250</v>
          </cell>
          <cell r="AA677">
            <v>1405000</v>
          </cell>
        </row>
        <row r="678">
          <cell r="B678" t="str">
            <v>78W-6352</v>
          </cell>
          <cell r="C678" t="str">
            <v>TGS-26-4406X4BLS-LX-ALU</v>
          </cell>
          <cell r="E678" t="str">
            <v>CKD</v>
          </cell>
          <cell r="F678" t="str">
            <v>2018-03-30</v>
          </cell>
          <cell r="G678">
            <v>15.3</v>
          </cell>
          <cell r="H678">
            <v>42978</v>
          </cell>
          <cell r="J678">
            <v>1850000</v>
          </cell>
          <cell r="P678">
            <v>1417500</v>
          </cell>
          <cell r="R678">
            <v>1350000</v>
          </cell>
          <cell r="S678">
            <v>1905000</v>
          </cell>
          <cell r="Y678">
            <v>1475250</v>
          </cell>
          <cell r="AA678">
            <v>1405000</v>
          </cell>
        </row>
        <row r="679">
          <cell r="B679" t="str">
            <v>78W-6353</v>
          </cell>
          <cell r="C679" t="str">
            <v>TGS-26-4406X4BLS-LX-ALU</v>
          </cell>
          <cell r="E679" t="str">
            <v>CKD</v>
          </cell>
          <cell r="F679" t="str">
            <v>2018-03-30</v>
          </cell>
          <cell r="G679">
            <v>15.3</v>
          </cell>
          <cell r="H679">
            <v>42978</v>
          </cell>
          <cell r="J679">
            <v>1850000</v>
          </cell>
          <cell r="P679">
            <v>1417500</v>
          </cell>
          <cell r="R679">
            <v>1350000</v>
          </cell>
          <cell r="S679">
            <v>1905000</v>
          </cell>
          <cell r="Y679">
            <v>1475250</v>
          </cell>
          <cell r="AA679">
            <v>1405000</v>
          </cell>
        </row>
        <row r="680">
          <cell r="B680" t="str">
            <v>78W-6354</v>
          </cell>
          <cell r="C680" t="str">
            <v>TGS-26-4406X4BLS-LX-ALU</v>
          </cell>
          <cell r="E680" t="str">
            <v>CKD</v>
          </cell>
          <cell r="F680" t="str">
            <v>2018-03-30</v>
          </cell>
          <cell r="G680">
            <v>15.3</v>
          </cell>
          <cell r="H680">
            <v>42978</v>
          </cell>
          <cell r="J680">
            <v>1850000</v>
          </cell>
          <cell r="P680">
            <v>1417500</v>
          </cell>
          <cell r="R680">
            <v>1350000</v>
          </cell>
          <cell r="S680">
            <v>1905000</v>
          </cell>
          <cell r="Y680">
            <v>1475250</v>
          </cell>
          <cell r="AA680">
            <v>1405000</v>
          </cell>
        </row>
        <row r="681">
          <cell r="B681" t="str">
            <v>78W-6355</v>
          </cell>
          <cell r="C681" t="str">
            <v>TGS-26-4406X4BLS-LX-ALU</v>
          </cell>
          <cell r="E681" t="str">
            <v>CKD</v>
          </cell>
          <cell r="F681" t="str">
            <v>2018-03-30</v>
          </cell>
          <cell r="G681">
            <v>15.3</v>
          </cell>
          <cell r="H681">
            <v>42978</v>
          </cell>
          <cell r="J681">
            <v>1850000</v>
          </cell>
          <cell r="P681">
            <v>1417500</v>
          </cell>
          <cell r="R681">
            <v>1350000</v>
          </cell>
          <cell r="S681">
            <v>1905000</v>
          </cell>
          <cell r="Y681">
            <v>1475250</v>
          </cell>
          <cell r="AA681">
            <v>1405000</v>
          </cell>
        </row>
        <row r="682">
          <cell r="B682" t="str">
            <v>78W-6356</v>
          </cell>
          <cell r="C682" t="str">
            <v>TGS-26-4406X4BLS-LX-ALU</v>
          </cell>
          <cell r="E682" t="str">
            <v>CKD</v>
          </cell>
          <cell r="F682" t="str">
            <v>2018-03-30</v>
          </cell>
          <cell r="G682">
            <v>15.3</v>
          </cell>
          <cell r="H682">
            <v>42978</v>
          </cell>
          <cell r="J682">
            <v>1850000</v>
          </cell>
          <cell r="P682">
            <v>1417500</v>
          </cell>
          <cell r="R682">
            <v>1350000</v>
          </cell>
          <cell r="S682">
            <v>1905000</v>
          </cell>
          <cell r="Y682">
            <v>1475250</v>
          </cell>
          <cell r="AA682">
            <v>1405000</v>
          </cell>
        </row>
        <row r="683">
          <cell r="B683" t="str">
            <v>78W-6357</v>
          </cell>
          <cell r="C683" t="str">
            <v>TGS-26-4406X4BLS-LX-ALU</v>
          </cell>
          <cell r="E683" t="str">
            <v>CKD</v>
          </cell>
          <cell r="F683" t="str">
            <v>2018-03-30</v>
          </cell>
          <cell r="G683">
            <v>15.3</v>
          </cell>
          <cell r="H683">
            <v>42978</v>
          </cell>
          <cell r="J683">
            <v>1850000</v>
          </cell>
          <cell r="P683">
            <v>1417500</v>
          </cell>
          <cell r="R683">
            <v>1350000</v>
          </cell>
          <cell r="S683">
            <v>1905000</v>
          </cell>
          <cell r="Y683">
            <v>1475250</v>
          </cell>
          <cell r="AA683">
            <v>1405000</v>
          </cell>
        </row>
        <row r="684">
          <cell r="B684" t="str">
            <v>78W-6358</v>
          </cell>
          <cell r="C684" t="str">
            <v>TGS-26-4406X4BLS-LX-ALU</v>
          </cell>
          <cell r="E684" t="str">
            <v>CKD</v>
          </cell>
          <cell r="F684" t="str">
            <v>2018-03-30</v>
          </cell>
          <cell r="G684">
            <v>15.3</v>
          </cell>
          <cell r="H684">
            <v>42978</v>
          </cell>
          <cell r="J684">
            <v>1850000</v>
          </cell>
          <cell r="P684">
            <v>1417500</v>
          </cell>
          <cell r="R684">
            <v>1350000</v>
          </cell>
          <cell r="S684">
            <v>1905000</v>
          </cell>
          <cell r="Y684">
            <v>1475250</v>
          </cell>
          <cell r="AA684">
            <v>1405000</v>
          </cell>
        </row>
        <row r="685">
          <cell r="B685" t="str">
            <v>78W-6359</v>
          </cell>
          <cell r="C685" t="str">
            <v>TGS-26-4406X4BLS-LX-ALU</v>
          </cell>
          <cell r="E685" t="str">
            <v>CKD</v>
          </cell>
          <cell r="F685" t="str">
            <v>2018-03-30</v>
          </cell>
          <cell r="G685">
            <v>15.3</v>
          </cell>
          <cell r="H685">
            <v>42978</v>
          </cell>
          <cell r="J685">
            <v>1850000</v>
          </cell>
          <cell r="P685">
            <v>1417500</v>
          </cell>
          <cell r="R685">
            <v>1350000</v>
          </cell>
          <cell r="S685">
            <v>1905000</v>
          </cell>
          <cell r="Y685">
            <v>1475250</v>
          </cell>
          <cell r="AA685">
            <v>1405000</v>
          </cell>
        </row>
        <row r="686">
          <cell r="B686" t="str">
            <v>78W-6376</v>
          </cell>
          <cell r="C686" t="str">
            <v>TGS-26-4406X4BLS-LX-ALU</v>
          </cell>
          <cell r="E686" t="str">
            <v>CKD</v>
          </cell>
          <cell r="F686" t="str">
            <v>2018-04-30</v>
          </cell>
          <cell r="G686">
            <v>15.3</v>
          </cell>
          <cell r="H686">
            <v>42978</v>
          </cell>
          <cell r="J686">
            <v>1850000</v>
          </cell>
          <cell r="P686">
            <v>1417500</v>
          </cell>
          <cell r="R686">
            <v>1350000</v>
          </cell>
          <cell r="S686">
            <v>1905000</v>
          </cell>
          <cell r="Y686">
            <v>1475250</v>
          </cell>
          <cell r="AA686">
            <v>1405000</v>
          </cell>
        </row>
        <row r="687">
          <cell r="B687" t="str">
            <v>78W-6377</v>
          </cell>
          <cell r="C687" t="str">
            <v>TGS-26-4406X4BLS-LX-ALU</v>
          </cell>
          <cell r="E687" t="str">
            <v>CKD</v>
          </cell>
          <cell r="F687" t="str">
            <v>2018-04-30</v>
          </cell>
          <cell r="G687">
            <v>15.3</v>
          </cell>
          <cell r="H687">
            <v>42978</v>
          </cell>
          <cell r="J687">
            <v>1850000</v>
          </cell>
          <cell r="P687">
            <v>1417500</v>
          </cell>
          <cell r="R687">
            <v>1350000</v>
          </cell>
          <cell r="S687">
            <v>1905000</v>
          </cell>
          <cell r="Y687">
            <v>1475250</v>
          </cell>
          <cell r="AA687">
            <v>1405000</v>
          </cell>
        </row>
        <row r="688">
          <cell r="B688" t="str">
            <v>78W-6378</v>
          </cell>
          <cell r="C688" t="str">
            <v>TGS-26-4406X4BLS-LX-ALU</v>
          </cell>
          <cell r="E688" t="str">
            <v>CKD</v>
          </cell>
          <cell r="F688" t="str">
            <v>2018-04-30</v>
          </cell>
          <cell r="G688">
            <v>15.3</v>
          </cell>
          <cell r="H688">
            <v>42978</v>
          </cell>
          <cell r="J688">
            <v>1850000</v>
          </cell>
          <cell r="P688">
            <v>1417500</v>
          </cell>
          <cell r="R688">
            <v>1350000</v>
          </cell>
          <cell r="S688">
            <v>1905000</v>
          </cell>
          <cell r="Y688">
            <v>1475250</v>
          </cell>
          <cell r="AA688">
            <v>1405000</v>
          </cell>
        </row>
        <row r="689">
          <cell r="B689" t="str">
            <v>78W-6379</v>
          </cell>
          <cell r="C689" t="str">
            <v>TGS-26-4406X4BLS-LX-ALU</v>
          </cell>
          <cell r="E689" t="str">
            <v>CKD</v>
          </cell>
          <cell r="F689" t="str">
            <v>2018-04-30</v>
          </cell>
          <cell r="G689">
            <v>15.3</v>
          </cell>
          <cell r="H689">
            <v>42978</v>
          </cell>
          <cell r="J689">
            <v>1850000</v>
          </cell>
          <cell r="P689">
            <v>1417500</v>
          </cell>
          <cell r="R689">
            <v>1350000</v>
          </cell>
          <cell r="S689">
            <v>1905000</v>
          </cell>
          <cell r="Y689">
            <v>1475250</v>
          </cell>
          <cell r="AA689">
            <v>1405000</v>
          </cell>
        </row>
        <row r="690">
          <cell r="B690" t="str">
            <v>78W-6396</v>
          </cell>
          <cell r="C690" t="str">
            <v>TGS-26-4406X4BLS-LX-ALU</v>
          </cell>
          <cell r="E690" t="str">
            <v>CKD</v>
          </cell>
          <cell r="F690" t="str">
            <v>2018-03-30</v>
          </cell>
          <cell r="G690">
            <v>15.3</v>
          </cell>
          <cell r="H690">
            <v>42978</v>
          </cell>
          <cell r="J690">
            <v>1850000</v>
          </cell>
          <cell r="P690">
            <v>1417500</v>
          </cell>
          <cell r="R690">
            <v>1350000</v>
          </cell>
          <cell r="S690">
            <v>1905000</v>
          </cell>
          <cell r="Y690">
            <v>1475250</v>
          </cell>
          <cell r="AA690">
            <v>1405000</v>
          </cell>
        </row>
        <row r="691">
          <cell r="B691" t="str">
            <v>78W-6397</v>
          </cell>
          <cell r="C691" t="str">
            <v>TGS-26-4406X4BLS-LX-ALU</v>
          </cell>
          <cell r="E691" t="str">
            <v>CKD</v>
          </cell>
          <cell r="F691" t="str">
            <v>2018-03-30</v>
          </cell>
          <cell r="G691">
            <v>15.3</v>
          </cell>
          <cell r="H691">
            <v>42978</v>
          </cell>
          <cell r="J691">
            <v>1850000</v>
          </cell>
          <cell r="P691">
            <v>1417500</v>
          </cell>
          <cell r="R691">
            <v>1350000</v>
          </cell>
          <cell r="S691">
            <v>1905000</v>
          </cell>
          <cell r="Y691">
            <v>1475250</v>
          </cell>
          <cell r="AA691">
            <v>1405000</v>
          </cell>
        </row>
        <row r="692">
          <cell r="B692" t="str">
            <v>78W-6398</v>
          </cell>
          <cell r="C692" t="str">
            <v>TGS-26-4406X4BLS-LX-ALU</v>
          </cell>
          <cell r="E692" t="str">
            <v>CKD</v>
          </cell>
          <cell r="F692" t="str">
            <v>2018-03-30</v>
          </cell>
          <cell r="G692">
            <v>15.3</v>
          </cell>
          <cell r="H692">
            <v>42978</v>
          </cell>
          <cell r="J692">
            <v>1850000</v>
          </cell>
          <cell r="P692">
            <v>1417500</v>
          </cell>
          <cell r="R692">
            <v>1350000</v>
          </cell>
          <cell r="S692">
            <v>1905000</v>
          </cell>
          <cell r="Y692">
            <v>1475250</v>
          </cell>
          <cell r="AA692">
            <v>1405000</v>
          </cell>
        </row>
        <row r="693">
          <cell r="B693" t="str">
            <v>78W-6399</v>
          </cell>
          <cell r="C693" t="str">
            <v>TGS-26-4406X4BLS-LX-ALU</v>
          </cell>
          <cell r="E693" t="str">
            <v>CKD</v>
          </cell>
          <cell r="F693" t="str">
            <v>2018-03-30</v>
          </cell>
          <cell r="G693">
            <v>15.3</v>
          </cell>
          <cell r="H693">
            <v>42978</v>
          </cell>
          <cell r="J693">
            <v>1850000</v>
          </cell>
          <cell r="P693">
            <v>1417500</v>
          </cell>
          <cell r="R693">
            <v>1350000</v>
          </cell>
          <cell r="S693">
            <v>1905000</v>
          </cell>
          <cell r="Y693">
            <v>1475250</v>
          </cell>
          <cell r="AA693">
            <v>1405000</v>
          </cell>
        </row>
        <row r="694">
          <cell r="B694" t="str">
            <v>78W-6416</v>
          </cell>
          <cell r="C694" t="str">
            <v>TGS-26-4406X4BLS-LX-ALU</v>
          </cell>
          <cell r="E694" t="str">
            <v>CKD</v>
          </cell>
          <cell r="F694" t="str">
            <v>2018-04-30</v>
          </cell>
          <cell r="G694">
            <v>15.3</v>
          </cell>
          <cell r="H694">
            <v>42978</v>
          </cell>
          <cell r="J694">
            <v>1850000</v>
          </cell>
          <cell r="P694">
            <v>1417500</v>
          </cell>
          <cell r="R694">
            <v>1350000</v>
          </cell>
          <cell r="S694">
            <v>1905000</v>
          </cell>
          <cell r="Y694">
            <v>1475250</v>
          </cell>
          <cell r="AA694">
            <v>1405000</v>
          </cell>
        </row>
        <row r="695">
          <cell r="B695" t="str">
            <v>78W-6417</v>
          </cell>
          <cell r="C695" t="str">
            <v>TGS-26-4406X4BLS-LX-ALU</v>
          </cell>
          <cell r="E695" t="str">
            <v>CKD</v>
          </cell>
          <cell r="F695" t="str">
            <v>2018-04-30</v>
          </cell>
          <cell r="G695">
            <v>15.3</v>
          </cell>
          <cell r="H695">
            <v>42978</v>
          </cell>
          <cell r="J695">
            <v>1850000</v>
          </cell>
          <cell r="P695">
            <v>1417500</v>
          </cell>
          <cell r="R695">
            <v>1350000</v>
          </cell>
          <cell r="S695">
            <v>1905000</v>
          </cell>
          <cell r="Y695">
            <v>1475250</v>
          </cell>
          <cell r="AA695">
            <v>1405000</v>
          </cell>
        </row>
        <row r="696">
          <cell r="B696" t="str">
            <v>78W-6418</v>
          </cell>
          <cell r="C696" t="str">
            <v>TGS-26-4406X4BLS-LX-ALU</v>
          </cell>
          <cell r="E696" t="str">
            <v>CKD</v>
          </cell>
          <cell r="F696" t="str">
            <v>2018-04-30</v>
          </cell>
          <cell r="G696">
            <v>15.3</v>
          </cell>
          <cell r="H696">
            <v>42978</v>
          </cell>
          <cell r="J696">
            <v>1850000</v>
          </cell>
          <cell r="P696">
            <v>1417500</v>
          </cell>
          <cell r="R696">
            <v>1350000</v>
          </cell>
          <cell r="S696">
            <v>1905000</v>
          </cell>
          <cell r="Y696">
            <v>1475250</v>
          </cell>
          <cell r="AA696">
            <v>1405000</v>
          </cell>
        </row>
        <row r="697">
          <cell r="B697" t="str">
            <v>78W-6419</v>
          </cell>
          <cell r="C697" t="str">
            <v>TGS-26-4406X4BLS-LX-ALU</v>
          </cell>
          <cell r="E697" t="str">
            <v>CKD</v>
          </cell>
          <cell r="F697" t="str">
            <v>2018-04-30</v>
          </cell>
          <cell r="G697">
            <v>15.3</v>
          </cell>
          <cell r="H697">
            <v>42978</v>
          </cell>
          <cell r="J697">
            <v>1850000</v>
          </cell>
          <cell r="P697">
            <v>1417500</v>
          </cell>
          <cell r="R697">
            <v>1350000</v>
          </cell>
          <cell r="S697">
            <v>1905000</v>
          </cell>
          <cell r="Y697">
            <v>1475250</v>
          </cell>
          <cell r="AA697">
            <v>1405000</v>
          </cell>
        </row>
        <row r="698">
          <cell r="B698" t="str">
            <v>78W-6436</v>
          </cell>
          <cell r="C698" t="str">
            <v>TGS-26-4406X4BLS-LX-ALU</v>
          </cell>
          <cell r="E698" t="str">
            <v>CKD</v>
          </cell>
          <cell r="F698" t="str">
            <v>2018-04-30</v>
          </cell>
          <cell r="G698">
            <v>15.3</v>
          </cell>
          <cell r="H698">
            <v>42978</v>
          </cell>
          <cell r="J698">
            <v>1850000</v>
          </cell>
          <cell r="P698">
            <v>1417500</v>
          </cell>
          <cell r="R698">
            <v>1350000</v>
          </cell>
          <cell r="S698">
            <v>1905000</v>
          </cell>
          <cell r="Y698">
            <v>1475250</v>
          </cell>
          <cell r="AA698">
            <v>1405000</v>
          </cell>
        </row>
        <row r="699">
          <cell r="B699" t="str">
            <v>78W-6437</v>
          </cell>
          <cell r="C699" t="str">
            <v>TGS-26-4406X4BLS-LX-ALU</v>
          </cell>
          <cell r="E699" t="str">
            <v>CKD</v>
          </cell>
          <cell r="F699" t="str">
            <v>2018-04-30</v>
          </cell>
          <cell r="G699">
            <v>15.3</v>
          </cell>
          <cell r="H699">
            <v>42978</v>
          </cell>
          <cell r="J699">
            <v>1850000</v>
          </cell>
          <cell r="P699">
            <v>1417500</v>
          </cell>
          <cell r="R699">
            <v>1350000</v>
          </cell>
          <cell r="S699">
            <v>1905000</v>
          </cell>
          <cell r="Y699">
            <v>1475250</v>
          </cell>
          <cell r="AA699">
            <v>1405000</v>
          </cell>
        </row>
        <row r="700">
          <cell r="B700" t="str">
            <v>78W-6438</v>
          </cell>
          <cell r="C700" t="str">
            <v>TGS-26-4406X4BLS-LX-ALU</v>
          </cell>
          <cell r="E700" t="str">
            <v>CKD</v>
          </cell>
          <cell r="F700" t="str">
            <v>2018-04-30</v>
          </cell>
          <cell r="G700">
            <v>15.3</v>
          </cell>
          <cell r="H700">
            <v>42978</v>
          </cell>
          <cell r="J700">
            <v>1850000</v>
          </cell>
          <cell r="P700">
            <v>1417500</v>
          </cell>
          <cell r="R700">
            <v>1350000</v>
          </cell>
          <cell r="S700">
            <v>1905000</v>
          </cell>
          <cell r="Y700">
            <v>1475250</v>
          </cell>
          <cell r="AA700">
            <v>1405000</v>
          </cell>
        </row>
        <row r="701">
          <cell r="B701" t="str">
            <v>78W-6439</v>
          </cell>
          <cell r="C701" t="str">
            <v>TGS-26-4406X4BLS-LX-ALU</v>
          </cell>
          <cell r="E701" t="str">
            <v>CKD</v>
          </cell>
          <cell r="F701" t="str">
            <v>2018-04-30</v>
          </cell>
          <cell r="G701">
            <v>15.3</v>
          </cell>
          <cell r="H701">
            <v>42978</v>
          </cell>
          <cell r="J701">
            <v>1850000</v>
          </cell>
          <cell r="P701">
            <v>1417500</v>
          </cell>
          <cell r="R701">
            <v>1350000</v>
          </cell>
          <cell r="S701">
            <v>1905000</v>
          </cell>
          <cell r="Y701">
            <v>1475250</v>
          </cell>
          <cell r="AA701">
            <v>1405000</v>
          </cell>
        </row>
        <row r="702">
          <cell r="B702" t="str">
            <v>78W-6448</v>
          </cell>
          <cell r="C702" t="str">
            <v>TGS-26-4406X4BLS-LX-ALU</v>
          </cell>
          <cell r="E702" t="str">
            <v>CKD</v>
          </cell>
          <cell r="F702" t="str">
            <v>2018-04-30</v>
          </cell>
          <cell r="G702">
            <v>15.3</v>
          </cell>
          <cell r="H702">
            <v>42978</v>
          </cell>
          <cell r="J702">
            <v>1850000</v>
          </cell>
          <cell r="P702">
            <v>1417500</v>
          </cell>
          <cell r="R702">
            <v>1350000</v>
          </cell>
          <cell r="S702">
            <v>1905000</v>
          </cell>
          <cell r="Y702">
            <v>1475250</v>
          </cell>
          <cell r="AA702">
            <v>1405000</v>
          </cell>
        </row>
        <row r="703">
          <cell r="B703" t="str">
            <v>78W-6449</v>
          </cell>
          <cell r="C703" t="str">
            <v>TGS-26-4406X4BLS-LX-ALU</v>
          </cell>
          <cell r="E703" t="str">
            <v>CKD</v>
          </cell>
          <cell r="F703" t="str">
            <v>2018-04-30</v>
          </cell>
          <cell r="G703">
            <v>15.3</v>
          </cell>
          <cell r="H703">
            <v>42978</v>
          </cell>
          <cell r="J703">
            <v>1850000</v>
          </cell>
          <cell r="P703">
            <v>1407000</v>
          </cell>
          <cell r="R703">
            <v>1340000</v>
          </cell>
          <cell r="S703">
            <v>1905000</v>
          </cell>
          <cell r="Y703">
            <v>1464750</v>
          </cell>
          <cell r="AA703">
            <v>1395000</v>
          </cell>
        </row>
        <row r="704">
          <cell r="B704" t="str">
            <v>78W-6450</v>
          </cell>
          <cell r="C704" t="str">
            <v>TGS-26-4406X4BLS-LX-ALU</v>
          </cell>
          <cell r="E704" t="str">
            <v>CKD</v>
          </cell>
          <cell r="F704" t="str">
            <v>2018-04-30</v>
          </cell>
          <cell r="G704">
            <v>15.3</v>
          </cell>
          <cell r="H704">
            <v>42978</v>
          </cell>
          <cell r="J704">
            <v>1850000</v>
          </cell>
          <cell r="P704">
            <v>1407000</v>
          </cell>
          <cell r="R704">
            <v>1340000</v>
          </cell>
          <cell r="S704">
            <v>1905000</v>
          </cell>
          <cell r="Y704">
            <v>1464750</v>
          </cell>
          <cell r="AA704">
            <v>1395000</v>
          </cell>
        </row>
        <row r="705">
          <cell r="B705" t="str">
            <v>78W-6451</v>
          </cell>
          <cell r="C705" t="str">
            <v>TGS-26-4406X4BLS-LX-ALU</v>
          </cell>
          <cell r="E705" t="str">
            <v>CKD</v>
          </cell>
          <cell r="F705" t="str">
            <v>2018-04-30</v>
          </cell>
          <cell r="G705">
            <v>15.3</v>
          </cell>
          <cell r="H705">
            <v>42978</v>
          </cell>
          <cell r="J705">
            <v>1850000</v>
          </cell>
          <cell r="P705">
            <v>1417500</v>
          </cell>
          <cell r="R705">
            <v>1350000</v>
          </cell>
          <cell r="S705">
            <v>1905000</v>
          </cell>
          <cell r="Y705">
            <v>1475250</v>
          </cell>
          <cell r="AA705">
            <v>1405000</v>
          </cell>
        </row>
        <row r="706">
          <cell r="B706" t="str">
            <v>78W-6464</v>
          </cell>
          <cell r="C706" t="str">
            <v>TGS-26-4406X4BLS-LX-ALU</v>
          </cell>
          <cell r="E706" t="str">
            <v>CKD</v>
          </cell>
          <cell r="F706" t="str">
            <v>2018-05-30</v>
          </cell>
          <cell r="G706">
            <v>15.3</v>
          </cell>
          <cell r="H706">
            <v>42978</v>
          </cell>
          <cell r="J706">
            <v>1850000</v>
          </cell>
          <cell r="P706">
            <v>1417500</v>
          </cell>
          <cell r="R706">
            <v>1350000</v>
          </cell>
          <cell r="S706">
            <v>1905000</v>
          </cell>
          <cell r="Y706">
            <v>1475250</v>
          </cell>
          <cell r="AA706">
            <v>1405000</v>
          </cell>
        </row>
        <row r="707">
          <cell r="B707" t="str">
            <v>78W-6465</v>
          </cell>
          <cell r="C707" t="str">
            <v>TGS-26-4406X4BLS-LX-ALU</v>
          </cell>
          <cell r="E707" t="str">
            <v>CKD</v>
          </cell>
          <cell r="F707" t="str">
            <v>2018-05-30</v>
          </cell>
          <cell r="G707">
            <v>15.3</v>
          </cell>
          <cell r="H707">
            <v>42978</v>
          </cell>
          <cell r="J707">
            <v>1850000</v>
          </cell>
          <cell r="P707">
            <v>1417500</v>
          </cell>
          <cell r="R707">
            <v>1350000</v>
          </cell>
          <cell r="S707">
            <v>1905000</v>
          </cell>
          <cell r="Y707">
            <v>1475250</v>
          </cell>
          <cell r="AA707">
            <v>1405000</v>
          </cell>
        </row>
        <row r="708">
          <cell r="B708" t="str">
            <v>78W-6466</v>
          </cell>
          <cell r="C708" t="str">
            <v>TGS-26-4406X4BLS-LX-ALU</v>
          </cell>
          <cell r="E708" t="str">
            <v>CKD</v>
          </cell>
          <cell r="F708" t="str">
            <v>2018-05-30</v>
          </cell>
          <cell r="G708">
            <v>15.3</v>
          </cell>
          <cell r="H708">
            <v>42978</v>
          </cell>
          <cell r="J708">
            <v>1850000</v>
          </cell>
          <cell r="P708">
            <v>1417500</v>
          </cell>
          <cell r="R708">
            <v>1350000</v>
          </cell>
          <cell r="S708">
            <v>1905000</v>
          </cell>
          <cell r="Y708">
            <v>1475250</v>
          </cell>
          <cell r="AA708">
            <v>1405000</v>
          </cell>
        </row>
        <row r="709">
          <cell r="B709" t="str">
            <v>78W-6467</v>
          </cell>
          <cell r="C709" t="str">
            <v>TGS-26-4406X4BLS-LX-ALU</v>
          </cell>
          <cell r="E709" t="str">
            <v>CKD</v>
          </cell>
          <cell r="F709" t="str">
            <v>2018-05-30</v>
          </cell>
          <cell r="G709">
            <v>15.3</v>
          </cell>
          <cell r="H709">
            <v>42978</v>
          </cell>
          <cell r="J709">
            <v>1850000</v>
          </cell>
          <cell r="P709">
            <v>1417500</v>
          </cell>
          <cell r="R709">
            <v>1350000</v>
          </cell>
          <cell r="S709">
            <v>1905000</v>
          </cell>
          <cell r="Y709">
            <v>1475250</v>
          </cell>
          <cell r="AA709">
            <v>1405000</v>
          </cell>
        </row>
        <row r="710">
          <cell r="B710" t="str">
            <v>78W-6479</v>
          </cell>
          <cell r="C710" t="str">
            <v>TGS-26-4406X4BLS-LX-ALU</v>
          </cell>
          <cell r="E710" t="str">
            <v>CKD</v>
          </cell>
          <cell r="F710" t="str">
            <v>2018-06-30</v>
          </cell>
          <cell r="G710">
            <v>15.3</v>
          </cell>
          <cell r="H710">
            <v>42978</v>
          </cell>
          <cell r="J710">
            <v>1850000</v>
          </cell>
          <cell r="P710">
            <v>1417500</v>
          </cell>
          <cell r="R710">
            <v>1350000</v>
          </cell>
          <cell r="S710">
            <v>1905000</v>
          </cell>
          <cell r="Y710">
            <v>1475250</v>
          </cell>
          <cell r="AA710">
            <v>1405000</v>
          </cell>
        </row>
        <row r="711">
          <cell r="B711" t="str">
            <v>78W-6480</v>
          </cell>
          <cell r="C711" t="str">
            <v>TGS-26-4406X4BLS-LX-ALU</v>
          </cell>
          <cell r="E711" t="str">
            <v>CKD</v>
          </cell>
          <cell r="F711" t="str">
            <v>2018-05-30</v>
          </cell>
          <cell r="G711">
            <v>15.3</v>
          </cell>
          <cell r="H711">
            <v>42978</v>
          </cell>
          <cell r="J711">
            <v>1850000</v>
          </cell>
          <cell r="P711">
            <v>1417500</v>
          </cell>
          <cell r="R711">
            <v>1350000</v>
          </cell>
          <cell r="S711">
            <v>1905000</v>
          </cell>
          <cell r="Y711">
            <v>1475250</v>
          </cell>
          <cell r="AA711">
            <v>1405000</v>
          </cell>
        </row>
        <row r="712">
          <cell r="B712" t="str">
            <v>78W-6481</v>
          </cell>
          <cell r="C712" t="str">
            <v>TGS-26-4406X4BLS-LX-ALU</v>
          </cell>
          <cell r="E712" t="str">
            <v>CKD</v>
          </cell>
          <cell r="F712" t="str">
            <v>2018-05-30</v>
          </cell>
          <cell r="G712">
            <v>15.3</v>
          </cell>
          <cell r="H712">
            <v>42978</v>
          </cell>
          <cell r="J712">
            <v>1850000</v>
          </cell>
          <cell r="P712">
            <v>1417500</v>
          </cell>
          <cell r="R712">
            <v>1350000</v>
          </cell>
          <cell r="S712">
            <v>1905000</v>
          </cell>
          <cell r="Y712">
            <v>1475250</v>
          </cell>
          <cell r="AA712">
            <v>1405000</v>
          </cell>
        </row>
        <row r="713">
          <cell r="B713" t="str">
            <v>78W-6482</v>
          </cell>
          <cell r="C713" t="str">
            <v>TGS-26-4406X4BLS-LX-ALU</v>
          </cell>
          <cell r="E713" t="str">
            <v>CKD</v>
          </cell>
          <cell r="F713" t="str">
            <v>2018-05-30</v>
          </cell>
          <cell r="G713">
            <v>15.3</v>
          </cell>
          <cell r="H713">
            <v>42978</v>
          </cell>
          <cell r="J713">
            <v>1850000</v>
          </cell>
          <cell r="P713">
            <v>1417500</v>
          </cell>
          <cell r="R713">
            <v>1350000</v>
          </cell>
          <cell r="S713">
            <v>1905000</v>
          </cell>
          <cell r="Y713">
            <v>1475250</v>
          </cell>
          <cell r="AA713">
            <v>1405000</v>
          </cell>
        </row>
        <row r="714">
          <cell r="B714" t="str">
            <v>78W-6502</v>
          </cell>
          <cell r="C714" t="str">
            <v>TGS-26-4406X4BLS-LX-ALU</v>
          </cell>
          <cell r="E714" t="str">
            <v>CKD</v>
          </cell>
          <cell r="F714" t="str">
            <v>2018-05-30</v>
          </cell>
          <cell r="G714">
            <v>15.9</v>
          </cell>
          <cell r="H714">
            <v>43039</v>
          </cell>
          <cell r="J714">
            <v>1850000</v>
          </cell>
          <cell r="P714">
            <v>1407000</v>
          </cell>
          <cell r="R714">
            <v>1340000</v>
          </cell>
          <cell r="S714">
            <v>1905000</v>
          </cell>
          <cell r="Y714">
            <v>1464750</v>
          </cell>
          <cell r="AA714">
            <v>1395000</v>
          </cell>
        </row>
        <row r="715">
          <cell r="B715" t="str">
            <v>78W-6503</v>
          </cell>
          <cell r="C715" t="str">
            <v>TGS-26-4406X4BLS-LX-ALU</v>
          </cell>
          <cell r="E715" t="str">
            <v>CKD</v>
          </cell>
          <cell r="F715" t="str">
            <v>2018-05-30</v>
          </cell>
          <cell r="G715">
            <v>15.9</v>
          </cell>
          <cell r="H715">
            <v>43039</v>
          </cell>
          <cell r="J715">
            <v>1850000</v>
          </cell>
          <cell r="P715">
            <v>1407000</v>
          </cell>
          <cell r="R715">
            <v>1340000</v>
          </cell>
          <cell r="S715">
            <v>1905000</v>
          </cell>
          <cell r="Y715">
            <v>1464750</v>
          </cell>
          <cell r="AA715">
            <v>1395000</v>
          </cell>
        </row>
        <row r="716">
          <cell r="B716" t="str">
            <v>78W-6504</v>
          </cell>
          <cell r="C716" t="str">
            <v>TGS-26-4406X4BLS-LX-ALU</v>
          </cell>
          <cell r="E716" t="str">
            <v>CKD</v>
          </cell>
          <cell r="F716" t="str">
            <v>2018-05-30</v>
          </cell>
          <cell r="G716">
            <v>15.9</v>
          </cell>
          <cell r="H716">
            <v>43039</v>
          </cell>
          <cell r="J716">
            <v>1850000</v>
          </cell>
          <cell r="P716">
            <v>1407000</v>
          </cell>
          <cell r="R716">
            <v>1340000</v>
          </cell>
          <cell r="S716">
            <v>1905000</v>
          </cell>
          <cell r="Y716">
            <v>1464750</v>
          </cell>
          <cell r="AA716">
            <v>1395000</v>
          </cell>
        </row>
        <row r="717">
          <cell r="B717" t="str">
            <v>78W-6505</v>
          </cell>
          <cell r="C717" t="str">
            <v>TGS-26-4406X4BLS-LX-ALU</v>
          </cell>
          <cell r="E717" t="str">
            <v>CKD</v>
          </cell>
          <cell r="F717" t="str">
            <v>2018-05-30</v>
          </cell>
          <cell r="G717">
            <v>15.9</v>
          </cell>
          <cell r="H717">
            <v>43039</v>
          </cell>
          <cell r="J717">
            <v>1850000</v>
          </cell>
          <cell r="P717">
            <v>1407000</v>
          </cell>
          <cell r="R717">
            <v>1340000</v>
          </cell>
          <cell r="S717">
            <v>1905000</v>
          </cell>
          <cell r="Y717">
            <v>1464750</v>
          </cell>
          <cell r="AA717">
            <v>1395000</v>
          </cell>
        </row>
        <row r="718">
          <cell r="B718" t="str">
            <v>78W-6506</v>
          </cell>
          <cell r="C718" t="str">
            <v>TGS-26-4406X4BLS-LX-ALU</v>
          </cell>
          <cell r="E718" t="str">
            <v>CKD</v>
          </cell>
          <cell r="F718" t="str">
            <v>2018-05-30</v>
          </cell>
          <cell r="G718">
            <v>15.9</v>
          </cell>
          <cell r="H718">
            <v>43039</v>
          </cell>
          <cell r="J718">
            <v>1850000</v>
          </cell>
          <cell r="P718">
            <v>1407000</v>
          </cell>
          <cell r="R718">
            <v>1340000</v>
          </cell>
          <cell r="S718">
            <v>1905000</v>
          </cell>
          <cell r="Y718">
            <v>1464750</v>
          </cell>
          <cell r="AA718">
            <v>1395000</v>
          </cell>
        </row>
        <row r="719">
          <cell r="B719" t="str">
            <v>78W-6507</v>
          </cell>
          <cell r="C719" t="str">
            <v>TGS-26-4406X4BLS-LX-ALU</v>
          </cell>
          <cell r="E719" t="str">
            <v>CKD</v>
          </cell>
          <cell r="F719" t="str">
            <v>2018-05-30</v>
          </cell>
          <cell r="G719">
            <v>15.9</v>
          </cell>
          <cell r="H719">
            <v>43039</v>
          </cell>
          <cell r="J719">
            <v>1850000</v>
          </cell>
          <cell r="P719">
            <v>1407000</v>
          </cell>
          <cell r="R719">
            <v>1340000</v>
          </cell>
          <cell r="S719">
            <v>1905000</v>
          </cell>
          <cell r="Y719">
            <v>1464750</v>
          </cell>
          <cell r="AA719">
            <v>1395000</v>
          </cell>
        </row>
        <row r="720">
          <cell r="B720" t="str">
            <v>78W-6508</v>
          </cell>
          <cell r="C720" t="str">
            <v>TGS-26-4406X4BLS-LX-ALU</v>
          </cell>
          <cell r="E720" t="str">
            <v>CKD</v>
          </cell>
          <cell r="F720" t="str">
            <v>2018-05-30</v>
          </cell>
          <cell r="G720">
            <v>15.9</v>
          </cell>
          <cell r="H720">
            <v>43039</v>
          </cell>
          <cell r="J720">
            <v>1850000</v>
          </cell>
          <cell r="P720">
            <v>1407000</v>
          </cell>
          <cell r="R720">
            <v>1340000</v>
          </cell>
          <cell r="S720">
            <v>1905000</v>
          </cell>
          <cell r="Y720">
            <v>1464750</v>
          </cell>
          <cell r="AA720">
            <v>1395000</v>
          </cell>
        </row>
        <row r="721">
          <cell r="B721" t="str">
            <v>78W-6509</v>
          </cell>
          <cell r="C721" t="str">
            <v>TGS-26-4406X4BLS-LX-ALU</v>
          </cell>
          <cell r="E721" t="str">
            <v>CKD</v>
          </cell>
          <cell r="F721" t="str">
            <v>2018-05-30</v>
          </cell>
          <cell r="G721">
            <v>15.9</v>
          </cell>
          <cell r="H721">
            <v>43039</v>
          </cell>
          <cell r="J721">
            <v>1850000</v>
          </cell>
          <cell r="P721">
            <v>1407000</v>
          </cell>
          <cell r="R721">
            <v>1340000</v>
          </cell>
          <cell r="S721">
            <v>1905000</v>
          </cell>
          <cell r="Y721">
            <v>1464750</v>
          </cell>
          <cell r="AA721">
            <v>1395000</v>
          </cell>
        </row>
        <row r="722">
          <cell r="B722" t="str">
            <v>78W-6542</v>
          </cell>
          <cell r="C722" t="str">
            <v>TGS-26-4406X4BLS-LX-ALU</v>
          </cell>
          <cell r="E722" t="str">
            <v>CKD</v>
          </cell>
          <cell r="F722" t="str">
            <v>2018-06-30</v>
          </cell>
          <cell r="G722">
            <v>15.9</v>
          </cell>
          <cell r="H722">
            <v>43039</v>
          </cell>
          <cell r="J722">
            <v>1850000</v>
          </cell>
          <cell r="P722">
            <v>1407000</v>
          </cell>
          <cell r="R722">
            <v>1340000</v>
          </cell>
          <cell r="S722">
            <v>1905000</v>
          </cell>
          <cell r="Y722">
            <v>1464750</v>
          </cell>
          <cell r="AA722">
            <v>1395000</v>
          </cell>
        </row>
        <row r="723">
          <cell r="B723" t="str">
            <v>78W-6543</v>
          </cell>
          <cell r="C723" t="str">
            <v>TGS-26-4406X4BLS-LX-ALU</v>
          </cell>
          <cell r="E723" t="str">
            <v>CKD</v>
          </cell>
          <cell r="F723" t="str">
            <v>2018-06-30</v>
          </cell>
          <cell r="G723">
            <v>15.9</v>
          </cell>
          <cell r="H723">
            <v>43039</v>
          </cell>
          <cell r="J723">
            <v>1850000</v>
          </cell>
          <cell r="P723">
            <v>1407000</v>
          </cell>
          <cell r="R723">
            <v>1340000</v>
          </cell>
          <cell r="S723">
            <v>1905000</v>
          </cell>
          <cell r="Y723">
            <v>1464750</v>
          </cell>
          <cell r="AA723">
            <v>1395000</v>
          </cell>
        </row>
        <row r="724">
          <cell r="B724" t="str">
            <v>78W-6544</v>
          </cell>
          <cell r="C724" t="str">
            <v>TGS-26-4406X4BLS-LX-ALU</v>
          </cell>
          <cell r="E724" t="str">
            <v>CKD</v>
          </cell>
          <cell r="F724" t="str">
            <v>2018-06-30</v>
          </cell>
          <cell r="G724">
            <v>15.9</v>
          </cell>
          <cell r="H724">
            <v>43039</v>
          </cell>
          <cell r="J724">
            <v>1850000</v>
          </cell>
          <cell r="P724">
            <v>1407000</v>
          </cell>
          <cell r="R724">
            <v>1340000</v>
          </cell>
          <cell r="S724">
            <v>1905000</v>
          </cell>
          <cell r="Y724">
            <v>1464750</v>
          </cell>
          <cell r="AA724">
            <v>1395000</v>
          </cell>
        </row>
        <row r="725">
          <cell r="B725" t="str">
            <v>78W-6545</v>
          </cell>
          <cell r="C725" t="str">
            <v>TGS-26-4406X4BLS-LX-ALU</v>
          </cell>
          <cell r="E725" t="str">
            <v>CKD</v>
          </cell>
          <cell r="F725" t="str">
            <v>2018-06-30</v>
          </cell>
          <cell r="G725">
            <v>15.9</v>
          </cell>
          <cell r="H725">
            <v>43039</v>
          </cell>
          <cell r="J725">
            <v>1850000</v>
          </cell>
          <cell r="P725">
            <v>1407000</v>
          </cell>
          <cell r="R725">
            <v>1340000</v>
          </cell>
          <cell r="S725">
            <v>1905000</v>
          </cell>
          <cell r="Y725">
            <v>1464750</v>
          </cell>
          <cell r="AA725">
            <v>1395000</v>
          </cell>
        </row>
        <row r="726">
          <cell r="B726" t="str">
            <v>78W-6546</v>
          </cell>
          <cell r="C726" t="str">
            <v>TGS-26-4406X4BLS-LX-ALU</v>
          </cell>
          <cell r="E726" t="str">
            <v>CKD</v>
          </cell>
          <cell r="F726" t="str">
            <v>2018-06-30</v>
          </cell>
          <cell r="G726">
            <v>15.9</v>
          </cell>
          <cell r="H726">
            <v>43039</v>
          </cell>
          <cell r="J726">
            <v>1850000</v>
          </cell>
          <cell r="P726">
            <v>1407000</v>
          </cell>
          <cell r="R726">
            <v>1340000</v>
          </cell>
          <cell r="S726">
            <v>1905000</v>
          </cell>
          <cell r="Y726">
            <v>1464750</v>
          </cell>
          <cell r="AA726">
            <v>1395000</v>
          </cell>
        </row>
        <row r="727">
          <cell r="B727" t="str">
            <v>78W-6547</v>
          </cell>
          <cell r="C727" t="str">
            <v>TGS-26-4406X4BLS-LX-ALU</v>
          </cell>
          <cell r="E727" t="str">
            <v>CKD</v>
          </cell>
          <cell r="F727" t="str">
            <v>2018-06-30</v>
          </cell>
          <cell r="G727">
            <v>15.9</v>
          </cell>
          <cell r="H727">
            <v>43039</v>
          </cell>
          <cell r="J727">
            <v>1850000</v>
          </cell>
          <cell r="P727">
            <v>1407000</v>
          </cell>
          <cell r="R727">
            <v>1340000</v>
          </cell>
          <cell r="S727">
            <v>1905000</v>
          </cell>
          <cell r="Y727">
            <v>1464750</v>
          </cell>
          <cell r="AA727">
            <v>1395000</v>
          </cell>
        </row>
        <row r="728">
          <cell r="B728" t="str">
            <v>78W-6548</v>
          </cell>
          <cell r="C728" t="str">
            <v>TGS-26-4406X4BLS-LX-ALU</v>
          </cell>
          <cell r="E728" t="str">
            <v>CKD</v>
          </cell>
          <cell r="F728" t="str">
            <v>2018-06-30</v>
          </cell>
          <cell r="G728">
            <v>15.9</v>
          </cell>
          <cell r="H728">
            <v>43039</v>
          </cell>
          <cell r="J728">
            <v>1850000</v>
          </cell>
          <cell r="P728">
            <v>1407000</v>
          </cell>
          <cell r="R728">
            <v>1340000</v>
          </cell>
          <cell r="S728">
            <v>1905000</v>
          </cell>
          <cell r="Y728">
            <v>1464750</v>
          </cell>
          <cell r="AA728">
            <v>1395000</v>
          </cell>
        </row>
        <row r="729">
          <cell r="B729" t="str">
            <v>78W-6549</v>
          </cell>
          <cell r="C729" t="str">
            <v>TGS-26-4406X4BLS-LX-ALU</v>
          </cell>
          <cell r="E729" t="str">
            <v>CKD</v>
          </cell>
          <cell r="F729" t="str">
            <v>2018-06-30</v>
          </cell>
          <cell r="G729">
            <v>15.9</v>
          </cell>
          <cell r="H729">
            <v>43039</v>
          </cell>
          <cell r="J729">
            <v>1850000</v>
          </cell>
          <cell r="P729">
            <v>1407000</v>
          </cell>
          <cell r="R729">
            <v>1340000</v>
          </cell>
          <cell r="S729">
            <v>1905000</v>
          </cell>
          <cell r="Y729">
            <v>1464750</v>
          </cell>
          <cell r="AA729">
            <v>1395000</v>
          </cell>
        </row>
        <row r="730">
          <cell r="B730" t="str">
            <v>TBAKP666</v>
          </cell>
          <cell r="C730" t="str">
            <v>TGS-26-4406X4BLS-LX-ALU</v>
          </cell>
          <cell r="E730" t="str">
            <v>CKD</v>
          </cell>
          <cell r="F730" t="str">
            <v>2018-08-19</v>
          </cell>
          <cell r="G730">
            <v>15.8</v>
          </cell>
          <cell r="H730">
            <v>43159</v>
          </cell>
          <cell r="J730">
            <v>1850000</v>
          </cell>
          <cell r="P730">
            <v>1417500</v>
          </cell>
          <cell r="R730">
            <v>1350000</v>
          </cell>
          <cell r="S730">
            <v>1905000</v>
          </cell>
          <cell r="Y730">
            <v>1475250</v>
          </cell>
          <cell r="AA730">
            <v>1405000</v>
          </cell>
        </row>
        <row r="731">
          <cell r="B731" t="str">
            <v>78W-3238</v>
          </cell>
          <cell r="C731" t="str">
            <v>TGS-26-4406X4BLS-LX-ALU-EL</v>
          </cell>
          <cell r="E731" t="str">
            <v>CKD</v>
          </cell>
          <cell r="F731" t="str">
            <v>2018-04-30</v>
          </cell>
          <cell r="G731">
            <v>15.3</v>
          </cell>
          <cell r="H731">
            <v>42978</v>
          </cell>
          <cell r="J731">
            <v>1875000</v>
          </cell>
          <cell r="P731">
            <v>1433250</v>
          </cell>
          <cell r="R731">
            <v>1365000</v>
          </cell>
          <cell r="S731">
            <v>1955000</v>
          </cell>
          <cell r="Y731">
            <v>1517250</v>
          </cell>
          <cell r="AA731">
            <v>1445000</v>
          </cell>
        </row>
        <row r="732">
          <cell r="B732" t="str">
            <v>78W-3239</v>
          </cell>
          <cell r="C732" t="str">
            <v>TGS-26-4406X4BLS-LX-ALU-EL</v>
          </cell>
          <cell r="E732" t="str">
            <v>CKD</v>
          </cell>
          <cell r="F732" t="str">
            <v>2018-04-30</v>
          </cell>
          <cell r="G732">
            <v>15.3</v>
          </cell>
          <cell r="H732">
            <v>42978</v>
          </cell>
          <cell r="J732">
            <v>1875000</v>
          </cell>
          <cell r="P732">
            <v>1433250</v>
          </cell>
          <cell r="R732">
            <v>1365000</v>
          </cell>
          <cell r="S732">
            <v>1955000</v>
          </cell>
          <cell r="Y732">
            <v>1517250</v>
          </cell>
          <cell r="AA732">
            <v>1445000</v>
          </cell>
        </row>
        <row r="733">
          <cell r="B733" t="str">
            <v>78W-3240</v>
          </cell>
          <cell r="C733" t="str">
            <v>TGS-26-4406X4BLS-LX-ALU-EL</v>
          </cell>
          <cell r="E733" t="str">
            <v>CKD</v>
          </cell>
          <cell r="F733" t="str">
            <v>2018-04-30</v>
          </cell>
          <cell r="G733">
            <v>15.3</v>
          </cell>
          <cell r="H733">
            <v>42978</v>
          </cell>
          <cell r="J733">
            <v>1875000</v>
          </cell>
          <cell r="P733">
            <v>1433250</v>
          </cell>
          <cell r="R733">
            <v>1365000</v>
          </cell>
          <cell r="S733">
            <v>1955000</v>
          </cell>
          <cell r="Y733">
            <v>1517250</v>
          </cell>
          <cell r="AA733">
            <v>1445000</v>
          </cell>
        </row>
        <row r="734">
          <cell r="B734" t="str">
            <v>78W-3241</v>
          </cell>
          <cell r="C734" t="str">
            <v>TGS-26-4406X4BLS-LX-ALU-EL</v>
          </cell>
          <cell r="E734" t="str">
            <v>CKD</v>
          </cell>
          <cell r="F734" t="str">
            <v>2018-04-30</v>
          </cell>
          <cell r="G734">
            <v>15.3</v>
          </cell>
          <cell r="H734">
            <v>42978</v>
          </cell>
          <cell r="J734">
            <v>1875000</v>
          </cell>
          <cell r="P734">
            <v>1433250</v>
          </cell>
          <cell r="R734">
            <v>1365000</v>
          </cell>
          <cell r="S734">
            <v>1955000</v>
          </cell>
          <cell r="Y734">
            <v>1517250</v>
          </cell>
          <cell r="AA734">
            <v>1445000</v>
          </cell>
        </row>
        <row r="735">
          <cell r="B735" t="str">
            <v>78W-6176</v>
          </cell>
          <cell r="C735" t="str">
            <v>TGS-26-4406X4BLS-LX-ALU-EL</v>
          </cell>
          <cell r="E735" t="str">
            <v>SOLD</v>
          </cell>
          <cell r="F735">
            <v>17</v>
          </cell>
          <cell r="G735">
            <v>14.7</v>
          </cell>
          <cell r="H735">
            <v>42947</v>
          </cell>
          <cell r="J735">
            <v>1875000</v>
          </cell>
          <cell r="P735">
            <v>1433250</v>
          </cell>
          <cell r="R735">
            <v>1365000</v>
          </cell>
          <cell r="S735">
            <v>1955000</v>
          </cell>
          <cell r="Y735">
            <v>1517250</v>
          </cell>
          <cell r="AA735">
            <v>1445000</v>
          </cell>
        </row>
        <row r="736">
          <cell r="B736" t="str">
            <v>78W-6177</v>
          </cell>
          <cell r="C736" t="str">
            <v>TGS-26-4406X4BLS-LX-ALU-EL</v>
          </cell>
          <cell r="E736" t="str">
            <v>CKD</v>
          </cell>
          <cell r="F736" t="str">
            <v>2018-02-19</v>
          </cell>
          <cell r="G736">
            <v>14.7</v>
          </cell>
          <cell r="H736">
            <v>42947</v>
          </cell>
          <cell r="J736">
            <v>1875000</v>
          </cell>
          <cell r="P736">
            <v>1443750</v>
          </cell>
          <cell r="R736">
            <v>1375000</v>
          </cell>
          <cell r="S736">
            <v>1955000</v>
          </cell>
          <cell r="Y736">
            <v>1527750</v>
          </cell>
          <cell r="AA736">
            <v>1455000</v>
          </cell>
        </row>
        <row r="737">
          <cell r="B737" t="str">
            <v>78W-6179</v>
          </cell>
          <cell r="C737" t="str">
            <v>TGS-26-4406X4BLS-LX-ALU-EL</v>
          </cell>
          <cell r="E737" t="str">
            <v>SOLD</v>
          </cell>
          <cell r="F737">
            <v>5</v>
          </cell>
          <cell r="G737">
            <v>14.7</v>
          </cell>
          <cell r="H737">
            <v>42947</v>
          </cell>
          <cell r="J737">
            <v>1875000</v>
          </cell>
          <cell r="P737">
            <v>1443750</v>
          </cell>
          <cell r="R737">
            <v>1375000</v>
          </cell>
          <cell r="S737">
            <v>1955000</v>
          </cell>
          <cell r="Y737">
            <v>1527750</v>
          </cell>
          <cell r="AA737">
            <v>1455000</v>
          </cell>
        </row>
        <row r="738">
          <cell r="B738" t="str">
            <v>78W-6192</v>
          </cell>
          <cell r="C738" t="str">
            <v>TGS-26-4406X4BLS-LX-ALU-EL</v>
          </cell>
          <cell r="E738" t="str">
            <v>CKD</v>
          </cell>
          <cell r="F738" t="str">
            <v>2018-02-20</v>
          </cell>
          <cell r="G738">
            <v>14.7</v>
          </cell>
          <cell r="H738">
            <v>42947</v>
          </cell>
          <cell r="J738">
            <v>1875000</v>
          </cell>
          <cell r="P738">
            <v>1443750</v>
          </cell>
          <cell r="R738">
            <v>1375000</v>
          </cell>
          <cell r="S738">
            <v>1955000</v>
          </cell>
          <cell r="Y738">
            <v>1527750</v>
          </cell>
          <cell r="AA738">
            <v>1455000</v>
          </cell>
        </row>
        <row r="739">
          <cell r="B739" t="str">
            <v>78W-6193</v>
          </cell>
          <cell r="C739" t="str">
            <v>TGS-26-4406X4BLS-LX-ALU-EL</v>
          </cell>
          <cell r="E739" t="str">
            <v>CKD</v>
          </cell>
          <cell r="F739" t="str">
            <v>2018-02-20</v>
          </cell>
          <cell r="G739">
            <v>14.7</v>
          </cell>
          <cell r="H739">
            <v>42947</v>
          </cell>
          <cell r="J739">
            <v>1875000</v>
          </cell>
          <cell r="P739">
            <v>1443750</v>
          </cell>
          <cell r="R739">
            <v>1375000</v>
          </cell>
          <cell r="S739">
            <v>1955000</v>
          </cell>
          <cell r="Y739">
            <v>1527750</v>
          </cell>
          <cell r="AA739">
            <v>1455000</v>
          </cell>
        </row>
        <row r="740">
          <cell r="B740" t="str">
            <v>78W-6194</v>
          </cell>
          <cell r="C740" t="str">
            <v>TGS-26-4406X4BLS-LX-ALU-EL</v>
          </cell>
          <cell r="E740" t="str">
            <v>SOLD</v>
          </cell>
          <cell r="F740">
            <v>4</v>
          </cell>
          <cell r="G740">
            <v>14.7</v>
          </cell>
          <cell r="H740">
            <v>42947</v>
          </cell>
          <cell r="J740">
            <v>1875000</v>
          </cell>
          <cell r="P740">
            <v>1443750</v>
          </cell>
          <cell r="R740">
            <v>1375000</v>
          </cell>
          <cell r="S740">
            <v>1955000</v>
          </cell>
          <cell r="Y740">
            <v>1527750</v>
          </cell>
          <cell r="AA740">
            <v>1455000</v>
          </cell>
        </row>
        <row r="741">
          <cell r="B741" t="str">
            <v>78W-6195</v>
          </cell>
          <cell r="C741" t="str">
            <v>TGS-26-4406X4BLS-LX-ALU-EL</v>
          </cell>
          <cell r="E741" t="str">
            <v>CKD</v>
          </cell>
          <cell r="F741" t="str">
            <v>2018-02-20</v>
          </cell>
          <cell r="G741">
            <v>14.7</v>
          </cell>
          <cell r="H741">
            <v>42947</v>
          </cell>
          <cell r="J741">
            <v>1875000</v>
          </cell>
          <cell r="P741">
            <v>1443750</v>
          </cell>
          <cell r="R741">
            <v>1375000</v>
          </cell>
          <cell r="S741">
            <v>1955000</v>
          </cell>
          <cell r="Y741">
            <v>1527750</v>
          </cell>
          <cell r="AA741">
            <v>1455000</v>
          </cell>
        </row>
        <row r="742">
          <cell r="B742" t="str">
            <v>78W-6296</v>
          </cell>
          <cell r="C742" t="str">
            <v>TGS-26-4406X4BLS-LX-ALU-EL</v>
          </cell>
          <cell r="E742" t="str">
            <v>CKD</v>
          </cell>
          <cell r="F742" t="str">
            <v>2018-02-23</v>
          </cell>
          <cell r="G742">
            <v>15.3</v>
          </cell>
          <cell r="H742">
            <v>42978</v>
          </cell>
          <cell r="J742">
            <v>1875000</v>
          </cell>
          <cell r="P742">
            <v>1443750</v>
          </cell>
          <cell r="R742">
            <v>1375000</v>
          </cell>
          <cell r="S742">
            <v>1955000</v>
          </cell>
          <cell r="Y742">
            <v>1527750</v>
          </cell>
          <cell r="AA742">
            <v>1455000</v>
          </cell>
        </row>
        <row r="743">
          <cell r="B743" t="str">
            <v>78W-6297</v>
          </cell>
          <cell r="C743" t="str">
            <v>TGS-26-4406X4BLS-LX-ALU-EL</v>
          </cell>
          <cell r="E743" t="str">
            <v>CKD</v>
          </cell>
          <cell r="F743" t="str">
            <v>2018-02-23</v>
          </cell>
          <cell r="G743">
            <v>15.3</v>
          </cell>
          <cell r="H743">
            <v>42978</v>
          </cell>
          <cell r="J743">
            <v>1875000</v>
          </cell>
          <cell r="P743">
            <v>1443750</v>
          </cell>
          <cell r="R743">
            <v>1375000</v>
          </cell>
          <cell r="S743">
            <v>1955000</v>
          </cell>
          <cell r="Y743">
            <v>1527750</v>
          </cell>
          <cell r="AA743">
            <v>1455000</v>
          </cell>
        </row>
        <row r="744">
          <cell r="B744" t="str">
            <v>78W-6298</v>
          </cell>
          <cell r="C744" t="str">
            <v>TGS-26-4406X4BLS-LX-ALU-EL</v>
          </cell>
          <cell r="E744" t="str">
            <v>CKD</v>
          </cell>
          <cell r="F744" t="str">
            <v>2018-03-30</v>
          </cell>
          <cell r="G744">
            <v>15.3</v>
          </cell>
          <cell r="H744">
            <v>42978</v>
          </cell>
          <cell r="J744">
            <v>1875000</v>
          </cell>
          <cell r="P744">
            <v>1443750</v>
          </cell>
          <cell r="R744">
            <v>1375000</v>
          </cell>
          <cell r="S744">
            <v>1955000</v>
          </cell>
          <cell r="Y744">
            <v>1527750</v>
          </cell>
          <cell r="AA744">
            <v>1455000</v>
          </cell>
        </row>
        <row r="745">
          <cell r="B745" t="str">
            <v>78W-6299</v>
          </cell>
          <cell r="C745" t="str">
            <v>TGS-26-4406X4BLS-LX-ALU-EL</v>
          </cell>
          <cell r="E745" t="str">
            <v>CKD</v>
          </cell>
          <cell r="F745" t="str">
            <v>2018-03-30</v>
          </cell>
          <cell r="G745">
            <v>15.3</v>
          </cell>
          <cell r="H745">
            <v>42978</v>
          </cell>
          <cell r="J745">
            <v>1875000</v>
          </cell>
          <cell r="P745">
            <v>1443750</v>
          </cell>
          <cell r="R745">
            <v>1375000</v>
          </cell>
          <cell r="S745">
            <v>1955000</v>
          </cell>
          <cell r="Y745">
            <v>1527750</v>
          </cell>
          <cell r="AA745">
            <v>1455000</v>
          </cell>
        </row>
        <row r="746">
          <cell r="B746" t="str">
            <v>78W-6304</v>
          </cell>
          <cell r="C746" t="str">
            <v>TGS-26-4406X4BLS-LX-ALU-EL</v>
          </cell>
          <cell r="E746" t="str">
            <v>BOOKED: 2018-01-29</v>
          </cell>
          <cell r="F746" t="str">
            <v>2018-03-30</v>
          </cell>
          <cell r="G746">
            <v>15.3</v>
          </cell>
          <cell r="H746">
            <v>42978</v>
          </cell>
          <cell r="J746">
            <v>1875000</v>
          </cell>
          <cell r="P746">
            <v>1443750</v>
          </cell>
          <cell r="R746">
            <v>1375000</v>
          </cell>
          <cell r="S746">
            <v>1955000</v>
          </cell>
          <cell r="Y746">
            <v>1527750</v>
          </cell>
          <cell r="AA746">
            <v>1455000</v>
          </cell>
        </row>
        <row r="747">
          <cell r="B747" t="str">
            <v>78W-6305</v>
          </cell>
          <cell r="C747" t="str">
            <v>TGS-26-4406X4BLS-LX-ALU-EL</v>
          </cell>
          <cell r="E747" t="str">
            <v>BOOKED: 2018-01-29</v>
          </cell>
          <cell r="F747" t="str">
            <v>2018-03-30</v>
          </cell>
          <cell r="G747">
            <v>15.3</v>
          </cell>
          <cell r="H747">
            <v>42978</v>
          </cell>
          <cell r="J747">
            <v>1875000</v>
          </cell>
          <cell r="P747">
            <v>1443750</v>
          </cell>
          <cell r="R747">
            <v>1375000</v>
          </cell>
          <cell r="S747">
            <v>1955000</v>
          </cell>
          <cell r="Y747">
            <v>1527750</v>
          </cell>
          <cell r="AA747">
            <v>1455000</v>
          </cell>
        </row>
        <row r="748">
          <cell r="B748" t="str">
            <v>78W-6306</v>
          </cell>
          <cell r="C748" t="str">
            <v>TGS-26-4406X4BLS-LX-ALU-EL</v>
          </cell>
          <cell r="E748" t="str">
            <v>BOOKED: 2018-01-29</v>
          </cell>
          <cell r="F748" t="str">
            <v>2018-03-30</v>
          </cell>
          <cell r="G748">
            <v>15.3</v>
          </cell>
          <cell r="H748">
            <v>42978</v>
          </cell>
          <cell r="J748">
            <v>1875000</v>
          </cell>
          <cell r="P748">
            <v>1443750</v>
          </cell>
          <cell r="R748">
            <v>1375000</v>
          </cell>
          <cell r="S748">
            <v>1955000</v>
          </cell>
          <cell r="Y748">
            <v>1527750</v>
          </cell>
          <cell r="AA748">
            <v>1455000</v>
          </cell>
        </row>
        <row r="749">
          <cell r="B749" t="str">
            <v>78W-6311</v>
          </cell>
          <cell r="C749" t="str">
            <v>TGS-26-4406X4BLS-LX-ALU-EL</v>
          </cell>
          <cell r="E749" t="str">
            <v>CKD</v>
          </cell>
          <cell r="F749" t="str">
            <v>2018-03-30</v>
          </cell>
          <cell r="G749">
            <v>15.3</v>
          </cell>
          <cell r="H749">
            <v>42978</v>
          </cell>
          <cell r="J749">
            <v>1875000</v>
          </cell>
          <cell r="P749">
            <v>1433250</v>
          </cell>
          <cell r="R749">
            <v>1365000</v>
          </cell>
          <cell r="S749">
            <v>1955000</v>
          </cell>
          <cell r="Y749">
            <v>1517250</v>
          </cell>
          <cell r="AA749">
            <v>1445000</v>
          </cell>
        </row>
        <row r="750">
          <cell r="B750" t="str">
            <v>78W-6336</v>
          </cell>
          <cell r="C750" t="str">
            <v>TGS-26-4406X4BLS-LX-ALU-EL</v>
          </cell>
          <cell r="E750" t="str">
            <v>CKD</v>
          </cell>
          <cell r="F750" t="str">
            <v>2018-04-30</v>
          </cell>
          <cell r="G750">
            <v>15.3</v>
          </cell>
          <cell r="H750">
            <v>42978</v>
          </cell>
          <cell r="J750">
            <v>1875000</v>
          </cell>
          <cell r="P750">
            <v>1433250</v>
          </cell>
          <cell r="R750">
            <v>1365000</v>
          </cell>
          <cell r="S750">
            <v>1955000</v>
          </cell>
          <cell r="Y750">
            <v>1517250</v>
          </cell>
          <cell r="AA750">
            <v>1445000</v>
          </cell>
        </row>
        <row r="751">
          <cell r="B751" t="str">
            <v>78W-6337</v>
          </cell>
          <cell r="C751" t="str">
            <v>TGS-26-4406X4BLS-LX-ALU-EL</v>
          </cell>
          <cell r="E751" t="str">
            <v>CKD</v>
          </cell>
          <cell r="F751" t="str">
            <v>2018-04-30</v>
          </cell>
          <cell r="G751">
            <v>15.3</v>
          </cell>
          <cell r="H751">
            <v>42978</v>
          </cell>
          <cell r="J751">
            <v>1875000</v>
          </cell>
          <cell r="P751">
            <v>1433250</v>
          </cell>
          <cell r="R751">
            <v>1365000</v>
          </cell>
          <cell r="S751">
            <v>1955000</v>
          </cell>
          <cell r="Y751">
            <v>1517250</v>
          </cell>
          <cell r="AA751">
            <v>1445000</v>
          </cell>
        </row>
        <row r="752">
          <cell r="B752" t="str">
            <v>78W-6338</v>
          </cell>
          <cell r="C752" t="str">
            <v>TGS-26-4406X4BLS-LX-ALU-EL</v>
          </cell>
          <cell r="E752" t="str">
            <v>CKD</v>
          </cell>
          <cell r="F752" t="str">
            <v>2018-04-30</v>
          </cell>
          <cell r="G752">
            <v>15.3</v>
          </cell>
          <cell r="H752">
            <v>42978</v>
          </cell>
          <cell r="J752">
            <v>1875000</v>
          </cell>
          <cell r="P752">
            <v>1433250</v>
          </cell>
          <cell r="R752">
            <v>1365000</v>
          </cell>
          <cell r="S752">
            <v>1955000</v>
          </cell>
          <cell r="Y752">
            <v>1517250</v>
          </cell>
          <cell r="AA752">
            <v>1445000</v>
          </cell>
        </row>
        <row r="753">
          <cell r="B753" t="str">
            <v>78W-6339</v>
          </cell>
          <cell r="C753" t="str">
            <v>TGS-26-4406X4BLS-LX-ALU-EL</v>
          </cell>
          <cell r="E753" t="str">
            <v>CKD</v>
          </cell>
          <cell r="F753" t="str">
            <v>2018-04-30</v>
          </cell>
          <cell r="G753">
            <v>15.3</v>
          </cell>
          <cell r="H753">
            <v>42978</v>
          </cell>
          <cell r="J753">
            <v>1875000</v>
          </cell>
          <cell r="P753">
            <v>1433250</v>
          </cell>
          <cell r="R753">
            <v>1365000</v>
          </cell>
          <cell r="S753">
            <v>1955000</v>
          </cell>
          <cell r="Y753">
            <v>1517250</v>
          </cell>
          <cell r="AA753">
            <v>1445000</v>
          </cell>
        </row>
        <row r="754">
          <cell r="B754" t="str">
            <v>78W-6348</v>
          </cell>
          <cell r="C754" t="str">
            <v>TGS-26-4406X4BLS-LX-ALU-EL</v>
          </cell>
          <cell r="E754" t="str">
            <v>CKD</v>
          </cell>
          <cell r="F754" t="str">
            <v>2018-05-30</v>
          </cell>
          <cell r="G754">
            <v>15.3</v>
          </cell>
          <cell r="H754">
            <v>42978</v>
          </cell>
          <cell r="J754">
            <v>1875000</v>
          </cell>
          <cell r="P754">
            <v>1433250</v>
          </cell>
          <cell r="R754">
            <v>1365000</v>
          </cell>
          <cell r="S754">
            <v>1955000</v>
          </cell>
          <cell r="Y754">
            <v>1517250</v>
          </cell>
          <cell r="AA754">
            <v>1445000</v>
          </cell>
        </row>
        <row r="755">
          <cell r="B755" t="str">
            <v>78W-6349</v>
          </cell>
          <cell r="C755" t="str">
            <v>TGS-26-4406X4BLS-LX-ALU-EL</v>
          </cell>
          <cell r="E755" t="str">
            <v>CKD</v>
          </cell>
          <cell r="F755" t="str">
            <v>2018-05-30</v>
          </cell>
          <cell r="G755">
            <v>15.3</v>
          </cell>
          <cell r="H755">
            <v>42978</v>
          </cell>
          <cell r="J755">
            <v>1875000</v>
          </cell>
          <cell r="P755">
            <v>1433250</v>
          </cell>
          <cell r="R755">
            <v>1365000</v>
          </cell>
          <cell r="S755">
            <v>1955000</v>
          </cell>
          <cell r="Y755">
            <v>1517250</v>
          </cell>
          <cell r="AA755">
            <v>1445000</v>
          </cell>
        </row>
        <row r="756">
          <cell r="B756" t="str">
            <v>78W-6350</v>
          </cell>
          <cell r="C756" t="str">
            <v>TGS-26-4406X4BLS-LX-ALU-EL</v>
          </cell>
          <cell r="E756" t="str">
            <v>CKD</v>
          </cell>
          <cell r="F756" t="str">
            <v>2018-05-30</v>
          </cell>
          <cell r="G756">
            <v>15.3</v>
          </cell>
          <cell r="H756">
            <v>42978</v>
          </cell>
          <cell r="J756">
            <v>1875000</v>
          </cell>
          <cell r="P756">
            <v>1433250</v>
          </cell>
          <cell r="R756">
            <v>1365000</v>
          </cell>
          <cell r="S756">
            <v>1955000</v>
          </cell>
          <cell r="Y756">
            <v>1517250</v>
          </cell>
          <cell r="AA756">
            <v>1445000</v>
          </cell>
        </row>
        <row r="757">
          <cell r="B757" t="str">
            <v>78W-6351</v>
          </cell>
          <cell r="C757" t="str">
            <v>TGS-26-4406X4BLS-LX-ALU-EL</v>
          </cell>
          <cell r="E757" t="str">
            <v>CKD</v>
          </cell>
          <cell r="F757" t="str">
            <v>2018-05-30</v>
          </cell>
          <cell r="G757">
            <v>15.3</v>
          </cell>
          <cell r="H757">
            <v>42978</v>
          </cell>
          <cell r="J757">
            <v>1875000</v>
          </cell>
          <cell r="P757">
            <v>1433250</v>
          </cell>
          <cell r="R757">
            <v>1365000</v>
          </cell>
          <cell r="S757">
            <v>1955000</v>
          </cell>
          <cell r="Y757">
            <v>1517250</v>
          </cell>
          <cell r="AA757">
            <v>1445000</v>
          </cell>
        </row>
        <row r="758">
          <cell r="B758" t="str">
            <v>TBAKP707</v>
          </cell>
          <cell r="C758" t="str">
            <v>TGS-26-4406X4BLS-LX-ALU-EL</v>
          </cell>
          <cell r="E758" t="str">
            <v>CKD</v>
          </cell>
          <cell r="F758" t="str">
            <v>2018-08-19</v>
          </cell>
          <cell r="G758">
            <v>15.8</v>
          </cell>
          <cell r="H758">
            <v>43159</v>
          </cell>
          <cell r="J758">
            <v>1875000</v>
          </cell>
          <cell r="P758">
            <v>1443750</v>
          </cell>
          <cell r="R758">
            <v>1375000</v>
          </cell>
          <cell r="S758">
            <v>1955000</v>
          </cell>
          <cell r="Y758">
            <v>1527750</v>
          </cell>
          <cell r="AA758">
            <v>1455000</v>
          </cell>
        </row>
        <row r="759">
          <cell r="B759">
            <v>48677</v>
          </cell>
          <cell r="C759" t="str">
            <v>TGS-26-4406X4BLS-LX-EL-ACC</v>
          </cell>
          <cell r="E759" t="str">
            <v>CKD</v>
          </cell>
          <cell r="F759" t="str">
            <v>2018-10-30</v>
          </cell>
          <cell r="G759">
            <v>15.9</v>
          </cell>
          <cell r="H759">
            <v>43039</v>
          </cell>
          <cell r="J759">
            <v>1900000</v>
          </cell>
          <cell r="P759">
            <v>1459500</v>
          </cell>
          <cell r="R759">
            <v>1390000</v>
          </cell>
          <cell r="S759">
            <v>1955000</v>
          </cell>
          <cell r="Y759">
            <v>1517250</v>
          </cell>
          <cell r="AA759">
            <v>1445000</v>
          </cell>
        </row>
        <row r="760">
          <cell r="B760">
            <v>48678</v>
          </cell>
          <cell r="C760" t="str">
            <v>TGS-26-4406X4BLS-LX-EL-ACC</v>
          </cell>
          <cell r="E760" t="str">
            <v>CKD</v>
          </cell>
          <cell r="F760" t="str">
            <v>2018-10-30</v>
          </cell>
          <cell r="G760">
            <v>15.9</v>
          </cell>
          <cell r="H760">
            <v>43039</v>
          </cell>
          <cell r="J760">
            <v>1900000</v>
          </cell>
          <cell r="P760">
            <v>1459500</v>
          </cell>
          <cell r="R760">
            <v>1390000</v>
          </cell>
          <cell r="S760">
            <v>1955000</v>
          </cell>
          <cell r="Y760">
            <v>1517250</v>
          </cell>
          <cell r="AA760">
            <v>1445000</v>
          </cell>
        </row>
        <row r="761">
          <cell r="B761">
            <v>48679</v>
          </cell>
          <cell r="C761" t="str">
            <v>TGS-26-4406X4BLS-LX-EL-ACC</v>
          </cell>
          <cell r="E761" t="str">
            <v>CKD</v>
          </cell>
          <cell r="F761" t="str">
            <v>2018-10-30</v>
          </cell>
          <cell r="G761">
            <v>15.9</v>
          </cell>
          <cell r="H761">
            <v>43039</v>
          </cell>
          <cell r="J761">
            <v>1900000</v>
          </cell>
          <cell r="P761">
            <v>1459500</v>
          </cell>
          <cell r="R761">
            <v>1390000</v>
          </cell>
          <cell r="S761">
            <v>1955000</v>
          </cell>
          <cell r="Y761">
            <v>1517250</v>
          </cell>
          <cell r="AA761">
            <v>1445000</v>
          </cell>
        </row>
        <row r="762">
          <cell r="B762">
            <v>48680</v>
          </cell>
          <cell r="C762" t="str">
            <v>TGS-26-4406X4BLS-LX-EL-ACC</v>
          </cell>
          <cell r="E762" t="str">
            <v>CKD</v>
          </cell>
          <cell r="F762" t="str">
            <v>2018-10-30</v>
          </cell>
          <cell r="G762">
            <v>15.9</v>
          </cell>
          <cell r="H762">
            <v>43039</v>
          </cell>
          <cell r="J762">
            <v>1900000</v>
          </cell>
          <cell r="P762">
            <v>1459500</v>
          </cell>
          <cell r="R762">
            <v>1390000</v>
          </cell>
          <cell r="S762">
            <v>1955000</v>
          </cell>
          <cell r="Y762">
            <v>1517250</v>
          </cell>
          <cell r="AA762">
            <v>1445000</v>
          </cell>
        </row>
        <row r="763">
          <cell r="B763">
            <v>48681</v>
          </cell>
          <cell r="C763" t="str">
            <v>TGS-26-4406X4BLS-LX-EL-ACC</v>
          </cell>
          <cell r="E763" t="str">
            <v>CKD</v>
          </cell>
          <cell r="F763" t="str">
            <v>2018-10-30</v>
          </cell>
          <cell r="G763">
            <v>15.9</v>
          </cell>
          <cell r="H763">
            <v>43039</v>
          </cell>
          <cell r="J763">
            <v>1900000</v>
          </cell>
          <cell r="P763">
            <v>1459500</v>
          </cell>
          <cell r="R763">
            <v>1390000</v>
          </cell>
          <cell r="S763">
            <v>1955000</v>
          </cell>
          <cell r="Y763">
            <v>1517250</v>
          </cell>
          <cell r="AA763">
            <v>1445000</v>
          </cell>
        </row>
        <row r="764">
          <cell r="B764">
            <v>48682</v>
          </cell>
          <cell r="C764" t="str">
            <v>TGS-26-4406X4BLS-LX-EL-ACC</v>
          </cell>
          <cell r="E764" t="str">
            <v>CKD</v>
          </cell>
          <cell r="F764" t="str">
            <v>2018-10-30</v>
          </cell>
          <cell r="G764">
            <v>15.9</v>
          </cell>
          <cell r="H764">
            <v>43039</v>
          </cell>
          <cell r="J764">
            <v>1900000</v>
          </cell>
          <cell r="P764">
            <v>1459500</v>
          </cell>
          <cell r="R764">
            <v>1390000</v>
          </cell>
          <cell r="S764">
            <v>1955000</v>
          </cell>
          <cell r="Y764">
            <v>1517250</v>
          </cell>
          <cell r="AA764">
            <v>1445000</v>
          </cell>
        </row>
        <row r="765">
          <cell r="B765">
            <v>48683</v>
          </cell>
          <cell r="C765" t="str">
            <v>TGS-26-4406X4BLS-LX-EL-ACC</v>
          </cell>
          <cell r="E765" t="str">
            <v>CKD</v>
          </cell>
          <cell r="F765" t="str">
            <v>2018-10-30</v>
          </cell>
          <cell r="G765">
            <v>15.9</v>
          </cell>
          <cell r="H765">
            <v>43039</v>
          </cell>
          <cell r="J765">
            <v>1900000</v>
          </cell>
          <cell r="P765">
            <v>1459500</v>
          </cell>
          <cell r="R765">
            <v>1390000</v>
          </cell>
          <cell r="S765">
            <v>1955000</v>
          </cell>
          <cell r="Y765">
            <v>1517250</v>
          </cell>
          <cell r="AA765">
            <v>1445000</v>
          </cell>
        </row>
        <row r="766">
          <cell r="B766">
            <v>48684</v>
          </cell>
          <cell r="C766" t="str">
            <v>TGS-26-4406X4BLS-LX-EL-ACC</v>
          </cell>
          <cell r="E766" t="str">
            <v>CKD</v>
          </cell>
          <cell r="F766" t="str">
            <v>2018-10-30</v>
          </cell>
          <cell r="G766">
            <v>15.9</v>
          </cell>
          <cell r="H766">
            <v>43039</v>
          </cell>
          <cell r="J766">
            <v>1900000</v>
          </cell>
          <cell r="P766">
            <v>1459500</v>
          </cell>
          <cell r="R766">
            <v>1390000</v>
          </cell>
          <cell r="S766">
            <v>1955000</v>
          </cell>
          <cell r="Y766">
            <v>1517250</v>
          </cell>
          <cell r="AA766">
            <v>1445000</v>
          </cell>
        </row>
        <row r="767">
          <cell r="B767">
            <v>48685</v>
          </cell>
          <cell r="C767" t="str">
            <v>TGS-26-4406X4BLS-LX-EL-ACC</v>
          </cell>
          <cell r="E767" t="str">
            <v>CKD</v>
          </cell>
          <cell r="F767" t="str">
            <v>2018-10-30</v>
          </cell>
          <cell r="G767">
            <v>15.9</v>
          </cell>
          <cell r="H767">
            <v>43039</v>
          </cell>
          <cell r="J767">
            <v>1900000</v>
          </cell>
          <cell r="P767">
            <v>1459500</v>
          </cell>
          <cell r="R767">
            <v>1390000</v>
          </cell>
          <cell r="S767">
            <v>1955000</v>
          </cell>
          <cell r="Y767">
            <v>1517250</v>
          </cell>
          <cell r="AA767">
            <v>1445000</v>
          </cell>
        </row>
        <row r="768">
          <cell r="B768">
            <v>48686</v>
          </cell>
          <cell r="C768" t="str">
            <v>TGS-26-4406X4BLS-LX-EL-ACC</v>
          </cell>
          <cell r="E768" t="str">
            <v>CKD</v>
          </cell>
          <cell r="F768" t="str">
            <v>2018-10-30</v>
          </cell>
          <cell r="G768">
            <v>15.9</v>
          </cell>
          <cell r="H768">
            <v>43039</v>
          </cell>
          <cell r="J768">
            <v>1900000</v>
          </cell>
          <cell r="P768">
            <v>1459500</v>
          </cell>
          <cell r="R768">
            <v>1390000</v>
          </cell>
          <cell r="S768">
            <v>1955000</v>
          </cell>
          <cell r="Y768">
            <v>1517250</v>
          </cell>
          <cell r="AA768">
            <v>1445000</v>
          </cell>
        </row>
        <row r="769">
          <cell r="B769">
            <v>48687</v>
          </cell>
          <cell r="C769" t="str">
            <v>TGS-26-4406X4BLS-LX-EL-ACC</v>
          </cell>
          <cell r="E769" t="str">
            <v>CKD</v>
          </cell>
          <cell r="F769" t="str">
            <v>2018-10-30</v>
          </cell>
          <cell r="G769">
            <v>15.9</v>
          </cell>
          <cell r="H769">
            <v>43039</v>
          </cell>
          <cell r="J769">
            <v>1900000</v>
          </cell>
          <cell r="P769">
            <v>1459500</v>
          </cell>
          <cell r="R769">
            <v>1390000</v>
          </cell>
          <cell r="S769">
            <v>1955000</v>
          </cell>
          <cell r="Y769">
            <v>1517250</v>
          </cell>
          <cell r="AA769">
            <v>1445000</v>
          </cell>
        </row>
        <row r="770">
          <cell r="B770">
            <v>48688</v>
          </cell>
          <cell r="C770" t="str">
            <v>TGS-26-4406X4BLS-LX-EL-ACC</v>
          </cell>
          <cell r="E770" t="str">
            <v>CKD</v>
          </cell>
          <cell r="F770" t="str">
            <v>2018-10-30</v>
          </cell>
          <cell r="G770">
            <v>15.9</v>
          </cell>
          <cell r="H770">
            <v>43039</v>
          </cell>
          <cell r="J770">
            <v>1900000</v>
          </cell>
          <cell r="P770">
            <v>1459500</v>
          </cell>
          <cell r="R770">
            <v>1390000</v>
          </cell>
          <cell r="S770">
            <v>1955000</v>
          </cell>
          <cell r="Y770">
            <v>1517250</v>
          </cell>
          <cell r="AA770">
            <v>1445000</v>
          </cell>
        </row>
        <row r="771">
          <cell r="B771">
            <v>48761</v>
          </cell>
          <cell r="C771" t="str">
            <v>TGS-26-4406X4BLS-LX-EL-ACC</v>
          </cell>
          <cell r="E771" t="str">
            <v>CKD</v>
          </cell>
          <cell r="F771" t="str">
            <v>2018-10-30</v>
          </cell>
          <cell r="G771">
            <v>15.9</v>
          </cell>
          <cell r="H771">
            <v>43039</v>
          </cell>
          <cell r="J771">
            <v>1900000</v>
          </cell>
          <cell r="P771">
            <v>1459500</v>
          </cell>
          <cell r="R771">
            <v>1390000</v>
          </cell>
          <cell r="S771">
            <v>1955000</v>
          </cell>
          <cell r="Y771">
            <v>1517250</v>
          </cell>
          <cell r="AA771">
            <v>1445000</v>
          </cell>
        </row>
        <row r="772">
          <cell r="B772">
            <v>48762</v>
          </cell>
          <cell r="C772" t="str">
            <v>TGS-26-4406X4BLS-LX-EL-ACC</v>
          </cell>
          <cell r="E772" t="str">
            <v>CKD</v>
          </cell>
          <cell r="F772" t="str">
            <v>2018-10-30</v>
          </cell>
          <cell r="G772">
            <v>15.9</v>
          </cell>
          <cell r="H772">
            <v>43039</v>
          </cell>
          <cell r="J772">
            <v>1900000</v>
          </cell>
          <cell r="P772">
            <v>1459500</v>
          </cell>
          <cell r="R772">
            <v>1390000</v>
          </cell>
          <cell r="S772">
            <v>1955000</v>
          </cell>
          <cell r="Y772">
            <v>1517250</v>
          </cell>
          <cell r="AA772">
            <v>1445000</v>
          </cell>
        </row>
        <row r="773">
          <cell r="B773">
            <v>48763</v>
          </cell>
          <cell r="C773" t="str">
            <v>TGS-26-4406X4BLS-LX-EL-ACC</v>
          </cell>
          <cell r="E773" t="str">
            <v>CKD</v>
          </cell>
          <cell r="F773" t="str">
            <v>2018-11-30</v>
          </cell>
          <cell r="G773">
            <v>15.9</v>
          </cell>
          <cell r="H773">
            <v>43039</v>
          </cell>
          <cell r="J773">
            <v>1900000</v>
          </cell>
          <cell r="P773">
            <v>1459500</v>
          </cell>
          <cell r="R773">
            <v>1390000</v>
          </cell>
          <cell r="S773">
            <v>1955000</v>
          </cell>
          <cell r="Y773">
            <v>1517250</v>
          </cell>
          <cell r="AA773">
            <v>1445000</v>
          </cell>
        </row>
        <row r="774">
          <cell r="B774">
            <v>48764</v>
          </cell>
          <cell r="C774" t="str">
            <v>TGS-26-4406X4BLS-LX-EL-ACC</v>
          </cell>
          <cell r="E774" t="str">
            <v>CKD</v>
          </cell>
          <cell r="F774" t="str">
            <v>2018-11-30</v>
          </cell>
          <cell r="G774">
            <v>15.9</v>
          </cell>
          <cell r="H774">
            <v>43039</v>
          </cell>
          <cell r="J774">
            <v>1900000</v>
          </cell>
          <cell r="P774">
            <v>1459500</v>
          </cell>
          <cell r="R774">
            <v>1390000</v>
          </cell>
          <cell r="S774">
            <v>1955000</v>
          </cell>
          <cell r="Y774">
            <v>1517250</v>
          </cell>
          <cell r="AA774">
            <v>1445000</v>
          </cell>
        </row>
        <row r="775">
          <cell r="B775">
            <v>48765</v>
          </cell>
          <cell r="C775" t="str">
            <v>TGS-26-4406X4BLS-LX-EL-ACC</v>
          </cell>
          <cell r="E775" t="str">
            <v>CKD</v>
          </cell>
          <cell r="F775" t="str">
            <v>2018-11-30</v>
          </cell>
          <cell r="G775">
            <v>15.9</v>
          </cell>
          <cell r="H775">
            <v>43039</v>
          </cell>
          <cell r="J775">
            <v>1900000</v>
          </cell>
          <cell r="P775">
            <v>1459500</v>
          </cell>
          <cell r="R775">
            <v>1390000</v>
          </cell>
          <cell r="S775">
            <v>1955000</v>
          </cell>
          <cell r="Y775">
            <v>1517250</v>
          </cell>
          <cell r="AA775">
            <v>1445000</v>
          </cell>
        </row>
        <row r="776">
          <cell r="B776">
            <v>48766</v>
          </cell>
          <cell r="C776" t="str">
            <v>TGS-26-4406X4BLS-LX-EL-ACC</v>
          </cell>
          <cell r="E776" t="str">
            <v>CKD</v>
          </cell>
          <cell r="F776" t="str">
            <v>2018-11-30</v>
          </cell>
          <cell r="G776">
            <v>15.9</v>
          </cell>
          <cell r="H776">
            <v>43039</v>
          </cell>
          <cell r="J776">
            <v>1900000</v>
          </cell>
          <cell r="P776">
            <v>1459500</v>
          </cell>
          <cell r="R776">
            <v>1390000</v>
          </cell>
          <cell r="S776">
            <v>1955000</v>
          </cell>
          <cell r="Y776">
            <v>1517250</v>
          </cell>
          <cell r="AA776">
            <v>1445000</v>
          </cell>
        </row>
        <row r="777">
          <cell r="B777">
            <v>48767</v>
          </cell>
          <cell r="C777" t="str">
            <v>TGS-26-4406X4BLS-LX-EL-ACC</v>
          </cell>
          <cell r="E777" t="str">
            <v>CKD</v>
          </cell>
          <cell r="F777" t="str">
            <v>2018-11-30</v>
          </cell>
          <cell r="G777">
            <v>15.9</v>
          </cell>
          <cell r="H777">
            <v>43039</v>
          </cell>
          <cell r="J777">
            <v>1900000</v>
          </cell>
          <cell r="P777">
            <v>1459500</v>
          </cell>
          <cell r="R777">
            <v>1390000</v>
          </cell>
          <cell r="S777">
            <v>1955000</v>
          </cell>
          <cell r="Y777">
            <v>1517250</v>
          </cell>
          <cell r="AA777">
            <v>1445000</v>
          </cell>
        </row>
        <row r="778">
          <cell r="B778">
            <v>48768</v>
          </cell>
          <cell r="C778" t="str">
            <v>TGS-26-4406X4BLS-LX-EL-ACC</v>
          </cell>
          <cell r="E778" t="str">
            <v>CKD</v>
          </cell>
          <cell r="F778" t="str">
            <v>2018-11-30</v>
          </cell>
          <cell r="G778">
            <v>15.9</v>
          </cell>
          <cell r="H778">
            <v>43039</v>
          </cell>
          <cell r="J778">
            <v>1900000</v>
          </cell>
          <cell r="P778">
            <v>1459500</v>
          </cell>
          <cell r="R778">
            <v>1390000</v>
          </cell>
          <cell r="S778">
            <v>1955000</v>
          </cell>
          <cell r="Y778">
            <v>1517250</v>
          </cell>
          <cell r="AA778">
            <v>1445000</v>
          </cell>
        </row>
        <row r="779">
          <cell r="B779">
            <v>48769</v>
          </cell>
          <cell r="C779" t="str">
            <v>TGS-26-4406X4BLS-LX-EL-ACC</v>
          </cell>
          <cell r="E779" t="str">
            <v>CKD</v>
          </cell>
          <cell r="F779" t="str">
            <v>2018-11-30</v>
          </cell>
          <cell r="G779">
            <v>15.9</v>
          </cell>
          <cell r="H779">
            <v>43039</v>
          </cell>
          <cell r="J779">
            <v>1900000</v>
          </cell>
          <cell r="P779">
            <v>1459500</v>
          </cell>
          <cell r="R779">
            <v>1390000</v>
          </cell>
          <cell r="S779">
            <v>1955000</v>
          </cell>
          <cell r="Y779">
            <v>1517250</v>
          </cell>
          <cell r="AA779">
            <v>1445000</v>
          </cell>
        </row>
        <row r="780">
          <cell r="B780">
            <v>48770</v>
          </cell>
          <cell r="C780" t="str">
            <v>TGS-26-4406X4BLS-LX-EL-ACC</v>
          </cell>
          <cell r="E780" t="str">
            <v>CKD</v>
          </cell>
          <cell r="F780" t="str">
            <v>2018-11-30</v>
          </cell>
          <cell r="G780">
            <v>15.9</v>
          </cell>
          <cell r="H780">
            <v>43039</v>
          </cell>
          <cell r="J780">
            <v>1900000</v>
          </cell>
          <cell r="P780">
            <v>1459500</v>
          </cell>
          <cell r="R780">
            <v>1390000</v>
          </cell>
          <cell r="S780">
            <v>1955000</v>
          </cell>
          <cell r="Y780">
            <v>1517250</v>
          </cell>
          <cell r="AA780">
            <v>1445000</v>
          </cell>
        </row>
        <row r="781">
          <cell r="B781">
            <v>48771</v>
          </cell>
          <cell r="C781" t="str">
            <v>TGS-26-4406X4BLS-LX-EL-ACC</v>
          </cell>
          <cell r="E781" t="str">
            <v>CKD</v>
          </cell>
          <cell r="F781" t="str">
            <v>2018-11-30</v>
          </cell>
          <cell r="G781">
            <v>15.9</v>
          </cell>
          <cell r="H781">
            <v>43039</v>
          </cell>
          <cell r="J781">
            <v>1900000</v>
          </cell>
          <cell r="P781">
            <v>1459500</v>
          </cell>
          <cell r="R781">
            <v>1390000</v>
          </cell>
          <cell r="S781">
            <v>1955000</v>
          </cell>
          <cell r="Y781">
            <v>1517250</v>
          </cell>
          <cell r="AA781">
            <v>1445000</v>
          </cell>
        </row>
        <row r="782">
          <cell r="B782">
            <v>48772</v>
          </cell>
          <cell r="C782" t="str">
            <v>TGS-26-4406X4BLS-LX-EL-ACC</v>
          </cell>
          <cell r="E782" t="str">
            <v>CKD</v>
          </cell>
          <cell r="F782" t="str">
            <v>2018-11-30</v>
          </cell>
          <cell r="G782">
            <v>15.9</v>
          </cell>
          <cell r="H782">
            <v>43039</v>
          </cell>
          <cell r="J782">
            <v>1900000</v>
          </cell>
          <cell r="P782">
            <v>1459500</v>
          </cell>
          <cell r="R782">
            <v>1390000</v>
          </cell>
          <cell r="S782">
            <v>1955000</v>
          </cell>
          <cell r="Y782">
            <v>1517250</v>
          </cell>
          <cell r="AA782">
            <v>1445000</v>
          </cell>
        </row>
        <row r="783">
          <cell r="B783">
            <v>48773</v>
          </cell>
          <cell r="C783" t="str">
            <v>TGS-26-4406X4BLS-LX-EL-ACC</v>
          </cell>
          <cell r="E783" t="str">
            <v>CKD</v>
          </cell>
          <cell r="F783" t="str">
            <v>2018-11-30</v>
          </cell>
          <cell r="G783">
            <v>15.9</v>
          </cell>
          <cell r="H783">
            <v>43039</v>
          </cell>
          <cell r="J783">
            <v>1900000</v>
          </cell>
          <cell r="P783">
            <v>1459500</v>
          </cell>
          <cell r="R783">
            <v>1390000</v>
          </cell>
          <cell r="S783">
            <v>1955000</v>
          </cell>
          <cell r="Y783">
            <v>1517250</v>
          </cell>
          <cell r="AA783">
            <v>1445000</v>
          </cell>
        </row>
        <row r="784">
          <cell r="B784">
            <v>48774</v>
          </cell>
          <cell r="C784" t="str">
            <v>TGS-26-4406X4BLS-LX-EL-ACC</v>
          </cell>
          <cell r="E784" t="str">
            <v>CKD</v>
          </cell>
          <cell r="F784" t="str">
            <v>2018-11-30</v>
          </cell>
          <cell r="G784">
            <v>15.9</v>
          </cell>
          <cell r="H784">
            <v>43039</v>
          </cell>
          <cell r="J784">
            <v>1900000</v>
          </cell>
          <cell r="P784">
            <v>1459500</v>
          </cell>
          <cell r="R784">
            <v>1390000</v>
          </cell>
          <cell r="S784">
            <v>1955000</v>
          </cell>
          <cell r="Y784">
            <v>1517250</v>
          </cell>
          <cell r="AA784">
            <v>1445000</v>
          </cell>
        </row>
        <row r="785">
          <cell r="B785">
            <v>48776</v>
          </cell>
          <cell r="C785" t="str">
            <v>TGS-26-4406X4BLS-LX-EL-ACC</v>
          </cell>
          <cell r="E785" t="str">
            <v>CKD</v>
          </cell>
          <cell r="F785" t="str">
            <v>2018-11-30</v>
          </cell>
          <cell r="G785">
            <v>15.9</v>
          </cell>
          <cell r="H785">
            <v>43039</v>
          </cell>
          <cell r="J785">
            <v>1900000</v>
          </cell>
          <cell r="P785">
            <v>1459500</v>
          </cell>
          <cell r="R785">
            <v>1390000</v>
          </cell>
          <cell r="S785">
            <v>1955000</v>
          </cell>
          <cell r="Y785">
            <v>1517250</v>
          </cell>
          <cell r="AA785">
            <v>1445000</v>
          </cell>
        </row>
        <row r="786">
          <cell r="B786">
            <v>48777</v>
          </cell>
          <cell r="C786" t="str">
            <v>TGS-26-4406X4BLS-LX-EL-ACC</v>
          </cell>
          <cell r="E786" t="str">
            <v>CKD</v>
          </cell>
          <cell r="F786" t="str">
            <v>2018-11-30</v>
          </cell>
          <cell r="G786">
            <v>15.9</v>
          </cell>
          <cell r="H786">
            <v>43039</v>
          </cell>
          <cell r="J786">
            <v>1900000</v>
          </cell>
          <cell r="P786">
            <v>1459500</v>
          </cell>
          <cell r="R786">
            <v>1390000</v>
          </cell>
          <cell r="S786">
            <v>1955000</v>
          </cell>
          <cell r="Y786">
            <v>1517250</v>
          </cell>
          <cell r="AA786">
            <v>1445000</v>
          </cell>
        </row>
        <row r="787">
          <cell r="B787">
            <v>48778</v>
          </cell>
          <cell r="C787" t="str">
            <v>TGS-26-4406X4BLS-LX-EL-ACC</v>
          </cell>
          <cell r="E787" t="str">
            <v>CKD</v>
          </cell>
          <cell r="F787" t="str">
            <v>2018-12-30</v>
          </cell>
          <cell r="G787">
            <v>15.9</v>
          </cell>
          <cell r="H787">
            <v>43039</v>
          </cell>
          <cell r="J787">
            <v>1900000</v>
          </cell>
          <cell r="P787">
            <v>1459500</v>
          </cell>
          <cell r="R787">
            <v>1390000</v>
          </cell>
          <cell r="S787">
            <v>1955000</v>
          </cell>
          <cell r="Y787">
            <v>1517250</v>
          </cell>
          <cell r="AA787">
            <v>1445000</v>
          </cell>
        </row>
        <row r="788">
          <cell r="B788">
            <v>48779</v>
          </cell>
          <cell r="C788" t="str">
            <v>TGS-26-4406X4BLS-LX-EL-ACC</v>
          </cell>
          <cell r="E788" t="str">
            <v>CKD</v>
          </cell>
          <cell r="F788" t="str">
            <v>2018-12-30</v>
          </cell>
          <cell r="G788">
            <v>15.9</v>
          </cell>
          <cell r="H788">
            <v>43039</v>
          </cell>
          <cell r="J788">
            <v>1900000</v>
          </cell>
          <cell r="P788">
            <v>1459500</v>
          </cell>
          <cell r="R788">
            <v>1390000</v>
          </cell>
          <cell r="S788">
            <v>1955000</v>
          </cell>
          <cell r="Y788">
            <v>1517250</v>
          </cell>
          <cell r="AA788">
            <v>1445000</v>
          </cell>
        </row>
        <row r="789">
          <cell r="B789">
            <v>48780</v>
          </cell>
          <cell r="C789" t="str">
            <v>TGS-26-4406X4BLS-LX-EL-ACC</v>
          </cell>
          <cell r="E789" t="str">
            <v>CKD</v>
          </cell>
          <cell r="F789" t="str">
            <v>2018-12-30</v>
          </cell>
          <cell r="G789">
            <v>15.9</v>
          </cell>
          <cell r="H789">
            <v>43039</v>
          </cell>
          <cell r="J789">
            <v>1900000</v>
          </cell>
          <cell r="P789">
            <v>1459500</v>
          </cell>
          <cell r="R789">
            <v>1390000</v>
          </cell>
          <cell r="S789">
            <v>1955000</v>
          </cell>
          <cell r="Y789">
            <v>1517250</v>
          </cell>
          <cell r="AA789">
            <v>1445000</v>
          </cell>
        </row>
        <row r="790">
          <cell r="B790">
            <v>48781</v>
          </cell>
          <cell r="C790" t="str">
            <v>TGS-26-4406X4BLS-LX-EL-ACC</v>
          </cell>
          <cell r="E790" t="str">
            <v>CKD</v>
          </cell>
          <cell r="F790" t="str">
            <v>2018-12-30</v>
          </cell>
          <cell r="G790">
            <v>15.9</v>
          </cell>
          <cell r="H790">
            <v>43039</v>
          </cell>
          <cell r="J790">
            <v>1900000</v>
          </cell>
          <cell r="P790">
            <v>1459500</v>
          </cell>
          <cell r="R790">
            <v>1390000</v>
          </cell>
          <cell r="S790">
            <v>1955000</v>
          </cell>
          <cell r="Y790">
            <v>1517250</v>
          </cell>
          <cell r="AA790">
            <v>1445000</v>
          </cell>
        </row>
        <row r="791">
          <cell r="B791">
            <v>48782</v>
          </cell>
          <cell r="C791" t="str">
            <v>TGS-26-4406X4BLS-LX-EL-ACC</v>
          </cell>
          <cell r="E791" t="str">
            <v>CKD</v>
          </cell>
          <cell r="F791" t="str">
            <v>2018-12-30</v>
          </cell>
          <cell r="G791">
            <v>15.9</v>
          </cell>
          <cell r="H791">
            <v>43039</v>
          </cell>
          <cell r="J791">
            <v>1900000</v>
          </cell>
          <cell r="P791">
            <v>1459500</v>
          </cell>
          <cell r="R791">
            <v>1390000</v>
          </cell>
          <cell r="S791">
            <v>1955000</v>
          </cell>
          <cell r="Y791">
            <v>1517250</v>
          </cell>
          <cell r="AA791">
            <v>1445000</v>
          </cell>
        </row>
        <row r="792">
          <cell r="B792">
            <v>48783</v>
          </cell>
          <cell r="C792" t="str">
            <v>TGS-26-4406X4BLS-LX-EL-ACC</v>
          </cell>
          <cell r="E792" t="str">
            <v>CKD</v>
          </cell>
          <cell r="F792" t="str">
            <v>2018-12-30</v>
          </cell>
          <cell r="G792">
            <v>15.9</v>
          </cell>
          <cell r="H792">
            <v>43039</v>
          </cell>
          <cell r="J792">
            <v>1900000</v>
          </cell>
          <cell r="P792">
            <v>1459500</v>
          </cell>
          <cell r="R792">
            <v>1390000</v>
          </cell>
          <cell r="S792">
            <v>1955000</v>
          </cell>
          <cell r="Y792">
            <v>1517250</v>
          </cell>
          <cell r="AA792">
            <v>1445000</v>
          </cell>
        </row>
        <row r="793">
          <cell r="B793">
            <v>48784</v>
          </cell>
          <cell r="C793" t="str">
            <v>TGS-26-4406X4BLS-LX-EL-ACC</v>
          </cell>
          <cell r="E793" t="str">
            <v>CKD</v>
          </cell>
          <cell r="F793" t="str">
            <v>2018-12-30</v>
          </cell>
          <cell r="G793">
            <v>15.9</v>
          </cell>
          <cell r="H793">
            <v>43039</v>
          </cell>
          <cell r="J793">
            <v>1900000</v>
          </cell>
          <cell r="P793">
            <v>1459500</v>
          </cell>
          <cell r="R793">
            <v>1390000</v>
          </cell>
          <cell r="S793">
            <v>1955000</v>
          </cell>
          <cell r="Y793">
            <v>1517250</v>
          </cell>
          <cell r="AA793">
            <v>1445000</v>
          </cell>
        </row>
        <row r="794">
          <cell r="B794">
            <v>48785</v>
          </cell>
          <cell r="C794" t="str">
            <v>TGS-26-4406X4BLS-LX-EL-ACC</v>
          </cell>
          <cell r="E794" t="str">
            <v>CKD</v>
          </cell>
          <cell r="F794" t="str">
            <v>2018-12-30</v>
          </cell>
          <cell r="G794">
            <v>15.9</v>
          </cell>
          <cell r="H794">
            <v>43039</v>
          </cell>
          <cell r="J794">
            <v>1900000</v>
          </cell>
          <cell r="P794">
            <v>1459500</v>
          </cell>
          <cell r="R794">
            <v>1390000</v>
          </cell>
          <cell r="S794">
            <v>1955000</v>
          </cell>
          <cell r="Y794">
            <v>1517250</v>
          </cell>
          <cell r="AA794">
            <v>1445000</v>
          </cell>
        </row>
        <row r="795">
          <cell r="B795">
            <v>48786</v>
          </cell>
          <cell r="C795" t="str">
            <v>TGS-26-4406X4BLS-LX-EL-ACC</v>
          </cell>
          <cell r="E795" t="str">
            <v>CKD</v>
          </cell>
          <cell r="F795" t="str">
            <v>2018-12-30</v>
          </cell>
          <cell r="G795">
            <v>15.9</v>
          </cell>
          <cell r="H795">
            <v>43039</v>
          </cell>
          <cell r="J795">
            <v>1900000</v>
          </cell>
          <cell r="P795">
            <v>1459500</v>
          </cell>
          <cell r="R795">
            <v>1390000</v>
          </cell>
          <cell r="S795">
            <v>1955000</v>
          </cell>
          <cell r="Y795">
            <v>1517250</v>
          </cell>
          <cell r="AA795">
            <v>1445000</v>
          </cell>
        </row>
        <row r="796">
          <cell r="B796">
            <v>48787</v>
          </cell>
          <cell r="C796" t="str">
            <v>TGS-26-4406X4BLS-LX-EL-ACC</v>
          </cell>
          <cell r="E796" t="str">
            <v>CKD</v>
          </cell>
          <cell r="F796" t="str">
            <v>2018-12-30</v>
          </cell>
          <cell r="G796">
            <v>15.9</v>
          </cell>
          <cell r="H796">
            <v>43039</v>
          </cell>
          <cell r="J796">
            <v>1900000</v>
          </cell>
          <cell r="P796">
            <v>1459500</v>
          </cell>
          <cell r="R796">
            <v>1390000</v>
          </cell>
          <cell r="S796">
            <v>1955000</v>
          </cell>
          <cell r="Y796">
            <v>1517250</v>
          </cell>
          <cell r="AA796">
            <v>1445000</v>
          </cell>
        </row>
        <row r="797">
          <cell r="B797">
            <v>48788</v>
          </cell>
          <cell r="C797" t="str">
            <v>TGS-26-4406X4BLS-LX-EL-ACC</v>
          </cell>
          <cell r="E797" t="str">
            <v>CKD</v>
          </cell>
          <cell r="F797" t="str">
            <v>2018-12-30</v>
          </cell>
          <cell r="G797">
            <v>15.9</v>
          </cell>
          <cell r="H797">
            <v>43039</v>
          </cell>
          <cell r="J797">
            <v>1900000</v>
          </cell>
          <cell r="P797">
            <v>1459500</v>
          </cell>
          <cell r="R797">
            <v>1390000</v>
          </cell>
          <cell r="S797">
            <v>1955000</v>
          </cell>
          <cell r="Y797">
            <v>1517250</v>
          </cell>
          <cell r="AA797">
            <v>1445000</v>
          </cell>
        </row>
        <row r="798">
          <cell r="B798">
            <v>48789</v>
          </cell>
          <cell r="C798" t="str">
            <v>TGS-26-4406X4BLS-LX-EL-ACC</v>
          </cell>
          <cell r="E798" t="str">
            <v>CKD</v>
          </cell>
          <cell r="F798" t="str">
            <v>2018-12-30</v>
          </cell>
          <cell r="G798">
            <v>15.9</v>
          </cell>
          <cell r="H798">
            <v>43039</v>
          </cell>
          <cell r="J798">
            <v>1900000</v>
          </cell>
          <cell r="P798">
            <v>1459500</v>
          </cell>
          <cell r="R798">
            <v>1390000</v>
          </cell>
          <cell r="S798">
            <v>1955000</v>
          </cell>
          <cell r="Y798">
            <v>1517250</v>
          </cell>
          <cell r="AA798">
            <v>1445000</v>
          </cell>
        </row>
        <row r="799">
          <cell r="B799">
            <v>48790</v>
          </cell>
          <cell r="C799" t="str">
            <v>TGS-26-4406X4BLS-LX-EL-ACC</v>
          </cell>
          <cell r="E799" t="str">
            <v>CKD</v>
          </cell>
          <cell r="F799" t="str">
            <v>2018-12-30</v>
          </cell>
          <cell r="G799">
            <v>15.9</v>
          </cell>
          <cell r="H799">
            <v>43039</v>
          </cell>
          <cell r="J799">
            <v>1900000</v>
          </cell>
          <cell r="P799">
            <v>1459500</v>
          </cell>
          <cell r="R799">
            <v>1390000</v>
          </cell>
          <cell r="S799">
            <v>1955000</v>
          </cell>
          <cell r="Y799">
            <v>1517250</v>
          </cell>
          <cell r="AA799">
            <v>1445000</v>
          </cell>
        </row>
        <row r="800">
          <cell r="B800">
            <v>48791</v>
          </cell>
          <cell r="C800" t="str">
            <v>TGS-26-4406X4BLS-LX-EL-ACC</v>
          </cell>
          <cell r="E800" t="str">
            <v>CKD</v>
          </cell>
          <cell r="F800" t="str">
            <v>2018-12-30</v>
          </cell>
          <cell r="G800">
            <v>15.9</v>
          </cell>
          <cell r="H800">
            <v>43039</v>
          </cell>
          <cell r="J800">
            <v>1900000</v>
          </cell>
          <cell r="P800">
            <v>1459500</v>
          </cell>
          <cell r="R800">
            <v>1390000</v>
          </cell>
          <cell r="S800">
            <v>1955000</v>
          </cell>
          <cell r="Y800">
            <v>1517250</v>
          </cell>
          <cell r="AA800">
            <v>1445000</v>
          </cell>
        </row>
        <row r="801">
          <cell r="B801">
            <v>48792</v>
          </cell>
          <cell r="C801" t="str">
            <v>TGS-26-4406X4BLS-LX-EL-ACC</v>
          </cell>
          <cell r="E801" t="str">
            <v>CKD</v>
          </cell>
          <cell r="F801" t="str">
            <v>2018-12-30</v>
          </cell>
          <cell r="G801">
            <v>15.9</v>
          </cell>
          <cell r="H801">
            <v>43039</v>
          </cell>
          <cell r="J801">
            <v>1900000</v>
          </cell>
          <cell r="P801">
            <v>1459500</v>
          </cell>
          <cell r="R801">
            <v>1390000</v>
          </cell>
          <cell r="S801">
            <v>1955000</v>
          </cell>
          <cell r="Y801">
            <v>1517250</v>
          </cell>
          <cell r="AA801">
            <v>1445000</v>
          </cell>
        </row>
        <row r="802">
          <cell r="B802">
            <v>48931</v>
          </cell>
          <cell r="C802" t="str">
            <v>TGS-26-4406X4BLS-LX-EL-ACC</v>
          </cell>
          <cell r="E802" t="str">
            <v>CKD</v>
          </cell>
          <cell r="F802" t="str">
            <v>2018-06-30</v>
          </cell>
          <cell r="G802">
            <v>15.9</v>
          </cell>
          <cell r="H802">
            <v>43069</v>
          </cell>
          <cell r="J802">
            <v>1900000</v>
          </cell>
          <cell r="P802">
            <v>1459500</v>
          </cell>
          <cell r="R802">
            <v>1390000</v>
          </cell>
          <cell r="S802">
            <v>1955000</v>
          </cell>
          <cell r="Y802">
            <v>1517250</v>
          </cell>
          <cell r="AA802">
            <v>1445000</v>
          </cell>
        </row>
        <row r="803">
          <cell r="B803">
            <v>48932</v>
          </cell>
          <cell r="C803" t="str">
            <v>TGS-26-4406X4BLS-LX-EL-ACC</v>
          </cell>
          <cell r="E803" t="str">
            <v>CKD</v>
          </cell>
          <cell r="F803" t="str">
            <v>2018-06-30</v>
          </cell>
          <cell r="G803">
            <v>15.9</v>
          </cell>
          <cell r="H803">
            <v>43069</v>
          </cell>
          <cell r="J803">
            <v>1900000</v>
          </cell>
          <cell r="P803">
            <v>1459500</v>
          </cell>
          <cell r="R803">
            <v>1390000</v>
          </cell>
          <cell r="S803">
            <v>1955000</v>
          </cell>
          <cell r="Y803">
            <v>1517250</v>
          </cell>
          <cell r="AA803">
            <v>1445000</v>
          </cell>
        </row>
        <row r="804">
          <cell r="B804">
            <v>48933</v>
          </cell>
          <cell r="C804" t="str">
            <v>TGS-26-4406X4BLS-LX-EL-ACC</v>
          </cell>
          <cell r="E804" t="str">
            <v>CKD</v>
          </cell>
          <cell r="F804" t="str">
            <v>2018-06-30</v>
          </cell>
          <cell r="G804">
            <v>15.9</v>
          </cell>
          <cell r="H804">
            <v>43069</v>
          </cell>
          <cell r="J804">
            <v>1900000</v>
          </cell>
          <cell r="P804">
            <v>1459500</v>
          </cell>
          <cell r="R804">
            <v>1390000</v>
          </cell>
          <cell r="S804">
            <v>1955000</v>
          </cell>
          <cell r="Y804">
            <v>1517250</v>
          </cell>
          <cell r="AA804">
            <v>1445000</v>
          </cell>
        </row>
        <row r="805">
          <cell r="B805">
            <v>48934</v>
          </cell>
          <cell r="C805" t="str">
            <v>TGS-26-4406X4BLS-LX-EL-ACC</v>
          </cell>
          <cell r="E805" t="str">
            <v>CKD</v>
          </cell>
          <cell r="F805" t="str">
            <v>2018-06-30</v>
          </cell>
          <cell r="G805">
            <v>15.9</v>
          </cell>
          <cell r="H805">
            <v>43069</v>
          </cell>
          <cell r="J805">
            <v>1900000</v>
          </cell>
          <cell r="P805">
            <v>1459500</v>
          </cell>
          <cell r="R805">
            <v>1390000</v>
          </cell>
          <cell r="S805">
            <v>1955000</v>
          </cell>
          <cell r="Y805">
            <v>1517250</v>
          </cell>
          <cell r="AA805">
            <v>1445000</v>
          </cell>
        </row>
        <row r="806">
          <cell r="B806">
            <v>48935</v>
          </cell>
          <cell r="C806" t="str">
            <v>TGS-26-4406X4BLS-LX-EL-ACC</v>
          </cell>
          <cell r="E806" t="str">
            <v>CKD</v>
          </cell>
          <cell r="F806" t="str">
            <v>2018-06-30</v>
          </cell>
          <cell r="G806">
            <v>15.9</v>
          </cell>
          <cell r="H806">
            <v>43069</v>
          </cell>
          <cell r="J806">
            <v>1900000</v>
          </cell>
          <cell r="P806">
            <v>1459500</v>
          </cell>
          <cell r="R806">
            <v>1390000</v>
          </cell>
          <cell r="S806">
            <v>1955000</v>
          </cell>
          <cell r="Y806">
            <v>1517250</v>
          </cell>
          <cell r="AA806">
            <v>1445000</v>
          </cell>
        </row>
        <row r="807">
          <cell r="B807">
            <v>48936</v>
          </cell>
          <cell r="C807" t="str">
            <v>TGS-26-4406X4BLS-LX-EL-ACC</v>
          </cell>
          <cell r="E807" t="str">
            <v>CKD</v>
          </cell>
          <cell r="F807" t="str">
            <v>2018-07-30</v>
          </cell>
          <cell r="G807">
            <v>15.9</v>
          </cell>
          <cell r="H807">
            <v>43069</v>
          </cell>
          <cell r="J807">
            <v>1900000</v>
          </cell>
          <cell r="P807">
            <v>1459500</v>
          </cell>
          <cell r="R807">
            <v>1390000</v>
          </cell>
          <cell r="S807">
            <v>1955000</v>
          </cell>
          <cell r="Y807">
            <v>1517250</v>
          </cell>
          <cell r="AA807">
            <v>1445000</v>
          </cell>
        </row>
        <row r="808">
          <cell r="B808">
            <v>48937</v>
          </cell>
          <cell r="C808" t="str">
            <v>TGS-26-4406X4BLS-LX-EL-ACC</v>
          </cell>
          <cell r="E808" t="str">
            <v>CKD</v>
          </cell>
          <cell r="F808" t="str">
            <v>2018-07-30</v>
          </cell>
          <cell r="G808">
            <v>15.9</v>
          </cell>
          <cell r="H808">
            <v>43069</v>
          </cell>
          <cell r="J808">
            <v>1900000</v>
          </cell>
          <cell r="P808">
            <v>1459500</v>
          </cell>
          <cell r="R808">
            <v>1390000</v>
          </cell>
          <cell r="S808">
            <v>1955000</v>
          </cell>
          <cell r="Y808">
            <v>1517250</v>
          </cell>
          <cell r="AA808">
            <v>1445000</v>
          </cell>
        </row>
        <row r="809">
          <cell r="B809">
            <v>48938</v>
          </cell>
          <cell r="C809" t="str">
            <v>TGS-26-4406X4BLS-LX-EL-ACC</v>
          </cell>
          <cell r="E809" t="str">
            <v>CKD</v>
          </cell>
          <cell r="F809" t="str">
            <v>2018-07-30</v>
          </cell>
          <cell r="G809">
            <v>15.9</v>
          </cell>
          <cell r="H809">
            <v>43069</v>
          </cell>
          <cell r="J809">
            <v>1900000</v>
          </cell>
          <cell r="P809">
            <v>1459500</v>
          </cell>
          <cell r="R809">
            <v>1390000</v>
          </cell>
          <cell r="S809">
            <v>1955000</v>
          </cell>
          <cell r="Y809">
            <v>1517250</v>
          </cell>
          <cell r="AA809">
            <v>1445000</v>
          </cell>
        </row>
        <row r="810">
          <cell r="B810">
            <v>49031</v>
          </cell>
          <cell r="C810" t="str">
            <v>TGS-26-4406X4BLS-LX-EL-ACC</v>
          </cell>
          <cell r="E810" t="str">
            <v>CKD</v>
          </cell>
          <cell r="F810" t="str">
            <v>2018-07-30</v>
          </cell>
          <cell r="G810">
            <v>15.9</v>
          </cell>
          <cell r="H810">
            <v>43069</v>
          </cell>
          <cell r="J810">
            <v>1900000</v>
          </cell>
          <cell r="P810">
            <v>1459500</v>
          </cell>
          <cell r="R810">
            <v>1390000</v>
          </cell>
          <cell r="S810">
            <v>1955000</v>
          </cell>
          <cell r="Y810">
            <v>1517250</v>
          </cell>
          <cell r="AA810">
            <v>1445000</v>
          </cell>
        </row>
        <row r="811">
          <cell r="B811">
            <v>49032</v>
          </cell>
          <cell r="C811" t="str">
            <v>TGS-26-4406X4BLS-LX-EL-ACC</v>
          </cell>
          <cell r="E811" t="str">
            <v>CKD</v>
          </cell>
          <cell r="F811" t="str">
            <v>2018-07-30</v>
          </cell>
          <cell r="G811">
            <v>15.9</v>
          </cell>
          <cell r="H811">
            <v>43069</v>
          </cell>
          <cell r="J811">
            <v>1900000</v>
          </cell>
          <cell r="P811">
            <v>1459500</v>
          </cell>
          <cell r="R811">
            <v>1390000</v>
          </cell>
          <cell r="S811">
            <v>1955000</v>
          </cell>
          <cell r="Y811">
            <v>1517250</v>
          </cell>
          <cell r="AA811">
            <v>1445000</v>
          </cell>
        </row>
        <row r="812">
          <cell r="B812">
            <v>49033</v>
          </cell>
          <cell r="C812" t="str">
            <v>TGS-26-4406X4BLS-LX-EL-ACC</v>
          </cell>
          <cell r="E812" t="str">
            <v>CKD</v>
          </cell>
          <cell r="F812" t="str">
            <v>2018-08-30</v>
          </cell>
          <cell r="G812">
            <v>15.9</v>
          </cell>
          <cell r="H812">
            <v>43069</v>
          </cell>
          <cell r="J812">
            <v>1900000</v>
          </cell>
          <cell r="P812">
            <v>1459500</v>
          </cell>
          <cell r="R812">
            <v>1390000</v>
          </cell>
          <cell r="S812">
            <v>1955000</v>
          </cell>
          <cell r="Y812">
            <v>1517250</v>
          </cell>
          <cell r="AA812">
            <v>1445000</v>
          </cell>
        </row>
        <row r="813">
          <cell r="B813">
            <v>49034</v>
          </cell>
          <cell r="C813" t="str">
            <v>TGS-26-4406X4BLS-LX-EL-ACC</v>
          </cell>
          <cell r="E813" t="str">
            <v>CKD</v>
          </cell>
          <cell r="F813" t="str">
            <v>2018-08-30</v>
          </cell>
          <cell r="G813">
            <v>15.9</v>
          </cell>
          <cell r="H813">
            <v>43069</v>
          </cell>
          <cell r="J813">
            <v>1900000</v>
          </cell>
          <cell r="P813">
            <v>1459500</v>
          </cell>
          <cell r="R813">
            <v>1390000</v>
          </cell>
          <cell r="S813">
            <v>1955000</v>
          </cell>
          <cell r="Y813">
            <v>1517250</v>
          </cell>
          <cell r="AA813">
            <v>1445000</v>
          </cell>
        </row>
        <row r="814">
          <cell r="B814">
            <v>49035</v>
          </cell>
          <cell r="C814" t="str">
            <v>TGS-26-4406X4BLS-LX-EL-ACC</v>
          </cell>
          <cell r="E814" t="str">
            <v>CKD</v>
          </cell>
          <cell r="F814" t="str">
            <v>2018-08-30</v>
          </cell>
          <cell r="G814">
            <v>15.9</v>
          </cell>
          <cell r="H814">
            <v>43069</v>
          </cell>
          <cell r="J814">
            <v>1900000</v>
          </cell>
          <cell r="P814">
            <v>1459500</v>
          </cell>
          <cell r="R814">
            <v>1390000</v>
          </cell>
          <cell r="S814">
            <v>1955000</v>
          </cell>
          <cell r="Y814">
            <v>1517250</v>
          </cell>
          <cell r="AA814">
            <v>1445000</v>
          </cell>
        </row>
        <row r="815">
          <cell r="B815">
            <v>49036</v>
          </cell>
          <cell r="C815" t="str">
            <v>TGS-26-4406X4BLS-LX-EL-ACC</v>
          </cell>
          <cell r="E815" t="str">
            <v>CKD</v>
          </cell>
          <cell r="F815" t="str">
            <v>2018-08-30</v>
          </cell>
          <cell r="G815">
            <v>15.9</v>
          </cell>
          <cell r="H815">
            <v>43069</v>
          </cell>
          <cell r="J815">
            <v>1900000</v>
          </cell>
          <cell r="P815">
            <v>1459500</v>
          </cell>
          <cell r="R815">
            <v>1390000</v>
          </cell>
          <cell r="S815">
            <v>1955000</v>
          </cell>
          <cell r="Y815">
            <v>1517250</v>
          </cell>
          <cell r="AA815">
            <v>1445000</v>
          </cell>
        </row>
        <row r="816">
          <cell r="B816">
            <v>49037</v>
          </cell>
          <cell r="C816" t="str">
            <v>TGS-26-4406X4BLS-LX-EL-ACC</v>
          </cell>
          <cell r="E816" t="str">
            <v>CKD</v>
          </cell>
          <cell r="F816" t="str">
            <v>2018-08-30</v>
          </cell>
          <cell r="G816">
            <v>15.9</v>
          </cell>
          <cell r="H816">
            <v>43069</v>
          </cell>
          <cell r="J816">
            <v>1900000</v>
          </cell>
          <cell r="P816">
            <v>1459500</v>
          </cell>
          <cell r="R816">
            <v>1390000</v>
          </cell>
          <cell r="S816">
            <v>1955000</v>
          </cell>
          <cell r="Y816">
            <v>1517250</v>
          </cell>
          <cell r="AA816">
            <v>1445000</v>
          </cell>
        </row>
        <row r="817">
          <cell r="B817">
            <v>49038</v>
          </cell>
          <cell r="C817" t="str">
            <v>TGS-26-4406X4BLS-LX-EL-ACC</v>
          </cell>
          <cell r="E817" t="str">
            <v>CKD</v>
          </cell>
          <cell r="F817" t="str">
            <v>2018-09-30</v>
          </cell>
          <cell r="G817">
            <v>15.9</v>
          </cell>
          <cell r="H817">
            <v>43069</v>
          </cell>
          <cell r="J817">
            <v>1900000</v>
          </cell>
          <cell r="P817">
            <v>1459500</v>
          </cell>
          <cell r="R817">
            <v>1390000</v>
          </cell>
          <cell r="S817">
            <v>1955000</v>
          </cell>
          <cell r="Y817">
            <v>1517250</v>
          </cell>
          <cell r="AA817">
            <v>1445000</v>
          </cell>
        </row>
        <row r="818">
          <cell r="B818">
            <v>49039</v>
          </cell>
          <cell r="C818" t="str">
            <v>TGS-26-4406X4BLS-LX-EL-ACC</v>
          </cell>
          <cell r="E818" t="str">
            <v>CKD</v>
          </cell>
          <cell r="F818" t="str">
            <v>2018-09-30</v>
          </cell>
          <cell r="G818">
            <v>15.9</v>
          </cell>
          <cell r="H818">
            <v>43069</v>
          </cell>
          <cell r="J818">
            <v>1900000</v>
          </cell>
          <cell r="P818">
            <v>1459500</v>
          </cell>
          <cell r="R818">
            <v>1390000</v>
          </cell>
          <cell r="S818">
            <v>1955000</v>
          </cell>
          <cell r="Y818">
            <v>1517250</v>
          </cell>
          <cell r="AA818">
            <v>1445000</v>
          </cell>
        </row>
        <row r="819">
          <cell r="B819">
            <v>49040</v>
          </cell>
          <cell r="C819" t="str">
            <v>TGS-26-4406X4BLS-LX-EL-ACC</v>
          </cell>
          <cell r="E819" t="str">
            <v>CKD</v>
          </cell>
          <cell r="F819" t="str">
            <v>2018-09-30</v>
          </cell>
          <cell r="G819">
            <v>15.9</v>
          </cell>
          <cell r="H819">
            <v>43069</v>
          </cell>
          <cell r="J819">
            <v>1900000</v>
          </cell>
          <cell r="P819">
            <v>1459500</v>
          </cell>
          <cell r="R819">
            <v>1390000</v>
          </cell>
          <cell r="S819">
            <v>1955000</v>
          </cell>
          <cell r="Y819">
            <v>1517250</v>
          </cell>
          <cell r="AA819">
            <v>1445000</v>
          </cell>
        </row>
        <row r="820">
          <cell r="B820">
            <v>49041</v>
          </cell>
          <cell r="C820" t="str">
            <v>TGS-26-4406X4BLS-LX-EL-ACC</v>
          </cell>
          <cell r="E820" t="str">
            <v>CKD</v>
          </cell>
          <cell r="F820" t="str">
            <v>2018-09-30</v>
          </cell>
          <cell r="G820">
            <v>15.9</v>
          </cell>
          <cell r="H820">
            <v>43069</v>
          </cell>
          <cell r="J820">
            <v>1900000</v>
          </cell>
          <cell r="P820">
            <v>1459500</v>
          </cell>
          <cell r="R820">
            <v>1390000</v>
          </cell>
          <cell r="S820">
            <v>1955000</v>
          </cell>
          <cell r="Y820">
            <v>1517250</v>
          </cell>
          <cell r="AA820">
            <v>1445000</v>
          </cell>
        </row>
        <row r="821">
          <cell r="B821">
            <v>49042</v>
          </cell>
          <cell r="C821" t="str">
            <v>TGS-26-4406X4BLS-LX-EL-ACC</v>
          </cell>
          <cell r="E821" t="str">
            <v>CKD</v>
          </cell>
          <cell r="F821" t="str">
            <v>2018-09-30</v>
          </cell>
          <cell r="G821">
            <v>15.9</v>
          </cell>
          <cell r="H821">
            <v>43069</v>
          </cell>
          <cell r="J821">
            <v>1900000</v>
          </cell>
          <cell r="P821">
            <v>1459500</v>
          </cell>
          <cell r="R821">
            <v>1390000</v>
          </cell>
          <cell r="S821">
            <v>1955000</v>
          </cell>
          <cell r="Y821">
            <v>1517250</v>
          </cell>
          <cell r="AA821">
            <v>1445000</v>
          </cell>
        </row>
        <row r="822">
          <cell r="B822" t="str">
            <v>78W-1284</v>
          </cell>
          <cell r="C822" t="str">
            <v>TGS-26-4406X4BLS-LX-EL-ACC</v>
          </cell>
          <cell r="E822" t="str">
            <v>CKD</v>
          </cell>
          <cell r="F822" t="str">
            <v>2018-09-30</v>
          </cell>
          <cell r="G822">
            <v>15.9</v>
          </cell>
          <cell r="H822">
            <v>43054</v>
          </cell>
          <cell r="J822">
            <v>1900000</v>
          </cell>
          <cell r="P822">
            <v>1459500</v>
          </cell>
          <cell r="R822">
            <v>1390000</v>
          </cell>
          <cell r="S822">
            <v>1955000</v>
          </cell>
          <cell r="Y822">
            <v>1517250</v>
          </cell>
          <cell r="AA822">
            <v>1445000</v>
          </cell>
        </row>
        <row r="823">
          <cell r="B823" t="str">
            <v>78W-3552</v>
          </cell>
          <cell r="C823" t="str">
            <v>TGS-26-4406X4BLS-LX-EL-ACC</v>
          </cell>
          <cell r="E823" t="str">
            <v>CKD</v>
          </cell>
          <cell r="F823" t="str">
            <v>2018-09-30</v>
          </cell>
          <cell r="G823">
            <v>15.3</v>
          </cell>
          <cell r="H823">
            <v>42978</v>
          </cell>
          <cell r="J823">
            <v>1900000</v>
          </cell>
          <cell r="P823">
            <v>1459500</v>
          </cell>
          <cell r="R823">
            <v>1390000</v>
          </cell>
          <cell r="S823">
            <v>1955000</v>
          </cell>
          <cell r="Y823">
            <v>1517250</v>
          </cell>
          <cell r="AA823">
            <v>1445000</v>
          </cell>
        </row>
        <row r="824">
          <cell r="B824" t="str">
            <v>78W-6372</v>
          </cell>
          <cell r="C824" t="str">
            <v>TGS-26-4406X4BLS-LX-EL-ACC</v>
          </cell>
          <cell r="E824" t="str">
            <v>CKD</v>
          </cell>
          <cell r="F824" t="str">
            <v>2018-05-30</v>
          </cell>
          <cell r="G824">
            <v>15.3</v>
          </cell>
          <cell r="H824">
            <v>42978</v>
          </cell>
          <cell r="J824">
            <v>1900000</v>
          </cell>
          <cell r="P824">
            <v>1459500</v>
          </cell>
          <cell r="R824">
            <v>1390000</v>
          </cell>
          <cell r="S824">
            <v>1955000</v>
          </cell>
          <cell r="Y824">
            <v>1517250</v>
          </cell>
          <cell r="AA824">
            <v>1445000</v>
          </cell>
        </row>
        <row r="825">
          <cell r="B825" t="str">
            <v>78W-6373</v>
          </cell>
          <cell r="C825" t="str">
            <v>TGS-26-4406X4BLS-LX-EL-ACC</v>
          </cell>
          <cell r="E825" t="str">
            <v>CKD</v>
          </cell>
          <cell r="F825" t="str">
            <v>2018-05-30</v>
          </cell>
          <cell r="G825">
            <v>15.3</v>
          </cell>
          <cell r="H825">
            <v>42978</v>
          </cell>
          <cell r="J825">
            <v>1900000</v>
          </cell>
          <cell r="P825">
            <v>1459500</v>
          </cell>
          <cell r="R825">
            <v>1390000</v>
          </cell>
          <cell r="S825">
            <v>1955000</v>
          </cell>
          <cell r="Y825">
            <v>1517250</v>
          </cell>
          <cell r="AA825">
            <v>1445000</v>
          </cell>
        </row>
        <row r="826">
          <cell r="B826" t="str">
            <v>78W-6374</v>
          </cell>
          <cell r="C826" t="str">
            <v>TGS-26-4406X4BLS-LX-EL-ACC</v>
          </cell>
          <cell r="E826" t="str">
            <v>CKD</v>
          </cell>
          <cell r="F826" t="str">
            <v>2018-04-30</v>
          </cell>
          <cell r="G826">
            <v>15.3</v>
          </cell>
          <cell r="H826">
            <v>42978</v>
          </cell>
          <cell r="J826">
            <v>1900000</v>
          </cell>
          <cell r="P826">
            <v>1459500</v>
          </cell>
          <cell r="R826">
            <v>1390000</v>
          </cell>
          <cell r="S826">
            <v>1955000</v>
          </cell>
          <cell r="Y826">
            <v>1517250</v>
          </cell>
          <cell r="AA826">
            <v>1445000</v>
          </cell>
        </row>
        <row r="827">
          <cell r="B827" t="str">
            <v>78W-6375</v>
          </cell>
          <cell r="C827" t="str">
            <v>TGS-26-4406X4BLS-LX-EL-ACC</v>
          </cell>
          <cell r="E827" t="str">
            <v>CKD</v>
          </cell>
          <cell r="F827" t="str">
            <v>2018-04-30</v>
          </cell>
          <cell r="G827">
            <v>15.3</v>
          </cell>
          <cell r="H827">
            <v>42978</v>
          </cell>
          <cell r="J827">
            <v>1900000</v>
          </cell>
          <cell r="P827">
            <v>1459500</v>
          </cell>
          <cell r="R827">
            <v>1390000</v>
          </cell>
          <cell r="S827">
            <v>1955000</v>
          </cell>
          <cell r="Y827">
            <v>1517250</v>
          </cell>
          <cell r="AA827">
            <v>1445000</v>
          </cell>
        </row>
        <row r="828">
          <cell r="B828" t="str">
            <v>78W-6392</v>
          </cell>
          <cell r="C828" t="str">
            <v>TGS-26-4406X4BLS-LX-EL-ACC</v>
          </cell>
          <cell r="E828" t="str">
            <v>CKD</v>
          </cell>
          <cell r="F828" t="str">
            <v>2018-06-30</v>
          </cell>
          <cell r="G828">
            <v>15.3</v>
          </cell>
          <cell r="H828">
            <v>42978</v>
          </cell>
          <cell r="J828">
            <v>1900000</v>
          </cell>
          <cell r="P828">
            <v>1459500</v>
          </cell>
          <cell r="R828">
            <v>1390000</v>
          </cell>
          <cell r="S828">
            <v>1955000</v>
          </cell>
          <cell r="Y828">
            <v>1517250</v>
          </cell>
          <cell r="AA828">
            <v>1445000</v>
          </cell>
        </row>
        <row r="829">
          <cell r="B829" t="str">
            <v>78W-6393</v>
          </cell>
          <cell r="C829" t="str">
            <v>TGS-26-4406X4BLS-LX-EL-ACC</v>
          </cell>
          <cell r="E829" t="str">
            <v>CKD</v>
          </cell>
          <cell r="F829" t="str">
            <v>2018-06-30</v>
          </cell>
          <cell r="G829">
            <v>15.3</v>
          </cell>
          <cell r="H829">
            <v>42978</v>
          </cell>
          <cell r="J829">
            <v>1900000</v>
          </cell>
          <cell r="P829">
            <v>1459500</v>
          </cell>
          <cell r="R829">
            <v>1390000</v>
          </cell>
          <cell r="S829">
            <v>1955000</v>
          </cell>
          <cell r="Y829">
            <v>1517250</v>
          </cell>
          <cell r="AA829">
            <v>1445000</v>
          </cell>
        </row>
        <row r="830">
          <cell r="B830" t="str">
            <v>78W-6394</v>
          </cell>
          <cell r="C830" t="str">
            <v>TGS-26-4406X4BLS-LX-EL-ACC</v>
          </cell>
          <cell r="E830" t="str">
            <v>CKD</v>
          </cell>
          <cell r="F830" t="str">
            <v>2018-06-30</v>
          </cell>
          <cell r="G830">
            <v>15.3</v>
          </cell>
          <cell r="H830">
            <v>42978</v>
          </cell>
          <cell r="J830">
            <v>1900000</v>
          </cell>
          <cell r="P830">
            <v>1459500</v>
          </cell>
          <cell r="R830">
            <v>1390000</v>
          </cell>
          <cell r="S830">
            <v>1955000</v>
          </cell>
          <cell r="Y830">
            <v>1517250</v>
          </cell>
          <cell r="AA830">
            <v>1445000</v>
          </cell>
        </row>
        <row r="831">
          <cell r="B831" t="str">
            <v>78W-6395</v>
          </cell>
          <cell r="C831" t="str">
            <v>TGS-26-4406X4BLS-LX-EL-ACC</v>
          </cell>
          <cell r="E831" t="str">
            <v>CKD</v>
          </cell>
          <cell r="F831" t="str">
            <v>2018-06-30</v>
          </cell>
          <cell r="G831">
            <v>15.3</v>
          </cell>
          <cell r="H831">
            <v>42978</v>
          </cell>
          <cell r="J831">
            <v>1900000</v>
          </cell>
          <cell r="P831">
            <v>1459500</v>
          </cell>
          <cell r="R831">
            <v>1390000</v>
          </cell>
          <cell r="S831">
            <v>1955000</v>
          </cell>
          <cell r="Y831">
            <v>1517250</v>
          </cell>
          <cell r="AA831">
            <v>1445000</v>
          </cell>
        </row>
        <row r="832">
          <cell r="B832" t="str">
            <v>78W-6412</v>
          </cell>
          <cell r="C832" t="str">
            <v>TGS-26-4406X4BLS-LX-EL-ACC</v>
          </cell>
          <cell r="E832" t="str">
            <v>CKD</v>
          </cell>
          <cell r="F832" t="str">
            <v>2018-07-30</v>
          </cell>
          <cell r="G832">
            <v>15.3</v>
          </cell>
          <cell r="H832">
            <v>42978</v>
          </cell>
          <cell r="J832">
            <v>1900000</v>
          </cell>
          <cell r="P832">
            <v>1459500</v>
          </cell>
          <cell r="R832">
            <v>1390000</v>
          </cell>
          <cell r="S832">
            <v>1955000</v>
          </cell>
          <cell r="Y832">
            <v>1517250</v>
          </cell>
          <cell r="AA832">
            <v>1445000</v>
          </cell>
        </row>
        <row r="833">
          <cell r="B833" t="str">
            <v>78W-6413</v>
          </cell>
          <cell r="C833" t="str">
            <v>TGS-26-4406X4BLS-LX-EL-ACC</v>
          </cell>
          <cell r="E833" t="str">
            <v>CKD</v>
          </cell>
          <cell r="F833" t="str">
            <v>2018-07-30</v>
          </cell>
          <cell r="G833">
            <v>15.3</v>
          </cell>
          <cell r="H833">
            <v>42978</v>
          </cell>
          <cell r="J833">
            <v>1900000</v>
          </cell>
          <cell r="P833">
            <v>1459500</v>
          </cell>
          <cell r="R833">
            <v>1390000</v>
          </cell>
          <cell r="S833">
            <v>1955000</v>
          </cell>
          <cell r="Y833">
            <v>1517250</v>
          </cell>
          <cell r="AA833">
            <v>1445000</v>
          </cell>
        </row>
        <row r="834">
          <cell r="B834" t="str">
            <v>78W-6414</v>
          </cell>
          <cell r="C834" t="str">
            <v>TGS-26-4406X4BLS-LX-EL-ACC</v>
          </cell>
          <cell r="E834" t="str">
            <v>CKD</v>
          </cell>
          <cell r="F834" t="str">
            <v>2018-07-30</v>
          </cell>
          <cell r="G834">
            <v>15.3</v>
          </cell>
          <cell r="H834">
            <v>42978</v>
          </cell>
          <cell r="J834">
            <v>1900000</v>
          </cell>
          <cell r="P834">
            <v>1459500</v>
          </cell>
          <cell r="R834">
            <v>1390000</v>
          </cell>
          <cell r="S834">
            <v>1955000</v>
          </cell>
          <cell r="Y834">
            <v>1517250</v>
          </cell>
          <cell r="AA834">
            <v>1445000</v>
          </cell>
        </row>
        <row r="835">
          <cell r="B835" t="str">
            <v>78W-6415</v>
          </cell>
          <cell r="C835" t="str">
            <v>TGS-26-4406X4BLS-LX-EL-ACC</v>
          </cell>
          <cell r="E835" t="str">
            <v>CKD</v>
          </cell>
          <cell r="F835" t="str">
            <v>2018-07-30</v>
          </cell>
          <cell r="G835">
            <v>15.3</v>
          </cell>
          <cell r="H835">
            <v>42978</v>
          </cell>
          <cell r="J835">
            <v>1900000</v>
          </cell>
          <cell r="P835">
            <v>1459500</v>
          </cell>
          <cell r="R835">
            <v>1390000</v>
          </cell>
          <cell r="S835">
            <v>1955000</v>
          </cell>
          <cell r="Y835">
            <v>1517250</v>
          </cell>
          <cell r="AA835">
            <v>1445000</v>
          </cell>
        </row>
        <row r="836">
          <cell r="B836" t="str">
            <v>78W-6432</v>
          </cell>
          <cell r="C836" t="str">
            <v>TGS-26-4406X4BLS-LX-EL-ACC</v>
          </cell>
          <cell r="E836" t="str">
            <v>CKD</v>
          </cell>
          <cell r="F836" t="str">
            <v>2018-06-30</v>
          </cell>
          <cell r="G836">
            <v>15.3</v>
          </cell>
          <cell r="H836">
            <v>42978</v>
          </cell>
          <cell r="J836">
            <v>1900000</v>
          </cell>
          <cell r="P836">
            <v>1459500</v>
          </cell>
          <cell r="R836">
            <v>1390000</v>
          </cell>
          <cell r="S836">
            <v>1955000</v>
          </cell>
          <cell r="Y836">
            <v>1517250</v>
          </cell>
          <cell r="AA836">
            <v>1445000</v>
          </cell>
        </row>
        <row r="837">
          <cell r="B837" t="str">
            <v>78W-6433</v>
          </cell>
          <cell r="C837" t="str">
            <v>TGS-26-4406X4BLS-LX-EL-ACC</v>
          </cell>
          <cell r="E837" t="str">
            <v>CKD</v>
          </cell>
          <cell r="F837" t="str">
            <v>2018-06-30</v>
          </cell>
          <cell r="G837">
            <v>15.3</v>
          </cell>
          <cell r="H837">
            <v>42978</v>
          </cell>
          <cell r="J837">
            <v>1900000</v>
          </cell>
          <cell r="P837">
            <v>1459500</v>
          </cell>
          <cell r="R837">
            <v>1390000</v>
          </cell>
          <cell r="S837">
            <v>1955000</v>
          </cell>
          <cell r="Y837">
            <v>1517250</v>
          </cell>
          <cell r="AA837">
            <v>1445000</v>
          </cell>
        </row>
        <row r="838">
          <cell r="B838" t="str">
            <v>78W-6434</v>
          </cell>
          <cell r="C838" t="str">
            <v>TGS-26-4406X4BLS-LX-EL-ACC</v>
          </cell>
          <cell r="E838" t="str">
            <v>CKD</v>
          </cell>
          <cell r="F838" t="str">
            <v>2018-06-30</v>
          </cell>
          <cell r="G838">
            <v>15.3</v>
          </cell>
          <cell r="H838">
            <v>42978</v>
          </cell>
          <cell r="J838">
            <v>1900000</v>
          </cell>
          <cell r="P838">
            <v>1459500</v>
          </cell>
          <cell r="R838">
            <v>1390000</v>
          </cell>
          <cell r="S838">
            <v>1955000</v>
          </cell>
          <cell r="Y838">
            <v>1517250</v>
          </cell>
          <cell r="AA838">
            <v>1445000</v>
          </cell>
        </row>
        <row r="839">
          <cell r="B839" t="str">
            <v>78W-6435</v>
          </cell>
          <cell r="C839" t="str">
            <v>TGS-26-4406X4BLS-LX-EL-ACC</v>
          </cell>
          <cell r="E839" t="str">
            <v>CKD</v>
          </cell>
          <cell r="F839" t="str">
            <v>2018-06-30</v>
          </cell>
          <cell r="G839">
            <v>15.3</v>
          </cell>
          <cell r="H839">
            <v>42978</v>
          </cell>
          <cell r="J839">
            <v>1900000</v>
          </cell>
          <cell r="P839">
            <v>1459500</v>
          </cell>
          <cell r="R839">
            <v>1390000</v>
          </cell>
          <cell r="S839">
            <v>1955000</v>
          </cell>
          <cell r="Y839">
            <v>1517250</v>
          </cell>
          <cell r="AA839">
            <v>1445000</v>
          </cell>
        </row>
        <row r="840">
          <cell r="B840" t="str">
            <v>78W-6440</v>
          </cell>
          <cell r="C840" t="str">
            <v>TGS-26-4406X4BLS-LX-EL-ACC</v>
          </cell>
          <cell r="E840" t="str">
            <v>CKD</v>
          </cell>
          <cell r="F840" t="str">
            <v>2018-07-30</v>
          </cell>
          <cell r="G840">
            <v>15.3</v>
          </cell>
          <cell r="H840">
            <v>42978</v>
          </cell>
          <cell r="J840">
            <v>1900000</v>
          </cell>
          <cell r="P840">
            <v>1459500</v>
          </cell>
          <cell r="R840">
            <v>1390000</v>
          </cell>
          <cell r="S840">
            <v>1955000</v>
          </cell>
          <cell r="Y840">
            <v>1517250</v>
          </cell>
          <cell r="AA840">
            <v>1445000</v>
          </cell>
        </row>
        <row r="841">
          <cell r="B841" t="str">
            <v>78W-6441</v>
          </cell>
          <cell r="C841" t="str">
            <v>TGS-26-4406X4BLS-LX-EL-ACC</v>
          </cell>
          <cell r="E841" t="str">
            <v>CKD</v>
          </cell>
          <cell r="F841" t="str">
            <v>2018-07-30</v>
          </cell>
          <cell r="G841">
            <v>15.3</v>
          </cell>
          <cell r="H841">
            <v>42978</v>
          </cell>
          <cell r="J841">
            <v>1900000</v>
          </cell>
          <cell r="P841">
            <v>1459500</v>
          </cell>
          <cell r="R841">
            <v>1390000</v>
          </cell>
          <cell r="S841">
            <v>1955000</v>
          </cell>
          <cell r="Y841">
            <v>1517250</v>
          </cell>
          <cell r="AA841">
            <v>1445000</v>
          </cell>
        </row>
        <row r="842">
          <cell r="B842" t="str">
            <v>78W-6442</v>
          </cell>
          <cell r="C842" t="str">
            <v>TGS-26-4406X4BLS-LX-EL-ACC</v>
          </cell>
          <cell r="E842" t="str">
            <v>CKD</v>
          </cell>
          <cell r="F842" t="str">
            <v>2018-07-30</v>
          </cell>
          <cell r="G842">
            <v>15.3</v>
          </cell>
          <cell r="H842">
            <v>42978</v>
          </cell>
          <cell r="J842">
            <v>1900000</v>
          </cell>
          <cell r="P842">
            <v>1459500</v>
          </cell>
          <cell r="R842">
            <v>1390000</v>
          </cell>
          <cell r="S842">
            <v>1955000</v>
          </cell>
          <cell r="Y842">
            <v>1517250</v>
          </cell>
          <cell r="AA842">
            <v>1445000</v>
          </cell>
        </row>
        <row r="843">
          <cell r="B843" t="str">
            <v>78W-6443</v>
          </cell>
          <cell r="C843" t="str">
            <v>TGS-26-4406X4BLS-LX-EL-ACC</v>
          </cell>
          <cell r="E843" t="str">
            <v>CKD</v>
          </cell>
          <cell r="F843" t="str">
            <v>2018-07-30</v>
          </cell>
          <cell r="G843">
            <v>15.3</v>
          </cell>
          <cell r="H843">
            <v>42978</v>
          </cell>
          <cell r="J843">
            <v>1900000</v>
          </cell>
          <cell r="P843">
            <v>1459500</v>
          </cell>
          <cell r="R843">
            <v>1390000</v>
          </cell>
          <cell r="S843">
            <v>1955000</v>
          </cell>
          <cell r="Y843">
            <v>1517250</v>
          </cell>
          <cell r="AA843">
            <v>1445000</v>
          </cell>
        </row>
        <row r="844">
          <cell r="B844" t="str">
            <v>78W-6452</v>
          </cell>
          <cell r="C844" t="str">
            <v>TGS-26-4406X4BLS-LX-EL-ACC</v>
          </cell>
          <cell r="E844" t="str">
            <v>CKD</v>
          </cell>
          <cell r="F844" t="str">
            <v>2018-09-30</v>
          </cell>
          <cell r="G844">
            <v>15.3</v>
          </cell>
          <cell r="H844">
            <v>42978</v>
          </cell>
          <cell r="J844">
            <v>1900000</v>
          </cell>
          <cell r="P844">
            <v>1459500</v>
          </cell>
          <cell r="R844">
            <v>1390000</v>
          </cell>
          <cell r="S844">
            <v>1955000</v>
          </cell>
          <cell r="Y844">
            <v>1517250</v>
          </cell>
          <cell r="AA844">
            <v>1445000</v>
          </cell>
        </row>
        <row r="845">
          <cell r="B845" t="str">
            <v>78W-6453</v>
          </cell>
          <cell r="C845" t="str">
            <v>TGS-26-4406X4BLS-LX-EL-ACC</v>
          </cell>
          <cell r="E845" t="str">
            <v>CKD</v>
          </cell>
          <cell r="F845" t="str">
            <v>2018-09-30</v>
          </cell>
          <cell r="G845">
            <v>15.3</v>
          </cell>
          <cell r="H845">
            <v>42978</v>
          </cell>
          <cell r="J845">
            <v>1900000</v>
          </cell>
          <cell r="P845">
            <v>1459500</v>
          </cell>
          <cell r="R845">
            <v>1390000</v>
          </cell>
          <cell r="S845">
            <v>1955000</v>
          </cell>
          <cell r="Y845">
            <v>1517250</v>
          </cell>
          <cell r="AA845">
            <v>1445000</v>
          </cell>
        </row>
        <row r="846">
          <cell r="B846" t="str">
            <v>78W-6454</v>
          </cell>
          <cell r="C846" t="str">
            <v>TGS-26-4406X4BLS-LX-EL-ACC</v>
          </cell>
          <cell r="E846" t="str">
            <v>CKD</v>
          </cell>
          <cell r="F846" t="str">
            <v>2018-09-30</v>
          </cell>
          <cell r="G846">
            <v>15.3</v>
          </cell>
          <cell r="H846">
            <v>42978</v>
          </cell>
          <cell r="J846">
            <v>1900000</v>
          </cell>
          <cell r="P846">
            <v>1459500</v>
          </cell>
          <cell r="R846">
            <v>1390000</v>
          </cell>
          <cell r="S846">
            <v>1955000</v>
          </cell>
          <cell r="Y846">
            <v>1517250</v>
          </cell>
          <cell r="AA846">
            <v>1445000</v>
          </cell>
        </row>
        <row r="847">
          <cell r="B847" t="str">
            <v>78W-6455</v>
          </cell>
          <cell r="C847" t="str">
            <v>TGS-26-4406X4BLS-LX-EL-ACC</v>
          </cell>
          <cell r="E847" t="str">
            <v>CKD</v>
          </cell>
          <cell r="F847" t="str">
            <v>2018-09-30</v>
          </cell>
          <cell r="G847">
            <v>15.3</v>
          </cell>
          <cell r="H847">
            <v>42978</v>
          </cell>
          <cell r="J847">
            <v>1900000</v>
          </cell>
          <cell r="P847">
            <v>1459500</v>
          </cell>
          <cell r="R847">
            <v>1390000</v>
          </cell>
          <cell r="S847">
            <v>1955000</v>
          </cell>
          <cell r="Y847">
            <v>1517250</v>
          </cell>
          <cell r="AA847">
            <v>1445000</v>
          </cell>
        </row>
        <row r="848">
          <cell r="B848" t="str">
            <v>78W-6468</v>
          </cell>
          <cell r="C848" t="str">
            <v>TGS-26-4406X4BLS-LX-EL-ACC</v>
          </cell>
          <cell r="E848" t="str">
            <v>CKD</v>
          </cell>
          <cell r="F848" t="str">
            <v>2018-09-30</v>
          </cell>
          <cell r="G848">
            <v>15.3</v>
          </cell>
          <cell r="H848">
            <v>42978</v>
          </cell>
          <cell r="J848">
            <v>1900000</v>
          </cell>
          <cell r="P848">
            <v>1459500</v>
          </cell>
          <cell r="R848">
            <v>1390000</v>
          </cell>
          <cell r="S848">
            <v>1955000</v>
          </cell>
          <cell r="Y848">
            <v>1517250</v>
          </cell>
          <cell r="AA848">
            <v>1445000</v>
          </cell>
        </row>
        <row r="849">
          <cell r="B849" t="str">
            <v>78W-6469</v>
          </cell>
          <cell r="C849" t="str">
            <v>TGS-26-4406X4BLS-LX-EL-ACC</v>
          </cell>
          <cell r="E849" t="str">
            <v>CKD</v>
          </cell>
          <cell r="F849" t="str">
            <v>2018-09-30</v>
          </cell>
          <cell r="G849">
            <v>15.3</v>
          </cell>
          <cell r="H849">
            <v>42978</v>
          </cell>
          <cell r="J849">
            <v>1900000</v>
          </cell>
          <cell r="P849">
            <v>1459500</v>
          </cell>
          <cell r="R849">
            <v>1390000</v>
          </cell>
          <cell r="S849">
            <v>1955000</v>
          </cell>
          <cell r="Y849">
            <v>1517250</v>
          </cell>
          <cell r="AA849">
            <v>1445000</v>
          </cell>
        </row>
        <row r="850">
          <cell r="B850" t="str">
            <v>78W-6470</v>
          </cell>
          <cell r="C850" t="str">
            <v>TGS-26-4406X4BLS-LX-EL-ACC</v>
          </cell>
          <cell r="E850" t="str">
            <v>CKD</v>
          </cell>
          <cell r="F850" t="str">
            <v>2018-10-30</v>
          </cell>
          <cell r="G850">
            <v>15.3</v>
          </cell>
          <cell r="H850">
            <v>42978</v>
          </cell>
          <cell r="J850">
            <v>1900000</v>
          </cell>
          <cell r="P850">
            <v>1459500</v>
          </cell>
          <cell r="R850">
            <v>1390000</v>
          </cell>
          <cell r="S850">
            <v>1955000</v>
          </cell>
          <cell r="Y850">
            <v>1517250</v>
          </cell>
          <cell r="AA850">
            <v>1445000</v>
          </cell>
        </row>
        <row r="851">
          <cell r="B851" t="str">
            <v>78W-6510</v>
          </cell>
          <cell r="C851" t="str">
            <v>TGS-26-4406X4BLS-LX-EL-ACC</v>
          </cell>
          <cell r="E851" t="str">
            <v>CKD</v>
          </cell>
          <cell r="F851" t="str">
            <v>2018-08-30</v>
          </cell>
          <cell r="G851">
            <v>15.9</v>
          </cell>
          <cell r="H851">
            <v>43039</v>
          </cell>
          <cell r="J851">
            <v>1900000</v>
          </cell>
          <cell r="P851">
            <v>1459500</v>
          </cell>
          <cell r="R851">
            <v>1390000</v>
          </cell>
          <cell r="S851">
            <v>1955000</v>
          </cell>
          <cell r="Y851">
            <v>1517250</v>
          </cell>
          <cell r="AA851">
            <v>1445000</v>
          </cell>
        </row>
        <row r="852">
          <cell r="B852" t="str">
            <v>78W-6511</v>
          </cell>
          <cell r="C852" t="str">
            <v>TGS-26-4406X4BLS-LX-EL-ACC</v>
          </cell>
          <cell r="E852" t="str">
            <v>CKD</v>
          </cell>
          <cell r="F852" t="str">
            <v>2018-08-30</v>
          </cell>
          <cell r="G852">
            <v>15.9</v>
          </cell>
          <cell r="H852">
            <v>43039</v>
          </cell>
          <cell r="J852">
            <v>1900000</v>
          </cell>
          <cell r="P852">
            <v>1459500</v>
          </cell>
          <cell r="R852">
            <v>1390000</v>
          </cell>
          <cell r="S852">
            <v>1955000</v>
          </cell>
          <cell r="Y852">
            <v>1517250</v>
          </cell>
          <cell r="AA852">
            <v>1445000</v>
          </cell>
        </row>
        <row r="853">
          <cell r="B853" t="str">
            <v>78W-6512</v>
          </cell>
          <cell r="C853" t="str">
            <v>TGS-26-4406X4BLS-LX-EL-ACC</v>
          </cell>
          <cell r="E853" t="str">
            <v>CKD</v>
          </cell>
          <cell r="F853" t="str">
            <v>2018-08-30</v>
          </cell>
          <cell r="G853">
            <v>15.9</v>
          </cell>
          <cell r="H853">
            <v>43039</v>
          </cell>
          <cell r="J853">
            <v>1900000</v>
          </cell>
          <cell r="P853">
            <v>1459500</v>
          </cell>
          <cell r="R853">
            <v>1390000</v>
          </cell>
          <cell r="S853">
            <v>1955000</v>
          </cell>
          <cell r="Y853">
            <v>1517250</v>
          </cell>
          <cell r="AA853">
            <v>1445000</v>
          </cell>
        </row>
        <row r="854">
          <cell r="B854" t="str">
            <v>78W-6513</v>
          </cell>
          <cell r="C854" t="str">
            <v>TGS-26-4406X4BLS-LX-EL-ACC</v>
          </cell>
          <cell r="E854" t="str">
            <v>CKD</v>
          </cell>
          <cell r="F854" t="str">
            <v>2018-08-30</v>
          </cell>
          <cell r="G854">
            <v>15.9</v>
          </cell>
          <cell r="H854">
            <v>43039</v>
          </cell>
          <cell r="J854">
            <v>1900000</v>
          </cell>
          <cell r="P854">
            <v>1459500</v>
          </cell>
          <cell r="R854">
            <v>1390000</v>
          </cell>
          <cell r="S854">
            <v>1955000</v>
          </cell>
          <cell r="Y854">
            <v>1517250</v>
          </cell>
          <cell r="AA854">
            <v>1445000</v>
          </cell>
        </row>
        <row r="855">
          <cell r="B855" t="str">
            <v>78W-6514</v>
          </cell>
          <cell r="C855" t="str">
            <v>TGS-26-4406X4BLS-LX-EL-ACC</v>
          </cell>
          <cell r="E855" t="str">
            <v>CKD</v>
          </cell>
          <cell r="F855" t="str">
            <v>2018-08-30</v>
          </cell>
          <cell r="G855">
            <v>15.9</v>
          </cell>
          <cell r="H855">
            <v>43039</v>
          </cell>
          <cell r="J855">
            <v>1900000</v>
          </cell>
          <cell r="P855">
            <v>1459500</v>
          </cell>
          <cell r="R855">
            <v>1390000</v>
          </cell>
          <cell r="S855">
            <v>1955000</v>
          </cell>
          <cell r="Y855">
            <v>1517250</v>
          </cell>
          <cell r="AA855">
            <v>1445000</v>
          </cell>
        </row>
        <row r="856">
          <cell r="B856" t="str">
            <v>78W-6515</v>
          </cell>
          <cell r="C856" t="str">
            <v>TGS-26-4406X4BLS-LX-EL-ACC</v>
          </cell>
          <cell r="E856" t="str">
            <v>CKD</v>
          </cell>
          <cell r="F856" t="str">
            <v>2018-08-30</v>
          </cell>
          <cell r="G856">
            <v>15.9</v>
          </cell>
          <cell r="H856">
            <v>43039</v>
          </cell>
          <cell r="J856">
            <v>1900000</v>
          </cell>
          <cell r="P856">
            <v>1459500</v>
          </cell>
          <cell r="R856">
            <v>1390000</v>
          </cell>
          <cell r="S856">
            <v>1955000</v>
          </cell>
          <cell r="Y856">
            <v>1517250</v>
          </cell>
          <cell r="AA856">
            <v>1445000</v>
          </cell>
        </row>
        <row r="857">
          <cell r="B857" t="str">
            <v>78W-6516</v>
          </cell>
          <cell r="C857" t="str">
            <v>TGS-26-4406X4BLS-LX-EL-ACC</v>
          </cell>
          <cell r="E857" t="str">
            <v>CKD</v>
          </cell>
          <cell r="F857" t="str">
            <v>2018-09-30</v>
          </cell>
          <cell r="G857">
            <v>15.9</v>
          </cell>
          <cell r="H857">
            <v>43039</v>
          </cell>
          <cell r="J857">
            <v>1900000</v>
          </cell>
          <cell r="P857">
            <v>1459500</v>
          </cell>
          <cell r="R857">
            <v>1390000</v>
          </cell>
          <cell r="S857">
            <v>1955000</v>
          </cell>
          <cell r="Y857">
            <v>1517250</v>
          </cell>
          <cell r="AA857">
            <v>1445000</v>
          </cell>
        </row>
        <row r="858">
          <cell r="B858" t="str">
            <v>78W-6517</v>
          </cell>
          <cell r="C858" t="str">
            <v>TGS-26-4406X4BLS-LX-EL-ACC</v>
          </cell>
          <cell r="E858" t="str">
            <v>CKD</v>
          </cell>
          <cell r="F858" t="str">
            <v>2018-09-30</v>
          </cell>
          <cell r="G858">
            <v>15.9</v>
          </cell>
          <cell r="H858">
            <v>43039</v>
          </cell>
          <cell r="J858">
            <v>1900000</v>
          </cell>
          <cell r="P858">
            <v>1459500</v>
          </cell>
          <cell r="R858">
            <v>1390000</v>
          </cell>
          <cell r="S858">
            <v>1955000</v>
          </cell>
          <cell r="Y858">
            <v>1517250</v>
          </cell>
          <cell r="AA858">
            <v>1445000</v>
          </cell>
        </row>
        <row r="859">
          <cell r="B859" t="str">
            <v>78W-6550</v>
          </cell>
          <cell r="C859" t="str">
            <v>TGS-26-4406X4BLS-LX-EL-ACC</v>
          </cell>
          <cell r="E859" t="str">
            <v>CKD</v>
          </cell>
          <cell r="F859" t="str">
            <v>2018-08-30</v>
          </cell>
          <cell r="G859">
            <v>15.9</v>
          </cell>
          <cell r="H859">
            <v>43039</v>
          </cell>
          <cell r="J859">
            <v>1900000</v>
          </cell>
          <cell r="P859">
            <v>1459500</v>
          </cell>
          <cell r="R859">
            <v>1390000</v>
          </cell>
          <cell r="S859">
            <v>1955000</v>
          </cell>
          <cell r="Y859">
            <v>1517250</v>
          </cell>
          <cell r="AA859">
            <v>1445000</v>
          </cell>
        </row>
        <row r="860">
          <cell r="B860" t="str">
            <v>78W-6551</v>
          </cell>
          <cell r="C860" t="str">
            <v>TGS-26-4406X4BLS-LX-EL-ACC</v>
          </cell>
          <cell r="E860" t="str">
            <v>CKD</v>
          </cell>
          <cell r="F860" t="str">
            <v>2018-08-30</v>
          </cell>
          <cell r="G860">
            <v>15.9</v>
          </cell>
          <cell r="H860">
            <v>43039</v>
          </cell>
          <cell r="J860">
            <v>1900000</v>
          </cell>
          <cell r="P860">
            <v>1459500</v>
          </cell>
          <cell r="R860">
            <v>1390000</v>
          </cell>
          <cell r="S860">
            <v>1955000</v>
          </cell>
          <cell r="Y860">
            <v>1517250</v>
          </cell>
          <cell r="AA860">
            <v>1445000</v>
          </cell>
        </row>
        <row r="861">
          <cell r="B861" t="str">
            <v>78W-6552</v>
          </cell>
          <cell r="C861" t="str">
            <v>TGS-26-4406X4BLS-LX-EL-ACC</v>
          </cell>
          <cell r="E861" t="str">
            <v>CKD</v>
          </cell>
          <cell r="F861" t="str">
            <v>2018-08-30</v>
          </cell>
          <cell r="G861">
            <v>15.9</v>
          </cell>
          <cell r="H861">
            <v>43039</v>
          </cell>
          <cell r="J861">
            <v>1900000</v>
          </cell>
          <cell r="P861">
            <v>1459500</v>
          </cell>
          <cell r="R861">
            <v>1390000</v>
          </cell>
          <cell r="S861">
            <v>1955000</v>
          </cell>
          <cell r="Y861">
            <v>1517250</v>
          </cell>
          <cell r="AA861">
            <v>1445000</v>
          </cell>
        </row>
        <row r="862">
          <cell r="B862" t="str">
            <v>78W-6553</v>
          </cell>
          <cell r="C862" t="str">
            <v>TGS-26-4406X4BLS-LX-EL-ACC</v>
          </cell>
          <cell r="E862" t="str">
            <v>CKD</v>
          </cell>
          <cell r="F862" t="str">
            <v>2018-08-30</v>
          </cell>
          <cell r="G862">
            <v>15.9</v>
          </cell>
          <cell r="H862">
            <v>43039</v>
          </cell>
          <cell r="J862">
            <v>1900000</v>
          </cell>
          <cell r="P862">
            <v>1459500</v>
          </cell>
          <cell r="R862">
            <v>1390000</v>
          </cell>
          <cell r="S862">
            <v>1955000</v>
          </cell>
          <cell r="Y862">
            <v>1517250</v>
          </cell>
          <cell r="AA862">
            <v>1445000</v>
          </cell>
        </row>
        <row r="863">
          <cell r="B863" t="str">
            <v>78W-6624</v>
          </cell>
          <cell r="C863" t="str">
            <v>TGS-26-4406X4BLS-LX-EL-ACC</v>
          </cell>
          <cell r="E863" t="str">
            <v>CKD</v>
          </cell>
          <cell r="F863" t="str">
            <v>2018-11-30</v>
          </cell>
          <cell r="G863">
            <v>15.9</v>
          </cell>
          <cell r="H863">
            <v>43039</v>
          </cell>
          <cell r="J863">
            <v>1900000</v>
          </cell>
          <cell r="P863">
            <v>1459500</v>
          </cell>
          <cell r="R863">
            <v>1390000</v>
          </cell>
          <cell r="S863">
            <v>1955000</v>
          </cell>
          <cell r="Y863">
            <v>1517250</v>
          </cell>
          <cell r="AA863">
            <v>1445000</v>
          </cell>
        </row>
        <row r="864">
          <cell r="B864" t="str">
            <v>TBATG013</v>
          </cell>
          <cell r="C864" t="str">
            <v>TGS-26-4406X4BLS-LX-EL-ACC</v>
          </cell>
          <cell r="E864" t="str">
            <v>CKD</v>
          </cell>
          <cell r="F864" t="str">
            <v>2018-06-18</v>
          </cell>
          <cell r="G864">
            <v>15.8</v>
          </cell>
          <cell r="H864">
            <v>43159</v>
          </cell>
          <cell r="J864">
            <v>1900000</v>
          </cell>
          <cell r="P864">
            <v>1512000</v>
          </cell>
          <cell r="R864">
            <v>1440000</v>
          </cell>
          <cell r="S864">
            <v>1955000</v>
          </cell>
          <cell r="Y864">
            <v>1569750</v>
          </cell>
          <cell r="AA864">
            <v>1495000</v>
          </cell>
        </row>
        <row r="865">
          <cell r="B865" t="str">
            <v>78W-5236</v>
          </cell>
          <cell r="C865" t="str">
            <v>TGS-26-4406X4BLS-M</v>
          </cell>
          <cell r="E865" t="str">
            <v>DEMO</v>
          </cell>
          <cell r="F865">
            <v>692</v>
          </cell>
          <cell r="G865">
            <v>14.6</v>
          </cell>
          <cell r="H865">
            <v>42306</v>
          </cell>
          <cell r="J865">
            <v>1750000</v>
          </cell>
          <cell r="P865">
            <v>1039500</v>
          </cell>
          <cell r="R865">
            <v>990000</v>
          </cell>
          <cell r="S865">
            <v>1750000</v>
          </cell>
          <cell r="Y865">
            <v>1039500</v>
          </cell>
          <cell r="AA865">
            <v>990000</v>
          </cell>
        </row>
        <row r="866">
          <cell r="B866" t="str">
            <v>TBAKP635</v>
          </cell>
          <cell r="C866" t="str">
            <v>TGS-26-4806X4BLS-LX</v>
          </cell>
          <cell r="E866" t="str">
            <v>CKD</v>
          </cell>
          <cell r="F866" t="str">
            <v>2018-08-19</v>
          </cell>
          <cell r="G866">
            <v>15.8</v>
          </cell>
          <cell r="H866">
            <v>43159</v>
          </cell>
          <cell r="J866">
            <v>1895000</v>
          </cell>
          <cell r="P866">
            <v>1443750</v>
          </cell>
          <cell r="R866">
            <v>1375000</v>
          </cell>
          <cell r="S866">
            <v>1950000</v>
          </cell>
          <cell r="Y866">
            <v>1501500</v>
          </cell>
          <cell r="AA866">
            <v>1430000</v>
          </cell>
        </row>
        <row r="867">
          <cell r="B867" t="str">
            <v>78W-5349</v>
          </cell>
          <cell r="C867" t="str">
            <v>TGS-26-4806X4BLS-LX-EL</v>
          </cell>
          <cell r="E867" t="str">
            <v>DEMO</v>
          </cell>
          <cell r="F867">
            <v>607</v>
          </cell>
          <cell r="G867">
            <v>15.2</v>
          </cell>
          <cell r="H867">
            <v>42355</v>
          </cell>
          <cell r="J867">
            <v>1950000</v>
          </cell>
          <cell r="P867">
            <v>1155000</v>
          </cell>
          <cell r="R867">
            <v>1100000</v>
          </cell>
          <cell r="S867">
            <v>1950000</v>
          </cell>
          <cell r="Y867">
            <v>1155000</v>
          </cell>
          <cell r="AA867">
            <v>1100000</v>
          </cell>
        </row>
        <row r="868">
          <cell r="B868" t="str">
            <v>TBAKP709</v>
          </cell>
          <cell r="C868" t="str">
            <v>TGS-26-4806X4BLS-LX-EL</v>
          </cell>
          <cell r="E868" t="str">
            <v>CKD</v>
          </cell>
          <cell r="F868" t="str">
            <v>2018-08-19</v>
          </cell>
          <cell r="G868">
            <v>15.8</v>
          </cell>
          <cell r="H868">
            <v>43159</v>
          </cell>
          <cell r="J868">
            <v>1950000</v>
          </cell>
          <cell r="P868">
            <v>1512000</v>
          </cell>
          <cell r="R868">
            <v>1440000</v>
          </cell>
          <cell r="S868">
            <v>2030000</v>
          </cell>
          <cell r="Y868">
            <v>1596000</v>
          </cell>
          <cell r="AA868">
            <v>1520000</v>
          </cell>
        </row>
        <row r="869">
          <cell r="B869">
            <v>48801</v>
          </cell>
          <cell r="C869" t="str">
            <v>TGS-26-4806X4BLS-LX-EL-ACC</v>
          </cell>
          <cell r="E869" t="str">
            <v>CKD</v>
          </cell>
          <cell r="F869" t="str">
            <v>2018-06-30</v>
          </cell>
          <cell r="G869">
            <v>15.9</v>
          </cell>
          <cell r="H869">
            <v>43039</v>
          </cell>
          <cell r="J869">
            <v>1990000</v>
          </cell>
          <cell r="P869">
            <v>1480500</v>
          </cell>
          <cell r="R869">
            <v>1410000</v>
          </cell>
          <cell r="S869">
            <v>2070000</v>
          </cell>
          <cell r="Y869">
            <v>1564500</v>
          </cell>
          <cell r="AA869">
            <v>1490000</v>
          </cell>
        </row>
        <row r="870">
          <cell r="B870">
            <v>48802</v>
          </cell>
          <cell r="C870" t="str">
            <v>TGS-26-4806X4BLS-LX-EL-ACC</v>
          </cell>
          <cell r="E870" t="str">
            <v>CKD</v>
          </cell>
          <cell r="F870" t="str">
            <v>2018-06-30</v>
          </cell>
          <cell r="G870">
            <v>15.9</v>
          </cell>
          <cell r="H870">
            <v>43039</v>
          </cell>
          <cell r="J870">
            <v>1990000</v>
          </cell>
          <cell r="P870">
            <v>1480500</v>
          </cell>
          <cell r="R870">
            <v>1410000</v>
          </cell>
          <cell r="S870">
            <v>2070000</v>
          </cell>
          <cell r="Y870">
            <v>1564500</v>
          </cell>
          <cell r="AA870">
            <v>1490000</v>
          </cell>
        </row>
        <row r="871">
          <cell r="B871">
            <v>48803</v>
          </cell>
          <cell r="C871" t="str">
            <v>TGS-26-4806X4BLS-LX-EL-ACC</v>
          </cell>
          <cell r="E871" t="str">
            <v>CKD</v>
          </cell>
          <cell r="F871" t="str">
            <v>2018-07-30</v>
          </cell>
          <cell r="G871">
            <v>15.9</v>
          </cell>
          <cell r="H871">
            <v>43039</v>
          </cell>
          <cell r="J871">
            <v>1990000</v>
          </cell>
          <cell r="P871">
            <v>1480500</v>
          </cell>
          <cell r="R871">
            <v>1410000</v>
          </cell>
          <cell r="S871">
            <v>2070000</v>
          </cell>
          <cell r="Y871">
            <v>1564500</v>
          </cell>
          <cell r="AA871">
            <v>1490000</v>
          </cell>
        </row>
        <row r="872">
          <cell r="B872">
            <v>48804</v>
          </cell>
          <cell r="C872" t="str">
            <v>TGS-26-4806X4BLS-LX-EL-ACC</v>
          </cell>
          <cell r="E872" t="str">
            <v>CKD</v>
          </cell>
          <cell r="F872" t="str">
            <v>2018-07-30</v>
          </cell>
          <cell r="G872">
            <v>15.9</v>
          </cell>
          <cell r="H872">
            <v>43039</v>
          </cell>
          <cell r="J872">
            <v>1990000</v>
          </cell>
          <cell r="P872">
            <v>1480500</v>
          </cell>
          <cell r="R872">
            <v>1410000</v>
          </cell>
          <cell r="S872">
            <v>2070000</v>
          </cell>
          <cell r="Y872">
            <v>1564500</v>
          </cell>
          <cell r="AA872">
            <v>1490000</v>
          </cell>
        </row>
        <row r="873">
          <cell r="B873">
            <v>48805</v>
          </cell>
          <cell r="C873" t="str">
            <v>TGS-26-4806X4BLS-LX-EL-ACC</v>
          </cell>
          <cell r="E873" t="str">
            <v>CKD</v>
          </cell>
          <cell r="F873" t="str">
            <v>2018-07-30</v>
          </cell>
          <cell r="G873">
            <v>15.9</v>
          </cell>
          <cell r="H873">
            <v>43039</v>
          </cell>
          <cell r="J873">
            <v>1990000</v>
          </cell>
          <cell r="P873">
            <v>1480500</v>
          </cell>
          <cell r="R873">
            <v>1410000</v>
          </cell>
          <cell r="S873">
            <v>2070000</v>
          </cell>
          <cell r="Y873">
            <v>1564500</v>
          </cell>
          <cell r="AA873">
            <v>1490000</v>
          </cell>
        </row>
        <row r="874">
          <cell r="B874">
            <v>48806</v>
          </cell>
          <cell r="C874" t="str">
            <v>TGS-26-4806X4BLS-LX-EL-ACC</v>
          </cell>
          <cell r="E874" t="str">
            <v>CKD</v>
          </cell>
          <cell r="F874" t="str">
            <v>2018-07-30</v>
          </cell>
          <cell r="G874">
            <v>15.9</v>
          </cell>
          <cell r="H874">
            <v>43039</v>
          </cell>
          <cell r="J874">
            <v>1990000</v>
          </cell>
          <cell r="P874">
            <v>1480500</v>
          </cell>
          <cell r="R874">
            <v>1410000</v>
          </cell>
          <cell r="S874">
            <v>2070000</v>
          </cell>
          <cell r="Y874">
            <v>1564500</v>
          </cell>
          <cell r="AA874">
            <v>1490000</v>
          </cell>
        </row>
        <row r="875">
          <cell r="B875">
            <v>48807</v>
          </cell>
          <cell r="C875" t="str">
            <v>TGS-26-4806X4BLS-LX-EL-ACC</v>
          </cell>
          <cell r="E875" t="str">
            <v>CKD</v>
          </cell>
          <cell r="F875" t="str">
            <v>2018-07-30</v>
          </cell>
          <cell r="G875">
            <v>15.9</v>
          </cell>
          <cell r="H875">
            <v>43039</v>
          </cell>
          <cell r="J875">
            <v>1990000</v>
          </cell>
          <cell r="P875">
            <v>1480500</v>
          </cell>
          <cell r="R875">
            <v>1410000</v>
          </cell>
          <cell r="S875">
            <v>2070000</v>
          </cell>
          <cell r="Y875">
            <v>1564500</v>
          </cell>
          <cell r="AA875">
            <v>1490000</v>
          </cell>
        </row>
        <row r="876">
          <cell r="B876">
            <v>48808</v>
          </cell>
          <cell r="C876" t="str">
            <v>TGS-26-4806X4BLS-LX-EL-ACC</v>
          </cell>
          <cell r="E876" t="str">
            <v>CKD</v>
          </cell>
          <cell r="F876" t="str">
            <v>2018-08-30</v>
          </cell>
          <cell r="G876">
            <v>15.9</v>
          </cell>
          <cell r="H876">
            <v>43039</v>
          </cell>
          <cell r="J876">
            <v>1990000</v>
          </cell>
          <cell r="P876">
            <v>1480500</v>
          </cell>
          <cell r="R876">
            <v>1410000</v>
          </cell>
          <cell r="S876">
            <v>2070000</v>
          </cell>
          <cell r="Y876">
            <v>1564500</v>
          </cell>
          <cell r="AA876">
            <v>1490000</v>
          </cell>
        </row>
        <row r="877">
          <cell r="B877">
            <v>48939</v>
          </cell>
          <cell r="C877" t="str">
            <v>TGS-26-4806X4BLS-LX-EL-ACC</v>
          </cell>
          <cell r="E877" t="str">
            <v>CKD</v>
          </cell>
          <cell r="F877" t="str">
            <v>2018-07-30</v>
          </cell>
          <cell r="G877">
            <v>15.9</v>
          </cell>
          <cell r="H877">
            <v>43069</v>
          </cell>
          <cell r="J877">
            <v>1990000</v>
          </cell>
          <cell r="P877">
            <v>1480500</v>
          </cell>
          <cell r="R877">
            <v>1410000</v>
          </cell>
          <cell r="S877">
            <v>2070000</v>
          </cell>
          <cell r="Y877">
            <v>1564500</v>
          </cell>
          <cell r="AA877">
            <v>1490000</v>
          </cell>
        </row>
        <row r="878">
          <cell r="B878">
            <v>48940</v>
          </cell>
          <cell r="C878" t="str">
            <v>TGS-26-4806X4BLS-LX-EL-ACC</v>
          </cell>
          <cell r="E878" t="str">
            <v>CKD</v>
          </cell>
          <cell r="F878" t="str">
            <v>2018-07-30</v>
          </cell>
          <cell r="G878">
            <v>15.9</v>
          </cell>
          <cell r="H878">
            <v>43069</v>
          </cell>
          <cell r="J878">
            <v>1990000</v>
          </cell>
          <cell r="P878">
            <v>1480500</v>
          </cell>
          <cell r="R878">
            <v>1410000</v>
          </cell>
          <cell r="S878">
            <v>2070000</v>
          </cell>
          <cell r="Y878">
            <v>1564500</v>
          </cell>
          <cell r="AA878">
            <v>1490000</v>
          </cell>
        </row>
        <row r="879">
          <cell r="B879">
            <v>48941</v>
          </cell>
          <cell r="C879" t="str">
            <v>TGS-26-4806X4BLS-LX-EL-ACC</v>
          </cell>
          <cell r="E879" t="str">
            <v>CKD</v>
          </cell>
          <cell r="F879" t="str">
            <v>2018-07-30</v>
          </cell>
          <cell r="G879">
            <v>15.9</v>
          </cell>
          <cell r="H879">
            <v>43069</v>
          </cell>
          <cell r="J879">
            <v>1990000</v>
          </cell>
          <cell r="P879">
            <v>1480500</v>
          </cell>
          <cell r="R879">
            <v>1410000</v>
          </cell>
          <cell r="S879">
            <v>2070000</v>
          </cell>
          <cell r="Y879">
            <v>1564500</v>
          </cell>
          <cell r="AA879">
            <v>1490000</v>
          </cell>
        </row>
        <row r="880">
          <cell r="B880">
            <v>48942</v>
          </cell>
          <cell r="C880" t="str">
            <v>TGS-26-4806X4BLS-LX-EL-ACC</v>
          </cell>
          <cell r="E880" t="str">
            <v>CKD</v>
          </cell>
          <cell r="F880" t="str">
            <v>2018-07-30</v>
          </cell>
          <cell r="G880">
            <v>15.9</v>
          </cell>
          <cell r="H880">
            <v>43069</v>
          </cell>
          <cell r="J880">
            <v>1990000</v>
          </cell>
          <cell r="P880">
            <v>1480500</v>
          </cell>
          <cell r="R880">
            <v>1410000</v>
          </cell>
          <cell r="S880">
            <v>2070000</v>
          </cell>
          <cell r="Y880">
            <v>1564500</v>
          </cell>
          <cell r="AA880">
            <v>1490000</v>
          </cell>
        </row>
        <row r="881">
          <cell r="B881">
            <v>48943</v>
          </cell>
          <cell r="C881" t="str">
            <v>TGS-26-4806X4BLS-LX-EL-ACC</v>
          </cell>
          <cell r="E881" t="str">
            <v>CKD</v>
          </cell>
          <cell r="F881" t="str">
            <v>2018-07-30</v>
          </cell>
          <cell r="G881">
            <v>15.9</v>
          </cell>
          <cell r="H881">
            <v>43069</v>
          </cell>
          <cell r="J881">
            <v>1990000</v>
          </cell>
          <cell r="P881">
            <v>1480500</v>
          </cell>
          <cell r="R881">
            <v>1410000</v>
          </cell>
          <cell r="S881">
            <v>2070000</v>
          </cell>
          <cell r="Y881">
            <v>1564500</v>
          </cell>
          <cell r="AA881">
            <v>1490000</v>
          </cell>
        </row>
        <row r="882">
          <cell r="B882">
            <v>48944</v>
          </cell>
          <cell r="C882" t="str">
            <v>TGS-26-4806X4BLS-LX-EL-ACC</v>
          </cell>
          <cell r="E882" t="str">
            <v>CKD</v>
          </cell>
          <cell r="F882" t="str">
            <v>2018-07-30</v>
          </cell>
          <cell r="G882">
            <v>15.9</v>
          </cell>
          <cell r="H882">
            <v>43069</v>
          </cell>
          <cell r="J882">
            <v>1990000</v>
          </cell>
          <cell r="P882">
            <v>1480500</v>
          </cell>
          <cell r="R882">
            <v>1410000</v>
          </cell>
          <cell r="S882">
            <v>2070000</v>
          </cell>
          <cell r="Y882">
            <v>1564500</v>
          </cell>
          <cell r="AA882">
            <v>1490000</v>
          </cell>
        </row>
        <row r="883">
          <cell r="B883">
            <v>48945</v>
          </cell>
          <cell r="C883" t="str">
            <v>TGS-26-4806X4BLS-LX-EL-ACC</v>
          </cell>
          <cell r="E883" t="str">
            <v>CKD</v>
          </cell>
          <cell r="F883" t="str">
            <v>2018-07-30</v>
          </cell>
          <cell r="G883">
            <v>15.9</v>
          </cell>
          <cell r="H883">
            <v>43069</v>
          </cell>
          <cell r="J883">
            <v>1990000</v>
          </cell>
          <cell r="P883">
            <v>1480500</v>
          </cell>
          <cell r="R883">
            <v>1410000</v>
          </cell>
          <cell r="S883">
            <v>2070000</v>
          </cell>
          <cell r="Y883">
            <v>1564500</v>
          </cell>
          <cell r="AA883">
            <v>1490000</v>
          </cell>
        </row>
        <row r="884">
          <cell r="B884">
            <v>48946</v>
          </cell>
          <cell r="C884" t="str">
            <v>TGS-26-4806X4BLS-LX-EL-ACC</v>
          </cell>
          <cell r="E884" t="str">
            <v>CKD</v>
          </cell>
          <cell r="F884" t="str">
            <v>2018-08-30</v>
          </cell>
          <cell r="G884">
            <v>15.9</v>
          </cell>
          <cell r="H884">
            <v>43069</v>
          </cell>
          <cell r="J884">
            <v>1990000</v>
          </cell>
          <cell r="P884">
            <v>1480500</v>
          </cell>
          <cell r="R884">
            <v>1410000</v>
          </cell>
          <cell r="S884">
            <v>2070000</v>
          </cell>
          <cell r="Y884">
            <v>1564500</v>
          </cell>
          <cell r="AA884">
            <v>1490000</v>
          </cell>
        </row>
        <row r="885">
          <cell r="B885">
            <v>49043</v>
          </cell>
          <cell r="C885" t="str">
            <v>TGS-26-4806X4BLS-LX-EL-ACC</v>
          </cell>
          <cell r="E885" t="str">
            <v>CKD</v>
          </cell>
          <cell r="F885" t="str">
            <v>2018-07-30</v>
          </cell>
          <cell r="G885">
            <v>15.9</v>
          </cell>
          <cell r="H885">
            <v>43069</v>
          </cell>
          <cell r="J885">
            <v>1990000</v>
          </cell>
          <cell r="P885">
            <v>1480500</v>
          </cell>
          <cell r="R885">
            <v>1410000</v>
          </cell>
          <cell r="S885">
            <v>2070000</v>
          </cell>
          <cell r="Y885">
            <v>1564500</v>
          </cell>
          <cell r="AA885">
            <v>1490000</v>
          </cell>
        </row>
        <row r="886">
          <cell r="B886">
            <v>49044</v>
          </cell>
          <cell r="C886" t="str">
            <v>TGS-26-4806X4BLS-LX-EL-ACC</v>
          </cell>
          <cell r="E886" t="str">
            <v>CKD</v>
          </cell>
          <cell r="F886" t="str">
            <v>2018-08-30</v>
          </cell>
          <cell r="G886">
            <v>15.9</v>
          </cell>
          <cell r="H886">
            <v>43069</v>
          </cell>
          <cell r="J886">
            <v>1990000</v>
          </cell>
          <cell r="P886">
            <v>1480500</v>
          </cell>
          <cell r="R886">
            <v>1410000</v>
          </cell>
          <cell r="S886">
            <v>2070000</v>
          </cell>
          <cell r="Y886">
            <v>1564500</v>
          </cell>
          <cell r="AA886">
            <v>1490000</v>
          </cell>
        </row>
        <row r="887">
          <cell r="B887">
            <v>49045</v>
          </cell>
          <cell r="C887" t="str">
            <v>TGS-26-4806X4BLS-LX-EL-ACC</v>
          </cell>
          <cell r="E887" t="str">
            <v>CKD</v>
          </cell>
          <cell r="F887" t="str">
            <v>2018-08-30</v>
          </cell>
          <cell r="G887">
            <v>15.9</v>
          </cell>
          <cell r="H887">
            <v>43069</v>
          </cell>
          <cell r="J887">
            <v>1990000</v>
          </cell>
          <cell r="P887">
            <v>1480500</v>
          </cell>
          <cell r="R887">
            <v>1410000</v>
          </cell>
          <cell r="S887">
            <v>2070000</v>
          </cell>
          <cell r="Y887">
            <v>1564500</v>
          </cell>
          <cell r="AA887">
            <v>1490000</v>
          </cell>
        </row>
        <row r="888">
          <cell r="B888">
            <v>49046</v>
          </cell>
          <cell r="C888" t="str">
            <v>TGS-26-4806X4BLS-LX-EL-ACC</v>
          </cell>
          <cell r="E888" t="str">
            <v>CKD</v>
          </cell>
          <cell r="F888" t="str">
            <v>2018-08-30</v>
          </cell>
          <cell r="G888">
            <v>15.9</v>
          </cell>
          <cell r="H888">
            <v>43069</v>
          </cell>
          <cell r="J888">
            <v>1990000</v>
          </cell>
          <cell r="P888">
            <v>1480500</v>
          </cell>
          <cell r="R888">
            <v>1410000</v>
          </cell>
          <cell r="S888">
            <v>2070000</v>
          </cell>
          <cell r="Y888">
            <v>1564500</v>
          </cell>
          <cell r="AA888">
            <v>1490000</v>
          </cell>
        </row>
        <row r="889">
          <cell r="B889">
            <v>49047</v>
          </cell>
          <cell r="C889" t="str">
            <v>TGS-26-4806X4BLS-LX-EL-ACC</v>
          </cell>
          <cell r="E889" t="str">
            <v>CKD</v>
          </cell>
          <cell r="F889" t="str">
            <v>2018-07-30</v>
          </cell>
          <cell r="G889">
            <v>15.9</v>
          </cell>
          <cell r="H889">
            <v>43069</v>
          </cell>
          <cell r="J889">
            <v>1990000</v>
          </cell>
          <cell r="P889">
            <v>1480500</v>
          </cell>
          <cell r="R889">
            <v>1410000</v>
          </cell>
          <cell r="S889">
            <v>2070000</v>
          </cell>
          <cell r="Y889">
            <v>1564500</v>
          </cell>
          <cell r="AA889">
            <v>1490000</v>
          </cell>
        </row>
        <row r="890">
          <cell r="B890">
            <v>49048</v>
          </cell>
          <cell r="C890" t="str">
            <v>TGS-26-4806X4BLS-LX-EL-ACC</v>
          </cell>
          <cell r="E890" t="str">
            <v>CKD</v>
          </cell>
          <cell r="F890" t="str">
            <v>2018-07-30</v>
          </cell>
          <cell r="G890">
            <v>15.9</v>
          </cell>
          <cell r="H890">
            <v>43069</v>
          </cell>
          <cell r="J890">
            <v>1990000</v>
          </cell>
          <cell r="P890">
            <v>1480500</v>
          </cell>
          <cell r="R890">
            <v>1410000</v>
          </cell>
          <cell r="S890">
            <v>2070000</v>
          </cell>
          <cell r="Y890">
            <v>1564500</v>
          </cell>
          <cell r="AA890">
            <v>1490000</v>
          </cell>
        </row>
        <row r="891">
          <cell r="B891">
            <v>49049</v>
          </cell>
          <cell r="C891" t="str">
            <v>TGS-26-4806X4BLS-LX-EL-ACC</v>
          </cell>
          <cell r="E891" t="str">
            <v>CKD</v>
          </cell>
          <cell r="F891" t="str">
            <v>2018-08-30</v>
          </cell>
          <cell r="G891">
            <v>15.9</v>
          </cell>
          <cell r="H891">
            <v>43069</v>
          </cell>
          <cell r="J891">
            <v>1990000</v>
          </cell>
          <cell r="P891">
            <v>1480500</v>
          </cell>
          <cell r="R891">
            <v>1410000</v>
          </cell>
          <cell r="S891">
            <v>2070000</v>
          </cell>
          <cell r="Y891">
            <v>1564500</v>
          </cell>
          <cell r="AA891">
            <v>1490000</v>
          </cell>
        </row>
        <row r="892">
          <cell r="B892">
            <v>49050</v>
          </cell>
          <cell r="C892" t="str">
            <v>TGS-26-4806X4BLS-LX-EL-ACC</v>
          </cell>
          <cell r="E892" t="str">
            <v>CKD</v>
          </cell>
          <cell r="F892" t="str">
            <v>2018-08-30</v>
          </cell>
          <cell r="G892">
            <v>15.9</v>
          </cell>
          <cell r="H892">
            <v>43069</v>
          </cell>
          <cell r="J892">
            <v>1990000</v>
          </cell>
          <cell r="P892">
            <v>1480500</v>
          </cell>
          <cell r="R892">
            <v>1410000</v>
          </cell>
          <cell r="S892">
            <v>2070000</v>
          </cell>
          <cell r="Y892">
            <v>1564500</v>
          </cell>
          <cell r="AA892">
            <v>1490000</v>
          </cell>
        </row>
        <row r="893">
          <cell r="B893">
            <v>49051</v>
          </cell>
          <cell r="C893" t="str">
            <v>TGS-26-4806X4BLS-LX-EL-ACC</v>
          </cell>
          <cell r="E893" t="str">
            <v>CKD</v>
          </cell>
          <cell r="F893" t="str">
            <v>2018-08-30</v>
          </cell>
          <cell r="G893">
            <v>15.9</v>
          </cell>
          <cell r="H893">
            <v>43069</v>
          </cell>
          <cell r="J893">
            <v>1990000</v>
          </cell>
          <cell r="P893">
            <v>1480500</v>
          </cell>
          <cell r="R893">
            <v>1410000</v>
          </cell>
          <cell r="S893">
            <v>2070000</v>
          </cell>
          <cell r="Y893">
            <v>1564500</v>
          </cell>
          <cell r="AA893">
            <v>1490000</v>
          </cell>
        </row>
        <row r="894">
          <cell r="B894">
            <v>49052</v>
          </cell>
          <cell r="C894" t="str">
            <v>TGS-26-4806X4BLS-LX-EL-ACC</v>
          </cell>
          <cell r="E894" t="str">
            <v>CKD</v>
          </cell>
          <cell r="F894" t="str">
            <v>2018-08-30</v>
          </cell>
          <cell r="G894">
            <v>15.9</v>
          </cell>
          <cell r="H894">
            <v>43069</v>
          </cell>
          <cell r="J894">
            <v>1990000</v>
          </cell>
          <cell r="P894">
            <v>1480500</v>
          </cell>
          <cell r="R894">
            <v>1410000</v>
          </cell>
          <cell r="S894">
            <v>2070000</v>
          </cell>
          <cell r="Y894">
            <v>1564500</v>
          </cell>
          <cell r="AA894">
            <v>1490000</v>
          </cell>
        </row>
        <row r="895">
          <cell r="B895">
            <v>49053</v>
          </cell>
          <cell r="C895" t="str">
            <v>TGS-26-4806X4BLS-LX-EL-ACC</v>
          </cell>
          <cell r="E895" t="str">
            <v>CKD</v>
          </cell>
          <cell r="F895" t="str">
            <v>2018-08-30</v>
          </cell>
          <cell r="G895">
            <v>15.9</v>
          </cell>
          <cell r="H895">
            <v>43069</v>
          </cell>
          <cell r="J895">
            <v>1990000</v>
          </cell>
          <cell r="P895">
            <v>1480500</v>
          </cell>
          <cell r="R895">
            <v>1410000</v>
          </cell>
          <cell r="S895">
            <v>2070000</v>
          </cell>
          <cell r="Y895">
            <v>1564500</v>
          </cell>
          <cell r="AA895">
            <v>1490000</v>
          </cell>
        </row>
        <row r="896">
          <cell r="B896">
            <v>49054</v>
          </cell>
          <cell r="C896" t="str">
            <v>TGS-26-4806X4BLS-LX-EL-ACC</v>
          </cell>
          <cell r="E896" t="str">
            <v>CKD</v>
          </cell>
          <cell r="F896" t="str">
            <v>2018-08-30</v>
          </cell>
          <cell r="G896">
            <v>15.9</v>
          </cell>
          <cell r="H896">
            <v>43069</v>
          </cell>
          <cell r="J896">
            <v>1990000</v>
          </cell>
          <cell r="P896">
            <v>1480500</v>
          </cell>
          <cell r="R896">
            <v>1410000</v>
          </cell>
          <cell r="S896">
            <v>2070000</v>
          </cell>
          <cell r="Y896">
            <v>1564500</v>
          </cell>
          <cell r="AA896">
            <v>1490000</v>
          </cell>
        </row>
        <row r="897">
          <cell r="B897" t="str">
            <v>78W-6164</v>
          </cell>
          <cell r="C897" t="str">
            <v>TGS-26-4806X4BLS-LX-EL-ACC</v>
          </cell>
          <cell r="E897" t="str">
            <v>SOLD</v>
          </cell>
          <cell r="F897">
            <v>26</v>
          </cell>
          <cell r="G897">
            <v>14.7</v>
          </cell>
          <cell r="H897">
            <v>42937</v>
          </cell>
          <cell r="J897">
            <v>1990000</v>
          </cell>
          <cell r="P897">
            <v>1512000</v>
          </cell>
          <cell r="R897">
            <v>1440000</v>
          </cell>
          <cell r="S897">
            <v>2070000</v>
          </cell>
          <cell r="Y897">
            <v>1596000</v>
          </cell>
          <cell r="AA897">
            <v>1520000</v>
          </cell>
        </row>
        <row r="898">
          <cell r="B898" t="str">
            <v>78W-6167</v>
          </cell>
          <cell r="C898" t="str">
            <v>TGS-26-4806X4BLS-LX-EL-ACC</v>
          </cell>
          <cell r="E898" t="str">
            <v>SOLD</v>
          </cell>
          <cell r="F898">
            <v>28</v>
          </cell>
          <cell r="G898">
            <v>14.7</v>
          </cell>
          <cell r="H898">
            <v>42937</v>
          </cell>
          <cell r="J898">
            <v>1990000</v>
          </cell>
          <cell r="P898">
            <v>1512000</v>
          </cell>
          <cell r="R898">
            <v>1440000</v>
          </cell>
          <cell r="S898">
            <v>2070000</v>
          </cell>
          <cell r="Y898">
            <v>1596000</v>
          </cell>
          <cell r="AA898">
            <v>1520000</v>
          </cell>
        </row>
        <row r="899">
          <cell r="B899" t="str">
            <v>78W-6180</v>
          </cell>
          <cell r="C899" t="str">
            <v>TGS-26-4806X4BLS-LX-EL-ACC</v>
          </cell>
          <cell r="E899" t="str">
            <v>CKD</v>
          </cell>
          <cell r="F899" t="str">
            <v>2018-02-22</v>
          </cell>
          <cell r="G899">
            <v>14.7</v>
          </cell>
          <cell r="H899">
            <v>42947</v>
          </cell>
          <cell r="J899">
            <v>1990000</v>
          </cell>
          <cell r="P899">
            <v>1512000</v>
          </cell>
          <cell r="R899">
            <v>1440000</v>
          </cell>
          <cell r="S899">
            <v>2070000</v>
          </cell>
          <cell r="Y899">
            <v>1596000</v>
          </cell>
          <cell r="AA899">
            <v>1520000</v>
          </cell>
        </row>
        <row r="900">
          <cell r="B900" t="str">
            <v>78W-6181</v>
          </cell>
          <cell r="C900" t="str">
            <v>TGS-26-4806X4BLS-LX-EL-ACC</v>
          </cell>
          <cell r="E900" t="str">
            <v>CKD</v>
          </cell>
          <cell r="F900" t="str">
            <v>2018-02-22</v>
          </cell>
          <cell r="G900">
            <v>14.7</v>
          </cell>
          <cell r="H900">
            <v>42947</v>
          </cell>
          <cell r="J900">
            <v>1990000</v>
          </cell>
          <cell r="P900">
            <v>1512000</v>
          </cell>
          <cell r="R900">
            <v>1440000</v>
          </cell>
          <cell r="S900">
            <v>2070000</v>
          </cell>
          <cell r="Y900">
            <v>1596000</v>
          </cell>
          <cell r="AA900">
            <v>1520000</v>
          </cell>
        </row>
        <row r="901">
          <cell r="B901" t="str">
            <v>78W-6182</v>
          </cell>
          <cell r="C901" t="str">
            <v>TGS-26-4806X4BLS-LX-EL-ACC</v>
          </cell>
          <cell r="E901" t="str">
            <v>CKD</v>
          </cell>
          <cell r="F901" t="str">
            <v>2018-02-22</v>
          </cell>
          <cell r="G901">
            <v>14.7</v>
          </cell>
          <cell r="H901">
            <v>42947</v>
          </cell>
          <cell r="J901">
            <v>1990000</v>
          </cell>
          <cell r="P901">
            <v>1512000</v>
          </cell>
          <cell r="R901">
            <v>1440000</v>
          </cell>
          <cell r="S901">
            <v>2070000</v>
          </cell>
          <cell r="Y901">
            <v>1596000</v>
          </cell>
          <cell r="AA901">
            <v>1520000</v>
          </cell>
        </row>
        <row r="902">
          <cell r="B902" t="str">
            <v>78W-6183</v>
          </cell>
          <cell r="C902" t="str">
            <v>TGS-26-4806X4BLS-LX-EL-ACC</v>
          </cell>
          <cell r="E902" t="str">
            <v>CKD</v>
          </cell>
          <cell r="F902" t="str">
            <v>2018-02-22</v>
          </cell>
          <cell r="G902">
            <v>14.7</v>
          </cell>
          <cell r="H902">
            <v>42947</v>
          </cell>
          <cell r="J902">
            <v>1990000</v>
          </cell>
          <cell r="P902">
            <v>1512000</v>
          </cell>
          <cell r="R902">
            <v>1440000</v>
          </cell>
          <cell r="S902">
            <v>2070000</v>
          </cell>
          <cell r="Y902">
            <v>1596000</v>
          </cell>
          <cell r="AA902">
            <v>1520000</v>
          </cell>
        </row>
        <row r="903">
          <cell r="B903" t="str">
            <v>78W-6184</v>
          </cell>
          <cell r="C903" t="str">
            <v>TGS-26-4806X4BLS-LX-EL-ACC</v>
          </cell>
          <cell r="E903" t="str">
            <v>CKD</v>
          </cell>
          <cell r="F903" t="str">
            <v>2018-02-23</v>
          </cell>
          <cell r="G903">
            <v>14.7</v>
          </cell>
          <cell r="H903">
            <v>42947</v>
          </cell>
          <cell r="J903">
            <v>1990000</v>
          </cell>
          <cell r="P903">
            <v>1512000</v>
          </cell>
          <cell r="R903">
            <v>1440000</v>
          </cell>
          <cell r="S903">
            <v>2070000</v>
          </cell>
          <cell r="Y903">
            <v>1596000</v>
          </cell>
          <cell r="AA903">
            <v>1520000</v>
          </cell>
        </row>
        <row r="904">
          <cell r="B904" t="str">
            <v>78W-6185</v>
          </cell>
          <cell r="C904" t="str">
            <v>TGS-26-4806X4BLS-LX-EL-ACC</v>
          </cell>
          <cell r="E904" t="str">
            <v>CKD</v>
          </cell>
          <cell r="F904" t="str">
            <v>2018-02-26</v>
          </cell>
          <cell r="G904">
            <v>14.7</v>
          </cell>
          <cell r="H904">
            <v>42947</v>
          </cell>
          <cell r="J904">
            <v>1990000</v>
          </cell>
          <cell r="P904">
            <v>1480500</v>
          </cell>
          <cell r="R904">
            <v>1410000</v>
          </cell>
          <cell r="S904">
            <v>2070000</v>
          </cell>
          <cell r="Y904">
            <v>1564500</v>
          </cell>
          <cell r="AA904">
            <v>1490000</v>
          </cell>
        </row>
        <row r="905">
          <cell r="B905" t="str">
            <v>78W-6220</v>
          </cell>
          <cell r="C905" t="str">
            <v>TGS-26-4806X4BLS-LX-EL-ACC</v>
          </cell>
          <cell r="E905" t="str">
            <v>CKD</v>
          </cell>
          <cell r="F905" t="str">
            <v>2018-03-30</v>
          </cell>
          <cell r="G905">
            <v>14.7</v>
          </cell>
          <cell r="H905">
            <v>42947</v>
          </cell>
          <cell r="J905">
            <v>1990000</v>
          </cell>
          <cell r="P905">
            <v>1480500</v>
          </cell>
          <cell r="R905">
            <v>1410000</v>
          </cell>
          <cell r="S905">
            <v>2070000</v>
          </cell>
          <cell r="Y905">
            <v>1564500</v>
          </cell>
          <cell r="AA905">
            <v>1490000</v>
          </cell>
        </row>
        <row r="906">
          <cell r="B906" t="str">
            <v>78W-6221</v>
          </cell>
          <cell r="C906" t="str">
            <v>TGS-26-4806X4BLS-LX-EL-ACC</v>
          </cell>
          <cell r="E906" t="str">
            <v>CKD</v>
          </cell>
          <cell r="F906" t="str">
            <v>2018-03-30</v>
          </cell>
          <cell r="G906">
            <v>14.7</v>
          </cell>
          <cell r="H906">
            <v>42947</v>
          </cell>
          <cell r="J906">
            <v>1990000</v>
          </cell>
          <cell r="P906">
            <v>1480500</v>
          </cell>
          <cell r="R906">
            <v>1410000</v>
          </cell>
          <cell r="S906">
            <v>2070000</v>
          </cell>
          <cell r="Y906">
            <v>1564500</v>
          </cell>
          <cell r="AA906">
            <v>1490000</v>
          </cell>
        </row>
        <row r="907">
          <cell r="B907" t="str">
            <v>78W-6222</v>
          </cell>
          <cell r="C907" t="str">
            <v>TGS-26-4806X4BLS-LX-EL-ACC</v>
          </cell>
          <cell r="E907" t="str">
            <v>CKD</v>
          </cell>
          <cell r="F907" t="str">
            <v>2018-03-30</v>
          </cell>
          <cell r="G907">
            <v>14.7</v>
          </cell>
          <cell r="H907">
            <v>42947</v>
          </cell>
          <cell r="J907">
            <v>1990000</v>
          </cell>
          <cell r="P907">
            <v>1480500</v>
          </cell>
          <cell r="R907">
            <v>1410000</v>
          </cell>
          <cell r="S907">
            <v>2070000</v>
          </cell>
          <cell r="Y907">
            <v>1564500</v>
          </cell>
          <cell r="AA907">
            <v>1490000</v>
          </cell>
        </row>
        <row r="908">
          <cell r="B908" t="str">
            <v>78W-6223</v>
          </cell>
          <cell r="C908" t="str">
            <v>TGS-26-4806X4BLS-LX-EL-ACC</v>
          </cell>
          <cell r="E908" t="str">
            <v>CKD</v>
          </cell>
          <cell r="F908" t="str">
            <v>2018-03-30</v>
          </cell>
          <cell r="G908">
            <v>14.7</v>
          </cell>
          <cell r="H908">
            <v>42947</v>
          </cell>
          <cell r="J908">
            <v>1990000</v>
          </cell>
          <cell r="P908">
            <v>1480500</v>
          </cell>
          <cell r="R908">
            <v>1410000</v>
          </cell>
          <cell r="S908">
            <v>2070000</v>
          </cell>
          <cell r="Y908">
            <v>1564500</v>
          </cell>
          <cell r="AA908">
            <v>1490000</v>
          </cell>
        </row>
        <row r="909">
          <cell r="B909" t="str">
            <v>78W-6260</v>
          </cell>
          <cell r="C909" t="str">
            <v>TGS-26-4806X4BLS-LX-EL-ACC</v>
          </cell>
          <cell r="E909" t="str">
            <v>CKD</v>
          </cell>
          <cell r="F909" t="str">
            <v>2018-02-23</v>
          </cell>
          <cell r="G909">
            <v>15.3</v>
          </cell>
          <cell r="H909">
            <v>42978</v>
          </cell>
          <cell r="J909">
            <v>1990000</v>
          </cell>
          <cell r="P909">
            <v>1480500</v>
          </cell>
          <cell r="R909">
            <v>1410000</v>
          </cell>
          <cell r="S909">
            <v>2070000</v>
          </cell>
          <cell r="Y909">
            <v>1564500</v>
          </cell>
          <cell r="AA909">
            <v>1490000</v>
          </cell>
        </row>
        <row r="910">
          <cell r="B910" t="str">
            <v>78W-6261</v>
          </cell>
          <cell r="C910" t="str">
            <v>TGS-26-4806X4BLS-LX-EL-ACC</v>
          </cell>
          <cell r="E910" t="str">
            <v>CKD</v>
          </cell>
          <cell r="F910" t="str">
            <v>2018-02-23</v>
          </cell>
          <cell r="G910">
            <v>15.3</v>
          </cell>
          <cell r="H910">
            <v>42978</v>
          </cell>
          <cell r="J910">
            <v>1990000</v>
          </cell>
          <cell r="P910">
            <v>1480500</v>
          </cell>
          <cell r="R910">
            <v>1410000</v>
          </cell>
          <cell r="S910">
            <v>2070000</v>
          </cell>
          <cell r="Y910">
            <v>1564500</v>
          </cell>
          <cell r="AA910">
            <v>1490000</v>
          </cell>
        </row>
        <row r="911">
          <cell r="B911" t="str">
            <v>78W-6262</v>
          </cell>
          <cell r="C911" t="str">
            <v>TGS-26-4806X4BLS-LX-EL-ACC</v>
          </cell>
          <cell r="E911" t="str">
            <v>DEMO</v>
          </cell>
          <cell r="F911">
            <v>5</v>
          </cell>
          <cell r="G911">
            <v>15.3</v>
          </cell>
          <cell r="H911">
            <v>42978</v>
          </cell>
          <cell r="J911">
            <v>1990000</v>
          </cell>
          <cell r="P911">
            <v>1480500</v>
          </cell>
          <cell r="R911">
            <v>1410000</v>
          </cell>
          <cell r="S911">
            <v>2070000</v>
          </cell>
          <cell r="Y911">
            <v>1564500</v>
          </cell>
          <cell r="AA911">
            <v>1490000</v>
          </cell>
        </row>
        <row r="912">
          <cell r="B912" t="str">
            <v>78W-6263</v>
          </cell>
          <cell r="C912" t="str">
            <v>TGS-26-4806X4BLS-LX-EL-ACC</v>
          </cell>
          <cell r="E912" t="str">
            <v>CKD</v>
          </cell>
          <cell r="F912" t="str">
            <v>2018-02-23</v>
          </cell>
          <cell r="G912">
            <v>15.3</v>
          </cell>
          <cell r="H912">
            <v>42978</v>
          </cell>
          <cell r="J912">
            <v>1990000</v>
          </cell>
          <cell r="P912">
            <v>1480500</v>
          </cell>
          <cell r="R912">
            <v>1410000</v>
          </cell>
          <cell r="S912">
            <v>2070000</v>
          </cell>
          <cell r="Y912">
            <v>1564500</v>
          </cell>
          <cell r="AA912">
            <v>1490000</v>
          </cell>
        </row>
        <row r="913">
          <cell r="B913" t="str">
            <v>78W-6264</v>
          </cell>
          <cell r="C913" t="str">
            <v>TGS-26-4806X4BLS-LX-EL-ACC</v>
          </cell>
          <cell r="E913" t="str">
            <v>SOLD</v>
          </cell>
          <cell r="F913">
            <v>6</v>
          </cell>
          <cell r="G913">
            <v>15.3</v>
          </cell>
          <cell r="H913">
            <v>42978</v>
          </cell>
          <cell r="J913">
            <v>1990000</v>
          </cell>
          <cell r="P913">
            <v>1480500</v>
          </cell>
          <cell r="R913">
            <v>1410000</v>
          </cell>
          <cell r="S913">
            <v>2070000</v>
          </cell>
          <cell r="Y913">
            <v>1564500</v>
          </cell>
          <cell r="AA913">
            <v>1490000</v>
          </cell>
        </row>
        <row r="914">
          <cell r="B914" t="str">
            <v>78W-6268</v>
          </cell>
          <cell r="C914" t="str">
            <v>TGS-26-4806X4BLS-LX-EL-ACC</v>
          </cell>
          <cell r="E914" t="str">
            <v>SOLD</v>
          </cell>
          <cell r="F914">
            <v>35</v>
          </cell>
          <cell r="G914">
            <v>15.3</v>
          </cell>
          <cell r="H914">
            <v>42978</v>
          </cell>
          <cell r="J914">
            <v>1990000</v>
          </cell>
          <cell r="P914">
            <v>1512000</v>
          </cell>
          <cell r="R914">
            <v>1440000</v>
          </cell>
          <cell r="S914">
            <v>2070000</v>
          </cell>
          <cell r="Y914">
            <v>1596000</v>
          </cell>
          <cell r="AA914">
            <v>1520000</v>
          </cell>
        </row>
        <row r="915">
          <cell r="B915" t="str">
            <v>78W-6271</v>
          </cell>
          <cell r="C915" t="str">
            <v>TGS-26-4806X4BLS-LX-EL-ACC</v>
          </cell>
          <cell r="E915" t="str">
            <v>SOLD</v>
          </cell>
          <cell r="F915">
            <v>35</v>
          </cell>
          <cell r="G915">
            <v>15.3</v>
          </cell>
          <cell r="H915">
            <v>42978</v>
          </cell>
          <cell r="J915">
            <v>1990000</v>
          </cell>
          <cell r="P915">
            <v>1512000</v>
          </cell>
          <cell r="R915">
            <v>1440000</v>
          </cell>
          <cell r="S915">
            <v>2070000</v>
          </cell>
          <cell r="Y915">
            <v>1596000</v>
          </cell>
          <cell r="AA915">
            <v>1520000</v>
          </cell>
        </row>
        <row r="916">
          <cell r="B916" t="str">
            <v>78W-6272</v>
          </cell>
          <cell r="C916" t="str">
            <v>TGS-26-4806X4BLS-LX-EL-ACC</v>
          </cell>
          <cell r="E916" t="str">
            <v>CKD</v>
          </cell>
          <cell r="F916" t="str">
            <v>2018-02-27</v>
          </cell>
          <cell r="G916">
            <v>15.3</v>
          </cell>
          <cell r="H916">
            <v>42978</v>
          </cell>
          <cell r="J916">
            <v>1990000</v>
          </cell>
          <cell r="P916">
            <v>1480500</v>
          </cell>
          <cell r="R916">
            <v>1410000</v>
          </cell>
          <cell r="S916">
            <v>2070000</v>
          </cell>
          <cell r="Y916">
            <v>1564500</v>
          </cell>
          <cell r="AA916">
            <v>1490000</v>
          </cell>
        </row>
        <row r="917">
          <cell r="B917" t="str">
            <v>78W-6273</v>
          </cell>
          <cell r="C917" t="str">
            <v>TGS-26-4806X4BLS-LX-EL-ACC</v>
          </cell>
          <cell r="E917" t="str">
            <v>CKD</v>
          </cell>
          <cell r="F917" t="str">
            <v>2018-02-27</v>
          </cell>
          <cell r="G917">
            <v>15.3</v>
          </cell>
          <cell r="H917">
            <v>42978</v>
          </cell>
          <cell r="J917">
            <v>1990000</v>
          </cell>
          <cell r="P917">
            <v>1480500</v>
          </cell>
          <cell r="R917">
            <v>1410000</v>
          </cell>
          <cell r="S917">
            <v>2070000</v>
          </cell>
          <cell r="Y917">
            <v>1564500</v>
          </cell>
          <cell r="AA917">
            <v>1490000</v>
          </cell>
        </row>
        <row r="918">
          <cell r="B918" t="str">
            <v>78W-6274</v>
          </cell>
          <cell r="C918" t="str">
            <v>TGS-26-4806X4BLS-LX-EL-ACC</v>
          </cell>
          <cell r="E918" t="str">
            <v>CKD</v>
          </cell>
          <cell r="F918" t="str">
            <v>2018-02-27</v>
          </cell>
          <cell r="G918">
            <v>15.3</v>
          </cell>
          <cell r="H918">
            <v>42978</v>
          </cell>
          <cell r="J918">
            <v>1990000</v>
          </cell>
          <cell r="P918">
            <v>1480500</v>
          </cell>
          <cell r="R918">
            <v>1410000</v>
          </cell>
          <cell r="S918">
            <v>2070000</v>
          </cell>
          <cell r="Y918">
            <v>1564500</v>
          </cell>
          <cell r="AA918">
            <v>1490000</v>
          </cell>
        </row>
        <row r="919">
          <cell r="B919" t="str">
            <v>78W-6275</v>
          </cell>
          <cell r="C919" t="str">
            <v>TGS-26-4806X4BLS-LX-EL-ACC</v>
          </cell>
          <cell r="E919" t="str">
            <v>CKD</v>
          </cell>
          <cell r="F919" t="str">
            <v>2018-02-27</v>
          </cell>
          <cell r="G919">
            <v>15.3</v>
          </cell>
          <cell r="H919">
            <v>42978</v>
          </cell>
          <cell r="J919">
            <v>1990000</v>
          </cell>
          <cell r="P919">
            <v>1480500</v>
          </cell>
          <cell r="R919">
            <v>1410000</v>
          </cell>
          <cell r="S919">
            <v>2070000</v>
          </cell>
          <cell r="Y919">
            <v>1564500</v>
          </cell>
          <cell r="AA919">
            <v>1490000</v>
          </cell>
        </row>
        <row r="920">
          <cell r="B920" t="str">
            <v>78W-6276</v>
          </cell>
          <cell r="C920" t="str">
            <v>TGS-26-4806X4BLS-LX-EL-ACC</v>
          </cell>
          <cell r="E920" t="str">
            <v>SOLD</v>
          </cell>
          <cell r="F920">
            <v>13</v>
          </cell>
          <cell r="G920">
            <v>15.3</v>
          </cell>
          <cell r="H920">
            <v>42978</v>
          </cell>
          <cell r="J920">
            <v>1990000</v>
          </cell>
          <cell r="P920">
            <v>1480500</v>
          </cell>
          <cell r="R920">
            <v>1410000</v>
          </cell>
          <cell r="S920">
            <v>2070000</v>
          </cell>
          <cell r="Y920">
            <v>1564500</v>
          </cell>
          <cell r="AA920">
            <v>1490000</v>
          </cell>
        </row>
        <row r="921">
          <cell r="B921" t="str">
            <v>78W-6277</v>
          </cell>
          <cell r="C921" t="str">
            <v>TGS-26-4806X4BLS-LX-EL-ACC</v>
          </cell>
          <cell r="E921" t="str">
            <v>SOLD</v>
          </cell>
          <cell r="F921">
            <v>6</v>
          </cell>
          <cell r="G921">
            <v>15.3</v>
          </cell>
          <cell r="H921">
            <v>42978</v>
          </cell>
          <cell r="J921">
            <v>1990000</v>
          </cell>
          <cell r="P921">
            <v>1480500</v>
          </cell>
          <cell r="R921">
            <v>1410000</v>
          </cell>
          <cell r="S921">
            <v>2070000</v>
          </cell>
          <cell r="Y921">
            <v>1564500</v>
          </cell>
          <cell r="AA921">
            <v>1490000</v>
          </cell>
        </row>
        <row r="922">
          <cell r="B922" t="str">
            <v>78W-6278</v>
          </cell>
          <cell r="C922" t="str">
            <v>TGS-26-4806X4BLS-LX-EL-ACC</v>
          </cell>
          <cell r="E922" t="str">
            <v>CKD</v>
          </cell>
          <cell r="F922" t="str">
            <v>2018-02-22</v>
          </cell>
          <cell r="G922">
            <v>15.3</v>
          </cell>
          <cell r="H922">
            <v>42978</v>
          </cell>
          <cell r="J922">
            <v>1990000</v>
          </cell>
          <cell r="P922">
            <v>1480500</v>
          </cell>
          <cell r="R922">
            <v>1410000</v>
          </cell>
          <cell r="S922">
            <v>2070000</v>
          </cell>
          <cell r="Y922">
            <v>1564500</v>
          </cell>
          <cell r="AA922">
            <v>1490000</v>
          </cell>
        </row>
        <row r="923">
          <cell r="B923" t="str">
            <v>78W-6279</v>
          </cell>
          <cell r="C923" t="str">
            <v>TGS-26-4806X4BLS-LX-EL-ACC</v>
          </cell>
          <cell r="E923" t="str">
            <v>SOLD</v>
          </cell>
          <cell r="F923">
            <v>4</v>
          </cell>
          <cell r="G923">
            <v>15.3</v>
          </cell>
          <cell r="H923">
            <v>42978</v>
          </cell>
          <cell r="J923">
            <v>1990000</v>
          </cell>
          <cell r="P923">
            <v>1480500</v>
          </cell>
          <cell r="R923">
            <v>1410000</v>
          </cell>
          <cell r="S923">
            <v>2070000</v>
          </cell>
          <cell r="Y923">
            <v>1564500</v>
          </cell>
          <cell r="AA923">
            <v>1490000</v>
          </cell>
        </row>
        <row r="924">
          <cell r="B924" t="str">
            <v>78W-6280</v>
          </cell>
          <cell r="C924" t="str">
            <v>TGS-26-4806X4BLS-LX-EL-ACC</v>
          </cell>
          <cell r="E924" t="str">
            <v>SOLD</v>
          </cell>
          <cell r="F924">
            <v>20</v>
          </cell>
          <cell r="G924">
            <v>15.3</v>
          </cell>
          <cell r="H924">
            <v>42978</v>
          </cell>
          <cell r="J924">
            <v>1990000</v>
          </cell>
          <cell r="P924">
            <v>1480500</v>
          </cell>
          <cell r="R924">
            <v>1410000</v>
          </cell>
          <cell r="S924">
            <v>2070000</v>
          </cell>
          <cell r="Y924">
            <v>1564500</v>
          </cell>
          <cell r="AA924">
            <v>1490000</v>
          </cell>
        </row>
        <row r="925">
          <cell r="B925" t="str">
            <v>78W-6281</v>
          </cell>
          <cell r="C925" t="str">
            <v>TGS-26-4806X4BLS-LX-EL-ACC</v>
          </cell>
          <cell r="E925" t="str">
            <v>SOLD</v>
          </cell>
          <cell r="F925">
            <v>14</v>
          </cell>
          <cell r="G925">
            <v>15.3</v>
          </cell>
          <cell r="H925">
            <v>42978</v>
          </cell>
          <cell r="J925">
            <v>1990000</v>
          </cell>
          <cell r="P925">
            <v>1480500</v>
          </cell>
          <cell r="R925">
            <v>1410000</v>
          </cell>
          <cell r="S925">
            <v>2070000</v>
          </cell>
          <cell r="Y925">
            <v>1564500</v>
          </cell>
          <cell r="AA925">
            <v>1490000</v>
          </cell>
        </row>
        <row r="926">
          <cell r="B926" t="str">
            <v>78W-6282</v>
          </cell>
          <cell r="C926" t="str">
            <v>TGS-26-4806X4BLS-LX-EL-ACC</v>
          </cell>
          <cell r="E926" t="str">
            <v>SOLD</v>
          </cell>
          <cell r="F926">
            <v>20</v>
          </cell>
          <cell r="G926">
            <v>15.3</v>
          </cell>
          <cell r="H926">
            <v>42978</v>
          </cell>
          <cell r="J926">
            <v>1990000</v>
          </cell>
          <cell r="P926">
            <v>1512000</v>
          </cell>
          <cell r="R926">
            <v>1440000</v>
          </cell>
          <cell r="S926">
            <v>2070000</v>
          </cell>
          <cell r="Y926">
            <v>1596000</v>
          </cell>
          <cell r="AA926">
            <v>1520000</v>
          </cell>
        </row>
        <row r="927">
          <cell r="B927" t="str">
            <v>78W-6283</v>
          </cell>
          <cell r="C927" t="str">
            <v>TGS-26-4806X4BLS-LX-EL-ACC</v>
          </cell>
          <cell r="E927" t="str">
            <v>SOLD</v>
          </cell>
          <cell r="F927">
            <v>20</v>
          </cell>
          <cell r="G927">
            <v>15.3</v>
          </cell>
          <cell r="H927">
            <v>42978</v>
          </cell>
          <cell r="J927">
            <v>1990000</v>
          </cell>
          <cell r="P927">
            <v>1512000</v>
          </cell>
          <cell r="R927">
            <v>1440000</v>
          </cell>
          <cell r="S927">
            <v>2070000</v>
          </cell>
          <cell r="Y927">
            <v>1596000</v>
          </cell>
          <cell r="AA927">
            <v>1520000</v>
          </cell>
        </row>
        <row r="928">
          <cell r="B928" t="str">
            <v>78W-6368</v>
          </cell>
          <cell r="C928" t="str">
            <v>TGS-26-4806X4BLS-LX-EL-ACC</v>
          </cell>
          <cell r="E928" t="str">
            <v>CKD</v>
          </cell>
          <cell r="F928" t="str">
            <v>2018-04-30</v>
          </cell>
          <cell r="G928">
            <v>15.3</v>
          </cell>
          <cell r="H928">
            <v>42978</v>
          </cell>
          <cell r="J928">
            <v>1990000</v>
          </cell>
          <cell r="P928">
            <v>1480500</v>
          </cell>
          <cell r="R928">
            <v>1410000</v>
          </cell>
          <cell r="S928">
            <v>2070000</v>
          </cell>
          <cell r="Y928">
            <v>1564500</v>
          </cell>
          <cell r="AA928">
            <v>1490000</v>
          </cell>
        </row>
        <row r="929">
          <cell r="B929" t="str">
            <v>78W-6369</v>
          </cell>
          <cell r="C929" t="str">
            <v>TGS-26-4806X4BLS-LX-EL-ACC</v>
          </cell>
          <cell r="E929" t="str">
            <v>CKD</v>
          </cell>
          <cell r="F929" t="str">
            <v>2018-04-30</v>
          </cell>
          <cell r="G929">
            <v>15.3</v>
          </cell>
          <cell r="H929">
            <v>42978</v>
          </cell>
          <cell r="J929">
            <v>1990000</v>
          </cell>
          <cell r="P929">
            <v>1480500</v>
          </cell>
          <cell r="R929">
            <v>1410000</v>
          </cell>
          <cell r="S929">
            <v>2070000</v>
          </cell>
          <cell r="Y929">
            <v>1564500</v>
          </cell>
          <cell r="AA929">
            <v>1490000</v>
          </cell>
        </row>
        <row r="930">
          <cell r="B930" t="str">
            <v>78W-6370</v>
          </cell>
          <cell r="C930" t="str">
            <v>TGS-26-4806X4BLS-LX-EL-ACC</v>
          </cell>
          <cell r="E930" t="str">
            <v>CKD</v>
          </cell>
          <cell r="F930" t="str">
            <v>2018-04-30</v>
          </cell>
          <cell r="G930">
            <v>15.3</v>
          </cell>
          <cell r="H930">
            <v>42978</v>
          </cell>
          <cell r="J930">
            <v>1990000</v>
          </cell>
          <cell r="P930">
            <v>1480500</v>
          </cell>
          <cell r="R930">
            <v>1410000</v>
          </cell>
          <cell r="S930">
            <v>2070000</v>
          </cell>
          <cell r="Y930">
            <v>1564500</v>
          </cell>
          <cell r="AA930">
            <v>1490000</v>
          </cell>
        </row>
        <row r="931">
          <cell r="B931" t="str">
            <v>78W-6371</v>
          </cell>
          <cell r="C931" t="str">
            <v>TGS-26-4806X4BLS-LX-EL-ACC</v>
          </cell>
          <cell r="E931" t="str">
            <v>CKD</v>
          </cell>
          <cell r="F931" t="str">
            <v>2018-04-30</v>
          </cell>
          <cell r="G931">
            <v>15.3</v>
          </cell>
          <cell r="H931">
            <v>42978</v>
          </cell>
          <cell r="J931">
            <v>1990000</v>
          </cell>
          <cell r="P931">
            <v>1480500</v>
          </cell>
          <cell r="R931">
            <v>1410000</v>
          </cell>
          <cell r="S931">
            <v>2070000</v>
          </cell>
          <cell r="Y931">
            <v>1564500</v>
          </cell>
          <cell r="AA931">
            <v>1490000</v>
          </cell>
        </row>
        <row r="932">
          <cell r="B932" t="str">
            <v>78W-6388</v>
          </cell>
          <cell r="C932" t="str">
            <v>TGS-26-4806X4BLS-LX-EL-ACC</v>
          </cell>
          <cell r="E932" t="str">
            <v>CKD</v>
          </cell>
          <cell r="F932" t="str">
            <v>2018-03-30</v>
          </cell>
          <cell r="G932">
            <v>15.3</v>
          </cell>
          <cell r="H932">
            <v>42978</v>
          </cell>
          <cell r="J932">
            <v>1990000</v>
          </cell>
          <cell r="P932">
            <v>1480500</v>
          </cell>
          <cell r="R932">
            <v>1410000</v>
          </cell>
          <cell r="S932">
            <v>2070000</v>
          </cell>
          <cell r="Y932">
            <v>1564500</v>
          </cell>
          <cell r="AA932">
            <v>1490000</v>
          </cell>
        </row>
        <row r="933">
          <cell r="B933" t="str">
            <v>78W-6389</v>
          </cell>
          <cell r="C933" t="str">
            <v>TGS-26-4806X4BLS-LX-EL-ACC</v>
          </cell>
          <cell r="E933" t="str">
            <v>CKD</v>
          </cell>
          <cell r="F933" t="str">
            <v>2018-03-30</v>
          </cell>
          <cell r="G933">
            <v>15.3</v>
          </cell>
          <cell r="H933">
            <v>42978</v>
          </cell>
          <cell r="J933">
            <v>1990000</v>
          </cell>
          <cell r="P933">
            <v>1480500</v>
          </cell>
          <cell r="R933">
            <v>1410000</v>
          </cell>
          <cell r="S933">
            <v>2070000</v>
          </cell>
          <cell r="Y933">
            <v>1564500</v>
          </cell>
          <cell r="AA933">
            <v>1490000</v>
          </cell>
        </row>
        <row r="934">
          <cell r="B934" t="str">
            <v>78W-6390</v>
          </cell>
          <cell r="C934" t="str">
            <v>TGS-26-4806X4BLS-LX-EL-ACC</v>
          </cell>
          <cell r="E934" t="str">
            <v>CKD</v>
          </cell>
          <cell r="F934" t="str">
            <v>2018-03-30</v>
          </cell>
          <cell r="G934">
            <v>15.3</v>
          </cell>
          <cell r="H934">
            <v>42978</v>
          </cell>
          <cell r="J934">
            <v>1990000</v>
          </cell>
          <cell r="P934">
            <v>1480500</v>
          </cell>
          <cell r="R934">
            <v>1410000</v>
          </cell>
          <cell r="S934">
            <v>2070000</v>
          </cell>
          <cell r="Y934">
            <v>1564500</v>
          </cell>
          <cell r="AA934">
            <v>1490000</v>
          </cell>
        </row>
        <row r="935">
          <cell r="B935" t="str">
            <v>78W-6391</v>
          </cell>
          <cell r="C935" t="str">
            <v>TGS-26-4806X4BLS-LX-EL-ACC</v>
          </cell>
          <cell r="E935" t="str">
            <v>CKD</v>
          </cell>
          <cell r="F935" t="str">
            <v>2018-03-30</v>
          </cell>
          <cell r="G935">
            <v>15.3</v>
          </cell>
          <cell r="H935">
            <v>42978</v>
          </cell>
          <cell r="J935">
            <v>1990000</v>
          </cell>
          <cell r="P935">
            <v>1480500</v>
          </cell>
          <cell r="R935">
            <v>1410000</v>
          </cell>
          <cell r="S935">
            <v>2070000</v>
          </cell>
          <cell r="Y935">
            <v>1564500</v>
          </cell>
          <cell r="AA935">
            <v>1490000</v>
          </cell>
        </row>
        <row r="936">
          <cell r="B936" t="str">
            <v>78W-6408</v>
          </cell>
          <cell r="C936" t="str">
            <v>TGS-26-4806X4BLS-LX-EL-ACC</v>
          </cell>
          <cell r="E936" t="str">
            <v>CKD</v>
          </cell>
          <cell r="F936" t="str">
            <v>2018-04-30</v>
          </cell>
          <cell r="G936">
            <v>15.3</v>
          </cell>
          <cell r="H936">
            <v>42978</v>
          </cell>
          <cell r="J936">
            <v>1990000</v>
          </cell>
          <cell r="P936">
            <v>1512000</v>
          </cell>
          <cell r="R936">
            <v>1440000</v>
          </cell>
          <cell r="S936">
            <v>2070000</v>
          </cell>
          <cell r="Y936">
            <v>1596000</v>
          </cell>
          <cell r="AA936">
            <v>1520000</v>
          </cell>
        </row>
        <row r="937">
          <cell r="B937" t="str">
            <v>78W-6409</v>
          </cell>
          <cell r="C937" t="str">
            <v>TGS-26-4806X4BLS-LX-EL-ACC</v>
          </cell>
          <cell r="E937" t="str">
            <v>CKD</v>
          </cell>
          <cell r="F937" t="str">
            <v>2018-04-30</v>
          </cell>
          <cell r="G937">
            <v>15.3</v>
          </cell>
          <cell r="H937">
            <v>42978</v>
          </cell>
          <cell r="J937">
            <v>1990000</v>
          </cell>
          <cell r="P937">
            <v>1480500</v>
          </cell>
          <cell r="R937">
            <v>1410000</v>
          </cell>
          <cell r="S937">
            <v>2070000</v>
          </cell>
          <cell r="Y937">
            <v>1564500</v>
          </cell>
          <cell r="AA937">
            <v>1490000</v>
          </cell>
        </row>
        <row r="938">
          <cell r="B938" t="str">
            <v>78W-6410</v>
          </cell>
          <cell r="C938" t="str">
            <v>TGS-26-4806X4BLS-LX-EL-ACC</v>
          </cell>
          <cell r="E938" t="str">
            <v>CKD</v>
          </cell>
          <cell r="F938" t="str">
            <v>2018-04-30</v>
          </cell>
          <cell r="G938">
            <v>15.3</v>
          </cell>
          <cell r="H938">
            <v>42978</v>
          </cell>
          <cell r="J938">
            <v>1990000</v>
          </cell>
          <cell r="P938">
            <v>1480500</v>
          </cell>
          <cell r="R938">
            <v>1410000</v>
          </cell>
          <cell r="S938">
            <v>2070000</v>
          </cell>
          <cell r="Y938">
            <v>1564500</v>
          </cell>
          <cell r="AA938">
            <v>1490000</v>
          </cell>
        </row>
        <row r="939">
          <cell r="B939" t="str">
            <v>78W-6411</v>
          </cell>
          <cell r="C939" t="str">
            <v>TGS-26-4806X4BLS-LX-EL-ACC</v>
          </cell>
          <cell r="E939" t="str">
            <v>CKD</v>
          </cell>
          <cell r="F939" t="str">
            <v>2018-04-30</v>
          </cell>
          <cell r="G939">
            <v>15.3</v>
          </cell>
          <cell r="H939">
            <v>42978</v>
          </cell>
          <cell r="J939">
            <v>1990000</v>
          </cell>
          <cell r="P939">
            <v>1480500</v>
          </cell>
          <cell r="R939">
            <v>1410000</v>
          </cell>
          <cell r="S939">
            <v>2070000</v>
          </cell>
          <cell r="Y939">
            <v>1564500</v>
          </cell>
          <cell r="AA939">
            <v>1490000</v>
          </cell>
        </row>
        <row r="940">
          <cell r="B940" t="str">
            <v>78W-6424</v>
          </cell>
          <cell r="C940" t="str">
            <v>TGS-26-4806X4BLS-LX-EL-ACC</v>
          </cell>
          <cell r="E940" t="str">
            <v>CKD</v>
          </cell>
          <cell r="F940" t="str">
            <v>2018-04-30</v>
          </cell>
          <cell r="G940">
            <v>15.3</v>
          </cell>
          <cell r="H940">
            <v>42978</v>
          </cell>
          <cell r="J940">
            <v>1990000</v>
          </cell>
          <cell r="P940">
            <v>1480500</v>
          </cell>
          <cell r="R940">
            <v>1410000</v>
          </cell>
          <cell r="S940">
            <v>2070000</v>
          </cell>
          <cell r="Y940">
            <v>1564500</v>
          </cell>
          <cell r="AA940">
            <v>1490000</v>
          </cell>
        </row>
        <row r="941">
          <cell r="B941" t="str">
            <v>78W-6425</v>
          </cell>
          <cell r="C941" t="str">
            <v>TGS-26-4806X4BLS-LX-EL-ACC</v>
          </cell>
          <cell r="E941" t="str">
            <v>CKD</v>
          </cell>
          <cell r="F941" t="str">
            <v>2018-05-30</v>
          </cell>
          <cell r="G941">
            <v>15.3</v>
          </cell>
          <cell r="H941">
            <v>42978</v>
          </cell>
          <cell r="J941">
            <v>1990000</v>
          </cell>
          <cell r="P941">
            <v>1480500</v>
          </cell>
          <cell r="R941">
            <v>1410000</v>
          </cell>
          <cell r="S941">
            <v>2070000</v>
          </cell>
          <cell r="Y941">
            <v>1564500</v>
          </cell>
          <cell r="AA941">
            <v>1490000</v>
          </cell>
        </row>
        <row r="942">
          <cell r="B942" t="str">
            <v>78W-6426</v>
          </cell>
          <cell r="C942" t="str">
            <v>TGS-26-4806X4BLS-LX-EL-ACC</v>
          </cell>
          <cell r="E942" t="str">
            <v>CKD</v>
          </cell>
          <cell r="F942" t="str">
            <v>2018-05-30</v>
          </cell>
          <cell r="G942">
            <v>15.3</v>
          </cell>
          <cell r="H942">
            <v>42978</v>
          </cell>
          <cell r="J942">
            <v>1990000</v>
          </cell>
          <cell r="P942">
            <v>1480500</v>
          </cell>
          <cell r="R942">
            <v>1410000</v>
          </cell>
          <cell r="S942">
            <v>2070000</v>
          </cell>
          <cell r="Y942">
            <v>1564500</v>
          </cell>
          <cell r="AA942">
            <v>1490000</v>
          </cell>
        </row>
        <row r="943">
          <cell r="B943" t="str">
            <v>78W-6427</v>
          </cell>
          <cell r="C943" t="str">
            <v>TGS-26-4806X4BLS-LX-EL-ACC</v>
          </cell>
          <cell r="E943" t="str">
            <v>CKD</v>
          </cell>
          <cell r="F943" t="str">
            <v>2018-05-30</v>
          </cell>
          <cell r="G943">
            <v>15.3</v>
          </cell>
          <cell r="H943">
            <v>42978</v>
          </cell>
          <cell r="J943">
            <v>1990000</v>
          </cell>
          <cell r="P943">
            <v>1480500</v>
          </cell>
          <cell r="R943">
            <v>1410000</v>
          </cell>
          <cell r="S943">
            <v>2070000</v>
          </cell>
          <cell r="Y943">
            <v>1564500</v>
          </cell>
          <cell r="AA943">
            <v>1490000</v>
          </cell>
        </row>
        <row r="944">
          <cell r="B944" t="str">
            <v>78W-6428</v>
          </cell>
          <cell r="C944" t="str">
            <v>TGS-26-4806X4BLS-LX-EL-ACC</v>
          </cell>
          <cell r="E944" t="str">
            <v>CKD</v>
          </cell>
          <cell r="F944" t="str">
            <v>2018-05-30</v>
          </cell>
          <cell r="G944">
            <v>15.3</v>
          </cell>
          <cell r="H944">
            <v>42978</v>
          </cell>
          <cell r="J944">
            <v>1990000</v>
          </cell>
          <cell r="P944">
            <v>1480500</v>
          </cell>
          <cell r="R944">
            <v>1410000</v>
          </cell>
          <cell r="S944">
            <v>2070000</v>
          </cell>
          <cell r="Y944">
            <v>1564500</v>
          </cell>
          <cell r="AA944">
            <v>1490000</v>
          </cell>
        </row>
        <row r="945">
          <cell r="B945" t="str">
            <v>78W-6429</v>
          </cell>
          <cell r="C945" t="str">
            <v>TGS-26-4806X4BLS-LX-EL-ACC</v>
          </cell>
          <cell r="E945" t="str">
            <v>CKD</v>
          </cell>
          <cell r="F945" t="str">
            <v>2018-05-30</v>
          </cell>
          <cell r="G945">
            <v>15.3</v>
          </cell>
          <cell r="H945">
            <v>42978</v>
          </cell>
          <cell r="J945">
            <v>1990000</v>
          </cell>
          <cell r="P945">
            <v>1480500</v>
          </cell>
          <cell r="R945">
            <v>1410000</v>
          </cell>
          <cell r="S945">
            <v>2070000</v>
          </cell>
          <cell r="Y945">
            <v>1564500</v>
          </cell>
          <cell r="AA945">
            <v>1490000</v>
          </cell>
        </row>
        <row r="946">
          <cell r="B946" t="str">
            <v>78W-6430</v>
          </cell>
          <cell r="C946" t="str">
            <v>TGS-26-4806X4BLS-LX-EL-ACC</v>
          </cell>
          <cell r="E946" t="str">
            <v>CKD</v>
          </cell>
          <cell r="F946" t="str">
            <v>2018-05-30</v>
          </cell>
          <cell r="G946">
            <v>15.3</v>
          </cell>
          <cell r="H946">
            <v>42978</v>
          </cell>
          <cell r="J946">
            <v>1990000</v>
          </cell>
          <cell r="P946">
            <v>1480500</v>
          </cell>
          <cell r="R946">
            <v>1410000</v>
          </cell>
          <cell r="S946">
            <v>2070000</v>
          </cell>
          <cell r="Y946">
            <v>1564500</v>
          </cell>
          <cell r="AA946">
            <v>1490000</v>
          </cell>
        </row>
        <row r="947">
          <cell r="B947" t="str">
            <v>78W-6431</v>
          </cell>
          <cell r="C947" t="str">
            <v>TGS-26-4806X4BLS-LX-EL-ACC</v>
          </cell>
          <cell r="E947" t="str">
            <v>CKD</v>
          </cell>
          <cell r="F947" t="str">
            <v>2018-05-30</v>
          </cell>
          <cell r="G947">
            <v>15.3</v>
          </cell>
          <cell r="H947">
            <v>42978</v>
          </cell>
          <cell r="J947">
            <v>1990000</v>
          </cell>
          <cell r="P947">
            <v>1480500</v>
          </cell>
          <cell r="R947">
            <v>1410000</v>
          </cell>
          <cell r="S947">
            <v>2070000</v>
          </cell>
          <cell r="Y947">
            <v>1564500</v>
          </cell>
          <cell r="AA947">
            <v>1490000</v>
          </cell>
        </row>
        <row r="948">
          <cell r="B948" t="str">
            <v>78W-6444</v>
          </cell>
          <cell r="C948" t="str">
            <v>TGS-26-4806X4BLS-LX-EL-ACC</v>
          </cell>
          <cell r="E948" t="str">
            <v>CKD</v>
          </cell>
          <cell r="F948" t="str">
            <v>2018-03-30</v>
          </cell>
          <cell r="G948">
            <v>15.3</v>
          </cell>
          <cell r="H948">
            <v>42978</v>
          </cell>
          <cell r="J948">
            <v>1990000</v>
          </cell>
          <cell r="P948">
            <v>1480500</v>
          </cell>
          <cell r="R948">
            <v>1410000</v>
          </cell>
          <cell r="S948">
            <v>2070000</v>
          </cell>
          <cell r="Y948">
            <v>1564500</v>
          </cell>
          <cell r="AA948">
            <v>1490000</v>
          </cell>
        </row>
        <row r="949">
          <cell r="B949" t="str">
            <v>78W-6445</v>
          </cell>
          <cell r="C949" t="str">
            <v>TGS-26-4806X4BLS-LX-EL-ACC</v>
          </cell>
          <cell r="E949" t="str">
            <v>CKD</v>
          </cell>
          <cell r="F949" t="str">
            <v>2018-03-30</v>
          </cell>
          <cell r="G949">
            <v>15.3</v>
          </cell>
          <cell r="H949">
            <v>42978</v>
          </cell>
          <cell r="J949">
            <v>1990000</v>
          </cell>
          <cell r="P949">
            <v>1480500</v>
          </cell>
          <cell r="R949">
            <v>1410000</v>
          </cell>
          <cell r="S949">
            <v>2070000</v>
          </cell>
          <cell r="Y949">
            <v>1564500</v>
          </cell>
          <cell r="AA949">
            <v>1490000</v>
          </cell>
        </row>
        <row r="950">
          <cell r="B950" t="str">
            <v>78W-6446</v>
          </cell>
          <cell r="C950" t="str">
            <v>TGS-26-4806X4BLS-LX-EL-ACC</v>
          </cell>
          <cell r="E950" t="str">
            <v>CKD</v>
          </cell>
          <cell r="F950" t="str">
            <v>2018-03-30</v>
          </cell>
          <cell r="G950">
            <v>15.3</v>
          </cell>
          <cell r="H950">
            <v>42978</v>
          </cell>
          <cell r="J950">
            <v>1990000</v>
          </cell>
          <cell r="P950">
            <v>1480500</v>
          </cell>
          <cell r="R950">
            <v>1410000</v>
          </cell>
          <cell r="S950">
            <v>2070000</v>
          </cell>
          <cell r="Y950">
            <v>1564500</v>
          </cell>
          <cell r="AA950">
            <v>1490000</v>
          </cell>
        </row>
        <row r="951">
          <cell r="B951" t="str">
            <v>78W-6447</v>
          </cell>
          <cell r="C951" t="str">
            <v>TGS-26-4806X4BLS-LX-EL-ACC</v>
          </cell>
          <cell r="E951" t="str">
            <v>CKD</v>
          </cell>
          <cell r="F951" t="str">
            <v>2018-03-30</v>
          </cell>
          <cell r="G951">
            <v>15.3</v>
          </cell>
          <cell r="H951">
            <v>42978</v>
          </cell>
          <cell r="J951">
            <v>1990000</v>
          </cell>
          <cell r="P951">
            <v>1480500</v>
          </cell>
          <cell r="R951">
            <v>1410000</v>
          </cell>
          <cell r="S951">
            <v>2070000</v>
          </cell>
          <cell r="Y951">
            <v>1564500</v>
          </cell>
          <cell r="AA951">
            <v>1490000</v>
          </cell>
        </row>
        <row r="952">
          <cell r="B952" t="str">
            <v>78W-6460</v>
          </cell>
          <cell r="C952" t="str">
            <v>TGS-26-4806X4BLS-LX-EL-ACC</v>
          </cell>
          <cell r="E952" t="str">
            <v>CKD</v>
          </cell>
          <cell r="F952" t="str">
            <v>2018-03-30</v>
          </cell>
          <cell r="G952">
            <v>15.3</v>
          </cell>
          <cell r="H952">
            <v>42978</v>
          </cell>
          <cell r="J952">
            <v>1990000</v>
          </cell>
          <cell r="P952">
            <v>1480500</v>
          </cell>
          <cell r="R952">
            <v>1410000</v>
          </cell>
          <cell r="S952">
            <v>2070000</v>
          </cell>
          <cell r="Y952">
            <v>1564500</v>
          </cell>
          <cell r="AA952">
            <v>1490000</v>
          </cell>
        </row>
        <row r="953">
          <cell r="B953" t="str">
            <v>78W-6461</v>
          </cell>
          <cell r="C953" t="str">
            <v>TGS-26-4806X4BLS-LX-EL-ACC</v>
          </cell>
          <cell r="E953" t="str">
            <v>CKD</v>
          </cell>
          <cell r="F953" t="str">
            <v>2018-04-30</v>
          </cell>
          <cell r="G953">
            <v>15.3</v>
          </cell>
          <cell r="H953">
            <v>42978</v>
          </cell>
          <cell r="J953">
            <v>1990000</v>
          </cell>
          <cell r="P953">
            <v>1480500</v>
          </cell>
          <cell r="R953">
            <v>1410000</v>
          </cell>
          <cell r="S953">
            <v>2070000</v>
          </cell>
          <cell r="Y953">
            <v>1564500</v>
          </cell>
          <cell r="AA953">
            <v>1490000</v>
          </cell>
        </row>
        <row r="954">
          <cell r="B954" t="str">
            <v>78W-6462</v>
          </cell>
          <cell r="C954" t="str">
            <v>TGS-26-4806X4BLS-LX-EL-ACC</v>
          </cell>
          <cell r="E954" t="str">
            <v>CKD</v>
          </cell>
          <cell r="F954" t="str">
            <v>2018-04-30</v>
          </cell>
          <cell r="G954">
            <v>15.3</v>
          </cell>
          <cell r="H954">
            <v>42978</v>
          </cell>
          <cell r="J954">
            <v>1990000</v>
          </cell>
          <cell r="P954">
            <v>1480500</v>
          </cell>
          <cell r="R954">
            <v>1410000</v>
          </cell>
          <cell r="S954">
            <v>2070000</v>
          </cell>
          <cell r="Y954">
            <v>1564500</v>
          </cell>
          <cell r="AA954">
            <v>1490000</v>
          </cell>
        </row>
        <row r="955">
          <cell r="B955" t="str">
            <v>78W-6463</v>
          </cell>
          <cell r="C955" t="str">
            <v>TGS-26-4806X4BLS-LX-EL-ACC</v>
          </cell>
          <cell r="E955" t="str">
            <v>CKD</v>
          </cell>
          <cell r="F955" t="str">
            <v>2018-04-30</v>
          </cell>
          <cell r="G955">
            <v>15.3</v>
          </cell>
          <cell r="H955">
            <v>42978</v>
          </cell>
          <cell r="J955">
            <v>1990000</v>
          </cell>
          <cell r="P955">
            <v>1480500</v>
          </cell>
          <cell r="R955">
            <v>1410000</v>
          </cell>
          <cell r="S955">
            <v>2070000</v>
          </cell>
          <cell r="Y955">
            <v>1564500</v>
          </cell>
          <cell r="AA955">
            <v>1490000</v>
          </cell>
        </row>
        <row r="956">
          <cell r="B956" t="str">
            <v>78W-6475</v>
          </cell>
          <cell r="C956" t="str">
            <v>TGS-26-4806X4BLS-LX-EL-ACC</v>
          </cell>
          <cell r="E956" t="str">
            <v>CKD</v>
          </cell>
          <cell r="F956" t="str">
            <v>2018-05-30</v>
          </cell>
          <cell r="G956">
            <v>15.3</v>
          </cell>
          <cell r="H956">
            <v>42978</v>
          </cell>
          <cell r="J956">
            <v>1990000</v>
          </cell>
          <cell r="P956">
            <v>1480500</v>
          </cell>
          <cell r="R956">
            <v>1410000</v>
          </cell>
          <cell r="S956">
            <v>2070000</v>
          </cell>
          <cell r="Y956">
            <v>1564500</v>
          </cell>
          <cell r="AA956">
            <v>1490000</v>
          </cell>
        </row>
        <row r="957">
          <cell r="B957" t="str">
            <v>78W-6476</v>
          </cell>
          <cell r="C957" t="str">
            <v>TGS-26-4806X4BLS-LX-EL-ACC</v>
          </cell>
          <cell r="E957" t="str">
            <v>CKD</v>
          </cell>
          <cell r="F957" t="str">
            <v>2018-05-30</v>
          </cell>
          <cell r="G957">
            <v>15.3</v>
          </cell>
          <cell r="H957">
            <v>42978</v>
          </cell>
          <cell r="J957">
            <v>1990000</v>
          </cell>
          <cell r="P957">
            <v>1480500</v>
          </cell>
          <cell r="R957">
            <v>1410000</v>
          </cell>
          <cell r="S957">
            <v>2070000</v>
          </cell>
          <cell r="Y957">
            <v>1564500</v>
          </cell>
          <cell r="AA957">
            <v>1490000</v>
          </cell>
        </row>
        <row r="958">
          <cell r="B958" t="str">
            <v>78W-6477</v>
          </cell>
          <cell r="C958" t="str">
            <v>TGS-26-4806X4BLS-LX-EL-ACC</v>
          </cell>
          <cell r="E958" t="str">
            <v>CKD</v>
          </cell>
          <cell r="F958" t="str">
            <v>2018-05-30</v>
          </cell>
          <cell r="G958">
            <v>15.3</v>
          </cell>
          <cell r="H958">
            <v>42978</v>
          </cell>
          <cell r="J958">
            <v>1990000</v>
          </cell>
          <cell r="P958">
            <v>1480500</v>
          </cell>
          <cell r="R958">
            <v>1410000</v>
          </cell>
          <cell r="S958">
            <v>2070000</v>
          </cell>
          <cell r="Y958">
            <v>1564500</v>
          </cell>
          <cell r="AA958">
            <v>1490000</v>
          </cell>
        </row>
        <row r="959">
          <cell r="B959" t="str">
            <v>78W-6478</v>
          </cell>
          <cell r="C959" t="str">
            <v>TGS-26-4806X4BLS-LX-EL-ACC</v>
          </cell>
          <cell r="E959" t="str">
            <v>CKD</v>
          </cell>
          <cell r="F959" t="str">
            <v>2018-05-30</v>
          </cell>
          <cell r="G959">
            <v>15.3</v>
          </cell>
          <cell r="H959">
            <v>42978</v>
          </cell>
          <cell r="J959">
            <v>1990000</v>
          </cell>
          <cell r="P959">
            <v>1480500</v>
          </cell>
          <cell r="R959">
            <v>1410000</v>
          </cell>
          <cell r="S959">
            <v>2070000</v>
          </cell>
          <cell r="Y959">
            <v>1564500</v>
          </cell>
          <cell r="AA959">
            <v>1490000</v>
          </cell>
        </row>
        <row r="960">
          <cell r="B960" t="str">
            <v>78W-6483</v>
          </cell>
          <cell r="C960" t="str">
            <v>TGS-26-4806X4BLS-LX-EL-ACC</v>
          </cell>
          <cell r="E960" t="str">
            <v>CKD</v>
          </cell>
          <cell r="F960" t="str">
            <v>2018-05-30</v>
          </cell>
          <cell r="G960">
            <v>15.3</v>
          </cell>
          <cell r="H960">
            <v>42978</v>
          </cell>
          <cell r="J960">
            <v>1990000</v>
          </cell>
          <cell r="P960">
            <v>1480500</v>
          </cell>
          <cell r="R960">
            <v>1410000</v>
          </cell>
          <cell r="S960">
            <v>2070000</v>
          </cell>
          <cell r="Y960">
            <v>1564500</v>
          </cell>
          <cell r="AA960">
            <v>1490000</v>
          </cell>
        </row>
        <row r="961">
          <cell r="B961" t="str">
            <v>78W-6484</v>
          </cell>
          <cell r="C961" t="str">
            <v>TGS-26-4806X4BLS-LX-EL-ACC</v>
          </cell>
          <cell r="E961" t="str">
            <v>CKD</v>
          </cell>
          <cell r="F961" t="str">
            <v>2018-05-30</v>
          </cell>
          <cell r="G961">
            <v>15.3</v>
          </cell>
          <cell r="H961">
            <v>42978</v>
          </cell>
          <cell r="J961">
            <v>1990000</v>
          </cell>
          <cell r="P961">
            <v>1480500</v>
          </cell>
          <cell r="R961">
            <v>1410000</v>
          </cell>
          <cell r="S961">
            <v>2070000</v>
          </cell>
          <cell r="Y961">
            <v>1564500</v>
          </cell>
          <cell r="AA961">
            <v>1490000</v>
          </cell>
        </row>
        <row r="962">
          <cell r="B962" t="str">
            <v>78W-6485</v>
          </cell>
          <cell r="C962" t="str">
            <v>TGS-26-4806X4BLS-LX-EL-ACC</v>
          </cell>
          <cell r="E962" t="str">
            <v>CKD</v>
          </cell>
          <cell r="F962" t="str">
            <v>2018-05-30</v>
          </cell>
          <cell r="G962">
            <v>15.3</v>
          </cell>
          <cell r="H962">
            <v>42978</v>
          </cell>
          <cell r="J962">
            <v>1990000</v>
          </cell>
          <cell r="P962">
            <v>1480500</v>
          </cell>
          <cell r="R962">
            <v>1410000</v>
          </cell>
          <cell r="S962">
            <v>2070000</v>
          </cell>
          <cell r="Y962">
            <v>1564500</v>
          </cell>
          <cell r="AA962">
            <v>1490000</v>
          </cell>
        </row>
        <row r="963">
          <cell r="B963" t="str">
            <v>78W-6486</v>
          </cell>
          <cell r="C963" t="str">
            <v>TGS-26-4806X4BLS-LX-EL-ACC</v>
          </cell>
          <cell r="E963" t="str">
            <v>CKD</v>
          </cell>
          <cell r="F963" t="str">
            <v>2018-05-30</v>
          </cell>
          <cell r="G963">
            <v>15.3</v>
          </cell>
          <cell r="H963">
            <v>42978</v>
          </cell>
          <cell r="J963">
            <v>1990000</v>
          </cell>
          <cell r="P963">
            <v>1480500</v>
          </cell>
          <cell r="R963">
            <v>1410000</v>
          </cell>
          <cell r="S963">
            <v>2070000</v>
          </cell>
          <cell r="Y963">
            <v>1564500</v>
          </cell>
          <cell r="AA963">
            <v>1490000</v>
          </cell>
        </row>
        <row r="964">
          <cell r="B964" t="str">
            <v>78W-6487</v>
          </cell>
          <cell r="C964" t="str">
            <v>TGS-26-4806X4BLS-LX-EL-ACC</v>
          </cell>
          <cell r="E964" t="str">
            <v>CKD</v>
          </cell>
          <cell r="F964" t="str">
            <v>2018-05-30</v>
          </cell>
          <cell r="G964">
            <v>15.3</v>
          </cell>
          <cell r="H964">
            <v>42978</v>
          </cell>
          <cell r="J964">
            <v>1990000</v>
          </cell>
          <cell r="P964">
            <v>1480500</v>
          </cell>
          <cell r="R964">
            <v>1410000</v>
          </cell>
          <cell r="S964">
            <v>2070000</v>
          </cell>
          <cell r="Y964">
            <v>1564500</v>
          </cell>
          <cell r="AA964">
            <v>1490000</v>
          </cell>
        </row>
        <row r="965">
          <cell r="B965" t="str">
            <v>78W-6488</v>
          </cell>
          <cell r="C965" t="str">
            <v>TGS-26-4806X4BLS-LX-EL-ACC</v>
          </cell>
          <cell r="E965" t="str">
            <v>CKD</v>
          </cell>
          <cell r="F965" t="str">
            <v>2018-05-30</v>
          </cell>
          <cell r="G965">
            <v>15.3</v>
          </cell>
          <cell r="H965">
            <v>42978</v>
          </cell>
          <cell r="J965">
            <v>1990000</v>
          </cell>
          <cell r="P965">
            <v>1480500</v>
          </cell>
          <cell r="R965">
            <v>1410000</v>
          </cell>
          <cell r="S965">
            <v>2070000</v>
          </cell>
          <cell r="Y965">
            <v>1564500</v>
          </cell>
          <cell r="AA965">
            <v>1490000</v>
          </cell>
        </row>
        <row r="966">
          <cell r="B966" t="str">
            <v>78W-6489</v>
          </cell>
          <cell r="C966" t="str">
            <v>TGS-26-4806X4BLS-LX-EL-ACC</v>
          </cell>
          <cell r="E966" t="str">
            <v>CKD</v>
          </cell>
          <cell r="F966" t="str">
            <v>2018-05-30</v>
          </cell>
          <cell r="G966">
            <v>15.3</v>
          </cell>
          <cell r="H966">
            <v>42978</v>
          </cell>
          <cell r="J966">
            <v>1990000</v>
          </cell>
          <cell r="P966">
            <v>1480500</v>
          </cell>
          <cell r="R966">
            <v>1410000</v>
          </cell>
          <cell r="S966">
            <v>2070000</v>
          </cell>
          <cell r="Y966">
            <v>1564500</v>
          </cell>
          <cell r="AA966">
            <v>1490000</v>
          </cell>
        </row>
        <row r="967">
          <cell r="B967" t="str">
            <v>78W-6490</v>
          </cell>
          <cell r="C967" t="str">
            <v>TGS-26-4806X4BLS-LX-EL-ACC</v>
          </cell>
          <cell r="E967" t="str">
            <v>CKD</v>
          </cell>
          <cell r="F967" t="str">
            <v>2018-06-30</v>
          </cell>
          <cell r="G967">
            <v>15.3</v>
          </cell>
          <cell r="H967">
            <v>42978</v>
          </cell>
          <cell r="J967">
            <v>1990000</v>
          </cell>
          <cell r="P967">
            <v>1480500</v>
          </cell>
          <cell r="R967">
            <v>1410000</v>
          </cell>
          <cell r="S967">
            <v>2070000</v>
          </cell>
          <cell r="Y967">
            <v>1564500</v>
          </cell>
          <cell r="AA967">
            <v>1490000</v>
          </cell>
        </row>
        <row r="968">
          <cell r="B968" t="str">
            <v>78W-6518</v>
          </cell>
          <cell r="C968" t="str">
            <v>TGS-26-4806X4BLS-LX-EL-ACC</v>
          </cell>
          <cell r="E968" t="str">
            <v>CKD</v>
          </cell>
          <cell r="F968" t="str">
            <v>2018-06-30</v>
          </cell>
          <cell r="G968">
            <v>15.9</v>
          </cell>
          <cell r="H968">
            <v>43039</v>
          </cell>
          <cell r="J968">
            <v>1990000</v>
          </cell>
          <cell r="P968">
            <v>1480500</v>
          </cell>
          <cell r="R968">
            <v>1410000</v>
          </cell>
          <cell r="S968">
            <v>2070000</v>
          </cell>
          <cell r="Y968">
            <v>1564500</v>
          </cell>
          <cell r="AA968">
            <v>1490000</v>
          </cell>
        </row>
        <row r="969">
          <cell r="B969" t="str">
            <v>78W-6519</v>
          </cell>
          <cell r="C969" t="str">
            <v>TGS-26-4806X4BLS-LX-EL-ACC</v>
          </cell>
          <cell r="E969" t="str">
            <v>CKD</v>
          </cell>
          <cell r="F969" t="str">
            <v>2018-06-30</v>
          </cell>
          <cell r="G969">
            <v>15.9</v>
          </cell>
          <cell r="H969">
            <v>43039</v>
          </cell>
          <cell r="J969">
            <v>1990000</v>
          </cell>
          <cell r="P969">
            <v>1480500</v>
          </cell>
          <cell r="R969">
            <v>1410000</v>
          </cell>
          <cell r="S969">
            <v>2070000</v>
          </cell>
          <cell r="Y969">
            <v>1564500</v>
          </cell>
          <cell r="AA969">
            <v>1490000</v>
          </cell>
        </row>
        <row r="970">
          <cell r="B970" t="str">
            <v>78W-6520</v>
          </cell>
          <cell r="C970" t="str">
            <v>TGS-26-4806X4BLS-LX-EL-ACC</v>
          </cell>
          <cell r="E970" t="str">
            <v>CKD</v>
          </cell>
          <cell r="F970" t="str">
            <v>2018-06-30</v>
          </cell>
          <cell r="G970">
            <v>15.9</v>
          </cell>
          <cell r="H970">
            <v>43039</v>
          </cell>
          <cell r="J970">
            <v>1990000</v>
          </cell>
          <cell r="P970">
            <v>1480500</v>
          </cell>
          <cell r="R970">
            <v>1410000</v>
          </cell>
          <cell r="S970">
            <v>2070000</v>
          </cell>
          <cell r="Y970">
            <v>1564500</v>
          </cell>
          <cell r="AA970">
            <v>1490000</v>
          </cell>
        </row>
        <row r="971">
          <cell r="B971" t="str">
            <v>78W-6521</v>
          </cell>
          <cell r="C971" t="str">
            <v>TGS-26-4806X4BLS-LX-EL-ACC</v>
          </cell>
          <cell r="E971" t="str">
            <v>CKD</v>
          </cell>
          <cell r="F971" t="str">
            <v>2018-06-30</v>
          </cell>
          <cell r="G971">
            <v>15.9</v>
          </cell>
          <cell r="H971">
            <v>43039</v>
          </cell>
          <cell r="J971">
            <v>1990000</v>
          </cell>
          <cell r="P971">
            <v>1480500</v>
          </cell>
          <cell r="R971">
            <v>1410000</v>
          </cell>
          <cell r="S971">
            <v>2070000</v>
          </cell>
          <cell r="Y971">
            <v>1564500</v>
          </cell>
          <cell r="AA971">
            <v>1490000</v>
          </cell>
        </row>
        <row r="972">
          <cell r="B972" t="str">
            <v>78W-6538</v>
          </cell>
          <cell r="C972" t="str">
            <v>TGS-26-4806X4BLS-LX-EL-ACC</v>
          </cell>
          <cell r="E972" t="str">
            <v>CKD</v>
          </cell>
          <cell r="F972" t="str">
            <v>2018-06-30</v>
          </cell>
          <cell r="G972">
            <v>15.9</v>
          </cell>
          <cell r="H972">
            <v>43039</v>
          </cell>
          <cell r="J972">
            <v>1990000</v>
          </cell>
          <cell r="P972">
            <v>1480500</v>
          </cell>
          <cell r="R972">
            <v>1410000</v>
          </cell>
          <cell r="S972">
            <v>2070000</v>
          </cell>
          <cell r="Y972">
            <v>1564500</v>
          </cell>
          <cell r="AA972">
            <v>1490000</v>
          </cell>
        </row>
        <row r="973">
          <cell r="B973" t="str">
            <v>78W-6539</v>
          </cell>
          <cell r="C973" t="str">
            <v>TGS-26-4806X4BLS-LX-EL-ACC</v>
          </cell>
          <cell r="E973" t="str">
            <v>CKD</v>
          </cell>
          <cell r="F973" t="str">
            <v>2018-06-30</v>
          </cell>
          <cell r="G973">
            <v>15.9</v>
          </cell>
          <cell r="H973">
            <v>43039</v>
          </cell>
          <cell r="J973">
            <v>1990000</v>
          </cell>
          <cell r="P973">
            <v>1480500</v>
          </cell>
          <cell r="R973">
            <v>1410000</v>
          </cell>
          <cell r="S973">
            <v>2070000</v>
          </cell>
          <cell r="Y973">
            <v>1564500</v>
          </cell>
          <cell r="AA973">
            <v>1490000</v>
          </cell>
        </row>
        <row r="974">
          <cell r="B974" t="str">
            <v>78W-6540</v>
          </cell>
          <cell r="C974" t="str">
            <v>TGS-26-4806X4BLS-LX-EL-ACC</v>
          </cell>
          <cell r="E974" t="str">
            <v>CKD</v>
          </cell>
          <cell r="F974" t="str">
            <v>2018-06-30</v>
          </cell>
          <cell r="G974">
            <v>15.9</v>
          </cell>
          <cell r="H974">
            <v>43039</v>
          </cell>
          <cell r="J974">
            <v>1990000</v>
          </cell>
          <cell r="P974">
            <v>1480500</v>
          </cell>
          <cell r="R974">
            <v>1410000</v>
          </cell>
          <cell r="S974">
            <v>2070000</v>
          </cell>
          <cell r="Y974">
            <v>1564500</v>
          </cell>
          <cell r="AA974">
            <v>1490000</v>
          </cell>
        </row>
        <row r="975">
          <cell r="B975" t="str">
            <v>78W-6541</v>
          </cell>
          <cell r="C975" t="str">
            <v>TGS-26-4806X4BLS-LX-EL-ACC</v>
          </cell>
          <cell r="E975" t="str">
            <v>CKD</v>
          </cell>
          <cell r="F975" t="str">
            <v>2018-06-30</v>
          </cell>
          <cell r="G975">
            <v>15.9</v>
          </cell>
          <cell r="H975">
            <v>43039</v>
          </cell>
          <cell r="J975">
            <v>1990000</v>
          </cell>
          <cell r="P975">
            <v>1480500</v>
          </cell>
          <cell r="R975">
            <v>1410000</v>
          </cell>
          <cell r="S975">
            <v>2070000</v>
          </cell>
          <cell r="Y975">
            <v>1564500</v>
          </cell>
          <cell r="AA975">
            <v>1490000</v>
          </cell>
        </row>
        <row r="976">
          <cell r="B976" t="str">
            <v>78W-6554</v>
          </cell>
          <cell r="C976" t="str">
            <v>TGS-26-4806X4BLS-LX-EL-ACC</v>
          </cell>
          <cell r="E976" t="str">
            <v>CKD</v>
          </cell>
          <cell r="F976" t="str">
            <v>2018-06-30</v>
          </cell>
          <cell r="G976">
            <v>15.9</v>
          </cell>
          <cell r="H976">
            <v>43039</v>
          </cell>
          <cell r="J976">
            <v>1990000</v>
          </cell>
          <cell r="P976">
            <v>1480500</v>
          </cell>
          <cell r="R976">
            <v>1410000</v>
          </cell>
          <cell r="S976">
            <v>2070000</v>
          </cell>
          <cell r="Y976">
            <v>1564500</v>
          </cell>
          <cell r="AA976">
            <v>1490000</v>
          </cell>
        </row>
        <row r="977">
          <cell r="B977" t="str">
            <v>78W-6555</v>
          </cell>
          <cell r="C977" t="str">
            <v>TGS-26-4806X4BLS-LX-EL-ACC</v>
          </cell>
          <cell r="E977" t="str">
            <v>CKD</v>
          </cell>
          <cell r="F977" t="str">
            <v>2018-06-30</v>
          </cell>
          <cell r="G977">
            <v>15.9</v>
          </cell>
          <cell r="H977">
            <v>43039</v>
          </cell>
          <cell r="J977">
            <v>1990000</v>
          </cell>
          <cell r="P977">
            <v>1480500</v>
          </cell>
          <cell r="R977">
            <v>1410000</v>
          </cell>
          <cell r="S977">
            <v>2070000</v>
          </cell>
          <cell r="Y977">
            <v>1564500</v>
          </cell>
          <cell r="AA977">
            <v>1490000</v>
          </cell>
        </row>
        <row r="978">
          <cell r="B978" t="str">
            <v>78W-6556</v>
          </cell>
          <cell r="C978" t="str">
            <v>TGS-26-4806X4BLS-LX-EL-ACC</v>
          </cell>
          <cell r="E978" t="str">
            <v>CKD</v>
          </cell>
          <cell r="F978" t="str">
            <v>2018-06-30</v>
          </cell>
          <cell r="G978">
            <v>15.9</v>
          </cell>
          <cell r="H978">
            <v>43039</v>
          </cell>
          <cell r="J978">
            <v>1990000</v>
          </cell>
          <cell r="P978">
            <v>1480500</v>
          </cell>
          <cell r="R978">
            <v>1410000</v>
          </cell>
          <cell r="S978">
            <v>2070000</v>
          </cell>
          <cell r="Y978">
            <v>1564500</v>
          </cell>
          <cell r="AA978">
            <v>1490000</v>
          </cell>
        </row>
        <row r="979">
          <cell r="B979" t="str">
            <v>78W-6557</v>
          </cell>
          <cell r="C979" t="str">
            <v>TGS-26-4806X4BLS-LX-EL-ACC</v>
          </cell>
          <cell r="E979" t="str">
            <v>CKD</v>
          </cell>
          <cell r="F979" t="str">
            <v>2018-06-30</v>
          </cell>
          <cell r="G979">
            <v>15.9</v>
          </cell>
          <cell r="H979">
            <v>43039</v>
          </cell>
          <cell r="J979">
            <v>1990000</v>
          </cell>
          <cell r="P979">
            <v>1480500</v>
          </cell>
          <cell r="R979">
            <v>1410000</v>
          </cell>
          <cell r="S979">
            <v>2070000</v>
          </cell>
          <cell r="Y979">
            <v>1564500</v>
          </cell>
          <cell r="AA979">
            <v>1490000</v>
          </cell>
        </row>
        <row r="980">
          <cell r="B980" t="str">
            <v>TBATG002</v>
          </cell>
          <cell r="C980" t="str">
            <v>TGS-26-4806X4BLS-LX-EL-ACC</v>
          </cell>
          <cell r="E980" t="str">
            <v>CKD</v>
          </cell>
          <cell r="F980" t="str">
            <v>2018-06-18</v>
          </cell>
          <cell r="G980">
            <v>15.8</v>
          </cell>
          <cell r="H980">
            <v>43159</v>
          </cell>
          <cell r="J980">
            <v>1990000</v>
          </cell>
          <cell r="P980">
            <v>1512000</v>
          </cell>
          <cell r="R980">
            <v>1440000</v>
          </cell>
          <cell r="S980">
            <v>2070000</v>
          </cell>
          <cell r="Y980">
            <v>1596000</v>
          </cell>
          <cell r="AA980">
            <v>1520000</v>
          </cell>
        </row>
        <row r="981">
          <cell r="B981">
            <v>48899</v>
          </cell>
          <cell r="C981" t="str">
            <v>TGS-27-4406X4BBS-L</v>
          </cell>
          <cell r="E981" t="str">
            <v>CKD</v>
          </cell>
          <cell r="F981" t="str">
            <v>2018-05-30</v>
          </cell>
          <cell r="G981">
            <v>15.9</v>
          </cell>
          <cell r="H981">
            <v>43069</v>
          </cell>
          <cell r="J981">
            <v>1690000</v>
          </cell>
          <cell r="P981">
            <v>1344000</v>
          </cell>
          <cell r="R981">
            <v>1280000</v>
          </cell>
          <cell r="S981">
            <v>1745000</v>
          </cell>
          <cell r="Y981">
            <v>1401750</v>
          </cell>
          <cell r="AA981">
            <v>1335000</v>
          </cell>
        </row>
        <row r="982">
          <cell r="B982">
            <v>48900</v>
          </cell>
          <cell r="C982" t="str">
            <v>TGS-27-4406X4BBS-L</v>
          </cell>
          <cell r="E982" t="str">
            <v>CKD</v>
          </cell>
          <cell r="F982" t="str">
            <v>2018-05-30</v>
          </cell>
          <cell r="G982">
            <v>15.9</v>
          </cell>
          <cell r="H982">
            <v>43069</v>
          </cell>
          <cell r="J982">
            <v>1690000</v>
          </cell>
          <cell r="P982">
            <v>1344000</v>
          </cell>
          <cell r="R982">
            <v>1280000</v>
          </cell>
          <cell r="S982">
            <v>1745000</v>
          </cell>
          <cell r="Y982">
            <v>1401750</v>
          </cell>
          <cell r="AA982">
            <v>1335000</v>
          </cell>
        </row>
        <row r="983">
          <cell r="B983">
            <v>48901</v>
          </cell>
          <cell r="C983" t="str">
            <v>TGS-27-4406X4BBS-L</v>
          </cell>
          <cell r="E983" t="str">
            <v>CKD</v>
          </cell>
          <cell r="F983" t="str">
            <v>2018-05-30</v>
          </cell>
          <cell r="G983">
            <v>15.9</v>
          </cell>
          <cell r="H983">
            <v>43069</v>
          </cell>
          <cell r="J983">
            <v>1690000</v>
          </cell>
          <cell r="P983">
            <v>1344000</v>
          </cell>
          <cell r="R983">
            <v>1280000</v>
          </cell>
          <cell r="S983">
            <v>1745000</v>
          </cell>
          <cell r="Y983">
            <v>1401750</v>
          </cell>
          <cell r="AA983">
            <v>1335000</v>
          </cell>
        </row>
        <row r="984">
          <cell r="B984">
            <v>48902</v>
          </cell>
          <cell r="C984" t="str">
            <v>TGS-27-4406X4BBS-L</v>
          </cell>
          <cell r="E984" t="str">
            <v>CKD</v>
          </cell>
          <cell r="F984" t="str">
            <v>2018-05-30</v>
          </cell>
          <cell r="G984">
            <v>15.9</v>
          </cell>
          <cell r="H984">
            <v>43069</v>
          </cell>
          <cell r="J984">
            <v>1690000</v>
          </cell>
          <cell r="P984">
            <v>1344000</v>
          </cell>
          <cell r="R984">
            <v>1280000</v>
          </cell>
          <cell r="S984">
            <v>1745000</v>
          </cell>
          <cell r="Y984">
            <v>1401750</v>
          </cell>
          <cell r="AA984">
            <v>1335000</v>
          </cell>
        </row>
        <row r="985">
          <cell r="B985">
            <v>48903</v>
          </cell>
          <cell r="C985" t="str">
            <v>TGS-27-4406X4BBS-L</v>
          </cell>
          <cell r="E985" t="str">
            <v>CKD</v>
          </cell>
          <cell r="F985" t="str">
            <v>2018-05-30</v>
          </cell>
          <cell r="G985">
            <v>15.9</v>
          </cell>
          <cell r="H985">
            <v>43069</v>
          </cell>
          <cell r="J985">
            <v>1690000</v>
          </cell>
          <cell r="P985">
            <v>1344000</v>
          </cell>
          <cell r="R985">
            <v>1280000</v>
          </cell>
          <cell r="S985">
            <v>1745000</v>
          </cell>
          <cell r="Y985">
            <v>1401750</v>
          </cell>
          <cell r="AA985">
            <v>1335000</v>
          </cell>
        </row>
        <row r="986">
          <cell r="B986">
            <v>48904</v>
          </cell>
          <cell r="C986" t="str">
            <v>TGS-27-4406X4BBS-L</v>
          </cell>
          <cell r="E986" t="str">
            <v>CKD</v>
          </cell>
          <cell r="F986" t="str">
            <v>2018-05-30</v>
          </cell>
          <cell r="G986">
            <v>15.9</v>
          </cell>
          <cell r="H986">
            <v>43069</v>
          </cell>
          <cell r="J986">
            <v>1690000</v>
          </cell>
          <cell r="P986">
            <v>1344000</v>
          </cell>
          <cell r="R986">
            <v>1280000</v>
          </cell>
          <cell r="S986">
            <v>1745000</v>
          </cell>
          <cell r="Y986">
            <v>1401750</v>
          </cell>
          <cell r="AA986">
            <v>1335000</v>
          </cell>
        </row>
        <row r="987">
          <cell r="B987">
            <v>48905</v>
          </cell>
          <cell r="C987" t="str">
            <v>TGS-27-4406X4BBS-L</v>
          </cell>
          <cell r="E987" t="str">
            <v>CKD</v>
          </cell>
          <cell r="F987" t="str">
            <v>2018-05-30</v>
          </cell>
          <cell r="G987">
            <v>15.9</v>
          </cell>
          <cell r="H987">
            <v>43069</v>
          </cell>
          <cell r="J987">
            <v>1690000</v>
          </cell>
          <cell r="P987">
            <v>1344000</v>
          </cell>
          <cell r="R987">
            <v>1280000</v>
          </cell>
          <cell r="S987">
            <v>1745000</v>
          </cell>
          <cell r="Y987">
            <v>1401750</v>
          </cell>
          <cell r="AA987">
            <v>1335000</v>
          </cell>
        </row>
        <row r="988">
          <cell r="B988">
            <v>48906</v>
          </cell>
          <cell r="C988" t="str">
            <v>TGS-27-4406X4BBS-L</v>
          </cell>
          <cell r="E988" t="str">
            <v>CKD</v>
          </cell>
          <cell r="F988" t="str">
            <v>2018-05-30</v>
          </cell>
          <cell r="G988">
            <v>15.9</v>
          </cell>
          <cell r="H988">
            <v>43069</v>
          </cell>
          <cell r="J988">
            <v>1690000</v>
          </cell>
          <cell r="P988">
            <v>1344000</v>
          </cell>
          <cell r="R988">
            <v>1280000</v>
          </cell>
          <cell r="S988">
            <v>1745000</v>
          </cell>
          <cell r="Y988">
            <v>1401750</v>
          </cell>
          <cell r="AA988">
            <v>1335000</v>
          </cell>
        </row>
        <row r="989">
          <cell r="B989">
            <v>48947</v>
          </cell>
          <cell r="C989" t="str">
            <v>TGS-27-4406X4BBS-L</v>
          </cell>
          <cell r="E989" t="str">
            <v>CKD</v>
          </cell>
          <cell r="F989" t="str">
            <v>2018-05-30</v>
          </cell>
          <cell r="G989">
            <v>15.9</v>
          </cell>
          <cell r="H989">
            <v>43069</v>
          </cell>
          <cell r="J989">
            <v>1690000</v>
          </cell>
          <cell r="P989">
            <v>1344000</v>
          </cell>
          <cell r="R989">
            <v>1280000</v>
          </cell>
          <cell r="S989">
            <v>1745000</v>
          </cell>
          <cell r="Y989">
            <v>1401750</v>
          </cell>
          <cell r="AA989">
            <v>1335000</v>
          </cell>
        </row>
        <row r="990">
          <cell r="B990">
            <v>48948</v>
          </cell>
          <cell r="C990" t="str">
            <v>TGS-27-4406X4BBS-L</v>
          </cell>
          <cell r="E990" t="str">
            <v>CKD</v>
          </cell>
          <cell r="F990" t="str">
            <v>2018-05-30</v>
          </cell>
          <cell r="G990">
            <v>15.9</v>
          </cell>
          <cell r="H990">
            <v>43069</v>
          </cell>
          <cell r="J990">
            <v>1690000</v>
          </cell>
          <cell r="P990">
            <v>1344000</v>
          </cell>
          <cell r="R990">
            <v>1280000</v>
          </cell>
          <cell r="S990">
            <v>1745000</v>
          </cell>
          <cell r="Y990">
            <v>1401750</v>
          </cell>
          <cell r="AA990">
            <v>1335000</v>
          </cell>
        </row>
        <row r="991">
          <cell r="B991">
            <v>48949</v>
          </cell>
          <cell r="C991" t="str">
            <v>TGS-27-4406X4BBS-L</v>
          </cell>
          <cell r="E991" t="str">
            <v>CKD</v>
          </cell>
          <cell r="F991" t="str">
            <v>2018-05-30</v>
          </cell>
          <cell r="G991">
            <v>15.9</v>
          </cell>
          <cell r="H991">
            <v>43069</v>
          </cell>
          <cell r="J991">
            <v>1690000</v>
          </cell>
          <cell r="P991">
            <v>1344000</v>
          </cell>
          <cell r="R991">
            <v>1280000</v>
          </cell>
          <cell r="S991">
            <v>1745000</v>
          </cell>
          <cell r="Y991">
            <v>1401750</v>
          </cell>
          <cell r="AA991">
            <v>1335000</v>
          </cell>
        </row>
        <row r="992">
          <cell r="B992">
            <v>48950</v>
          </cell>
          <cell r="C992" t="str">
            <v>TGS-27-4406X4BBS-L</v>
          </cell>
          <cell r="E992" t="str">
            <v>CKD</v>
          </cell>
          <cell r="F992" t="str">
            <v>2018-05-30</v>
          </cell>
          <cell r="G992">
            <v>15.9</v>
          </cell>
          <cell r="H992">
            <v>43069</v>
          </cell>
          <cell r="J992">
            <v>1690000</v>
          </cell>
          <cell r="P992">
            <v>1344000</v>
          </cell>
          <cell r="R992">
            <v>1280000</v>
          </cell>
          <cell r="S992">
            <v>1745000</v>
          </cell>
          <cell r="Y992">
            <v>1401750</v>
          </cell>
          <cell r="AA992">
            <v>1335000</v>
          </cell>
        </row>
        <row r="993">
          <cell r="B993">
            <v>48951</v>
          </cell>
          <cell r="C993" t="str">
            <v>TGS-27-4406X4BBS-L</v>
          </cell>
          <cell r="E993" t="str">
            <v>CKD</v>
          </cell>
          <cell r="F993" t="str">
            <v>2018-06-30</v>
          </cell>
          <cell r="G993">
            <v>15.9</v>
          </cell>
          <cell r="H993">
            <v>43069</v>
          </cell>
          <cell r="J993">
            <v>1690000</v>
          </cell>
          <cell r="P993">
            <v>1344000</v>
          </cell>
          <cell r="R993">
            <v>1280000</v>
          </cell>
          <cell r="S993">
            <v>1745000</v>
          </cell>
          <cell r="Y993">
            <v>1401750</v>
          </cell>
          <cell r="AA993">
            <v>1335000</v>
          </cell>
        </row>
        <row r="994">
          <cell r="B994">
            <v>48952</v>
          </cell>
          <cell r="C994" t="str">
            <v>TGS-27-4406X4BBS-L</v>
          </cell>
          <cell r="E994" t="str">
            <v>CKD</v>
          </cell>
          <cell r="F994" t="str">
            <v>2018-06-30</v>
          </cell>
          <cell r="G994">
            <v>15.9</v>
          </cell>
          <cell r="H994">
            <v>43069</v>
          </cell>
          <cell r="J994">
            <v>1690000</v>
          </cell>
          <cell r="P994">
            <v>1344000</v>
          </cell>
          <cell r="R994">
            <v>1280000</v>
          </cell>
          <cell r="S994">
            <v>1745000</v>
          </cell>
          <cell r="Y994">
            <v>1401750</v>
          </cell>
          <cell r="AA994">
            <v>1335000</v>
          </cell>
        </row>
        <row r="995">
          <cell r="B995">
            <v>48953</v>
          </cell>
          <cell r="C995" t="str">
            <v>TGS-27-4406X4BBS-L</v>
          </cell>
          <cell r="E995" t="str">
            <v>CKD</v>
          </cell>
          <cell r="F995" t="str">
            <v>2018-06-30</v>
          </cell>
          <cell r="G995">
            <v>15.9</v>
          </cell>
          <cell r="H995">
            <v>43069</v>
          </cell>
          <cell r="J995">
            <v>1690000</v>
          </cell>
          <cell r="P995">
            <v>1323000</v>
          </cell>
          <cell r="R995">
            <v>1260000</v>
          </cell>
          <cell r="S995">
            <v>1745000</v>
          </cell>
          <cell r="Y995">
            <v>1380750</v>
          </cell>
          <cell r="AA995">
            <v>1315000</v>
          </cell>
        </row>
        <row r="996">
          <cell r="B996">
            <v>48954</v>
          </cell>
          <cell r="C996" t="str">
            <v>TGS-27-4406X4BBS-L</v>
          </cell>
          <cell r="E996" t="str">
            <v>CKD</v>
          </cell>
          <cell r="F996" t="str">
            <v>2018-06-30</v>
          </cell>
          <cell r="G996">
            <v>15.9</v>
          </cell>
          <cell r="H996">
            <v>43069</v>
          </cell>
          <cell r="J996">
            <v>1690000</v>
          </cell>
          <cell r="P996">
            <v>1323000</v>
          </cell>
          <cell r="R996">
            <v>1260000</v>
          </cell>
          <cell r="S996">
            <v>1745000</v>
          </cell>
          <cell r="Y996">
            <v>1380750</v>
          </cell>
          <cell r="AA996">
            <v>1315000</v>
          </cell>
        </row>
        <row r="997">
          <cell r="B997">
            <v>48955</v>
          </cell>
          <cell r="C997" t="str">
            <v>TGS-27-4406X4BBS-L</v>
          </cell>
          <cell r="E997" t="str">
            <v>CKD</v>
          </cell>
          <cell r="F997" t="str">
            <v>2018-04-30</v>
          </cell>
          <cell r="G997">
            <v>15.9</v>
          </cell>
          <cell r="H997">
            <v>43069</v>
          </cell>
          <cell r="J997">
            <v>1690000</v>
          </cell>
          <cell r="P997">
            <v>1323000</v>
          </cell>
          <cell r="R997">
            <v>1260000</v>
          </cell>
          <cell r="S997">
            <v>1745000</v>
          </cell>
          <cell r="Y997">
            <v>1380750</v>
          </cell>
          <cell r="AA997">
            <v>1315000</v>
          </cell>
        </row>
        <row r="998">
          <cell r="B998">
            <v>48956</v>
          </cell>
          <cell r="C998" t="str">
            <v>TGS-27-4406X4BBS-L</v>
          </cell>
          <cell r="E998" t="str">
            <v>CKD</v>
          </cell>
          <cell r="F998" t="str">
            <v>2018-04-30</v>
          </cell>
          <cell r="G998">
            <v>15.9</v>
          </cell>
          <cell r="H998">
            <v>43069</v>
          </cell>
          <cell r="J998">
            <v>1690000</v>
          </cell>
          <cell r="P998">
            <v>1323000</v>
          </cell>
          <cell r="R998">
            <v>1260000</v>
          </cell>
          <cell r="S998">
            <v>1745000</v>
          </cell>
          <cell r="Y998">
            <v>1380750</v>
          </cell>
          <cell r="AA998">
            <v>1315000</v>
          </cell>
        </row>
        <row r="999">
          <cell r="B999">
            <v>48957</v>
          </cell>
          <cell r="C999" t="str">
            <v>TGS-27-4406X4BBS-L</v>
          </cell>
          <cell r="E999" t="str">
            <v>CKD</v>
          </cell>
          <cell r="F999" t="str">
            <v>2018-04-30</v>
          </cell>
          <cell r="G999">
            <v>15.9</v>
          </cell>
          <cell r="H999">
            <v>43069</v>
          </cell>
          <cell r="J999">
            <v>1690000</v>
          </cell>
          <cell r="P999">
            <v>1323000</v>
          </cell>
          <cell r="R999">
            <v>1260000</v>
          </cell>
          <cell r="S999">
            <v>1745000</v>
          </cell>
          <cell r="Y999">
            <v>1380750</v>
          </cell>
          <cell r="AA999">
            <v>1315000</v>
          </cell>
        </row>
        <row r="1000">
          <cell r="B1000">
            <v>48958</v>
          </cell>
          <cell r="C1000" t="str">
            <v>TGS-27-4406X4BBS-L</v>
          </cell>
          <cell r="E1000" t="str">
            <v>CKD</v>
          </cell>
          <cell r="F1000" t="str">
            <v>2018-04-30</v>
          </cell>
          <cell r="G1000">
            <v>15.9</v>
          </cell>
          <cell r="H1000">
            <v>43069</v>
          </cell>
          <cell r="J1000">
            <v>1690000</v>
          </cell>
          <cell r="P1000">
            <v>1323000</v>
          </cell>
          <cell r="R1000">
            <v>1260000</v>
          </cell>
          <cell r="S1000">
            <v>1745000</v>
          </cell>
          <cell r="Y1000">
            <v>1380750</v>
          </cell>
          <cell r="AA1000">
            <v>1315000</v>
          </cell>
        </row>
        <row r="1001">
          <cell r="B1001" t="str">
            <v>76W-9644</v>
          </cell>
          <cell r="C1001" t="str">
            <v>TGS-27-4406X4BBS-L</v>
          </cell>
          <cell r="E1001" t="str">
            <v>CKD</v>
          </cell>
          <cell r="F1001" t="str">
            <v>2018-02-28</v>
          </cell>
          <cell r="G1001">
            <v>14.7</v>
          </cell>
          <cell r="H1001">
            <v>42947</v>
          </cell>
          <cell r="J1001">
            <v>1690000</v>
          </cell>
          <cell r="P1001">
            <v>1344000</v>
          </cell>
          <cell r="R1001">
            <v>1280000</v>
          </cell>
          <cell r="S1001">
            <v>1745000</v>
          </cell>
          <cell r="Y1001">
            <v>1401750</v>
          </cell>
          <cell r="AA1001">
            <v>1335000</v>
          </cell>
        </row>
        <row r="1002">
          <cell r="B1002" t="str">
            <v>76W-9645</v>
          </cell>
          <cell r="C1002" t="str">
            <v>TGS-27-4406X4BBS-L</v>
          </cell>
          <cell r="E1002" t="str">
            <v>CKD</v>
          </cell>
          <cell r="F1002" t="str">
            <v>2018-02-28</v>
          </cell>
          <cell r="G1002">
            <v>14.7</v>
          </cell>
          <cell r="H1002">
            <v>42947</v>
          </cell>
          <cell r="J1002">
            <v>1690000</v>
          </cell>
          <cell r="P1002">
            <v>1344000</v>
          </cell>
          <cell r="R1002">
            <v>1280000</v>
          </cell>
          <cell r="S1002">
            <v>1745000</v>
          </cell>
          <cell r="Y1002">
            <v>1401750</v>
          </cell>
          <cell r="AA1002">
            <v>1335000</v>
          </cell>
        </row>
        <row r="1003">
          <cell r="B1003" t="str">
            <v>76W-9646</v>
          </cell>
          <cell r="C1003" t="str">
            <v>TGS-27-4406X4BBS-L</v>
          </cell>
          <cell r="E1003" t="str">
            <v>CKD</v>
          </cell>
          <cell r="F1003" t="str">
            <v>2018-02-28</v>
          </cell>
          <cell r="G1003">
            <v>14.7</v>
          </cell>
          <cell r="H1003">
            <v>42947</v>
          </cell>
          <cell r="J1003">
            <v>1690000</v>
          </cell>
          <cell r="P1003">
            <v>1344000</v>
          </cell>
          <cell r="R1003">
            <v>1280000</v>
          </cell>
          <cell r="S1003">
            <v>1745000</v>
          </cell>
          <cell r="Y1003">
            <v>1401750</v>
          </cell>
          <cell r="AA1003">
            <v>1335000</v>
          </cell>
        </row>
        <row r="1004">
          <cell r="B1004" t="str">
            <v>76W-9647</v>
          </cell>
          <cell r="C1004" t="str">
            <v>TGS-27-4406X4BBS-L</v>
          </cell>
          <cell r="E1004" t="str">
            <v>CKD</v>
          </cell>
          <cell r="F1004" t="str">
            <v>2018-02-28</v>
          </cell>
          <cell r="G1004">
            <v>14.7</v>
          </cell>
          <cell r="H1004">
            <v>42947</v>
          </cell>
          <cell r="J1004">
            <v>1690000</v>
          </cell>
          <cell r="P1004">
            <v>1344000</v>
          </cell>
          <cell r="R1004">
            <v>1280000</v>
          </cell>
          <cell r="S1004">
            <v>1745000</v>
          </cell>
          <cell r="Y1004">
            <v>1401750</v>
          </cell>
          <cell r="AA1004">
            <v>1335000</v>
          </cell>
        </row>
        <row r="1005">
          <cell r="B1005" t="str">
            <v>76W-9660</v>
          </cell>
          <cell r="C1005" t="str">
            <v>TGS-27-4406X4BBS-L</v>
          </cell>
          <cell r="E1005" t="str">
            <v>CKD</v>
          </cell>
          <cell r="F1005" t="str">
            <v>2018-03-30</v>
          </cell>
          <cell r="G1005">
            <v>14.7</v>
          </cell>
          <cell r="H1005">
            <v>42947</v>
          </cell>
          <cell r="J1005">
            <v>1690000</v>
          </cell>
          <cell r="P1005">
            <v>1344000</v>
          </cell>
          <cell r="R1005">
            <v>1280000</v>
          </cell>
          <cell r="S1005">
            <v>1745000</v>
          </cell>
          <cell r="Y1005">
            <v>1401750</v>
          </cell>
          <cell r="AA1005">
            <v>1335000</v>
          </cell>
        </row>
        <row r="1006">
          <cell r="B1006" t="str">
            <v>76W-9661</v>
          </cell>
          <cell r="C1006" t="str">
            <v>TGS-27-4406X4BBS-L</v>
          </cell>
          <cell r="E1006" t="str">
            <v>CKD</v>
          </cell>
          <cell r="F1006" t="str">
            <v>2018-03-30</v>
          </cell>
          <cell r="G1006">
            <v>14.7</v>
          </cell>
          <cell r="H1006">
            <v>42947</v>
          </cell>
          <cell r="J1006">
            <v>1690000</v>
          </cell>
          <cell r="P1006">
            <v>1344000</v>
          </cell>
          <cell r="R1006">
            <v>1280000</v>
          </cell>
          <cell r="S1006">
            <v>1745000</v>
          </cell>
          <cell r="Y1006">
            <v>1401750</v>
          </cell>
          <cell r="AA1006">
            <v>1335000</v>
          </cell>
        </row>
        <row r="1007">
          <cell r="B1007" t="str">
            <v>76W-9662</v>
          </cell>
          <cell r="C1007" t="str">
            <v>TGS-27-4406X4BBS-L</v>
          </cell>
          <cell r="E1007" t="str">
            <v>CKD</v>
          </cell>
          <cell r="F1007" t="str">
            <v>2018-03-30</v>
          </cell>
          <cell r="G1007">
            <v>14.7</v>
          </cell>
          <cell r="H1007">
            <v>42947</v>
          </cell>
          <cell r="J1007">
            <v>1690000</v>
          </cell>
          <cell r="P1007">
            <v>1344000</v>
          </cell>
          <cell r="R1007">
            <v>1280000</v>
          </cell>
          <cell r="S1007">
            <v>1745000</v>
          </cell>
          <cell r="Y1007">
            <v>1401750</v>
          </cell>
          <cell r="AA1007">
            <v>1335000</v>
          </cell>
        </row>
        <row r="1008">
          <cell r="B1008" t="str">
            <v>76W-9663</v>
          </cell>
          <cell r="C1008" t="str">
            <v>TGS-27-4406X4BBS-L</v>
          </cell>
          <cell r="E1008" t="str">
            <v>CKD</v>
          </cell>
          <cell r="F1008" t="str">
            <v>2018-03-30</v>
          </cell>
          <cell r="G1008">
            <v>14.7</v>
          </cell>
          <cell r="H1008">
            <v>42947</v>
          </cell>
          <cell r="J1008">
            <v>1690000</v>
          </cell>
          <cell r="P1008">
            <v>1344000</v>
          </cell>
          <cell r="R1008">
            <v>1280000</v>
          </cell>
          <cell r="S1008">
            <v>1745000</v>
          </cell>
          <cell r="Y1008">
            <v>1401750</v>
          </cell>
          <cell r="AA1008">
            <v>1335000</v>
          </cell>
        </row>
        <row r="1009">
          <cell r="B1009" t="str">
            <v>76W-9664</v>
          </cell>
          <cell r="C1009" t="str">
            <v>TGS-27-4406X4BBS-L</v>
          </cell>
          <cell r="E1009" t="str">
            <v>CKD</v>
          </cell>
          <cell r="F1009" t="str">
            <v>2018-03-30</v>
          </cell>
          <cell r="G1009">
            <v>14.7</v>
          </cell>
          <cell r="H1009">
            <v>42947</v>
          </cell>
          <cell r="J1009">
            <v>1690000</v>
          </cell>
          <cell r="P1009">
            <v>1344000</v>
          </cell>
          <cell r="R1009">
            <v>1280000</v>
          </cell>
          <cell r="S1009">
            <v>1745000</v>
          </cell>
          <cell r="Y1009">
            <v>1401750</v>
          </cell>
          <cell r="AA1009">
            <v>1335000</v>
          </cell>
        </row>
        <row r="1010">
          <cell r="B1010" t="str">
            <v>76W-9665</v>
          </cell>
          <cell r="C1010" t="str">
            <v>TGS-27-4406X4BBS-L</v>
          </cell>
          <cell r="E1010" t="str">
            <v>CKD</v>
          </cell>
          <cell r="F1010" t="str">
            <v>2018-03-30</v>
          </cell>
          <cell r="G1010">
            <v>14.7</v>
          </cell>
          <cell r="H1010">
            <v>42947</v>
          </cell>
          <cell r="J1010">
            <v>1690000</v>
          </cell>
          <cell r="P1010">
            <v>1344000</v>
          </cell>
          <cell r="R1010">
            <v>1280000</v>
          </cell>
          <cell r="S1010">
            <v>1745000</v>
          </cell>
          <cell r="Y1010">
            <v>1401750</v>
          </cell>
          <cell r="AA1010">
            <v>1335000</v>
          </cell>
        </row>
        <row r="1011">
          <cell r="B1011" t="str">
            <v>76W-9666</v>
          </cell>
          <cell r="C1011" t="str">
            <v>TGS-27-4406X4BBS-L</v>
          </cell>
          <cell r="E1011" t="str">
            <v>CKD</v>
          </cell>
          <cell r="F1011" t="str">
            <v>2018-03-30</v>
          </cell>
          <cell r="G1011">
            <v>14.7</v>
          </cell>
          <cell r="H1011">
            <v>42947</v>
          </cell>
          <cell r="J1011">
            <v>1690000</v>
          </cell>
          <cell r="P1011">
            <v>1344000</v>
          </cell>
          <cell r="R1011">
            <v>1280000</v>
          </cell>
          <cell r="S1011">
            <v>1745000</v>
          </cell>
          <cell r="Y1011">
            <v>1401750</v>
          </cell>
          <cell r="AA1011">
            <v>1335000</v>
          </cell>
        </row>
        <row r="1012">
          <cell r="B1012" t="str">
            <v>76W-9667</v>
          </cell>
          <cell r="C1012" t="str">
            <v>TGS-27-4406X4BBS-L</v>
          </cell>
          <cell r="E1012" t="str">
            <v>CKD</v>
          </cell>
          <cell r="F1012" t="str">
            <v>2018-03-30</v>
          </cell>
          <cell r="G1012">
            <v>14.7</v>
          </cell>
          <cell r="H1012">
            <v>42947</v>
          </cell>
          <cell r="J1012">
            <v>1690000</v>
          </cell>
          <cell r="P1012">
            <v>1344000</v>
          </cell>
          <cell r="R1012">
            <v>1280000</v>
          </cell>
          <cell r="S1012">
            <v>1745000</v>
          </cell>
          <cell r="Y1012">
            <v>1401750</v>
          </cell>
          <cell r="AA1012">
            <v>1335000</v>
          </cell>
        </row>
        <row r="1013">
          <cell r="B1013" t="str">
            <v>76W-B076</v>
          </cell>
          <cell r="C1013" t="str">
            <v>TGS-27-4406X4BBS-L</v>
          </cell>
          <cell r="E1013" t="str">
            <v>SOLD</v>
          </cell>
          <cell r="F1013">
            <v>22</v>
          </cell>
          <cell r="G1013">
            <v>15.3</v>
          </cell>
          <cell r="H1013">
            <v>42978</v>
          </cell>
          <cell r="J1013">
            <v>1690000</v>
          </cell>
          <cell r="P1013">
            <v>1344000</v>
          </cell>
          <cell r="R1013">
            <v>1280000</v>
          </cell>
          <cell r="S1013">
            <v>1745000</v>
          </cell>
          <cell r="Y1013">
            <v>1401750</v>
          </cell>
          <cell r="AA1013">
            <v>1335000</v>
          </cell>
        </row>
        <row r="1014">
          <cell r="B1014" t="str">
            <v>76W-B077</v>
          </cell>
          <cell r="C1014" t="str">
            <v>TGS-27-4406X4BBS-L</v>
          </cell>
          <cell r="E1014" t="str">
            <v>SOLD</v>
          </cell>
          <cell r="F1014">
            <v>25</v>
          </cell>
          <cell r="G1014">
            <v>15.3</v>
          </cell>
          <cell r="H1014">
            <v>42978</v>
          </cell>
          <cell r="J1014">
            <v>1690000</v>
          </cell>
          <cell r="P1014">
            <v>1344000</v>
          </cell>
          <cell r="R1014">
            <v>1280000</v>
          </cell>
          <cell r="S1014">
            <v>1745000</v>
          </cell>
          <cell r="Y1014">
            <v>1401750</v>
          </cell>
          <cell r="AA1014">
            <v>1335000</v>
          </cell>
        </row>
        <row r="1015">
          <cell r="B1015" t="str">
            <v>76W-B078</v>
          </cell>
          <cell r="C1015" t="str">
            <v>TGS-27-4406X4BBS-L</v>
          </cell>
          <cell r="E1015" t="str">
            <v>SOLD</v>
          </cell>
          <cell r="F1015">
            <v>14</v>
          </cell>
          <cell r="G1015">
            <v>15.3</v>
          </cell>
          <cell r="H1015">
            <v>42978</v>
          </cell>
          <cell r="J1015">
            <v>1690000</v>
          </cell>
          <cell r="P1015">
            <v>1344000</v>
          </cell>
          <cell r="R1015">
            <v>1280000</v>
          </cell>
          <cell r="S1015">
            <v>1745000</v>
          </cell>
          <cell r="Y1015">
            <v>1401750</v>
          </cell>
          <cell r="AA1015">
            <v>1335000</v>
          </cell>
        </row>
        <row r="1016">
          <cell r="B1016" t="str">
            <v>76W-B079</v>
          </cell>
          <cell r="C1016" t="str">
            <v>TGS-27-4406X4BBS-L</v>
          </cell>
          <cell r="E1016" t="str">
            <v>SOLD</v>
          </cell>
          <cell r="F1016">
            <v>21</v>
          </cell>
          <cell r="G1016">
            <v>15.3</v>
          </cell>
          <cell r="H1016">
            <v>42978</v>
          </cell>
          <cell r="J1016">
            <v>1690000</v>
          </cell>
          <cell r="P1016">
            <v>1344000</v>
          </cell>
          <cell r="R1016">
            <v>1280000</v>
          </cell>
          <cell r="S1016">
            <v>1745000</v>
          </cell>
          <cell r="Y1016">
            <v>1401750</v>
          </cell>
          <cell r="AA1016">
            <v>1335000</v>
          </cell>
        </row>
        <row r="1017">
          <cell r="B1017" t="str">
            <v>76W-B080</v>
          </cell>
          <cell r="C1017" t="str">
            <v>TGS-27-4406X4BBS-L</v>
          </cell>
          <cell r="E1017" t="str">
            <v>SOLD</v>
          </cell>
          <cell r="F1017">
            <v>22</v>
          </cell>
          <cell r="G1017">
            <v>15.3</v>
          </cell>
          <cell r="H1017">
            <v>42978</v>
          </cell>
          <cell r="J1017">
            <v>1690000</v>
          </cell>
          <cell r="P1017">
            <v>1344000</v>
          </cell>
          <cell r="R1017">
            <v>1280000</v>
          </cell>
          <cell r="S1017">
            <v>1745000</v>
          </cell>
          <cell r="Y1017">
            <v>1401750</v>
          </cell>
          <cell r="AA1017">
            <v>1335000</v>
          </cell>
        </row>
        <row r="1018">
          <cell r="B1018" t="str">
            <v>76W-B081</v>
          </cell>
          <cell r="C1018" t="str">
            <v>TGS-27-4406X4BBS-L</v>
          </cell>
          <cell r="E1018" t="str">
            <v>SOLD</v>
          </cell>
          <cell r="F1018">
            <v>22</v>
          </cell>
          <cell r="G1018">
            <v>15.3</v>
          </cell>
          <cell r="H1018">
            <v>42978</v>
          </cell>
          <cell r="J1018">
            <v>1690000</v>
          </cell>
          <cell r="P1018">
            <v>1344000</v>
          </cell>
          <cell r="R1018">
            <v>1280000</v>
          </cell>
          <cell r="S1018">
            <v>1745000</v>
          </cell>
          <cell r="Y1018">
            <v>1401750</v>
          </cell>
          <cell r="AA1018">
            <v>1335000</v>
          </cell>
        </row>
        <row r="1019">
          <cell r="B1019" t="str">
            <v>76W-B082</v>
          </cell>
          <cell r="C1019" t="str">
            <v>TGS-27-4406X4BBS-L</v>
          </cell>
          <cell r="E1019" t="str">
            <v>SOLD</v>
          </cell>
          <cell r="F1019">
            <v>8</v>
          </cell>
          <cell r="G1019">
            <v>15.3</v>
          </cell>
          <cell r="H1019">
            <v>42978</v>
          </cell>
          <cell r="J1019">
            <v>1690000</v>
          </cell>
          <cell r="P1019">
            <v>1344000</v>
          </cell>
          <cell r="R1019">
            <v>1280000</v>
          </cell>
          <cell r="S1019">
            <v>1745000</v>
          </cell>
          <cell r="Y1019">
            <v>1401750</v>
          </cell>
          <cell r="AA1019">
            <v>1335000</v>
          </cell>
        </row>
        <row r="1020">
          <cell r="B1020" t="str">
            <v>76W-B083</v>
          </cell>
          <cell r="C1020" t="str">
            <v>TGS-27-4406X4BBS-L</v>
          </cell>
          <cell r="E1020" t="str">
            <v>SOLD</v>
          </cell>
          <cell r="F1020">
            <v>21</v>
          </cell>
          <cell r="G1020">
            <v>15.3</v>
          </cell>
          <cell r="H1020">
            <v>42978</v>
          </cell>
          <cell r="J1020">
            <v>1690000</v>
          </cell>
          <cell r="P1020">
            <v>1344000</v>
          </cell>
          <cell r="R1020">
            <v>1280000</v>
          </cell>
          <cell r="S1020">
            <v>1745000</v>
          </cell>
          <cell r="Y1020">
            <v>1401750</v>
          </cell>
          <cell r="AA1020">
            <v>1335000</v>
          </cell>
        </row>
        <row r="1021">
          <cell r="B1021" t="str">
            <v>76W-B086</v>
          </cell>
          <cell r="C1021" t="str">
            <v>TGS-27-4406X4BBS-L</v>
          </cell>
          <cell r="E1021" t="str">
            <v>SOLD</v>
          </cell>
          <cell r="F1021">
            <v>22</v>
          </cell>
          <cell r="G1021">
            <v>15.3</v>
          </cell>
          <cell r="H1021">
            <v>42978</v>
          </cell>
          <cell r="J1021">
            <v>1690000</v>
          </cell>
          <cell r="P1021">
            <v>1344000</v>
          </cell>
          <cell r="R1021">
            <v>1280000</v>
          </cell>
          <cell r="S1021">
            <v>1745000</v>
          </cell>
          <cell r="Y1021">
            <v>1401750</v>
          </cell>
          <cell r="AA1021">
            <v>1335000</v>
          </cell>
        </row>
        <row r="1022">
          <cell r="B1022" t="str">
            <v>76W-B088</v>
          </cell>
          <cell r="C1022" t="str">
            <v>TGS-27-4406X4BBS-L</v>
          </cell>
          <cell r="E1022" t="str">
            <v>SOLD</v>
          </cell>
          <cell r="F1022">
            <v>22</v>
          </cell>
          <cell r="G1022">
            <v>15.3</v>
          </cell>
          <cell r="H1022">
            <v>42978</v>
          </cell>
          <cell r="J1022">
            <v>1690000</v>
          </cell>
          <cell r="P1022">
            <v>1344000</v>
          </cell>
          <cell r="R1022">
            <v>1280000</v>
          </cell>
          <cell r="S1022">
            <v>1745000</v>
          </cell>
          <cell r="Y1022">
            <v>1401750</v>
          </cell>
          <cell r="AA1022">
            <v>1335000</v>
          </cell>
        </row>
        <row r="1023">
          <cell r="B1023" t="str">
            <v>76W-B091</v>
          </cell>
          <cell r="C1023" t="str">
            <v>TGS-27-4406X4BBS-L</v>
          </cell>
          <cell r="E1023" t="str">
            <v>SOLD</v>
          </cell>
          <cell r="F1023">
            <v>12</v>
          </cell>
          <cell r="G1023">
            <v>15.3</v>
          </cell>
          <cell r="H1023">
            <v>42978</v>
          </cell>
          <cell r="J1023">
            <v>1690000</v>
          </cell>
          <cell r="P1023">
            <v>1344000</v>
          </cell>
          <cell r="R1023">
            <v>1280000</v>
          </cell>
          <cell r="S1023">
            <v>1745000</v>
          </cell>
          <cell r="Y1023">
            <v>1401750</v>
          </cell>
          <cell r="AA1023">
            <v>1335000</v>
          </cell>
        </row>
        <row r="1024">
          <cell r="B1024" t="str">
            <v>76W-B092</v>
          </cell>
          <cell r="C1024" t="str">
            <v>TGS-27-4406X4BBS-L</v>
          </cell>
          <cell r="E1024" t="str">
            <v>CKD</v>
          </cell>
          <cell r="F1024" t="str">
            <v>2018-03-30</v>
          </cell>
          <cell r="G1024">
            <v>15.3</v>
          </cell>
          <cell r="H1024">
            <v>42978</v>
          </cell>
          <cell r="J1024">
            <v>1690000</v>
          </cell>
          <cell r="P1024">
            <v>1344000</v>
          </cell>
          <cell r="R1024">
            <v>1280000</v>
          </cell>
          <cell r="S1024">
            <v>1745000</v>
          </cell>
          <cell r="Y1024">
            <v>1401750</v>
          </cell>
          <cell r="AA1024">
            <v>1335000</v>
          </cell>
        </row>
        <row r="1025">
          <cell r="B1025" t="str">
            <v>76W-B093</v>
          </cell>
          <cell r="C1025" t="str">
            <v>TGS-27-4406X4BBS-L</v>
          </cell>
          <cell r="E1025" t="str">
            <v>CKD</v>
          </cell>
          <cell r="F1025" t="str">
            <v>2018-03-30</v>
          </cell>
          <cell r="G1025">
            <v>15.3</v>
          </cell>
          <cell r="H1025">
            <v>42978</v>
          </cell>
          <cell r="J1025">
            <v>1690000</v>
          </cell>
          <cell r="P1025">
            <v>1344000</v>
          </cell>
          <cell r="R1025">
            <v>1280000</v>
          </cell>
          <cell r="S1025">
            <v>1745000</v>
          </cell>
          <cell r="Y1025">
            <v>1401750</v>
          </cell>
          <cell r="AA1025">
            <v>1335000</v>
          </cell>
        </row>
        <row r="1026">
          <cell r="B1026" t="str">
            <v>76W-B094</v>
          </cell>
          <cell r="C1026" t="str">
            <v>TGS-27-4406X4BBS-L</v>
          </cell>
          <cell r="E1026" t="str">
            <v>CKD</v>
          </cell>
          <cell r="F1026" t="str">
            <v>2018-03-30</v>
          </cell>
          <cell r="G1026">
            <v>15.3</v>
          </cell>
          <cell r="H1026">
            <v>42978</v>
          </cell>
          <cell r="J1026">
            <v>1690000</v>
          </cell>
          <cell r="P1026">
            <v>1344000</v>
          </cell>
          <cell r="R1026">
            <v>1280000</v>
          </cell>
          <cell r="S1026">
            <v>1745000</v>
          </cell>
          <cell r="Y1026">
            <v>1401750</v>
          </cell>
          <cell r="AA1026">
            <v>1335000</v>
          </cell>
        </row>
        <row r="1027">
          <cell r="B1027" t="str">
            <v>76W-B095</v>
          </cell>
          <cell r="C1027" t="str">
            <v>TGS-27-4406X4BBS-L</v>
          </cell>
          <cell r="E1027" t="str">
            <v>CKD</v>
          </cell>
          <cell r="F1027" t="str">
            <v>2018-03-30</v>
          </cell>
          <cell r="G1027">
            <v>15.3</v>
          </cell>
          <cell r="H1027">
            <v>42978</v>
          </cell>
          <cell r="J1027">
            <v>1690000</v>
          </cell>
          <cell r="P1027">
            <v>1344000</v>
          </cell>
          <cell r="R1027">
            <v>1280000</v>
          </cell>
          <cell r="S1027">
            <v>1745000</v>
          </cell>
          <cell r="Y1027">
            <v>1401750</v>
          </cell>
          <cell r="AA1027">
            <v>1335000</v>
          </cell>
        </row>
        <row r="1028">
          <cell r="B1028" t="str">
            <v>TBAKP637</v>
          </cell>
          <cell r="C1028" t="str">
            <v>TGS-27-4406X4BBS-L</v>
          </cell>
          <cell r="E1028" t="str">
            <v>CKD</v>
          </cell>
          <cell r="F1028" t="str">
            <v>2018-08-19</v>
          </cell>
          <cell r="G1028">
            <v>15.8</v>
          </cell>
          <cell r="H1028">
            <v>43159</v>
          </cell>
          <cell r="J1028">
            <v>1690000</v>
          </cell>
          <cell r="P1028">
            <v>1344000</v>
          </cell>
          <cell r="R1028">
            <v>1280000</v>
          </cell>
          <cell r="S1028">
            <v>1745000</v>
          </cell>
          <cell r="Y1028">
            <v>1401750</v>
          </cell>
          <cell r="AA1028">
            <v>1335000</v>
          </cell>
        </row>
        <row r="1029">
          <cell r="B1029">
            <v>48907</v>
          </cell>
          <cell r="C1029" t="str">
            <v>TGS-27-4406X4BBS-L-STEEL</v>
          </cell>
          <cell r="E1029" t="str">
            <v>CKD</v>
          </cell>
          <cell r="F1029" t="str">
            <v>2018-06-30</v>
          </cell>
          <cell r="G1029">
            <v>15.9</v>
          </cell>
          <cell r="H1029">
            <v>43069</v>
          </cell>
          <cell r="J1029">
            <v>1780000</v>
          </cell>
          <cell r="P1029">
            <v>1370250</v>
          </cell>
          <cell r="R1029">
            <v>1305000</v>
          </cell>
          <cell r="S1029">
            <v>1835000</v>
          </cell>
          <cell r="Y1029">
            <v>1428000</v>
          </cell>
          <cell r="AA1029">
            <v>1360000</v>
          </cell>
        </row>
        <row r="1030">
          <cell r="B1030">
            <v>48908</v>
          </cell>
          <cell r="C1030" t="str">
            <v>TGS-27-4406X4BBS-L-STEEL</v>
          </cell>
          <cell r="E1030" t="str">
            <v>CKD</v>
          </cell>
          <cell r="F1030" t="str">
            <v>2018-04-30</v>
          </cell>
          <cell r="G1030">
            <v>15.9</v>
          </cell>
          <cell r="H1030">
            <v>43069</v>
          </cell>
          <cell r="J1030">
            <v>1780000</v>
          </cell>
          <cell r="P1030">
            <v>1370250</v>
          </cell>
          <cell r="R1030">
            <v>1305000</v>
          </cell>
          <cell r="S1030">
            <v>1835000</v>
          </cell>
          <cell r="Y1030">
            <v>1428000</v>
          </cell>
          <cell r="AA1030">
            <v>1360000</v>
          </cell>
        </row>
        <row r="1031">
          <cell r="B1031">
            <v>48909</v>
          </cell>
          <cell r="C1031" t="str">
            <v>TGS-27-4406X4BBS-L-STEEL</v>
          </cell>
          <cell r="E1031" t="str">
            <v>CKD</v>
          </cell>
          <cell r="F1031" t="str">
            <v>2018-04-30</v>
          </cell>
          <cell r="G1031">
            <v>15.9</v>
          </cell>
          <cell r="H1031">
            <v>43069</v>
          </cell>
          <cell r="J1031">
            <v>1780000</v>
          </cell>
          <cell r="P1031">
            <v>1370250</v>
          </cell>
          <cell r="R1031">
            <v>1305000</v>
          </cell>
          <cell r="S1031">
            <v>1835000</v>
          </cell>
          <cell r="Y1031">
            <v>1428000</v>
          </cell>
          <cell r="AA1031">
            <v>1360000</v>
          </cell>
        </row>
        <row r="1032">
          <cell r="B1032">
            <v>48910</v>
          </cell>
          <cell r="C1032" t="str">
            <v>TGS-27-4406X4BBS-L-STEEL</v>
          </cell>
          <cell r="E1032" t="str">
            <v>CKD</v>
          </cell>
          <cell r="F1032" t="str">
            <v>2018-04-30</v>
          </cell>
          <cell r="G1032">
            <v>15.9</v>
          </cell>
          <cell r="H1032">
            <v>43069</v>
          </cell>
          <cell r="J1032">
            <v>1780000</v>
          </cell>
          <cell r="P1032">
            <v>1370250</v>
          </cell>
          <cell r="R1032">
            <v>1305000</v>
          </cell>
          <cell r="S1032">
            <v>1835000</v>
          </cell>
          <cell r="Y1032">
            <v>1428000</v>
          </cell>
          <cell r="AA1032">
            <v>1360000</v>
          </cell>
        </row>
        <row r="1033">
          <cell r="B1033">
            <v>48911</v>
          </cell>
          <cell r="C1033" t="str">
            <v>TGS-27-4406X4BBS-L-STEEL</v>
          </cell>
          <cell r="E1033" t="str">
            <v>CKD</v>
          </cell>
          <cell r="F1033" t="str">
            <v>2018-06-30</v>
          </cell>
          <cell r="G1033">
            <v>15.9</v>
          </cell>
          <cell r="H1033">
            <v>43069</v>
          </cell>
          <cell r="J1033">
            <v>1780000</v>
          </cell>
          <cell r="P1033">
            <v>1370250</v>
          </cell>
          <cell r="R1033">
            <v>1305000</v>
          </cell>
          <cell r="S1033">
            <v>1835000</v>
          </cell>
          <cell r="Y1033">
            <v>1428000</v>
          </cell>
          <cell r="AA1033">
            <v>1360000</v>
          </cell>
        </row>
        <row r="1034">
          <cell r="B1034">
            <v>48912</v>
          </cell>
          <cell r="C1034" t="str">
            <v>TGS-27-4406X4BBS-L-STEEL</v>
          </cell>
          <cell r="E1034" t="str">
            <v>CKD</v>
          </cell>
          <cell r="F1034" t="str">
            <v>2018-07-30</v>
          </cell>
          <cell r="G1034">
            <v>15.9</v>
          </cell>
          <cell r="H1034">
            <v>43069</v>
          </cell>
          <cell r="J1034">
            <v>1780000</v>
          </cell>
          <cell r="P1034">
            <v>1370250</v>
          </cell>
          <cell r="R1034">
            <v>1305000</v>
          </cell>
          <cell r="S1034">
            <v>1835000</v>
          </cell>
          <cell r="Y1034">
            <v>1428000</v>
          </cell>
          <cell r="AA1034">
            <v>1360000</v>
          </cell>
        </row>
        <row r="1035">
          <cell r="B1035">
            <v>48913</v>
          </cell>
          <cell r="C1035" t="str">
            <v>TGS-27-4406X4BBS-L-STEEL</v>
          </cell>
          <cell r="E1035" t="str">
            <v>CKD</v>
          </cell>
          <cell r="F1035" t="str">
            <v>2018-07-30</v>
          </cell>
          <cell r="G1035">
            <v>15.9</v>
          </cell>
          <cell r="H1035">
            <v>43069</v>
          </cell>
          <cell r="J1035">
            <v>1780000</v>
          </cell>
          <cell r="P1035">
            <v>1370250</v>
          </cell>
          <cell r="R1035">
            <v>1305000</v>
          </cell>
          <cell r="S1035">
            <v>1835000</v>
          </cell>
          <cell r="Y1035">
            <v>1428000</v>
          </cell>
          <cell r="AA1035">
            <v>1360000</v>
          </cell>
        </row>
        <row r="1036">
          <cell r="B1036">
            <v>48914</v>
          </cell>
          <cell r="C1036" t="str">
            <v>TGS-27-4406X4BBS-L-STEEL</v>
          </cell>
          <cell r="E1036" t="str">
            <v>CKD</v>
          </cell>
          <cell r="F1036" t="str">
            <v>2018-07-30</v>
          </cell>
          <cell r="G1036">
            <v>15.9</v>
          </cell>
          <cell r="H1036">
            <v>43069</v>
          </cell>
          <cell r="J1036">
            <v>1780000</v>
          </cell>
          <cell r="P1036">
            <v>1370250</v>
          </cell>
          <cell r="R1036">
            <v>1305000</v>
          </cell>
          <cell r="S1036">
            <v>1835000</v>
          </cell>
          <cell r="Y1036">
            <v>1428000</v>
          </cell>
          <cell r="AA1036">
            <v>1360000</v>
          </cell>
        </row>
        <row r="1037">
          <cell r="B1037">
            <v>48915</v>
          </cell>
          <cell r="C1037" t="str">
            <v>TGS-27-4406X4BBS-L-STEEL</v>
          </cell>
          <cell r="E1037" t="str">
            <v>CKD</v>
          </cell>
          <cell r="F1037" t="str">
            <v>2018-08-30</v>
          </cell>
          <cell r="G1037">
            <v>15.9</v>
          </cell>
          <cell r="H1037">
            <v>43069</v>
          </cell>
          <cell r="J1037">
            <v>1780000</v>
          </cell>
          <cell r="P1037">
            <v>1370250</v>
          </cell>
          <cell r="R1037">
            <v>1305000</v>
          </cell>
          <cell r="S1037">
            <v>1835000</v>
          </cell>
          <cell r="Y1037">
            <v>1428000</v>
          </cell>
          <cell r="AA1037">
            <v>1360000</v>
          </cell>
        </row>
        <row r="1038">
          <cell r="B1038">
            <v>48916</v>
          </cell>
          <cell r="C1038" t="str">
            <v>TGS-27-4406X4BBS-L-STEEL</v>
          </cell>
          <cell r="E1038" t="str">
            <v>CKD</v>
          </cell>
          <cell r="F1038" t="str">
            <v>2018-08-30</v>
          </cell>
          <cell r="G1038">
            <v>15.9</v>
          </cell>
          <cell r="H1038">
            <v>43069</v>
          </cell>
          <cell r="J1038">
            <v>1780000</v>
          </cell>
          <cell r="P1038">
            <v>1370250</v>
          </cell>
          <cell r="R1038">
            <v>1305000</v>
          </cell>
          <cell r="S1038">
            <v>1835000</v>
          </cell>
          <cell r="Y1038">
            <v>1428000</v>
          </cell>
          <cell r="AA1038">
            <v>1360000</v>
          </cell>
        </row>
        <row r="1039">
          <cell r="B1039">
            <v>48917</v>
          </cell>
          <cell r="C1039" t="str">
            <v>TGS-27-4406X4BBS-L-STEEL</v>
          </cell>
          <cell r="E1039" t="str">
            <v>CKD</v>
          </cell>
          <cell r="F1039" t="str">
            <v>2018-09-30</v>
          </cell>
          <cell r="G1039">
            <v>15.9</v>
          </cell>
          <cell r="H1039">
            <v>43069</v>
          </cell>
          <cell r="J1039">
            <v>1780000</v>
          </cell>
          <cell r="P1039">
            <v>1370250</v>
          </cell>
          <cell r="R1039">
            <v>1305000</v>
          </cell>
          <cell r="S1039">
            <v>1835000</v>
          </cell>
          <cell r="Y1039">
            <v>1428000</v>
          </cell>
          <cell r="AA1039">
            <v>1360000</v>
          </cell>
        </row>
        <row r="1040">
          <cell r="B1040">
            <v>48918</v>
          </cell>
          <cell r="C1040" t="str">
            <v>TGS-27-4406X4BBS-L-STEEL</v>
          </cell>
          <cell r="E1040" t="str">
            <v>CKD</v>
          </cell>
          <cell r="F1040" t="str">
            <v>2018-09-30</v>
          </cell>
          <cell r="G1040">
            <v>15.9</v>
          </cell>
          <cell r="H1040">
            <v>43069</v>
          </cell>
          <cell r="J1040">
            <v>1780000</v>
          </cell>
          <cell r="P1040">
            <v>1370250</v>
          </cell>
          <cell r="R1040">
            <v>1305000</v>
          </cell>
          <cell r="S1040">
            <v>1835000</v>
          </cell>
          <cell r="Y1040">
            <v>1428000</v>
          </cell>
          <cell r="AA1040">
            <v>1360000</v>
          </cell>
        </row>
        <row r="1041">
          <cell r="B1041">
            <v>48959</v>
          </cell>
          <cell r="C1041" t="str">
            <v>TGS-27-4406X4BBS-L-STEEL</v>
          </cell>
          <cell r="E1041" t="str">
            <v>CKD</v>
          </cell>
          <cell r="F1041" t="str">
            <v>2018-06-30</v>
          </cell>
          <cell r="G1041">
            <v>15.9</v>
          </cell>
          <cell r="H1041">
            <v>43069</v>
          </cell>
          <cell r="J1041">
            <v>1780000</v>
          </cell>
          <cell r="P1041">
            <v>1370250</v>
          </cell>
          <cell r="R1041">
            <v>1305000</v>
          </cell>
          <cell r="S1041">
            <v>1835000</v>
          </cell>
          <cell r="Y1041">
            <v>1428000</v>
          </cell>
          <cell r="AA1041">
            <v>1360000</v>
          </cell>
        </row>
        <row r="1042">
          <cell r="B1042">
            <v>48960</v>
          </cell>
          <cell r="C1042" t="str">
            <v>TGS-27-4406X4BBS-L-STEEL</v>
          </cell>
          <cell r="E1042" t="str">
            <v>CKD</v>
          </cell>
          <cell r="F1042" t="str">
            <v>2018-06-30</v>
          </cell>
          <cell r="G1042">
            <v>15.9</v>
          </cell>
          <cell r="H1042">
            <v>43069</v>
          </cell>
          <cell r="J1042">
            <v>1780000</v>
          </cell>
          <cell r="P1042">
            <v>1370250</v>
          </cell>
          <cell r="R1042">
            <v>1305000</v>
          </cell>
          <cell r="S1042">
            <v>1835000</v>
          </cell>
          <cell r="Y1042">
            <v>1428000</v>
          </cell>
          <cell r="AA1042">
            <v>1360000</v>
          </cell>
        </row>
        <row r="1043">
          <cell r="B1043">
            <v>48961</v>
          </cell>
          <cell r="C1043" t="str">
            <v>TGS-27-4406X4BBS-L-STEEL</v>
          </cell>
          <cell r="E1043" t="str">
            <v>CKD</v>
          </cell>
          <cell r="F1043" t="str">
            <v>2018-06-30</v>
          </cell>
          <cell r="G1043">
            <v>15.9</v>
          </cell>
          <cell r="H1043">
            <v>43069</v>
          </cell>
          <cell r="J1043">
            <v>1780000</v>
          </cell>
          <cell r="P1043">
            <v>1370250</v>
          </cell>
          <cell r="R1043">
            <v>1305000</v>
          </cell>
          <cell r="S1043">
            <v>1835000</v>
          </cell>
          <cell r="Y1043">
            <v>1428000</v>
          </cell>
          <cell r="AA1043">
            <v>1360000</v>
          </cell>
        </row>
        <row r="1044">
          <cell r="B1044">
            <v>48962</v>
          </cell>
          <cell r="C1044" t="str">
            <v>TGS-27-4406X4BBS-L-STEEL</v>
          </cell>
          <cell r="E1044" t="str">
            <v>CKD</v>
          </cell>
          <cell r="F1044" t="str">
            <v>2018-06-30</v>
          </cell>
          <cell r="G1044">
            <v>15.9</v>
          </cell>
          <cell r="H1044">
            <v>43069</v>
          </cell>
          <cell r="J1044">
            <v>1780000</v>
          </cell>
          <cell r="P1044">
            <v>1370250</v>
          </cell>
          <cell r="R1044">
            <v>1305000</v>
          </cell>
          <cell r="S1044">
            <v>1835000</v>
          </cell>
          <cell r="Y1044">
            <v>1428000</v>
          </cell>
          <cell r="AA1044">
            <v>1360000</v>
          </cell>
        </row>
        <row r="1045">
          <cell r="B1045">
            <v>48963</v>
          </cell>
          <cell r="C1045" t="str">
            <v>TGS-27-4406X4BBS-L-STEEL</v>
          </cell>
          <cell r="E1045" t="str">
            <v>CKD</v>
          </cell>
          <cell r="F1045" t="str">
            <v>2018-06-30</v>
          </cell>
          <cell r="G1045">
            <v>15.9</v>
          </cell>
          <cell r="H1045">
            <v>43069</v>
          </cell>
          <cell r="J1045">
            <v>1780000</v>
          </cell>
          <cell r="P1045">
            <v>1370250</v>
          </cell>
          <cell r="R1045">
            <v>1305000</v>
          </cell>
          <cell r="S1045">
            <v>1835000</v>
          </cell>
          <cell r="Y1045">
            <v>1428000</v>
          </cell>
          <cell r="AA1045">
            <v>1360000</v>
          </cell>
        </row>
        <row r="1046">
          <cell r="B1046">
            <v>48964</v>
          </cell>
          <cell r="C1046" t="str">
            <v>TGS-27-4406X4BBS-L-STEEL</v>
          </cell>
          <cell r="E1046" t="str">
            <v>CKD</v>
          </cell>
          <cell r="F1046" t="str">
            <v>2018-06-30</v>
          </cell>
          <cell r="G1046">
            <v>15.9</v>
          </cell>
          <cell r="H1046">
            <v>43069</v>
          </cell>
          <cell r="J1046">
            <v>1780000</v>
          </cell>
          <cell r="P1046">
            <v>1370250</v>
          </cell>
          <cell r="R1046">
            <v>1305000</v>
          </cell>
          <cell r="S1046">
            <v>1835000</v>
          </cell>
          <cell r="Y1046">
            <v>1428000</v>
          </cell>
          <cell r="AA1046">
            <v>1360000</v>
          </cell>
        </row>
        <row r="1047">
          <cell r="B1047">
            <v>48965</v>
          </cell>
          <cell r="C1047" t="str">
            <v>TGS-27-4406X4BBS-L-STEEL</v>
          </cell>
          <cell r="E1047" t="str">
            <v>CKD</v>
          </cell>
          <cell r="F1047" t="str">
            <v>2018-06-30</v>
          </cell>
          <cell r="G1047">
            <v>15.9</v>
          </cell>
          <cell r="H1047">
            <v>43069</v>
          </cell>
          <cell r="J1047">
            <v>1780000</v>
          </cell>
          <cell r="P1047">
            <v>1370250</v>
          </cell>
          <cell r="R1047">
            <v>1305000</v>
          </cell>
          <cell r="S1047">
            <v>1835000</v>
          </cell>
          <cell r="Y1047">
            <v>1428000</v>
          </cell>
          <cell r="AA1047">
            <v>1360000</v>
          </cell>
        </row>
        <row r="1048">
          <cell r="B1048">
            <v>48966</v>
          </cell>
          <cell r="C1048" t="str">
            <v>TGS-27-4406X4BBS-L-STEEL</v>
          </cell>
          <cell r="E1048" t="str">
            <v>CKD</v>
          </cell>
          <cell r="F1048" t="str">
            <v>2018-06-30</v>
          </cell>
          <cell r="G1048">
            <v>15.9</v>
          </cell>
          <cell r="H1048">
            <v>43069</v>
          </cell>
          <cell r="J1048">
            <v>1780000</v>
          </cell>
          <cell r="P1048">
            <v>1370250</v>
          </cell>
          <cell r="R1048">
            <v>1305000</v>
          </cell>
          <cell r="S1048">
            <v>1835000</v>
          </cell>
          <cell r="Y1048">
            <v>1428000</v>
          </cell>
          <cell r="AA1048">
            <v>1360000</v>
          </cell>
        </row>
        <row r="1049">
          <cell r="B1049">
            <v>48967</v>
          </cell>
          <cell r="C1049" t="str">
            <v>TGS-27-4406X4BBS-L-STEEL</v>
          </cell>
          <cell r="E1049" t="str">
            <v>CKD</v>
          </cell>
          <cell r="F1049" t="str">
            <v>2018-06-30</v>
          </cell>
          <cell r="G1049">
            <v>15.9</v>
          </cell>
          <cell r="H1049">
            <v>43069</v>
          </cell>
          <cell r="J1049">
            <v>1780000</v>
          </cell>
          <cell r="P1049">
            <v>1370250</v>
          </cell>
          <cell r="R1049">
            <v>1305000</v>
          </cell>
          <cell r="S1049">
            <v>1835000</v>
          </cell>
          <cell r="Y1049">
            <v>1428000</v>
          </cell>
          <cell r="AA1049">
            <v>1360000</v>
          </cell>
        </row>
        <row r="1050">
          <cell r="B1050">
            <v>48968</v>
          </cell>
          <cell r="C1050" t="str">
            <v>TGS-27-4406X4BBS-L-STEEL</v>
          </cell>
          <cell r="E1050" t="str">
            <v>CKD</v>
          </cell>
          <cell r="F1050" t="str">
            <v>2018-06-30</v>
          </cell>
          <cell r="G1050">
            <v>15.9</v>
          </cell>
          <cell r="H1050">
            <v>43069</v>
          </cell>
          <cell r="J1050">
            <v>1780000</v>
          </cell>
          <cell r="P1050">
            <v>1370250</v>
          </cell>
          <cell r="R1050">
            <v>1305000</v>
          </cell>
          <cell r="S1050">
            <v>1835000</v>
          </cell>
          <cell r="Y1050">
            <v>1428000</v>
          </cell>
          <cell r="AA1050">
            <v>1360000</v>
          </cell>
        </row>
        <row r="1051">
          <cell r="B1051">
            <v>48969</v>
          </cell>
          <cell r="C1051" t="str">
            <v>TGS-27-4406X4BBS-L-STEEL</v>
          </cell>
          <cell r="E1051" t="str">
            <v>CKD</v>
          </cell>
          <cell r="F1051" t="str">
            <v>2018-06-30</v>
          </cell>
          <cell r="G1051">
            <v>15.9</v>
          </cell>
          <cell r="H1051">
            <v>43069</v>
          </cell>
          <cell r="J1051">
            <v>1780000</v>
          </cell>
          <cell r="P1051">
            <v>1370250</v>
          </cell>
          <cell r="R1051">
            <v>1305000</v>
          </cell>
          <cell r="S1051">
            <v>1835000</v>
          </cell>
          <cell r="Y1051">
            <v>1428000</v>
          </cell>
          <cell r="AA1051">
            <v>1360000</v>
          </cell>
        </row>
        <row r="1052">
          <cell r="B1052">
            <v>48970</v>
          </cell>
          <cell r="C1052" t="str">
            <v>TGS-27-4406X4BBS-L-STEEL</v>
          </cell>
          <cell r="E1052" t="str">
            <v>CKD</v>
          </cell>
          <cell r="F1052" t="str">
            <v>2018-06-30</v>
          </cell>
          <cell r="G1052">
            <v>15.9</v>
          </cell>
          <cell r="H1052">
            <v>43069</v>
          </cell>
          <cell r="J1052">
            <v>1780000</v>
          </cell>
          <cell r="P1052">
            <v>1370250</v>
          </cell>
          <cell r="R1052">
            <v>1305000</v>
          </cell>
          <cell r="S1052">
            <v>1835000</v>
          </cell>
          <cell r="Y1052">
            <v>1428000</v>
          </cell>
          <cell r="AA1052">
            <v>1360000</v>
          </cell>
        </row>
        <row r="1053">
          <cell r="B1053">
            <v>48971</v>
          </cell>
          <cell r="C1053" t="str">
            <v>TGS-27-4406X4BBS-L-STEEL</v>
          </cell>
          <cell r="E1053" t="str">
            <v>CKD</v>
          </cell>
          <cell r="F1053" t="str">
            <v>2018-06-30</v>
          </cell>
          <cell r="G1053">
            <v>15.9</v>
          </cell>
          <cell r="H1053">
            <v>43069</v>
          </cell>
          <cell r="J1053">
            <v>1780000</v>
          </cell>
          <cell r="P1053">
            <v>1370250</v>
          </cell>
          <cell r="R1053">
            <v>1305000</v>
          </cell>
          <cell r="S1053">
            <v>1835000</v>
          </cell>
          <cell r="Y1053">
            <v>1428000</v>
          </cell>
          <cell r="AA1053">
            <v>1360000</v>
          </cell>
        </row>
        <row r="1054">
          <cell r="B1054">
            <v>48972</v>
          </cell>
          <cell r="C1054" t="str">
            <v>TGS-27-4406X4BBS-L-STEEL</v>
          </cell>
          <cell r="E1054" t="str">
            <v>CKD</v>
          </cell>
          <cell r="F1054" t="str">
            <v>2018-04-30</v>
          </cell>
          <cell r="G1054">
            <v>15.9</v>
          </cell>
          <cell r="H1054">
            <v>43069</v>
          </cell>
          <cell r="J1054">
            <v>1780000</v>
          </cell>
          <cell r="P1054">
            <v>1370250</v>
          </cell>
          <cell r="R1054">
            <v>1305000</v>
          </cell>
          <cell r="S1054">
            <v>1835000</v>
          </cell>
          <cell r="Y1054">
            <v>1428000</v>
          </cell>
          <cell r="AA1054">
            <v>1360000</v>
          </cell>
        </row>
        <row r="1055">
          <cell r="B1055">
            <v>48973</v>
          </cell>
          <cell r="C1055" t="str">
            <v>TGS-27-4406X4BBS-L-STEEL</v>
          </cell>
          <cell r="E1055" t="str">
            <v>CKD</v>
          </cell>
          <cell r="F1055" t="str">
            <v>2018-04-30</v>
          </cell>
          <cell r="G1055">
            <v>15.9</v>
          </cell>
          <cell r="H1055">
            <v>43069</v>
          </cell>
          <cell r="J1055">
            <v>1780000</v>
          </cell>
          <cell r="P1055">
            <v>1370250</v>
          </cell>
          <cell r="R1055">
            <v>1305000</v>
          </cell>
          <cell r="S1055">
            <v>1835000</v>
          </cell>
          <cell r="Y1055">
            <v>1428000</v>
          </cell>
          <cell r="AA1055">
            <v>1360000</v>
          </cell>
        </row>
        <row r="1056">
          <cell r="B1056">
            <v>48974</v>
          </cell>
          <cell r="C1056" t="str">
            <v>TGS-27-4406X4BBS-L-STEEL</v>
          </cell>
          <cell r="E1056" t="str">
            <v>CKD</v>
          </cell>
          <cell r="F1056" t="str">
            <v>2018-06-30</v>
          </cell>
          <cell r="G1056">
            <v>15.9</v>
          </cell>
          <cell r="H1056">
            <v>43069</v>
          </cell>
          <cell r="J1056">
            <v>1780000</v>
          </cell>
          <cell r="P1056">
            <v>1370250</v>
          </cell>
          <cell r="R1056">
            <v>1305000</v>
          </cell>
          <cell r="S1056">
            <v>1835000</v>
          </cell>
          <cell r="Y1056">
            <v>1428000</v>
          </cell>
          <cell r="AA1056">
            <v>1360000</v>
          </cell>
        </row>
        <row r="1057">
          <cell r="B1057">
            <v>48975</v>
          </cell>
          <cell r="C1057" t="str">
            <v>TGS-27-4406X4BBS-L-STEEL</v>
          </cell>
          <cell r="E1057" t="str">
            <v>CKD</v>
          </cell>
          <cell r="F1057" t="str">
            <v>2018-04-30</v>
          </cell>
          <cell r="G1057">
            <v>15.9</v>
          </cell>
          <cell r="H1057">
            <v>43069</v>
          </cell>
          <cell r="J1057">
            <v>1780000</v>
          </cell>
          <cell r="P1057">
            <v>1370250</v>
          </cell>
          <cell r="R1057">
            <v>1305000</v>
          </cell>
          <cell r="S1057">
            <v>1835000</v>
          </cell>
          <cell r="Y1057">
            <v>1428000</v>
          </cell>
          <cell r="AA1057">
            <v>1360000</v>
          </cell>
        </row>
        <row r="1058">
          <cell r="B1058">
            <v>48976</v>
          </cell>
          <cell r="C1058" t="str">
            <v>TGS-27-4406X4BBS-L-STEEL</v>
          </cell>
          <cell r="E1058" t="str">
            <v>CKD</v>
          </cell>
          <cell r="F1058" t="str">
            <v>2018-04-30</v>
          </cell>
          <cell r="G1058">
            <v>15.9</v>
          </cell>
          <cell r="H1058">
            <v>43069</v>
          </cell>
          <cell r="J1058">
            <v>1780000</v>
          </cell>
          <cell r="P1058">
            <v>1370250</v>
          </cell>
          <cell r="R1058">
            <v>1305000</v>
          </cell>
          <cell r="S1058">
            <v>1835000</v>
          </cell>
          <cell r="Y1058">
            <v>1428000</v>
          </cell>
          <cell r="AA1058">
            <v>1360000</v>
          </cell>
        </row>
        <row r="1059">
          <cell r="B1059">
            <v>48977</v>
          </cell>
          <cell r="C1059" t="str">
            <v>TGS-27-4406X4BBS-L-STEEL</v>
          </cell>
          <cell r="E1059" t="str">
            <v>CKD</v>
          </cell>
          <cell r="F1059" t="str">
            <v>2018-06-30</v>
          </cell>
          <cell r="G1059">
            <v>15.9</v>
          </cell>
          <cell r="H1059">
            <v>43069</v>
          </cell>
          <cell r="J1059">
            <v>1780000</v>
          </cell>
          <cell r="P1059">
            <v>1370250</v>
          </cell>
          <cell r="R1059">
            <v>1305000</v>
          </cell>
          <cell r="S1059">
            <v>1835000</v>
          </cell>
          <cell r="Y1059">
            <v>1428000</v>
          </cell>
          <cell r="AA1059">
            <v>1360000</v>
          </cell>
        </row>
        <row r="1060">
          <cell r="B1060">
            <v>48978</v>
          </cell>
          <cell r="C1060" t="str">
            <v>TGS-27-4406X4BBS-L-STEEL</v>
          </cell>
          <cell r="E1060" t="str">
            <v>CKD</v>
          </cell>
          <cell r="F1060" t="str">
            <v>2018-06-30</v>
          </cell>
          <cell r="G1060">
            <v>15.9</v>
          </cell>
          <cell r="H1060">
            <v>43069</v>
          </cell>
          <cell r="J1060">
            <v>1780000</v>
          </cell>
          <cell r="P1060">
            <v>1370250</v>
          </cell>
          <cell r="R1060">
            <v>1305000</v>
          </cell>
          <cell r="S1060">
            <v>1835000</v>
          </cell>
          <cell r="Y1060">
            <v>1428000</v>
          </cell>
          <cell r="AA1060">
            <v>1360000</v>
          </cell>
        </row>
        <row r="1061">
          <cell r="B1061">
            <v>48979</v>
          </cell>
          <cell r="C1061" t="str">
            <v>TGS-27-4406X4BBS-L-STEEL</v>
          </cell>
          <cell r="E1061" t="str">
            <v>CKD</v>
          </cell>
          <cell r="F1061" t="str">
            <v>2018-07-30</v>
          </cell>
          <cell r="G1061">
            <v>15.9</v>
          </cell>
          <cell r="H1061">
            <v>43069</v>
          </cell>
          <cell r="J1061">
            <v>1780000</v>
          </cell>
          <cell r="P1061">
            <v>1370250</v>
          </cell>
          <cell r="R1061">
            <v>1305000</v>
          </cell>
          <cell r="S1061">
            <v>1835000</v>
          </cell>
          <cell r="Y1061">
            <v>1428000</v>
          </cell>
          <cell r="AA1061">
            <v>1360000</v>
          </cell>
        </row>
        <row r="1062">
          <cell r="B1062">
            <v>48980</v>
          </cell>
          <cell r="C1062" t="str">
            <v>TGS-27-4406X4BBS-L-STEEL</v>
          </cell>
          <cell r="E1062" t="str">
            <v>CKD</v>
          </cell>
          <cell r="F1062" t="str">
            <v>2018-07-30</v>
          </cell>
          <cell r="G1062">
            <v>15.9</v>
          </cell>
          <cell r="H1062">
            <v>43069</v>
          </cell>
          <cell r="J1062">
            <v>1780000</v>
          </cell>
          <cell r="P1062">
            <v>1370250</v>
          </cell>
          <cell r="R1062">
            <v>1305000</v>
          </cell>
          <cell r="S1062">
            <v>1835000</v>
          </cell>
          <cell r="Y1062">
            <v>1428000</v>
          </cell>
          <cell r="AA1062">
            <v>1360000</v>
          </cell>
        </row>
        <row r="1063">
          <cell r="B1063">
            <v>48981</v>
          </cell>
          <cell r="C1063" t="str">
            <v>TGS-27-4406X4BBS-L-STEEL</v>
          </cell>
          <cell r="E1063" t="str">
            <v>CKD</v>
          </cell>
          <cell r="F1063" t="str">
            <v>2018-07-30</v>
          </cell>
          <cell r="G1063">
            <v>15.9</v>
          </cell>
          <cell r="H1063">
            <v>43069</v>
          </cell>
          <cell r="J1063">
            <v>1780000</v>
          </cell>
          <cell r="P1063">
            <v>1370250</v>
          </cell>
          <cell r="R1063">
            <v>1305000</v>
          </cell>
          <cell r="S1063">
            <v>1835000</v>
          </cell>
          <cell r="Y1063">
            <v>1428000</v>
          </cell>
          <cell r="AA1063">
            <v>1360000</v>
          </cell>
        </row>
        <row r="1064">
          <cell r="B1064">
            <v>48982</v>
          </cell>
          <cell r="C1064" t="str">
            <v>TGS-27-4406X4BBS-L-STEEL</v>
          </cell>
          <cell r="E1064" t="str">
            <v>CKD</v>
          </cell>
          <cell r="F1064" t="str">
            <v>2018-07-30</v>
          </cell>
          <cell r="G1064">
            <v>15.9</v>
          </cell>
          <cell r="H1064">
            <v>43069</v>
          </cell>
          <cell r="J1064">
            <v>1780000</v>
          </cell>
          <cell r="P1064">
            <v>1370250</v>
          </cell>
          <cell r="R1064">
            <v>1305000</v>
          </cell>
          <cell r="S1064">
            <v>1835000</v>
          </cell>
          <cell r="Y1064">
            <v>1428000</v>
          </cell>
          <cell r="AA1064">
            <v>1360000</v>
          </cell>
        </row>
        <row r="1065">
          <cell r="B1065">
            <v>48983</v>
          </cell>
          <cell r="C1065" t="str">
            <v>TGS-27-4406X4BBS-L-STEEL</v>
          </cell>
          <cell r="E1065" t="str">
            <v>CKD</v>
          </cell>
          <cell r="F1065" t="str">
            <v>2018-06-30</v>
          </cell>
          <cell r="G1065">
            <v>15.9</v>
          </cell>
          <cell r="H1065">
            <v>43069</v>
          </cell>
          <cell r="J1065">
            <v>1780000</v>
          </cell>
          <cell r="P1065">
            <v>1370250</v>
          </cell>
          <cell r="R1065">
            <v>1305000</v>
          </cell>
          <cell r="S1065">
            <v>1835000</v>
          </cell>
          <cell r="Y1065">
            <v>1428000</v>
          </cell>
          <cell r="AA1065">
            <v>1360000</v>
          </cell>
        </row>
        <row r="1066">
          <cell r="B1066">
            <v>48984</v>
          </cell>
          <cell r="C1066" t="str">
            <v>TGS-27-4406X4BBS-L-STEEL</v>
          </cell>
          <cell r="E1066" t="str">
            <v>CKD</v>
          </cell>
          <cell r="F1066" t="str">
            <v>2018-06-30</v>
          </cell>
          <cell r="G1066">
            <v>15.9</v>
          </cell>
          <cell r="H1066">
            <v>43069</v>
          </cell>
          <cell r="J1066">
            <v>1780000</v>
          </cell>
          <cell r="P1066">
            <v>1370250</v>
          </cell>
          <cell r="R1066">
            <v>1305000</v>
          </cell>
          <cell r="S1066">
            <v>1835000</v>
          </cell>
          <cell r="Y1066">
            <v>1428000</v>
          </cell>
          <cell r="AA1066">
            <v>1360000</v>
          </cell>
        </row>
        <row r="1067">
          <cell r="B1067">
            <v>48985</v>
          </cell>
          <cell r="C1067" t="str">
            <v>TGS-27-4406X4BBS-L-STEEL</v>
          </cell>
          <cell r="E1067" t="str">
            <v>CKD</v>
          </cell>
          <cell r="F1067" t="str">
            <v>2018-06-30</v>
          </cell>
          <cell r="G1067">
            <v>15.9</v>
          </cell>
          <cell r="H1067">
            <v>43069</v>
          </cell>
          <cell r="J1067">
            <v>1780000</v>
          </cell>
          <cell r="P1067">
            <v>1370250</v>
          </cell>
          <cell r="R1067">
            <v>1305000</v>
          </cell>
          <cell r="S1067">
            <v>1835000</v>
          </cell>
          <cell r="Y1067">
            <v>1428000</v>
          </cell>
          <cell r="AA1067">
            <v>1360000</v>
          </cell>
        </row>
        <row r="1068">
          <cell r="B1068">
            <v>48986</v>
          </cell>
          <cell r="C1068" t="str">
            <v>TGS-27-4406X4BBS-L-STEEL</v>
          </cell>
          <cell r="E1068" t="str">
            <v>CKD</v>
          </cell>
          <cell r="F1068" t="str">
            <v>2018-06-30</v>
          </cell>
          <cell r="G1068">
            <v>15.9</v>
          </cell>
          <cell r="H1068">
            <v>43069</v>
          </cell>
          <cell r="J1068">
            <v>1780000</v>
          </cell>
          <cell r="P1068">
            <v>1370250</v>
          </cell>
          <cell r="R1068">
            <v>1305000</v>
          </cell>
          <cell r="S1068">
            <v>1835000</v>
          </cell>
          <cell r="Y1068">
            <v>1428000</v>
          </cell>
          <cell r="AA1068">
            <v>1360000</v>
          </cell>
        </row>
        <row r="1069">
          <cell r="B1069">
            <v>48987</v>
          </cell>
          <cell r="C1069" t="str">
            <v>TGS-27-4406X4BBS-L-STEEL</v>
          </cell>
          <cell r="E1069" t="str">
            <v>CKD</v>
          </cell>
          <cell r="F1069" t="str">
            <v>2018-07-30</v>
          </cell>
          <cell r="G1069">
            <v>15.9</v>
          </cell>
          <cell r="H1069">
            <v>43069</v>
          </cell>
          <cell r="J1069">
            <v>1780000</v>
          </cell>
          <cell r="P1069">
            <v>1370250</v>
          </cell>
          <cell r="R1069">
            <v>1305000</v>
          </cell>
          <cell r="S1069">
            <v>1835000</v>
          </cell>
          <cell r="Y1069">
            <v>1428000</v>
          </cell>
          <cell r="AA1069">
            <v>1360000</v>
          </cell>
        </row>
        <row r="1070">
          <cell r="B1070">
            <v>48988</v>
          </cell>
          <cell r="C1070" t="str">
            <v>TGS-27-4406X4BBS-L-STEEL</v>
          </cell>
          <cell r="E1070" t="str">
            <v>CKD</v>
          </cell>
          <cell r="F1070" t="str">
            <v>2018-07-30</v>
          </cell>
          <cell r="G1070">
            <v>15.9</v>
          </cell>
          <cell r="H1070">
            <v>43069</v>
          </cell>
          <cell r="J1070">
            <v>1780000</v>
          </cell>
          <cell r="P1070">
            <v>1370250</v>
          </cell>
          <cell r="R1070">
            <v>1305000</v>
          </cell>
          <cell r="S1070">
            <v>1835000</v>
          </cell>
          <cell r="Y1070">
            <v>1428000</v>
          </cell>
          <cell r="AA1070">
            <v>1360000</v>
          </cell>
        </row>
        <row r="1071">
          <cell r="B1071">
            <v>48989</v>
          </cell>
          <cell r="C1071" t="str">
            <v>TGS-27-4406X4BBS-L-STEEL</v>
          </cell>
          <cell r="E1071" t="str">
            <v>CKD</v>
          </cell>
          <cell r="F1071" t="str">
            <v>2018-07-30</v>
          </cell>
          <cell r="G1071">
            <v>15.9</v>
          </cell>
          <cell r="H1071">
            <v>43069</v>
          </cell>
          <cell r="J1071">
            <v>1780000</v>
          </cell>
          <cell r="P1071">
            <v>1370250</v>
          </cell>
          <cell r="R1071">
            <v>1305000</v>
          </cell>
          <cell r="S1071">
            <v>1835000</v>
          </cell>
          <cell r="Y1071">
            <v>1428000</v>
          </cell>
          <cell r="AA1071">
            <v>1360000</v>
          </cell>
        </row>
        <row r="1072">
          <cell r="B1072">
            <v>48990</v>
          </cell>
          <cell r="C1072" t="str">
            <v>TGS-27-4406X4BBS-L-STEEL</v>
          </cell>
          <cell r="E1072" t="str">
            <v>CKD</v>
          </cell>
          <cell r="F1072" t="str">
            <v>2018-07-30</v>
          </cell>
          <cell r="G1072">
            <v>15.9</v>
          </cell>
          <cell r="H1072">
            <v>43069</v>
          </cell>
          <cell r="J1072">
            <v>1780000</v>
          </cell>
          <cell r="P1072">
            <v>1370250</v>
          </cell>
          <cell r="R1072">
            <v>1305000</v>
          </cell>
          <cell r="S1072">
            <v>1835000</v>
          </cell>
          <cell r="Y1072">
            <v>1428000</v>
          </cell>
          <cell r="AA1072">
            <v>1360000</v>
          </cell>
        </row>
        <row r="1073">
          <cell r="B1073">
            <v>48991</v>
          </cell>
          <cell r="C1073" t="str">
            <v>TGS-27-4406X4BBS-L-STEEL</v>
          </cell>
          <cell r="E1073" t="str">
            <v>CKD</v>
          </cell>
          <cell r="F1073" t="str">
            <v>2018-08-30</v>
          </cell>
          <cell r="G1073">
            <v>15.9</v>
          </cell>
          <cell r="H1073">
            <v>43069</v>
          </cell>
          <cell r="J1073">
            <v>1780000</v>
          </cell>
          <cell r="P1073">
            <v>1370250</v>
          </cell>
          <cell r="R1073">
            <v>1305000</v>
          </cell>
          <cell r="S1073">
            <v>1835000</v>
          </cell>
          <cell r="Y1073">
            <v>1428000</v>
          </cell>
          <cell r="AA1073">
            <v>1360000</v>
          </cell>
        </row>
        <row r="1074">
          <cell r="B1074">
            <v>48992</v>
          </cell>
          <cell r="C1074" t="str">
            <v>TGS-27-4406X4BBS-L-STEEL</v>
          </cell>
          <cell r="E1074" t="str">
            <v>CKD</v>
          </cell>
          <cell r="F1074" t="str">
            <v>2018-08-30</v>
          </cell>
          <cell r="G1074">
            <v>15.9</v>
          </cell>
          <cell r="H1074">
            <v>43069</v>
          </cell>
          <cell r="J1074">
            <v>1780000</v>
          </cell>
          <cell r="P1074">
            <v>1370250</v>
          </cell>
          <cell r="R1074">
            <v>1305000</v>
          </cell>
          <cell r="S1074">
            <v>1835000</v>
          </cell>
          <cell r="Y1074">
            <v>1428000</v>
          </cell>
          <cell r="AA1074">
            <v>1360000</v>
          </cell>
        </row>
        <row r="1075">
          <cell r="B1075">
            <v>48993</v>
          </cell>
          <cell r="C1075" t="str">
            <v>TGS-27-4406X4BBS-L-STEEL</v>
          </cell>
          <cell r="E1075" t="str">
            <v>CKD</v>
          </cell>
          <cell r="F1075" t="str">
            <v>2018-09-30</v>
          </cell>
          <cell r="G1075">
            <v>15.9</v>
          </cell>
          <cell r="H1075">
            <v>43069</v>
          </cell>
          <cell r="J1075">
            <v>1780000</v>
          </cell>
          <cell r="P1075">
            <v>1370250</v>
          </cell>
          <cell r="R1075">
            <v>1305000</v>
          </cell>
          <cell r="S1075">
            <v>1835000</v>
          </cell>
          <cell r="Y1075">
            <v>1428000</v>
          </cell>
          <cell r="AA1075">
            <v>1360000</v>
          </cell>
        </row>
        <row r="1076">
          <cell r="B1076">
            <v>48994</v>
          </cell>
          <cell r="C1076" t="str">
            <v>TGS-27-4406X4BBS-L-STEEL</v>
          </cell>
          <cell r="E1076" t="str">
            <v>CKD</v>
          </cell>
          <cell r="F1076" t="str">
            <v>2018-09-30</v>
          </cell>
          <cell r="G1076">
            <v>15.9</v>
          </cell>
          <cell r="H1076">
            <v>43069</v>
          </cell>
          <cell r="J1076">
            <v>1780000</v>
          </cell>
          <cell r="P1076">
            <v>1370250</v>
          </cell>
          <cell r="R1076">
            <v>1305000</v>
          </cell>
          <cell r="S1076">
            <v>1835000</v>
          </cell>
          <cell r="Y1076">
            <v>1428000</v>
          </cell>
          <cell r="AA1076">
            <v>1360000</v>
          </cell>
        </row>
        <row r="1077">
          <cell r="B1077" t="str">
            <v>76W-9335</v>
          </cell>
          <cell r="C1077" t="str">
            <v>TGS-27-4406X4BBS-L-STEEL</v>
          </cell>
          <cell r="E1077" t="str">
            <v>BOOKED: 2017-11-28</v>
          </cell>
          <cell r="F1077">
            <v>113</v>
          </cell>
          <cell r="G1077">
            <v>14.7</v>
          </cell>
          <cell r="H1077">
            <v>42859</v>
          </cell>
          <cell r="J1077">
            <v>1780000</v>
          </cell>
          <cell r="P1077">
            <v>1407000</v>
          </cell>
          <cell r="R1077">
            <v>1340000</v>
          </cell>
          <cell r="S1077">
            <v>1835000</v>
          </cell>
          <cell r="Y1077">
            <v>1464750</v>
          </cell>
          <cell r="AA1077">
            <v>1395000</v>
          </cell>
        </row>
        <row r="1078">
          <cell r="B1078" t="str">
            <v>76W-9477</v>
          </cell>
          <cell r="C1078" t="str">
            <v>TGS-27-4406X4BBS-L-STEEL</v>
          </cell>
          <cell r="E1078" t="str">
            <v>SOLD</v>
          </cell>
          <cell r="F1078">
            <v>78</v>
          </cell>
          <cell r="G1078">
            <v>14.7</v>
          </cell>
          <cell r="H1078">
            <v>42937</v>
          </cell>
          <cell r="J1078">
            <v>1780000</v>
          </cell>
          <cell r="P1078">
            <v>1407000</v>
          </cell>
          <cell r="R1078">
            <v>1340000</v>
          </cell>
          <cell r="S1078">
            <v>1835000</v>
          </cell>
          <cell r="Y1078">
            <v>1464750</v>
          </cell>
          <cell r="AA1078">
            <v>1395000</v>
          </cell>
        </row>
        <row r="1079">
          <cell r="B1079" t="str">
            <v>76W-9648</v>
          </cell>
          <cell r="C1079" t="str">
            <v>TGS-27-4406X4BBS-L-STEEL</v>
          </cell>
          <cell r="E1079" t="str">
            <v>BOOKED: 2018-02-14</v>
          </cell>
          <cell r="F1079" t="str">
            <v>2018-02-26</v>
          </cell>
          <cell r="G1079">
            <v>14.7</v>
          </cell>
          <cell r="H1079">
            <v>42947</v>
          </cell>
          <cell r="J1079">
            <v>1780000</v>
          </cell>
          <cell r="P1079">
            <v>1370250</v>
          </cell>
          <cell r="R1079">
            <v>1305000</v>
          </cell>
          <cell r="S1079">
            <v>1835000</v>
          </cell>
          <cell r="Y1079">
            <v>1428000</v>
          </cell>
          <cell r="AA1079">
            <v>1360000</v>
          </cell>
        </row>
        <row r="1080">
          <cell r="B1080" t="str">
            <v>76W-9649</v>
          </cell>
          <cell r="C1080" t="str">
            <v>TGS-27-4406X4BBS-L-STEEL</v>
          </cell>
          <cell r="E1080" t="str">
            <v>CKD</v>
          </cell>
          <cell r="F1080" t="str">
            <v>2018-02-26</v>
          </cell>
          <cell r="G1080">
            <v>14.7</v>
          </cell>
          <cell r="H1080">
            <v>42947</v>
          </cell>
          <cell r="J1080">
            <v>1780000</v>
          </cell>
          <cell r="P1080">
            <v>1370250</v>
          </cell>
          <cell r="R1080">
            <v>1305000</v>
          </cell>
          <cell r="S1080">
            <v>1835000</v>
          </cell>
          <cell r="Y1080">
            <v>1428000</v>
          </cell>
          <cell r="AA1080">
            <v>1360000</v>
          </cell>
        </row>
        <row r="1081">
          <cell r="B1081" t="str">
            <v>76W-9650</v>
          </cell>
          <cell r="C1081" t="str">
            <v>TGS-27-4406X4BBS-L-STEEL</v>
          </cell>
          <cell r="E1081" t="str">
            <v>SOLD</v>
          </cell>
          <cell r="F1081">
            <v>6</v>
          </cell>
          <cell r="G1081">
            <v>14.7</v>
          </cell>
          <cell r="H1081">
            <v>42947</v>
          </cell>
          <cell r="J1081">
            <v>1780000</v>
          </cell>
          <cell r="P1081">
            <v>1407000</v>
          </cell>
          <cell r="R1081">
            <v>1340000</v>
          </cell>
          <cell r="S1081">
            <v>1835000</v>
          </cell>
          <cell r="Y1081">
            <v>1464750</v>
          </cell>
          <cell r="AA1081">
            <v>1395000</v>
          </cell>
        </row>
        <row r="1082">
          <cell r="B1082" t="str">
            <v>76W-9651</v>
          </cell>
          <cell r="C1082" t="str">
            <v>TGS-27-4406X4BBS-L-STEEL</v>
          </cell>
          <cell r="E1082" t="str">
            <v>SOLD</v>
          </cell>
          <cell r="F1082">
            <v>6</v>
          </cell>
          <cell r="G1082">
            <v>14.7</v>
          </cell>
          <cell r="H1082">
            <v>42947</v>
          </cell>
          <cell r="J1082">
            <v>1780000</v>
          </cell>
          <cell r="P1082">
            <v>1407000</v>
          </cell>
          <cell r="R1082">
            <v>1340000</v>
          </cell>
          <cell r="S1082">
            <v>1835000</v>
          </cell>
          <cell r="Y1082">
            <v>1464750</v>
          </cell>
          <cell r="AA1082">
            <v>1395000</v>
          </cell>
        </row>
        <row r="1083">
          <cell r="B1083" t="str">
            <v>76W-9668</v>
          </cell>
          <cell r="C1083" t="str">
            <v>TGS-27-4406X4BBS-L-STEEL</v>
          </cell>
          <cell r="E1083" t="str">
            <v>CKD</v>
          </cell>
          <cell r="F1083" t="str">
            <v>2018-02-27</v>
          </cell>
          <cell r="G1083">
            <v>14.7</v>
          </cell>
          <cell r="H1083">
            <v>42947</v>
          </cell>
          <cell r="J1083">
            <v>1780000</v>
          </cell>
          <cell r="P1083">
            <v>1370250</v>
          </cell>
          <cell r="R1083">
            <v>1305000</v>
          </cell>
          <cell r="S1083">
            <v>1835000</v>
          </cell>
          <cell r="Y1083">
            <v>1428000</v>
          </cell>
          <cell r="AA1083">
            <v>1360000</v>
          </cell>
        </row>
        <row r="1084">
          <cell r="B1084" t="str">
            <v>76W-9669</v>
          </cell>
          <cell r="C1084" t="str">
            <v>TGS-27-4406X4BBS-L-STEEL</v>
          </cell>
          <cell r="E1084" t="str">
            <v>CKD</v>
          </cell>
          <cell r="F1084" t="str">
            <v>2018-02-27</v>
          </cell>
          <cell r="G1084">
            <v>14.7</v>
          </cell>
          <cell r="H1084">
            <v>42947</v>
          </cell>
          <cell r="J1084">
            <v>1780000</v>
          </cell>
          <cell r="P1084">
            <v>1370250</v>
          </cell>
          <cell r="R1084">
            <v>1305000</v>
          </cell>
          <cell r="S1084">
            <v>1835000</v>
          </cell>
          <cell r="Y1084">
            <v>1428000</v>
          </cell>
          <cell r="AA1084">
            <v>1360000</v>
          </cell>
        </row>
        <row r="1085">
          <cell r="B1085" t="str">
            <v>76W-9670</v>
          </cell>
          <cell r="C1085" t="str">
            <v>TGS-27-4406X4BBS-L-STEEL</v>
          </cell>
          <cell r="E1085" t="str">
            <v>CKD</v>
          </cell>
          <cell r="F1085" t="str">
            <v>2018-02-27</v>
          </cell>
          <cell r="G1085">
            <v>14.7</v>
          </cell>
          <cell r="H1085">
            <v>42947</v>
          </cell>
          <cell r="J1085">
            <v>1780000</v>
          </cell>
          <cell r="P1085">
            <v>1370250</v>
          </cell>
          <cell r="R1085">
            <v>1305000</v>
          </cell>
          <cell r="S1085">
            <v>1835000</v>
          </cell>
          <cell r="Y1085">
            <v>1428000</v>
          </cell>
          <cell r="AA1085">
            <v>1360000</v>
          </cell>
        </row>
        <row r="1086">
          <cell r="B1086" t="str">
            <v>76W-9671</v>
          </cell>
          <cell r="C1086" t="str">
            <v>TGS-27-4406X4BBS-L-STEEL</v>
          </cell>
          <cell r="E1086" t="str">
            <v>CKD</v>
          </cell>
          <cell r="F1086" t="str">
            <v>2018-02-27</v>
          </cell>
          <cell r="G1086">
            <v>14.7</v>
          </cell>
          <cell r="H1086">
            <v>42947</v>
          </cell>
          <cell r="J1086">
            <v>1780000</v>
          </cell>
          <cell r="P1086">
            <v>1370250</v>
          </cell>
          <cell r="R1086">
            <v>1305000</v>
          </cell>
          <cell r="S1086">
            <v>1835000</v>
          </cell>
          <cell r="Y1086">
            <v>1428000</v>
          </cell>
          <cell r="AA1086">
            <v>1360000</v>
          </cell>
        </row>
        <row r="1087">
          <cell r="B1087" t="str">
            <v>76W-9672</v>
          </cell>
          <cell r="C1087" t="str">
            <v>TGS-27-4406X4BBS-L-STEEL</v>
          </cell>
          <cell r="E1087" t="str">
            <v>CKD</v>
          </cell>
          <cell r="F1087" t="str">
            <v>2018-03-30</v>
          </cell>
          <cell r="G1087">
            <v>14.7</v>
          </cell>
          <cell r="H1087">
            <v>42947</v>
          </cell>
          <cell r="J1087">
            <v>1780000</v>
          </cell>
          <cell r="P1087">
            <v>1370250</v>
          </cell>
          <cell r="R1087">
            <v>1305000</v>
          </cell>
          <cell r="S1087">
            <v>1835000</v>
          </cell>
          <cell r="Y1087">
            <v>1428000</v>
          </cell>
          <cell r="AA1087">
            <v>1360000</v>
          </cell>
        </row>
        <row r="1088">
          <cell r="B1088" t="str">
            <v>76W-9673</v>
          </cell>
          <cell r="C1088" t="str">
            <v>TGS-27-4406X4BBS-L-STEEL</v>
          </cell>
          <cell r="E1088" t="str">
            <v>CKD</v>
          </cell>
          <cell r="F1088" t="str">
            <v>2018-03-30</v>
          </cell>
          <cell r="G1088">
            <v>14.7</v>
          </cell>
          <cell r="H1088">
            <v>42947</v>
          </cell>
          <cell r="J1088">
            <v>1780000</v>
          </cell>
          <cell r="P1088">
            <v>1370250</v>
          </cell>
          <cell r="R1088">
            <v>1305000</v>
          </cell>
          <cell r="S1088">
            <v>1835000</v>
          </cell>
          <cell r="Y1088">
            <v>1428000</v>
          </cell>
          <cell r="AA1088">
            <v>1360000</v>
          </cell>
        </row>
        <row r="1089">
          <cell r="B1089" t="str">
            <v>76W-9674</v>
          </cell>
          <cell r="C1089" t="str">
            <v>TGS-27-4406X4BBS-L-STEEL</v>
          </cell>
          <cell r="E1089" t="str">
            <v>CKD</v>
          </cell>
          <cell r="F1089" t="str">
            <v>2018-03-30</v>
          </cell>
          <cell r="G1089">
            <v>14.7</v>
          </cell>
          <cell r="H1089">
            <v>42947</v>
          </cell>
          <cell r="J1089">
            <v>1780000</v>
          </cell>
          <cell r="P1089">
            <v>1370250</v>
          </cell>
          <cell r="R1089">
            <v>1305000</v>
          </cell>
          <cell r="S1089">
            <v>1835000</v>
          </cell>
          <cell r="Y1089">
            <v>1428000</v>
          </cell>
          <cell r="AA1089">
            <v>1360000</v>
          </cell>
        </row>
        <row r="1090">
          <cell r="B1090" t="str">
            <v>76W-9675</v>
          </cell>
          <cell r="C1090" t="str">
            <v>TGS-27-4406X4BBS-L-STEEL</v>
          </cell>
          <cell r="E1090" t="str">
            <v>CKD</v>
          </cell>
          <cell r="F1090" t="str">
            <v>2018-03-30</v>
          </cell>
          <cell r="G1090">
            <v>14.7</v>
          </cell>
          <cell r="H1090">
            <v>42947</v>
          </cell>
          <cell r="J1090">
            <v>1780000</v>
          </cell>
          <cell r="P1090">
            <v>1370250</v>
          </cell>
          <cell r="R1090">
            <v>1305000</v>
          </cell>
          <cell r="S1090">
            <v>1835000</v>
          </cell>
          <cell r="Y1090">
            <v>1428000</v>
          </cell>
          <cell r="AA1090">
            <v>1360000</v>
          </cell>
        </row>
        <row r="1091">
          <cell r="B1091" t="str">
            <v>76W-B099</v>
          </cell>
          <cell r="C1091" t="str">
            <v>TGS-27-4406X4BBS-L-STEEL</v>
          </cell>
          <cell r="E1091" t="str">
            <v>CKD</v>
          </cell>
          <cell r="F1091" t="str">
            <v>2018-03-30</v>
          </cell>
          <cell r="G1091">
            <v>15.3</v>
          </cell>
          <cell r="H1091">
            <v>42978</v>
          </cell>
          <cell r="J1091">
            <v>1780000</v>
          </cell>
          <cell r="P1091">
            <v>1370250</v>
          </cell>
          <cell r="R1091">
            <v>1305000</v>
          </cell>
          <cell r="S1091">
            <v>1835000</v>
          </cell>
          <cell r="Y1091">
            <v>1428000</v>
          </cell>
          <cell r="AA1091">
            <v>1360000</v>
          </cell>
        </row>
        <row r="1092">
          <cell r="B1092" t="str">
            <v>76W-B100</v>
          </cell>
          <cell r="C1092" t="str">
            <v>TGS-27-4406X4BBS-L-STEEL</v>
          </cell>
          <cell r="E1092" t="str">
            <v>CKD</v>
          </cell>
          <cell r="F1092" t="str">
            <v>2018-03-30</v>
          </cell>
          <cell r="G1092">
            <v>15.3</v>
          </cell>
          <cell r="H1092">
            <v>42978</v>
          </cell>
          <cell r="J1092">
            <v>1780000</v>
          </cell>
          <cell r="P1092">
            <v>1370250</v>
          </cell>
          <cell r="R1092">
            <v>1305000</v>
          </cell>
          <cell r="S1092">
            <v>1835000</v>
          </cell>
          <cell r="Y1092">
            <v>1428000</v>
          </cell>
          <cell r="AA1092">
            <v>1360000</v>
          </cell>
        </row>
        <row r="1093">
          <cell r="B1093" t="str">
            <v>76W-B101</v>
          </cell>
          <cell r="C1093" t="str">
            <v>TGS-27-4406X4BBS-L-STEEL</v>
          </cell>
          <cell r="E1093" t="str">
            <v>CKD</v>
          </cell>
          <cell r="F1093" t="str">
            <v>2018-02-28</v>
          </cell>
          <cell r="G1093">
            <v>15.3</v>
          </cell>
          <cell r="H1093">
            <v>42978</v>
          </cell>
          <cell r="J1093">
            <v>1780000</v>
          </cell>
          <cell r="P1093">
            <v>1407000</v>
          </cell>
          <cell r="R1093">
            <v>1340000</v>
          </cell>
          <cell r="S1093">
            <v>1835000</v>
          </cell>
          <cell r="Y1093">
            <v>1464750</v>
          </cell>
          <cell r="AA1093">
            <v>1395000</v>
          </cell>
        </row>
        <row r="1094">
          <cell r="B1094" t="str">
            <v>76W-B102</v>
          </cell>
          <cell r="C1094" t="str">
            <v>TGS-27-4406X4BBS-L-STEEL</v>
          </cell>
          <cell r="E1094" t="str">
            <v>BOOKED: 2018-02-06</v>
          </cell>
          <cell r="F1094" t="str">
            <v>2018-02-28</v>
          </cell>
          <cell r="G1094">
            <v>15.3</v>
          </cell>
          <cell r="H1094">
            <v>42978</v>
          </cell>
          <cell r="J1094">
            <v>1780000</v>
          </cell>
          <cell r="P1094">
            <v>1370250</v>
          </cell>
          <cell r="R1094">
            <v>1305000</v>
          </cell>
          <cell r="S1094">
            <v>1835000</v>
          </cell>
          <cell r="Y1094">
            <v>1428000</v>
          </cell>
          <cell r="AA1094">
            <v>1360000</v>
          </cell>
        </row>
        <row r="1095">
          <cell r="B1095" t="str">
            <v>76W-B123</v>
          </cell>
          <cell r="C1095" t="str">
            <v>TGS-27-4406X4BBS-L-STEEL</v>
          </cell>
          <cell r="E1095" t="str">
            <v>CKD</v>
          </cell>
          <cell r="F1095" t="str">
            <v>2018-03-30</v>
          </cell>
          <cell r="G1095">
            <v>15.3</v>
          </cell>
          <cell r="H1095">
            <v>42978</v>
          </cell>
          <cell r="J1095">
            <v>1780000</v>
          </cell>
          <cell r="P1095">
            <v>1370250</v>
          </cell>
          <cell r="R1095">
            <v>1305000</v>
          </cell>
          <cell r="S1095">
            <v>1835000</v>
          </cell>
          <cell r="Y1095">
            <v>1428000</v>
          </cell>
          <cell r="AA1095">
            <v>1360000</v>
          </cell>
        </row>
        <row r="1096">
          <cell r="B1096" t="str">
            <v>76W-B124</v>
          </cell>
          <cell r="C1096" t="str">
            <v>TGS-27-4406X4BBS-L-STEEL</v>
          </cell>
          <cell r="E1096" t="str">
            <v>CKD</v>
          </cell>
          <cell r="F1096" t="str">
            <v>2018-03-30</v>
          </cell>
          <cell r="G1096">
            <v>15.3</v>
          </cell>
          <cell r="H1096">
            <v>42978</v>
          </cell>
          <cell r="J1096">
            <v>1780000</v>
          </cell>
          <cell r="P1096">
            <v>1370250</v>
          </cell>
          <cell r="R1096">
            <v>1305000</v>
          </cell>
          <cell r="S1096">
            <v>1835000</v>
          </cell>
          <cell r="Y1096">
            <v>1428000</v>
          </cell>
          <cell r="AA1096">
            <v>1360000</v>
          </cell>
        </row>
        <row r="1097">
          <cell r="B1097" t="str">
            <v>76W-B125</v>
          </cell>
          <cell r="C1097" t="str">
            <v>TGS-27-4406X4BBS-L-STEEL</v>
          </cell>
          <cell r="E1097" t="str">
            <v>CKD</v>
          </cell>
          <cell r="F1097" t="str">
            <v>2018-03-30</v>
          </cell>
          <cell r="G1097">
            <v>15.3</v>
          </cell>
          <cell r="H1097">
            <v>42978</v>
          </cell>
          <cell r="J1097">
            <v>1780000</v>
          </cell>
          <cell r="P1097">
            <v>1370250</v>
          </cell>
          <cell r="R1097">
            <v>1305000</v>
          </cell>
          <cell r="S1097">
            <v>1835000</v>
          </cell>
          <cell r="Y1097">
            <v>1428000</v>
          </cell>
          <cell r="AA1097">
            <v>1360000</v>
          </cell>
        </row>
        <row r="1098">
          <cell r="B1098" t="str">
            <v>76W-B126</v>
          </cell>
          <cell r="C1098" t="str">
            <v>TGS-27-4406X4BBS-L-STEEL</v>
          </cell>
          <cell r="E1098" t="str">
            <v>CKD</v>
          </cell>
          <cell r="F1098" t="str">
            <v>2018-03-30</v>
          </cell>
          <cell r="G1098">
            <v>15.3</v>
          </cell>
          <cell r="H1098">
            <v>42978</v>
          </cell>
          <cell r="J1098">
            <v>1780000</v>
          </cell>
          <cell r="P1098">
            <v>1370250</v>
          </cell>
          <cell r="R1098">
            <v>1305000</v>
          </cell>
          <cell r="S1098">
            <v>1835000</v>
          </cell>
          <cell r="Y1098">
            <v>1428000</v>
          </cell>
          <cell r="AA1098">
            <v>1360000</v>
          </cell>
        </row>
        <row r="1099">
          <cell r="B1099" t="str">
            <v>76W-B127</v>
          </cell>
          <cell r="C1099" t="str">
            <v>TGS-27-4406X4BBS-L-STEEL</v>
          </cell>
          <cell r="E1099" t="str">
            <v>CKD</v>
          </cell>
          <cell r="F1099" t="str">
            <v>2018-03-30</v>
          </cell>
          <cell r="G1099">
            <v>15.3</v>
          </cell>
          <cell r="H1099">
            <v>42978</v>
          </cell>
          <cell r="J1099">
            <v>1780000</v>
          </cell>
          <cell r="P1099">
            <v>1370250</v>
          </cell>
          <cell r="R1099">
            <v>1305000</v>
          </cell>
          <cell r="S1099">
            <v>1835000</v>
          </cell>
          <cell r="Y1099">
            <v>1428000</v>
          </cell>
          <cell r="AA1099">
            <v>1360000</v>
          </cell>
        </row>
        <row r="1100">
          <cell r="B1100" t="str">
            <v>76W-B128</v>
          </cell>
          <cell r="C1100" t="str">
            <v>TGS-27-4406X4BBS-L-STEEL</v>
          </cell>
          <cell r="E1100" t="str">
            <v>CKD</v>
          </cell>
          <cell r="F1100" t="str">
            <v>2018-03-30</v>
          </cell>
          <cell r="G1100">
            <v>15.3</v>
          </cell>
          <cell r="H1100">
            <v>42978</v>
          </cell>
          <cell r="J1100">
            <v>1780000</v>
          </cell>
          <cell r="P1100">
            <v>1370250</v>
          </cell>
          <cell r="R1100">
            <v>1305000</v>
          </cell>
          <cell r="S1100">
            <v>1835000</v>
          </cell>
          <cell r="Y1100">
            <v>1428000</v>
          </cell>
          <cell r="AA1100">
            <v>1360000</v>
          </cell>
        </row>
        <row r="1101">
          <cell r="B1101" t="str">
            <v>76W-B129</v>
          </cell>
          <cell r="C1101" t="str">
            <v>TGS-27-4406X4BBS-L-STEEL</v>
          </cell>
          <cell r="E1101" t="str">
            <v>CKD</v>
          </cell>
          <cell r="F1101" t="str">
            <v>2018-03-30</v>
          </cell>
          <cell r="G1101">
            <v>15.3</v>
          </cell>
          <cell r="H1101">
            <v>42978</v>
          </cell>
          <cell r="J1101">
            <v>1780000</v>
          </cell>
          <cell r="P1101">
            <v>1370250</v>
          </cell>
          <cell r="R1101">
            <v>1305000</v>
          </cell>
          <cell r="S1101">
            <v>1835000</v>
          </cell>
          <cell r="Y1101">
            <v>1428000</v>
          </cell>
          <cell r="AA1101">
            <v>1360000</v>
          </cell>
        </row>
        <row r="1102">
          <cell r="B1102" t="str">
            <v>76W-B130</v>
          </cell>
          <cell r="C1102" t="str">
            <v>TGS-27-4406X4BBS-L-STEEL</v>
          </cell>
          <cell r="E1102" t="str">
            <v>CKD</v>
          </cell>
          <cell r="F1102" t="str">
            <v>2018-03-30</v>
          </cell>
          <cell r="G1102">
            <v>15.3</v>
          </cell>
          <cell r="H1102">
            <v>42978</v>
          </cell>
          <cell r="J1102">
            <v>1780000</v>
          </cell>
          <cell r="P1102">
            <v>1370250</v>
          </cell>
          <cell r="R1102">
            <v>1305000</v>
          </cell>
          <cell r="S1102">
            <v>1835000</v>
          </cell>
          <cell r="Y1102">
            <v>1428000</v>
          </cell>
          <cell r="AA1102">
            <v>1360000</v>
          </cell>
        </row>
        <row r="1103">
          <cell r="B1103" t="str">
            <v>76W-B143</v>
          </cell>
          <cell r="C1103" t="str">
            <v>TGS-27-4406X4BBS-L-STEEL</v>
          </cell>
          <cell r="E1103" t="str">
            <v>CKD</v>
          </cell>
          <cell r="F1103" t="str">
            <v>2018-03-30</v>
          </cell>
          <cell r="G1103">
            <v>15.3</v>
          </cell>
          <cell r="H1103">
            <v>42978</v>
          </cell>
          <cell r="J1103">
            <v>1780000</v>
          </cell>
          <cell r="P1103">
            <v>1370250</v>
          </cell>
          <cell r="R1103">
            <v>1305000</v>
          </cell>
          <cell r="S1103">
            <v>1835000</v>
          </cell>
          <cell r="Y1103">
            <v>1428000</v>
          </cell>
          <cell r="AA1103">
            <v>1360000</v>
          </cell>
        </row>
        <row r="1104">
          <cell r="B1104" t="str">
            <v>76W-B144</v>
          </cell>
          <cell r="C1104" t="str">
            <v>TGS-27-4406X4BBS-L-STEEL</v>
          </cell>
          <cell r="E1104" t="str">
            <v>CKD</v>
          </cell>
          <cell r="F1104" t="str">
            <v>2018-03-30</v>
          </cell>
          <cell r="G1104">
            <v>15.3</v>
          </cell>
          <cell r="H1104">
            <v>42978</v>
          </cell>
          <cell r="J1104">
            <v>1780000</v>
          </cell>
          <cell r="P1104">
            <v>1370250</v>
          </cell>
          <cell r="R1104">
            <v>1305000</v>
          </cell>
          <cell r="S1104">
            <v>1835000</v>
          </cell>
          <cell r="Y1104">
            <v>1428000</v>
          </cell>
          <cell r="AA1104">
            <v>1360000</v>
          </cell>
        </row>
        <row r="1105">
          <cell r="B1105" t="str">
            <v>76W-B145</v>
          </cell>
          <cell r="C1105" t="str">
            <v>TGS-27-4406X4BBS-L-STEEL</v>
          </cell>
          <cell r="E1105" t="str">
            <v>CKD</v>
          </cell>
          <cell r="F1105" t="str">
            <v>2018-03-30</v>
          </cell>
          <cell r="G1105">
            <v>15.3</v>
          </cell>
          <cell r="H1105">
            <v>42978</v>
          </cell>
          <cell r="J1105">
            <v>1780000</v>
          </cell>
          <cell r="P1105">
            <v>1370250</v>
          </cell>
          <cell r="R1105">
            <v>1305000</v>
          </cell>
          <cell r="S1105">
            <v>1835000</v>
          </cell>
          <cell r="Y1105">
            <v>1428000</v>
          </cell>
          <cell r="AA1105">
            <v>1360000</v>
          </cell>
        </row>
        <row r="1106">
          <cell r="B1106" t="str">
            <v>76W-B146</v>
          </cell>
          <cell r="C1106" t="str">
            <v>TGS-27-4406X4BBS-L-STEEL</v>
          </cell>
          <cell r="E1106" t="str">
            <v>CKD</v>
          </cell>
          <cell r="F1106" t="str">
            <v>2018-03-30</v>
          </cell>
          <cell r="G1106">
            <v>15.3</v>
          </cell>
          <cell r="H1106">
            <v>42978</v>
          </cell>
          <cell r="J1106">
            <v>1780000</v>
          </cell>
          <cell r="P1106">
            <v>1370250</v>
          </cell>
          <cell r="R1106">
            <v>1305000</v>
          </cell>
          <cell r="S1106">
            <v>1835000</v>
          </cell>
          <cell r="Y1106">
            <v>1428000</v>
          </cell>
          <cell r="AA1106">
            <v>1360000</v>
          </cell>
        </row>
        <row r="1107">
          <cell r="B1107" t="str">
            <v>76W-B147</v>
          </cell>
          <cell r="C1107" t="str">
            <v>TGS-27-4406X4BBS-L-STEEL</v>
          </cell>
          <cell r="E1107" t="str">
            <v>CKD</v>
          </cell>
          <cell r="F1107" t="str">
            <v>2018-03-30</v>
          </cell>
          <cell r="G1107">
            <v>15.3</v>
          </cell>
          <cell r="H1107">
            <v>42978</v>
          </cell>
          <cell r="J1107">
            <v>1780000</v>
          </cell>
          <cell r="P1107">
            <v>1370250</v>
          </cell>
          <cell r="R1107">
            <v>1305000</v>
          </cell>
          <cell r="S1107">
            <v>1835000</v>
          </cell>
          <cell r="Y1107">
            <v>1428000</v>
          </cell>
          <cell r="AA1107">
            <v>1360000</v>
          </cell>
        </row>
        <row r="1108">
          <cell r="B1108" t="str">
            <v>76W-B148</v>
          </cell>
          <cell r="C1108" t="str">
            <v>TGS-27-4406X4BBS-L-STEEL</v>
          </cell>
          <cell r="E1108" t="str">
            <v>CKD</v>
          </cell>
          <cell r="F1108" t="str">
            <v>2018-03-30</v>
          </cell>
          <cell r="G1108">
            <v>15.3</v>
          </cell>
          <cell r="H1108">
            <v>42978</v>
          </cell>
          <cell r="J1108">
            <v>1780000</v>
          </cell>
          <cell r="P1108">
            <v>1370250</v>
          </cell>
          <cell r="R1108">
            <v>1305000</v>
          </cell>
          <cell r="S1108">
            <v>1835000</v>
          </cell>
          <cell r="Y1108">
            <v>1428000</v>
          </cell>
          <cell r="AA1108">
            <v>1360000</v>
          </cell>
        </row>
        <row r="1109">
          <cell r="B1109" t="str">
            <v>76W-B149</v>
          </cell>
          <cell r="C1109" t="str">
            <v>TGS-27-4406X4BBS-L-STEEL</v>
          </cell>
          <cell r="E1109" t="str">
            <v>CKD</v>
          </cell>
          <cell r="F1109" t="str">
            <v>2018-03-30</v>
          </cell>
          <cell r="G1109">
            <v>15.3</v>
          </cell>
          <cell r="H1109">
            <v>42978</v>
          </cell>
          <cell r="J1109">
            <v>1780000</v>
          </cell>
          <cell r="P1109">
            <v>1370250</v>
          </cell>
          <cell r="R1109">
            <v>1305000</v>
          </cell>
          <cell r="S1109">
            <v>1835000</v>
          </cell>
          <cell r="Y1109">
            <v>1428000</v>
          </cell>
          <cell r="AA1109">
            <v>1360000</v>
          </cell>
        </row>
        <row r="1110">
          <cell r="B1110" t="str">
            <v>76W-B150</v>
          </cell>
          <cell r="C1110" t="str">
            <v>TGS-27-4406X4BBS-L-STEEL</v>
          </cell>
          <cell r="E1110" t="str">
            <v>CKD</v>
          </cell>
          <cell r="F1110" t="str">
            <v>2018-03-30</v>
          </cell>
          <cell r="G1110">
            <v>15.3</v>
          </cell>
          <cell r="H1110">
            <v>42978</v>
          </cell>
          <cell r="J1110">
            <v>1780000</v>
          </cell>
          <cell r="P1110">
            <v>1370250</v>
          </cell>
          <cell r="R1110">
            <v>1305000</v>
          </cell>
          <cell r="S1110">
            <v>1835000</v>
          </cell>
          <cell r="Y1110">
            <v>1428000</v>
          </cell>
          <cell r="AA1110">
            <v>1360000</v>
          </cell>
        </row>
        <row r="1111">
          <cell r="B1111" t="str">
            <v>76W-B163</v>
          </cell>
          <cell r="C1111" t="str">
            <v>TGS-27-4406X4BBS-L-STEEL</v>
          </cell>
          <cell r="E1111" t="str">
            <v>CKD</v>
          </cell>
          <cell r="F1111" t="str">
            <v>2018-03-30</v>
          </cell>
          <cell r="G1111">
            <v>15.3</v>
          </cell>
          <cell r="H1111">
            <v>42978</v>
          </cell>
          <cell r="J1111">
            <v>1780000</v>
          </cell>
          <cell r="P1111">
            <v>1370250</v>
          </cell>
          <cell r="R1111">
            <v>1305000</v>
          </cell>
          <cell r="S1111">
            <v>1835000</v>
          </cell>
          <cell r="Y1111">
            <v>1428000</v>
          </cell>
          <cell r="AA1111">
            <v>1360000</v>
          </cell>
        </row>
        <row r="1112">
          <cell r="B1112" t="str">
            <v>76W-B164</v>
          </cell>
          <cell r="C1112" t="str">
            <v>TGS-27-4406X4BBS-L-STEEL</v>
          </cell>
          <cell r="E1112" t="str">
            <v>CKD</v>
          </cell>
          <cell r="F1112" t="str">
            <v>2018-03-30</v>
          </cell>
          <cell r="G1112">
            <v>15.3</v>
          </cell>
          <cell r="H1112">
            <v>42978</v>
          </cell>
          <cell r="J1112">
            <v>1780000</v>
          </cell>
          <cell r="P1112">
            <v>1370250</v>
          </cell>
          <cell r="R1112">
            <v>1305000</v>
          </cell>
          <cell r="S1112">
            <v>1835000</v>
          </cell>
          <cell r="Y1112">
            <v>1428000</v>
          </cell>
          <cell r="AA1112">
            <v>1360000</v>
          </cell>
        </row>
        <row r="1113">
          <cell r="B1113" t="str">
            <v>76W-B165</v>
          </cell>
          <cell r="C1113" t="str">
            <v>TGS-27-4406X4BBS-L-STEEL</v>
          </cell>
          <cell r="E1113" t="str">
            <v>CKD</v>
          </cell>
          <cell r="F1113" t="str">
            <v>2018-03-30</v>
          </cell>
          <cell r="G1113">
            <v>15.3</v>
          </cell>
          <cell r="H1113">
            <v>42978</v>
          </cell>
          <cell r="J1113">
            <v>1780000</v>
          </cell>
          <cell r="P1113">
            <v>1370250</v>
          </cell>
          <cell r="R1113">
            <v>1305000</v>
          </cell>
          <cell r="S1113">
            <v>1835000</v>
          </cell>
          <cell r="Y1113">
            <v>1428000</v>
          </cell>
          <cell r="AA1113">
            <v>1360000</v>
          </cell>
        </row>
        <row r="1114">
          <cell r="B1114" t="str">
            <v>76W-B166</v>
          </cell>
          <cell r="C1114" t="str">
            <v>TGS-27-4406X4BBS-L-STEEL</v>
          </cell>
          <cell r="E1114" t="str">
            <v>CKD</v>
          </cell>
          <cell r="F1114" t="str">
            <v>2018-04-30</v>
          </cell>
          <cell r="G1114">
            <v>15.3</v>
          </cell>
          <cell r="H1114">
            <v>42978</v>
          </cell>
          <cell r="J1114">
            <v>1780000</v>
          </cell>
          <cell r="P1114">
            <v>1370250</v>
          </cell>
          <cell r="R1114">
            <v>1305000</v>
          </cell>
          <cell r="S1114">
            <v>1835000</v>
          </cell>
          <cell r="Y1114">
            <v>1428000</v>
          </cell>
          <cell r="AA1114">
            <v>1360000</v>
          </cell>
        </row>
        <row r="1115">
          <cell r="B1115" t="str">
            <v>76W-B167</v>
          </cell>
          <cell r="C1115" t="str">
            <v>TGS-27-4406X4BBS-L-STEEL</v>
          </cell>
          <cell r="E1115" t="str">
            <v>CKD</v>
          </cell>
          <cell r="F1115" t="str">
            <v>2018-03-30</v>
          </cell>
          <cell r="G1115">
            <v>15.3</v>
          </cell>
          <cell r="H1115">
            <v>42978</v>
          </cell>
          <cell r="J1115">
            <v>1780000</v>
          </cell>
          <cell r="P1115">
            <v>1370250</v>
          </cell>
          <cell r="R1115">
            <v>1305000</v>
          </cell>
          <cell r="S1115">
            <v>1835000</v>
          </cell>
          <cell r="Y1115">
            <v>1428000</v>
          </cell>
          <cell r="AA1115">
            <v>1360000</v>
          </cell>
        </row>
        <row r="1116">
          <cell r="B1116" t="str">
            <v>76W-B168</v>
          </cell>
          <cell r="C1116" t="str">
            <v>TGS-27-4406X4BBS-L-STEEL</v>
          </cell>
          <cell r="E1116" t="str">
            <v>CKD</v>
          </cell>
          <cell r="F1116" t="str">
            <v>2018-03-30</v>
          </cell>
          <cell r="G1116">
            <v>15.3</v>
          </cell>
          <cell r="H1116">
            <v>42978</v>
          </cell>
          <cell r="J1116">
            <v>1780000</v>
          </cell>
          <cell r="P1116">
            <v>1370250</v>
          </cell>
          <cell r="R1116">
            <v>1305000</v>
          </cell>
          <cell r="S1116">
            <v>1835000</v>
          </cell>
          <cell r="Y1116">
            <v>1428000</v>
          </cell>
          <cell r="AA1116">
            <v>1360000</v>
          </cell>
        </row>
        <row r="1117">
          <cell r="B1117" t="str">
            <v>76W-B169</v>
          </cell>
          <cell r="C1117" t="str">
            <v>TGS-27-4406X4BBS-L-STEEL</v>
          </cell>
          <cell r="E1117" t="str">
            <v>CKD</v>
          </cell>
          <cell r="F1117" t="str">
            <v>2018-03-30</v>
          </cell>
          <cell r="G1117">
            <v>15.3</v>
          </cell>
          <cell r="H1117">
            <v>42978</v>
          </cell>
          <cell r="J1117">
            <v>1780000</v>
          </cell>
          <cell r="P1117">
            <v>1370250</v>
          </cell>
          <cell r="R1117">
            <v>1305000</v>
          </cell>
          <cell r="S1117">
            <v>1835000</v>
          </cell>
          <cell r="Y1117">
            <v>1428000</v>
          </cell>
          <cell r="AA1117">
            <v>1360000</v>
          </cell>
        </row>
        <row r="1118">
          <cell r="B1118" t="str">
            <v>76W-B170</v>
          </cell>
          <cell r="C1118" t="str">
            <v>TGS-27-4406X4BBS-L-STEEL</v>
          </cell>
          <cell r="E1118" t="str">
            <v>CKD</v>
          </cell>
          <cell r="F1118" t="str">
            <v>2018-03-30</v>
          </cell>
          <cell r="G1118">
            <v>15.3</v>
          </cell>
          <cell r="H1118">
            <v>42978</v>
          </cell>
          <cell r="J1118">
            <v>1780000</v>
          </cell>
          <cell r="P1118">
            <v>1370250</v>
          </cell>
          <cell r="R1118">
            <v>1305000</v>
          </cell>
          <cell r="S1118">
            <v>1835000</v>
          </cell>
          <cell r="Y1118">
            <v>1428000</v>
          </cell>
          <cell r="AA1118">
            <v>1360000</v>
          </cell>
        </row>
        <row r="1119">
          <cell r="B1119" t="str">
            <v>76W-B179</v>
          </cell>
          <cell r="C1119" t="str">
            <v>TGS-27-4406X4BBS-L-STEEL</v>
          </cell>
          <cell r="E1119" t="str">
            <v>CKD</v>
          </cell>
          <cell r="F1119" t="str">
            <v>2018-03-30</v>
          </cell>
          <cell r="G1119">
            <v>15.3</v>
          </cell>
          <cell r="H1119">
            <v>42978</v>
          </cell>
          <cell r="J1119">
            <v>1780000</v>
          </cell>
          <cell r="P1119">
            <v>1370250</v>
          </cell>
          <cell r="R1119">
            <v>1305000</v>
          </cell>
          <cell r="S1119">
            <v>1835000</v>
          </cell>
          <cell r="Y1119">
            <v>1428000</v>
          </cell>
          <cell r="AA1119">
            <v>1360000</v>
          </cell>
        </row>
        <row r="1120">
          <cell r="B1120" t="str">
            <v>76W-B180</v>
          </cell>
          <cell r="C1120" t="str">
            <v>TGS-27-4406X4BBS-L-STEEL</v>
          </cell>
          <cell r="E1120" t="str">
            <v>CKD</v>
          </cell>
          <cell r="F1120" t="str">
            <v>2018-03-30</v>
          </cell>
          <cell r="G1120">
            <v>15.3</v>
          </cell>
          <cell r="H1120">
            <v>42978</v>
          </cell>
          <cell r="J1120">
            <v>1780000</v>
          </cell>
          <cell r="P1120">
            <v>1370250</v>
          </cell>
          <cell r="R1120">
            <v>1305000</v>
          </cell>
          <cell r="S1120">
            <v>1835000</v>
          </cell>
          <cell r="Y1120">
            <v>1428000</v>
          </cell>
          <cell r="AA1120">
            <v>1360000</v>
          </cell>
        </row>
        <row r="1121">
          <cell r="B1121" t="str">
            <v>76W-B181</v>
          </cell>
          <cell r="C1121" t="str">
            <v>TGS-27-4406X4BBS-L-STEEL</v>
          </cell>
          <cell r="E1121" t="str">
            <v>CKD</v>
          </cell>
          <cell r="F1121" t="str">
            <v>2018-03-30</v>
          </cell>
          <cell r="G1121">
            <v>15.3</v>
          </cell>
          <cell r="H1121">
            <v>42978</v>
          </cell>
          <cell r="J1121">
            <v>1780000</v>
          </cell>
          <cell r="P1121">
            <v>1370250</v>
          </cell>
          <cell r="R1121">
            <v>1305000</v>
          </cell>
          <cell r="S1121">
            <v>1835000</v>
          </cell>
          <cell r="Y1121">
            <v>1428000</v>
          </cell>
          <cell r="AA1121">
            <v>1360000</v>
          </cell>
        </row>
        <row r="1122">
          <cell r="B1122" t="str">
            <v>76W-B182</v>
          </cell>
          <cell r="C1122" t="str">
            <v>TGS-27-4406X4BBS-L-STEEL</v>
          </cell>
          <cell r="E1122" t="str">
            <v>CKD</v>
          </cell>
          <cell r="F1122" t="str">
            <v>2018-03-30</v>
          </cell>
          <cell r="G1122">
            <v>15.3</v>
          </cell>
          <cell r="H1122">
            <v>42978</v>
          </cell>
          <cell r="J1122">
            <v>1780000</v>
          </cell>
          <cell r="P1122">
            <v>1370250</v>
          </cell>
          <cell r="R1122">
            <v>1305000</v>
          </cell>
          <cell r="S1122">
            <v>1835000</v>
          </cell>
          <cell r="Y1122">
            <v>1428000</v>
          </cell>
          <cell r="AA1122">
            <v>1360000</v>
          </cell>
        </row>
        <row r="1123">
          <cell r="B1123" t="str">
            <v>76W-B191</v>
          </cell>
          <cell r="C1123" t="str">
            <v>TGS-27-4406X4BBS-L-STEEL</v>
          </cell>
          <cell r="E1123" t="str">
            <v>CKD</v>
          </cell>
          <cell r="F1123" t="str">
            <v>2018-03-30</v>
          </cell>
          <cell r="G1123">
            <v>15.3</v>
          </cell>
          <cell r="H1123">
            <v>42978</v>
          </cell>
          <cell r="J1123">
            <v>1780000</v>
          </cell>
          <cell r="P1123">
            <v>1370250</v>
          </cell>
          <cell r="R1123">
            <v>1305000</v>
          </cell>
          <cell r="S1123">
            <v>1835000</v>
          </cell>
          <cell r="Y1123">
            <v>1428000</v>
          </cell>
          <cell r="AA1123">
            <v>1360000</v>
          </cell>
        </row>
        <row r="1124">
          <cell r="B1124" t="str">
            <v>76W-B192</v>
          </cell>
          <cell r="C1124" t="str">
            <v>TGS-27-4406X4BBS-L-STEEL</v>
          </cell>
          <cell r="E1124" t="str">
            <v>CKD</v>
          </cell>
          <cell r="F1124" t="str">
            <v>2018-03-30</v>
          </cell>
          <cell r="G1124">
            <v>15.3</v>
          </cell>
          <cell r="H1124">
            <v>42978</v>
          </cell>
          <cell r="J1124">
            <v>1780000</v>
          </cell>
          <cell r="P1124">
            <v>1370250</v>
          </cell>
          <cell r="R1124">
            <v>1305000</v>
          </cell>
          <cell r="S1124">
            <v>1835000</v>
          </cell>
          <cell r="Y1124">
            <v>1428000</v>
          </cell>
          <cell r="AA1124">
            <v>1360000</v>
          </cell>
        </row>
        <row r="1125">
          <cell r="B1125" t="str">
            <v>76W-B193</v>
          </cell>
          <cell r="C1125" t="str">
            <v>TGS-27-4406X4BBS-L-STEEL</v>
          </cell>
          <cell r="E1125" t="str">
            <v>CKD</v>
          </cell>
          <cell r="F1125" t="str">
            <v>2018-03-30</v>
          </cell>
          <cell r="G1125">
            <v>15.3</v>
          </cell>
          <cell r="H1125">
            <v>42978</v>
          </cell>
          <cell r="J1125">
            <v>1780000</v>
          </cell>
          <cell r="P1125">
            <v>1370250</v>
          </cell>
          <cell r="R1125">
            <v>1305000</v>
          </cell>
          <cell r="S1125">
            <v>1835000</v>
          </cell>
          <cell r="Y1125">
            <v>1428000</v>
          </cell>
          <cell r="AA1125">
            <v>1360000</v>
          </cell>
        </row>
        <row r="1126">
          <cell r="B1126" t="str">
            <v>76W-B194</v>
          </cell>
          <cell r="C1126" t="str">
            <v>TGS-27-4406X4BBS-L-STEEL</v>
          </cell>
          <cell r="E1126" t="str">
            <v>CKD</v>
          </cell>
          <cell r="F1126" t="str">
            <v>2018-03-30</v>
          </cell>
          <cell r="G1126">
            <v>15.3</v>
          </cell>
          <cell r="H1126">
            <v>42978</v>
          </cell>
          <cell r="J1126">
            <v>1780000</v>
          </cell>
          <cell r="P1126">
            <v>1370250</v>
          </cell>
          <cell r="R1126">
            <v>1305000</v>
          </cell>
          <cell r="S1126">
            <v>1835000</v>
          </cell>
          <cell r="Y1126">
            <v>1428000</v>
          </cell>
          <cell r="AA1126">
            <v>1360000</v>
          </cell>
        </row>
        <row r="1127">
          <cell r="B1127" t="str">
            <v>76W-B203</v>
          </cell>
          <cell r="C1127" t="str">
            <v>TGS-27-4406X4BBS-L-STEEL</v>
          </cell>
          <cell r="E1127" t="str">
            <v>CKD</v>
          </cell>
          <cell r="F1127" t="str">
            <v>2018-04-30</v>
          </cell>
          <cell r="G1127">
            <v>15.3</v>
          </cell>
          <cell r="H1127">
            <v>42978</v>
          </cell>
          <cell r="J1127">
            <v>1780000</v>
          </cell>
          <cell r="P1127">
            <v>1370250</v>
          </cell>
          <cell r="R1127">
            <v>1305000</v>
          </cell>
          <cell r="S1127">
            <v>1835000</v>
          </cell>
          <cell r="Y1127">
            <v>1428000</v>
          </cell>
          <cell r="AA1127">
            <v>1360000</v>
          </cell>
        </row>
        <row r="1128">
          <cell r="B1128" t="str">
            <v>76W-B204</v>
          </cell>
          <cell r="C1128" t="str">
            <v>TGS-27-4406X4BBS-L-STEEL</v>
          </cell>
          <cell r="E1128" t="str">
            <v>CKD</v>
          </cell>
          <cell r="F1128" t="str">
            <v>2018-04-30</v>
          </cell>
          <cell r="G1128">
            <v>15.3</v>
          </cell>
          <cell r="H1128">
            <v>42978</v>
          </cell>
          <cell r="J1128">
            <v>1780000</v>
          </cell>
          <cell r="P1128">
            <v>1370250</v>
          </cell>
          <cell r="R1128">
            <v>1305000</v>
          </cell>
          <cell r="S1128">
            <v>1835000</v>
          </cell>
          <cell r="Y1128">
            <v>1428000</v>
          </cell>
          <cell r="AA1128">
            <v>1360000</v>
          </cell>
        </row>
        <row r="1129">
          <cell r="B1129" t="str">
            <v>76W-B205</v>
          </cell>
          <cell r="C1129" t="str">
            <v>TGS-27-4406X4BBS-L-STEEL</v>
          </cell>
          <cell r="E1129" t="str">
            <v>CKD</v>
          </cell>
          <cell r="F1129" t="str">
            <v>2018-04-30</v>
          </cell>
          <cell r="G1129">
            <v>15.3</v>
          </cell>
          <cell r="H1129">
            <v>42978</v>
          </cell>
          <cell r="J1129">
            <v>1780000</v>
          </cell>
          <cell r="P1129">
            <v>1370250</v>
          </cell>
          <cell r="R1129">
            <v>1305000</v>
          </cell>
          <cell r="S1129">
            <v>1835000</v>
          </cell>
          <cell r="Y1129">
            <v>1428000</v>
          </cell>
          <cell r="AA1129">
            <v>1360000</v>
          </cell>
        </row>
        <row r="1130">
          <cell r="B1130" t="str">
            <v>76W-B206</v>
          </cell>
          <cell r="C1130" t="str">
            <v>TGS-27-4406X4BBS-L-STEEL</v>
          </cell>
          <cell r="E1130" t="str">
            <v>CKD</v>
          </cell>
          <cell r="F1130" t="str">
            <v>2018-04-30</v>
          </cell>
          <cell r="G1130">
            <v>15.3</v>
          </cell>
          <cell r="H1130">
            <v>42978</v>
          </cell>
          <cell r="J1130">
            <v>1780000</v>
          </cell>
          <cell r="P1130">
            <v>1370250</v>
          </cell>
          <cell r="R1130">
            <v>1305000</v>
          </cell>
          <cell r="S1130">
            <v>1835000</v>
          </cell>
          <cell r="Y1130">
            <v>1428000</v>
          </cell>
          <cell r="AA1130">
            <v>1360000</v>
          </cell>
        </row>
        <row r="1131">
          <cell r="B1131" t="str">
            <v>76W-B207</v>
          </cell>
          <cell r="C1131" t="str">
            <v>TGS-27-4406X4BBS-L-STEEL</v>
          </cell>
          <cell r="E1131" t="str">
            <v>CKD</v>
          </cell>
          <cell r="F1131" t="str">
            <v>2018-04-30</v>
          </cell>
          <cell r="G1131">
            <v>15.3</v>
          </cell>
          <cell r="H1131">
            <v>42978</v>
          </cell>
          <cell r="J1131">
            <v>1780000</v>
          </cell>
          <cell r="P1131">
            <v>1407000</v>
          </cell>
          <cell r="R1131">
            <v>1340000</v>
          </cell>
          <cell r="S1131">
            <v>1835000</v>
          </cell>
          <cell r="Y1131">
            <v>1464750</v>
          </cell>
          <cell r="AA1131">
            <v>1395000</v>
          </cell>
        </row>
        <row r="1132">
          <cell r="B1132" t="str">
            <v>76W-B208</v>
          </cell>
          <cell r="C1132" t="str">
            <v>TGS-27-4406X4BBS-L-STEEL</v>
          </cell>
          <cell r="E1132" t="str">
            <v>CKD</v>
          </cell>
          <cell r="F1132" t="str">
            <v>2018-04-30</v>
          </cell>
          <cell r="G1132">
            <v>15.3</v>
          </cell>
          <cell r="H1132">
            <v>42978</v>
          </cell>
          <cell r="J1132">
            <v>1780000</v>
          </cell>
          <cell r="P1132">
            <v>1407000</v>
          </cell>
          <cell r="R1132">
            <v>1340000</v>
          </cell>
          <cell r="S1132">
            <v>1835000</v>
          </cell>
          <cell r="Y1132">
            <v>1464750</v>
          </cell>
          <cell r="AA1132">
            <v>1395000</v>
          </cell>
        </row>
        <row r="1133">
          <cell r="B1133" t="str">
            <v>76W-B209</v>
          </cell>
          <cell r="C1133" t="str">
            <v>TGS-27-4406X4BBS-L-STEEL</v>
          </cell>
          <cell r="E1133" t="str">
            <v>CKD</v>
          </cell>
          <cell r="F1133" t="str">
            <v>2018-04-30</v>
          </cell>
          <cell r="G1133">
            <v>15.3</v>
          </cell>
          <cell r="H1133">
            <v>42978</v>
          </cell>
          <cell r="J1133">
            <v>1780000</v>
          </cell>
          <cell r="P1133">
            <v>1407000</v>
          </cell>
          <cell r="R1133">
            <v>1340000</v>
          </cell>
          <cell r="S1133">
            <v>1835000</v>
          </cell>
          <cell r="Y1133">
            <v>1464750</v>
          </cell>
          <cell r="AA1133">
            <v>1395000</v>
          </cell>
        </row>
        <row r="1134">
          <cell r="B1134" t="str">
            <v>76W-B210</v>
          </cell>
          <cell r="C1134" t="str">
            <v>TGS-27-4406X4BBS-L-STEEL</v>
          </cell>
          <cell r="E1134" t="str">
            <v>CKD</v>
          </cell>
          <cell r="F1134" t="str">
            <v>2018-04-30</v>
          </cell>
          <cell r="G1134">
            <v>15.3</v>
          </cell>
          <cell r="H1134">
            <v>42978</v>
          </cell>
          <cell r="J1134">
            <v>1780000</v>
          </cell>
          <cell r="P1134">
            <v>1407000</v>
          </cell>
          <cell r="R1134">
            <v>1340000</v>
          </cell>
          <cell r="S1134">
            <v>1835000</v>
          </cell>
          <cell r="Y1134">
            <v>1464750</v>
          </cell>
          <cell r="AA1134">
            <v>1395000</v>
          </cell>
        </row>
        <row r="1135">
          <cell r="B1135" t="str">
            <v>76W-B215</v>
          </cell>
          <cell r="C1135" t="str">
            <v>TGS-27-4406X4BBS-L-STEEL</v>
          </cell>
          <cell r="E1135" t="str">
            <v>CKD</v>
          </cell>
          <cell r="F1135" t="str">
            <v>2018-04-30</v>
          </cell>
          <cell r="G1135">
            <v>15.3</v>
          </cell>
          <cell r="H1135">
            <v>42978</v>
          </cell>
          <cell r="J1135">
            <v>1780000</v>
          </cell>
          <cell r="P1135">
            <v>1407000</v>
          </cell>
          <cell r="R1135">
            <v>1340000</v>
          </cell>
          <cell r="S1135">
            <v>1835000</v>
          </cell>
          <cell r="Y1135">
            <v>1464750</v>
          </cell>
          <cell r="AA1135">
            <v>1395000</v>
          </cell>
        </row>
        <row r="1136">
          <cell r="B1136" t="str">
            <v>76W-B216</v>
          </cell>
          <cell r="C1136" t="str">
            <v>TGS-27-4406X4BBS-L-STEEL</v>
          </cell>
          <cell r="E1136" t="str">
            <v>CKD</v>
          </cell>
          <cell r="F1136" t="str">
            <v>2018-04-30</v>
          </cell>
          <cell r="G1136">
            <v>15.3</v>
          </cell>
          <cell r="H1136">
            <v>42978</v>
          </cell>
          <cell r="J1136">
            <v>1780000</v>
          </cell>
          <cell r="P1136">
            <v>1370250</v>
          </cell>
          <cell r="R1136">
            <v>1305000</v>
          </cell>
          <cell r="S1136">
            <v>1835000</v>
          </cell>
          <cell r="Y1136">
            <v>1428000</v>
          </cell>
          <cell r="AA1136">
            <v>1360000</v>
          </cell>
        </row>
        <row r="1137">
          <cell r="B1137" t="str">
            <v>76W-B217</v>
          </cell>
          <cell r="C1137" t="str">
            <v>TGS-27-4406X4BBS-L-STEEL</v>
          </cell>
          <cell r="E1137" t="str">
            <v>CKD</v>
          </cell>
          <cell r="F1137" t="str">
            <v>2018-04-30</v>
          </cell>
          <cell r="G1137">
            <v>15.3</v>
          </cell>
          <cell r="H1137">
            <v>42978</v>
          </cell>
          <cell r="J1137">
            <v>1780000</v>
          </cell>
          <cell r="P1137">
            <v>1370250</v>
          </cell>
          <cell r="R1137">
            <v>1305000</v>
          </cell>
          <cell r="S1137">
            <v>1835000</v>
          </cell>
          <cell r="Y1137">
            <v>1428000</v>
          </cell>
          <cell r="AA1137">
            <v>1360000</v>
          </cell>
        </row>
        <row r="1138">
          <cell r="B1138" t="str">
            <v>76W-B218</v>
          </cell>
          <cell r="C1138" t="str">
            <v>TGS-27-4406X4BBS-L-STEEL</v>
          </cell>
          <cell r="E1138" t="str">
            <v>CKD</v>
          </cell>
          <cell r="F1138" t="str">
            <v>2018-04-30</v>
          </cell>
          <cell r="G1138">
            <v>15.3</v>
          </cell>
          <cell r="H1138">
            <v>42978</v>
          </cell>
          <cell r="J1138">
            <v>1780000</v>
          </cell>
          <cell r="P1138">
            <v>1370250</v>
          </cell>
          <cell r="R1138">
            <v>1305000</v>
          </cell>
          <cell r="S1138">
            <v>1835000</v>
          </cell>
          <cell r="Y1138">
            <v>1428000</v>
          </cell>
          <cell r="AA1138">
            <v>1360000</v>
          </cell>
        </row>
        <row r="1139">
          <cell r="B1139" t="str">
            <v>76W-B219</v>
          </cell>
          <cell r="C1139" t="str">
            <v>TGS-27-4406X4BBS-L-STEEL</v>
          </cell>
          <cell r="E1139" t="str">
            <v>CKD</v>
          </cell>
          <cell r="F1139" t="str">
            <v>2018-04-30</v>
          </cell>
          <cell r="G1139">
            <v>15.3</v>
          </cell>
          <cell r="H1139">
            <v>42978</v>
          </cell>
          <cell r="J1139">
            <v>1780000</v>
          </cell>
          <cell r="P1139">
            <v>1370250</v>
          </cell>
          <cell r="R1139">
            <v>1305000</v>
          </cell>
          <cell r="S1139">
            <v>1835000</v>
          </cell>
          <cell r="Y1139">
            <v>1428000</v>
          </cell>
          <cell r="AA1139">
            <v>1360000</v>
          </cell>
        </row>
        <row r="1140">
          <cell r="B1140" t="str">
            <v>76W-B220</v>
          </cell>
          <cell r="C1140" t="str">
            <v>TGS-27-4406X4BBS-L-STEEL</v>
          </cell>
          <cell r="E1140" t="str">
            <v>CKD</v>
          </cell>
          <cell r="F1140" t="str">
            <v>2018-04-30</v>
          </cell>
          <cell r="G1140">
            <v>15.3</v>
          </cell>
          <cell r="H1140">
            <v>42978</v>
          </cell>
          <cell r="J1140">
            <v>1780000</v>
          </cell>
          <cell r="P1140">
            <v>1370250</v>
          </cell>
          <cell r="R1140">
            <v>1305000</v>
          </cell>
          <cell r="S1140">
            <v>1835000</v>
          </cell>
          <cell r="Y1140">
            <v>1428000</v>
          </cell>
          <cell r="AA1140">
            <v>1360000</v>
          </cell>
        </row>
        <row r="1141">
          <cell r="B1141" t="str">
            <v>76W-B221</v>
          </cell>
          <cell r="C1141" t="str">
            <v>TGS-27-4406X4BBS-L-STEEL</v>
          </cell>
          <cell r="E1141" t="str">
            <v>CKD</v>
          </cell>
          <cell r="F1141" t="str">
            <v>2018-04-30</v>
          </cell>
          <cell r="G1141">
            <v>15.3</v>
          </cell>
          <cell r="H1141">
            <v>42978</v>
          </cell>
          <cell r="J1141">
            <v>1780000</v>
          </cell>
          <cell r="P1141">
            <v>1370250</v>
          </cell>
          <cell r="R1141">
            <v>1305000</v>
          </cell>
          <cell r="S1141">
            <v>1835000</v>
          </cell>
          <cell r="Y1141">
            <v>1428000</v>
          </cell>
          <cell r="AA1141">
            <v>1360000</v>
          </cell>
        </row>
        <row r="1142">
          <cell r="B1142" t="str">
            <v>76W-B222</v>
          </cell>
          <cell r="C1142" t="str">
            <v>TGS-27-4406X4BBS-L-STEEL</v>
          </cell>
          <cell r="E1142" t="str">
            <v>CKD</v>
          </cell>
          <cell r="F1142" t="str">
            <v>2018-04-30</v>
          </cell>
          <cell r="G1142">
            <v>15.3</v>
          </cell>
          <cell r="H1142">
            <v>42978</v>
          </cell>
          <cell r="J1142">
            <v>1780000</v>
          </cell>
          <cell r="P1142">
            <v>1370250</v>
          </cell>
          <cell r="R1142">
            <v>1305000</v>
          </cell>
          <cell r="S1142">
            <v>1835000</v>
          </cell>
          <cell r="Y1142">
            <v>1428000</v>
          </cell>
          <cell r="AA1142">
            <v>1360000</v>
          </cell>
        </row>
        <row r="1143">
          <cell r="B1143" t="str">
            <v>76W-B227</v>
          </cell>
          <cell r="C1143" t="str">
            <v>TGS-27-4406X4BBS-L-STEEL</v>
          </cell>
          <cell r="E1143" t="str">
            <v>CKD</v>
          </cell>
          <cell r="F1143" t="str">
            <v>2018-04-30</v>
          </cell>
          <cell r="G1143">
            <v>15.3</v>
          </cell>
          <cell r="H1143">
            <v>42978</v>
          </cell>
          <cell r="J1143">
            <v>1780000</v>
          </cell>
          <cell r="P1143">
            <v>1370250</v>
          </cell>
          <cell r="R1143">
            <v>1305000</v>
          </cell>
          <cell r="S1143">
            <v>1835000</v>
          </cell>
          <cell r="Y1143">
            <v>1428000</v>
          </cell>
          <cell r="AA1143">
            <v>1360000</v>
          </cell>
        </row>
        <row r="1144">
          <cell r="B1144" t="str">
            <v>76W-B228</v>
          </cell>
          <cell r="C1144" t="str">
            <v>TGS-27-4406X4BBS-L-STEEL</v>
          </cell>
          <cell r="E1144" t="str">
            <v>CKD</v>
          </cell>
          <cell r="F1144" t="str">
            <v>2018-04-30</v>
          </cell>
          <cell r="G1144">
            <v>15.3</v>
          </cell>
          <cell r="H1144">
            <v>42978</v>
          </cell>
          <cell r="J1144">
            <v>1780000</v>
          </cell>
          <cell r="P1144">
            <v>1370250</v>
          </cell>
          <cell r="R1144">
            <v>1305000</v>
          </cell>
          <cell r="S1144">
            <v>1835000</v>
          </cell>
          <cell r="Y1144">
            <v>1428000</v>
          </cell>
          <cell r="AA1144">
            <v>1360000</v>
          </cell>
        </row>
        <row r="1145">
          <cell r="B1145" t="str">
            <v>76W-B229</v>
          </cell>
          <cell r="C1145" t="str">
            <v>TGS-27-4406X4BBS-L-STEEL</v>
          </cell>
          <cell r="E1145" t="str">
            <v>CKD</v>
          </cell>
          <cell r="F1145" t="str">
            <v>2018-04-30</v>
          </cell>
          <cell r="G1145">
            <v>15.3</v>
          </cell>
          <cell r="H1145">
            <v>42978</v>
          </cell>
          <cell r="J1145">
            <v>1780000</v>
          </cell>
          <cell r="P1145">
            <v>1370250</v>
          </cell>
          <cell r="R1145">
            <v>1305000</v>
          </cell>
          <cell r="S1145">
            <v>1835000</v>
          </cell>
          <cell r="Y1145">
            <v>1428000</v>
          </cell>
          <cell r="AA1145">
            <v>1360000</v>
          </cell>
        </row>
        <row r="1146">
          <cell r="B1146" t="str">
            <v>76W-B230</v>
          </cell>
          <cell r="C1146" t="str">
            <v>TGS-27-4406X4BBS-L-STEEL</v>
          </cell>
          <cell r="E1146" t="str">
            <v>CKD</v>
          </cell>
          <cell r="F1146" t="str">
            <v>2018-04-30</v>
          </cell>
          <cell r="G1146">
            <v>15.3</v>
          </cell>
          <cell r="H1146">
            <v>42978</v>
          </cell>
          <cell r="J1146">
            <v>1780000</v>
          </cell>
          <cell r="P1146">
            <v>1370250</v>
          </cell>
          <cell r="R1146">
            <v>1305000</v>
          </cell>
          <cell r="S1146">
            <v>1835000</v>
          </cell>
          <cell r="Y1146">
            <v>1428000</v>
          </cell>
          <cell r="AA1146">
            <v>1360000</v>
          </cell>
        </row>
        <row r="1147">
          <cell r="B1147" t="str">
            <v>76W-B239</v>
          </cell>
          <cell r="C1147" t="str">
            <v>TGS-27-4406X4BBS-L-STEEL</v>
          </cell>
          <cell r="E1147" t="str">
            <v>CKD</v>
          </cell>
          <cell r="F1147" t="str">
            <v>2018-04-30</v>
          </cell>
          <cell r="G1147">
            <v>15.3</v>
          </cell>
          <cell r="H1147">
            <v>42978</v>
          </cell>
          <cell r="J1147">
            <v>1780000</v>
          </cell>
          <cell r="P1147">
            <v>1370250</v>
          </cell>
          <cell r="R1147">
            <v>1305000</v>
          </cell>
          <cell r="S1147">
            <v>1835000</v>
          </cell>
          <cell r="Y1147">
            <v>1428000</v>
          </cell>
          <cell r="AA1147">
            <v>1360000</v>
          </cell>
        </row>
        <row r="1148">
          <cell r="B1148" t="str">
            <v>76W-B240</v>
          </cell>
          <cell r="C1148" t="str">
            <v>TGS-27-4406X4BBS-L-STEEL</v>
          </cell>
          <cell r="E1148" t="str">
            <v>CKD</v>
          </cell>
          <cell r="F1148" t="str">
            <v>2018-04-30</v>
          </cell>
          <cell r="G1148">
            <v>15.3</v>
          </cell>
          <cell r="H1148">
            <v>42978</v>
          </cell>
          <cell r="J1148">
            <v>1780000</v>
          </cell>
          <cell r="P1148">
            <v>1370250</v>
          </cell>
          <cell r="R1148">
            <v>1305000</v>
          </cell>
          <cell r="S1148">
            <v>1835000</v>
          </cell>
          <cell r="Y1148">
            <v>1428000</v>
          </cell>
          <cell r="AA1148">
            <v>1360000</v>
          </cell>
        </row>
        <row r="1149">
          <cell r="B1149" t="str">
            <v>76W-B241</v>
          </cell>
          <cell r="C1149" t="str">
            <v>TGS-27-4406X4BBS-L-STEEL</v>
          </cell>
          <cell r="E1149" t="str">
            <v>CKD</v>
          </cell>
          <cell r="F1149" t="str">
            <v>2018-04-30</v>
          </cell>
          <cell r="G1149">
            <v>15.3</v>
          </cell>
          <cell r="H1149">
            <v>42978</v>
          </cell>
          <cell r="J1149">
            <v>1780000</v>
          </cell>
          <cell r="P1149">
            <v>1370250</v>
          </cell>
          <cell r="R1149">
            <v>1305000</v>
          </cell>
          <cell r="S1149">
            <v>1835000</v>
          </cell>
          <cell r="Y1149">
            <v>1428000</v>
          </cell>
          <cell r="AA1149">
            <v>1360000</v>
          </cell>
        </row>
        <row r="1150">
          <cell r="B1150" t="str">
            <v>76W-B242</v>
          </cell>
          <cell r="C1150" t="str">
            <v>TGS-27-4406X4BBS-L-STEEL</v>
          </cell>
          <cell r="E1150" t="str">
            <v>CKD</v>
          </cell>
          <cell r="F1150" t="str">
            <v>2018-04-30</v>
          </cell>
          <cell r="G1150">
            <v>15.3</v>
          </cell>
          <cell r="H1150">
            <v>42978</v>
          </cell>
          <cell r="J1150">
            <v>1780000</v>
          </cell>
          <cell r="P1150">
            <v>1370250</v>
          </cell>
          <cell r="R1150">
            <v>1305000</v>
          </cell>
          <cell r="S1150">
            <v>1835000</v>
          </cell>
          <cell r="Y1150">
            <v>1428000</v>
          </cell>
          <cell r="AA1150">
            <v>1360000</v>
          </cell>
        </row>
        <row r="1151">
          <cell r="B1151" t="str">
            <v>76W-B251</v>
          </cell>
          <cell r="C1151" t="str">
            <v>TGS-27-4406X4BBS-L-STEEL</v>
          </cell>
          <cell r="E1151" t="str">
            <v>CKD</v>
          </cell>
          <cell r="F1151" t="str">
            <v>2018-04-30</v>
          </cell>
          <cell r="G1151">
            <v>15.3</v>
          </cell>
          <cell r="H1151">
            <v>42978</v>
          </cell>
          <cell r="J1151">
            <v>1780000</v>
          </cell>
          <cell r="P1151">
            <v>1370250</v>
          </cell>
          <cell r="R1151">
            <v>1305000</v>
          </cell>
          <cell r="S1151">
            <v>1835000</v>
          </cell>
          <cell r="Y1151">
            <v>1428000</v>
          </cell>
          <cell r="AA1151">
            <v>1360000</v>
          </cell>
        </row>
        <row r="1152">
          <cell r="B1152" t="str">
            <v>76W-B252</v>
          </cell>
          <cell r="C1152" t="str">
            <v>TGS-27-4406X4BBS-L-STEEL</v>
          </cell>
          <cell r="E1152" t="str">
            <v>CKD</v>
          </cell>
          <cell r="F1152" t="str">
            <v>2018-04-30</v>
          </cell>
          <cell r="G1152">
            <v>15.3</v>
          </cell>
          <cell r="H1152">
            <v>42978</v>
          </cell>
          <cell r="J1152">
            <v>1780000</v>
          </cell>
          <cell r="P1152">
            <v>1370250</v>
          </cell>
          <cell r="R1152">
            <v>1305000</v>
          </cell>
          <cell r="S1152">
            <v>1835000</v>
          </cell>
          <cell r="Y1152">
            <v>1428000</v>
          </cell>
          <cell r="AA1152">
            <v>1360000</v>
          </cell>
        </row>
        <row r="1153">
          <cell r="B1153" t="str">
            <v>76W-B253</v>
          </cell>
          <cell r="C1153" t="str">
            <v>TGS-27-4406X4BBS-L-STEEL</v>
          </cell>
          <cell r="E1153" t="str">
            <v>CKD</v>
          </cell>
          <cell r="F1153" t="str">
            <v>2018-04-30</v>
          </cell>
          <cell r="G1153">
            <v>15.3</v>
          </cell>
          <cell r="H1153">
            <v>42978</v>
          </cell>
          <cell r="J1153">
            <v>1780000</v>
          </cell>
          <cell r="P1153">
            <v>1370250</v>
          </cell>
          <cell r="R1153">
            <v>1305000</v>
          </cell>
          <cell r="S1153">
            <v>1835000</v>
          </cell>
          <cell r="Y1153">
            <v>1428000</v>
          </cell>
          <cell r="AA1153">
            <v>1360000</v>
          </cell>
        </row>
        <row r="1154">
          <cell r="B1154" t="str">
            <v>76W-B254</v>
          </cell>
          <cell r="C1154" t="str">
            <v>TGS-27-4406X4BBS-L-STEEL</v>
          </cell>
          <cell r="E1154" t="str">
            <v>CKD</v>
          </cell>
          <cell r="F1154" t="str">
            <v>2018-04-30</v>
          </cell>
          <cell r="G1154">
            <v>15.3</v>
          </cell>
          <cell r="H1154">
            <v>42978</v>
          </cell>
          <cell r="J1154">
            <v>1780000</v>
          </cell>
          <cell r="P1154">
            <v>1370250</v>
          </cell>
          <cell r="R1154">
            <v>1305000</v>
          </cell>
          <cell r="S1154">
            <v>1835000</v>
          </cell>
          <cell r="Y1154">
            <v>1428000</v>
          </cell>
          <cell r="AA1154">
            <v>1360000</v>
          </cell>
        </row>
        <row r="1155">
          <cell r="B1155" t="str">
            <v>TBAKP718</v>
          </cell>
          <cell r="C1155" t="str">
            <v>TGS-27-4406X4BBS-L-STEEL</v>
          </cell>
          <cell r="E1155" t="str">
            <v>CKD</v>
          </cell>
          <cell r="F1155" t="str">
            <v>2018-08-19</v>
          </cell>
          <cell r="G1155">
            <v>15.8</v>
          </cell>
          <cell r="H1155">
            <v>43159</v>
          </cell>
          <cell r="J1155">
            <v>1780000</v>
          </cell>
          <cell r="P1155">
            <v>1407000</v>
          </cell>
          <cell r="R1155">
            <v>1340000</v>
          </cell>
          <cell r="S1155">
            <v>1835000</v>
          </cell>
          <cell r="Y1155">
            <v>1464750</v>
          </cell>
          <cell r="AA1155">
            <v>1395000</v>
          </cell>
        </row>
        <row r="1156">
          <cell r="B1156" t="str">
            <v>76W-9356</v>
          </cell>
          <cell r="C1156" t="str">
            <v>TGS-27-4406X4BBS-LX</v>
          </cell>
          <cell r="E1156" t="str">
            <v>SOLD</v>
          </cell>
          <cell r="F1156">
            <v>82</v>
          </cell>
          <cell r="G1156">
            <v>14.7</v>
          </cell>
          <cell r="H1156">
            <v>42859</v>
          </cell>
          <cell r="J1156">
            <v>1740000</v>
          </cell>
          <cell r="P1156">
            <v>1386000</v>
          </cell>
          <cell r="R1156">
            <v>1320000</v>
          </cell>
          <cell r="S1156">
            <v>1795000</v>
          </cell>
          <cell r="Y1156">
            <v>1443750</v>
          </cell>
          <cell r="AA1156">
            <v>1375000</v>
          </cell>
        </row>
        <row r="1157">
          <cell r="B1157" t="str">
            <v>76W-9357</v>
          </cell>
          <cell r="C1157" t="str">
            <v>TGS-27-4406X4BBS-LX</v>
          </cell>
          <cell r="E1157" t="str">
            <v>SOLD</v>
          </cell>
          <cell r="F1157">
            <v>78</v>
          </cell>
          <cell r="G1157">
            <v>14.7</v>
          </cell>
          <cell r="H1157">
            <v>42859</v>
          </cell>
          <cell r="J1157">
            <v>1740000</v>
          </cell>
          <cell r="P1157">
            <v>1386000</v>
          </cell>
          <cell r="R1157">
            <v>1320000</v>
          </cell>
          <cell r="S1157">
            <v>1795000</v>
          </cell>
          <cell r="Y1157">
            <v>1443750</v>
          </cell>
          <cell r="AA1157">
            <v>1375000</v>
          </cell>
        </row>
        <row r="1158">
          <cell r="B1158" t="str">
            <v>76W-9358</v>
          </cell>
          <cell r="C1158" t="str">
            <v>TGS-27-4406X4BBS-LX</v>
          </cell>
          <cell r="E1158" t="str">
            <v>SOLD</v>
          </cell>
          <cell r="F1158">
            <v>77</v>
          </cell>
          <cell r="G1158">
            <v>14.7</v>
          </cell>
          <cell r="H1158">
            <v>42859</v>
          </cell>
          <cell r="J1158">
            <v>1740000</v>
          </cell>
          <cell r="P1158">
            <v>1386000</v>
          </cell>
          <cell r="R1158">
            <v>1320000</v>
          </cell>
          <cell r="S1158">
            <v>1795000</v>
          </cell>
          <cell r="Y1158">
            <v>1443750</v>
          </cell>
          <cell r="AA1158">
            <v>1375000</v>
          </cell>
        </row>
        <row r="1159">
          <cell r="B1159" t="str">
            <v>76W-9359</v>
          </cell>
          <cell r="C1159" t="str">
            <v>TGS-27-4406X4BBS-LX</v>
          </cell>
          <cell r="E1159" t="str">
            <v>SOLD</v>
          </cell>
          <cell r="F1159">
            <v>76</v>
          </cell>
          <cell r="G1159">
            <v>14.7</v>
          </cell>
          <cell r="H1159">
            <v>42859</v>
          </cell>
          <cell r="J1159">
            <v>1740000</v>
          </cell>
          <cell r="P1159">
            <v>1386000</v>
          </cell>
          <cell r="R1159">
            <v>1320000</v>
          </cell>
          <cell r="S1159">
            <v>1795000</v>
          </cell>
          <cell r="Y1159">
            <v>1443750</v>
          </cell>
          <cell r="AA1159">
            <v>1375000</v>
          </cell>
        </row>
        <row r="1160">
          <cell r="B1160" t="str">
            <v>76W-9360</v>
          </cell>
          <cell r="C1160" t="str">
            <v>TGS-27-4406X4BBS-LX</v>
          </cell>
          <cell r="E1160" t="str">
            <v>SOLD</v>
          </cell>
          <cell r="F1160">
            <v>76</v>
          </cell>
          <cell r="G1160">
            <v>14.7</v>
          </cell>
          <cell r="H1160">
            <v>42859</v>
          </cell>
          <cell r="J1160">
            <v>1740000</v>
          </cell>
          <cell r="P1160">
            <v>1386000</v>
          </cell>
          <cell r="R1160">
            <v>1320000</v>
          </cell>
          <cell r="S1160">
            <v>1795000</v>
          </cell>
          <cell r="Y1160">
            <v>1443750</v>
          </cell>
          <cell r="AA1160">
            <v>1375000</v>
          </cell>
        </row>
        <row r="1161">
          <cell r="B1161" t="str">
            <v>76W-9652</v>
          </cell>
          <cell r="C1161" t="str">
            <v>TGS-27-4406X4BBS-LX</v>
          </cell>
          <cell r="E1161" t="str">
            <v>SOLD</v>
          </cell>
          <cell r="F1161">
            <v>5</v>
          </cell>
          <cell r="G1161">
            <v>14.7</v>
          </cell>
          <cell r="H1161">
            <v>42947</v>
          </cell>
          <cell r="J1161">
            <v>1740000</v>
          </cell>
          <cell r="P1161">
            <v>1386000</v>
          </cell>
          <cell r="R1161">
            <v>1320000</v>
          </cell>
          <cell r="S1161">
            <v>1795000</v>
          </cell>
          <cell r="Y1161">
            <v>1443750</v>
          </cell>
          <cell r="AA1161">
            <v>1375000</v>
          </cell>
        </row>
        <row r="1162">
          <cell r="B1162" t="str">
            <v>76W-9653</v>
          </cell>
          <cell r="C1162" t="str">
            <v>TGS-27-4406X4BBS-LX</v>
          </cell>
          <cell r="E1162" t="str">
            <v>SOLD</v>
          </cell>
          <cell r="F1162">
            <v>7</v>
          </cell>
          <cell r="G1162">
            <v>14.7</v>
          </cell>
          <cell r="H1162">
            <v>42947</v>
          </cell>
          <cell r="J1162">
            <v>1740000</v>
          </cell>
          <cell r="P1162">
            <v>1386000</v>
          </cell>
          <cell r="R1162">
            <v>1320000</v>
          </cell>
          <cell r="S1162">
            <v>1795000</v>
          </cell>
          <cell r="Y1162">
            <v>1443750</v>
          </cell>
          <cell r="AA1162">
            <v>1375000</v>
          </cell>
        </row>
        <row r="1163">
          <cell r="B1163" t="str">
            <v>76W-9654</v>
          </cell>
          <cell r="C1163" t="str">
            <v>TGS-27-4406X4BBS-LX</v>
          </cell>
          <cell r="E1163" t="str">
            <v>CKD</v>
          </cell>
          <cell r="F1163" t="str">
            <v>2018-02-20</v>
          </cell>
          <cell r="G1163">
            <v>14.7</v>
          </cell>
          <cell r="H1163">
            <v>42947</v>
          </cell>
          <cell r="J1163">
            <v>1740000</v>
          </cell>
          <cell r="P1163">
            <v>1386000</v>
          </cell>
          <cell r="R1163">
            <v>1320000</v>
          </cell>
          <cell r="S1163">
            <v>1795000</v>
          </cell>
          <cell r="Y1163">
            <v>1443750</v>
          </cell>
          <cell r="AA1163">
            <v>1375000</v>
          </cell>
        </row>
        <row r="1164">
          <cell r="B1164" t="str">
            <v>76W-9655</v>
          </cell>
          <cell r="C1164" t="str">
            <v>TGS-27-4406X4BBS-LX</v>
          </cell>
          <cell r="E1164" t="str">
            <v>CKD</v>
          </cell>
          <cell r="F1164" t="str">
            <v>2018-02-28</v>
          </cell>
          <cell r="G1164">
            <v>14.7</v>
          </cell>
          <cell r="H1164">
            <v>42947</v>
          </cell>
          <cell r="J1164">
            <v>1740000</v>
          </cell>
          <cell r="P1164">
            <v>1386000</v>
          </cell>
          <cell r="R1164">
            <v>1320000</v>
          </cell>
          <cell r="S1164">
            <v>1795000</v>
          </cell>
          <cell r="Y1164">
            <v>1443750</v>
          </cell>
          <cell r="AA1164">
            <v>1375000</v>
          </cell>
        </row>
        <row r="1165">
          <cell r="B1165" t="str">
            <v>76W-9676</v>
          </cell>
          <cell r="C1165" t="str">
            <v>TGS-27-4406X4BBS-LX</v>
          </cell>
          <cell r="E1165" t="str">
            <v>CKD</v>
          </cell>
          <cell r="F1165" t="str">
            <v>2018-03-30</v>
          </cell>
          <cell r="G1165">
            <v>14.7</v>
          </cell>
          <cell r="H1165">
            <v>42947</v>
          </cell>
          <cell r="J1165">
            <v>1740000</v>
          </cell>
          <cell r="P1165">
            <v>1386000</v>
          </cell>
          <cell r="R1165">
            <v>1320000</v>
          </cell>
          <cell r="S1165">
            <v>1795000</v>
          </cell>
          <cell r="Y1165">
            <v>1443750</v>
          </cell>
          <cell r="AA1165">
            <v>1375000</v>
          </cell>
        </row>
        <row r="1166">
          <cell r="B1166" t="str">
            <v>76W-9677</v>
          </cell>
          <cell r="C1166" t="str">
            <v>TGS-27-4406X4BBS-LX</v>
          </cell>
          <cell r="E1166" t="str">
            <v>CKD</v>
          </cell>
          <cell r="F1166" t="str">
            <v>2018-03-30</v>
          </cell>
          <cell r="G1166">
            <v>14.7</v>
          </cell>
          <cell r="H1166">
            <v>42947</v>
          </cell>
          <cell r="J1166">
            <v>1740000</v>
          </cell>
          <cell r="P1166">
            <v>1386000</v>
          </cell>
          <cell r="R1166">
            <v>1320000</v>
          </cell>
          <cell r="S1166">
            <v>1795000</v>
          </cell>
          <cell r="Y1166">
            <v>1443750</v>
          </cell>
          <cell r="AA1166">
            <v>1375000</v>
          </cell>
        </row>
        <row r="1167">
          <cell r="B1167" t="str">
            <v>76W-9678</v>
          </cell>
          <cell r="C1167" t="str">
            <v>TGS-27-4406X4BBS-LX</v>
          </cell>
          <cell r="E1167" t="str">
            <v>CKD</v>
          </cell>
          <cell r="F1167" t="str">
            <v>2018-03-30</v>
          </cell>
          <cell r="G1167">
            <v>14.7</v>
          </cell>
          <cell r="H1167">
            <v>42947</v>
          </cell>
          <cell r="J1167">
            <v>1740000</v>
          </cell>
          <cell r="P1167">
            <v>1386000</v>
          </cell>
          <cell r="R1167">
            <v>1320000</v>
          </cell>
          <cell r="S1167">
            <v>1795000</v>
          </cell>
          <cell r="Y1167">
            <v>1443750</v>
          </cell>
          <cell r="AA1167">
            <v>1375000</v>
          </cell>
        </row>
        <row r="1168">
          <cell r="B1168" t="str">
            <v>76W-9679</v>
          </cell>
          <cell r="C1168" t="str">
            <v>TGS-27-4406X4BBS-LX</v>
          </cell>
          <cell r="E1168" t="str">
            <v>CKD</v>
          </cell>
          <cell r="F1168" t="str">
            <v>2018-03-30</v>
          </cell>
          <cell r="G1168">
            <v>14.7</v>
          </cell>
          <cell r="H1168">
            <v>42947</v>
          </cell>
          <cell r="J1168">
            <v>1740000</v>
          </cell>
          <cell r="P1168">
            <v>1359750</v>
          </cell>
          <cell r="R1168">
            <v>1295000</v>
          </cell>
          <cell r="S1168">
            <v>1795000</v>
          </cell>
          <cell r="Y1168">
            <v>1417500</v>
          </cell>
          <cell r="AA1168">
            <v>1350000</v>
          </cell>
        </row>
        <row r="1169">
          <cell r="B1169" t="str">
            <v>76W-9680</v>
          </cell>
          <cell r="C1169" t="str">
            <v>TGS-27-4406X4BBS-LX</v>
          </cell>
          <cell r="E1169" t="str">
            <v>CKD</v>
          </cell>
          <cell r="F1169" t="str">
            <v>2018-03-30</v>
          </cell>
          <cell r="G1169">
            <v>14.7</v>
          </cell>
          <cell r="H1169">
            <v>42947</v>
          </cell>
          <cell r="J1169">
            <v>1740000</v>
          </cell>
          <cell r="P1169">
            <v>1359750</v>
          </cell>
          <cell r="R1169">
            <v>1295000</v>
          </cell>
          <cell r="S1169">
            <v>1795000</v>
          </cell>
          <cell r="Y1169">
            <v>1417500</v>
          </cell>
          <cell r="AA1169">
            <v>1350000</v>
          </cell>
        </row>
        <row r="1170">
          <cell r="B1170" t="str">
            <v>76W-9681</v>
          </cell>
          <cell r="C1170" t="str">
            <v>TGS-27-4406X4BBS-LX</v>
          </cell>
          <cell r="E1170" t="str">
            <v>CKD</v>
          </cell>
          <cell r="F1170" t="str">
            <v>2018-03-30</v>
          </cell>
          <cell r="G1170">
            <v>14.7</v>
          </cell>
          <cell r="H1170">
            <v>42947</v>
          </cell>
          <cell r="J1170">
            <v>1740000</v>
          </cell>
          <cell r="P1170">
            <v>1359750</v>
          </cell>
          <cell r="R1170">
            <v>1295000</v>
          </cell>
          <cell r="S1170">
            <v>1795000</v>
          </cell>
          <cell r="Y1170">
            <v>1417500</v>
          </cell>
          <cell r="AA1170">
            <v>1350000</v>
          </cell>
        </row>
        <row r="1171">
          <cell r="B1171" t="str">
            <v>76W-9682</v>
          </cell>
          <cell r="C1171" t="str">
            <v>TGS-27-4406X4BBS-LX</v>
          </cell>
          <cell r="E1171" t="str">
            <v>CKD</v>
          </cell>
          <cell r="F1171" t="str">
            <v>2018-03-30</v>
          </cell>
          <cell r="G1171">
            <v>14.7</v>
          </cell>
          <cell r="H1171">
            <v>42947</v>
          </cell>
          <cell r="J1171">
            <v>1740000</v>
          </cell>
          <cell r="P1171">
            <v>1359750</v>
          </cell>
          <cell r="R1171">
            <v>1295000</v>
          </cell>
          <cell r="S1171">
            <v>1795000</v>
          </cell>
          <cell r="Y1171">
            <v>1417500</v>
          </cell>
          <cell r="AA1171">
            <v>1350000</v>
          </cell>
        </row>
        <row r="1172">
          <cell r="B1172" t="str">
            <v>76W-9683</v>
          </cell>
          <cell r="C1172" t="str">
            <v>TGS-27-4406X4BBS-LX</v>
          </cell>
          <cell r="E1172" t="str">
            <v>CKD</v>
          </cell>
          <cell r="F1172" t="str">
            <v>2018-03-30</v>
          </cell>
          <cell r="G1172">
            <v>14.7</v>
          </cell>
          <cell r="H1172">
            <v>42947</v>
          </cell>
          <cell r="J1172">
            <v>1740000</v>
          </cell>
          <cell r="P1172">
            <v>1359750</v>
          </cell>
          <cell r="R1172">
            <v>1295000</v>
          </cell>
          <cell r="S1172">
            <v>1795000</v>
          </cell>
          <cell r="Y1172">
            <v>1417500</v>
          </cell>
          <cell r="AA1172">
            <v>1350000</v>
          </cell>
        </row>
        <row r="1173">
          <cell r="B1173" t="str">
            <v>76W-B111</v>
          </cell>
          <cell r="C1173" t="str">
            <v>TGS-27-4406X4BBS-LX</v>
          </cell>
          <cell r="E1173" t="str">
            <v>CKD</v>
          </cell>
          <cell r="F1173" t="str">
            <v>2018-03-30</v>
          </cell>
          <cell r="G1173">
            <v>15.3</v>
          </cell>
          <cell r="H1173">
            <v>42978</v>
          </cell>
          <cell r="J1173">
            <v>1740000</v>
          </cell>
          <cell r="P1173">
            <v>1386000</v>
          </cell>
          <cell r="R1173">
            <v>1320000</v>
          </cell>
          <cell r="S1173">
            <v>1795000</v>
          </cell>
          <cell r="Y1173">
            <v>1443750</v>
          </cell>
          <cell r="AA1173">
            <v>1375000</v>
          </cell>
        </row>
        <row r="1174">
          <cell r="B1174" t="str">
            <v>76W-B112</v>
          </cell>
          <cell r="C1174" t="str">
            <v>TGS-27-4406X4BBS-LX</v>
          </cell>
          <cell r="E1174" t="str">
            <v>CKD</v>
          </cell>
          <cell r="F1174" t="str">
            <v>2018-03-30</v>
          </cell>
          <cell r="G1174">
            <v>15.3</v>
          </cell>
          <cell r="H1174">
            <v>42978</v>
          </cell>
          <cell r="J1174">
            <v>1740000</v>
          </cell>
          <cell r="P1174">
            <v>1386000</v>
          </cell>
          <cell r="R1174">
            <v>1320000</v>
          </cell>
          <cell r="S1174">
            <v>1795000</v>
          </cell>
          <cell r="Y1174">
            <v>1443750</v>
          </cell>
          <cell r="AA1174">
            <v>1375000</v>
          </cell>
        </row>
        <row r="1175">
          <cell r="B1175" t="str">
            <v>76W-B113</v>
          </cell>
          <cell r="C1175" t="str">
            <v>TGS-27-4406X4BBS-LX</v>
          </cell>
          <cell r="E1175" t="str">
            <v>CKD</v>
          </cell>
          <cell r="F1175" t="str">
            <v>2018-03-30</v>
          </cell>
          <cell r="G1175">
            <v>15.3</v>
          </cell>
          <cell r="H1175">
            <v>42978</v>
          </cell>
          <cell r="J1175">
            <v>1740000</v>
          </cell>
          <cell r="P1175">
            <v>1386000</v>
          </cell>
          <cell r="R1175">
            <v>1320000</v>
          </cell>
          <cell r="S1175">
            <v>1795000</v>
          </cell>
          <cell r="Y1175">
            <v>1443750</v>
          </cell>
          <cell r="AA1175">
            <v>1375000</v>
          </cell>
        </row>
        <row r="1176">
          <cell r="B1176" t="str">
            <v>76W-B114</v>
          </cell>
          <cell r="C1176" t="str">
            <v>TGS-27-4406X4BBS-LX</v>
          </cell>
          <cell r="E1176" t="str">
            <v>CKD</v>
          </cell>
          <cell r="F1176" t="str">
            <v>2018-03-30</v>
          </cell>
          <cell r="G1176">
            <v>15.3</v>
          </cell>
          <cell r="H1176">
            <v>42978</v>
          </cell>
          <cell r="J1176">
            <v>1740000</v>
          </cell>
          <cell r="P1176">
            <v>1386000</v>
          </cell>
          <cell r="R1176">
            <v>1320000</v>
          </cell>
          <cell r="S1176">
            <v>1795000</v>
          </cell>
          <cell r="Y1176">
            <v>1443750</v>
          </cell>
          <cell r="AA1176">
            <v>1375000</v>
          </cell>
        </row>
        <row r="1177">
          <cell r="B1177" t="str">
            <v>76W-B131</v>
          </cell>
          <cell r="C1177" t="str">
            <v>TGS-27-4406X4BBS-LX</v>
          </cell>
          <cell r="E1177" t="str">
            <v>CKD</v>
          </cell>
          <cell r="F1177" t="str">
            <v>2018-03-30</v>
          </cell>
          <cell r="G1177">
            <v>15.3</v>
          </cell>
          <cell r="H1177">
            <v>42978</v>
          </cell>
          <cell r="J1177">
            <v>1740000</v>
          </cell>
          <cell r="P1177">
            <v>1359750</v>
          </cell>
          <cell r="R1177">
            <v>1295000</v>
          </cell>
          <cell r="S1177">
            <v>1795000</v>
          </cell>
          <cell r="Y1177">
            <v>1417500</v>
          </cell>
          <cell r="AA1177">
            <v>1350000</v>
          </cell>
        </row>
        <row r="1178">
          <cell r="B1178" t="str">
            <v>76W-B132</v>
          </cell>
          <cell r="C1178" t="str">
            <v>TGS-27-4406X4BBS-LX</v>
          </cell>
          <cell r="E1178" t="str">
            <v>CKD</v>
          </cell>
          <cell r="F1178" t="str">
            <v>2018-04-30</v>
          </cell>
          <cell r="G1178">
            <v>15.3</v>
          </cell>
          <cell r="H1178">
            <v>42978</v>
          </cell>
          <cell r="J1178">
            <v>1740000</v>
          </cell>
          <cell r="P1178">
            <v>1359750</v>
          </cell>
          <cell r="R1178">
            <v>1295000</v>
          </cell>
          <cell r="S1178">
            <v>1795000</v>
          </cell>
          <cell r="Y1178">
            <v>1417500</v>
          </cell>
          <cell r="AA1178">
            <v>1350000</v>
          </cell>
        </row>
        <row r="1179">
          <cell r="B1179" t="str">
            <v>76W-B133</v>
          </cell>
          <cell r="C1179" t="str">
            <v>TGS-27-4406X4BBS-LX</v>
          </cell>
          <cell r="E1179" t="str">
            <v>CKD</v>
          </cell>
          <cell r="F1179" t="str">
            <v>2018-04-30</v>
          </cell>
          <cell r="G1179">
            <v>15.3</v>
          </cell>
          <cell r="H1179">
            <v>42978</v>
          </cell>
          <cell r="J1179">
            <v>1740000</v>
          </cell>
          <cell r="P1179">
            <v>1359750</v>
          </cell>
          <cell r="R1179">
            <v>1295000</v>
          </cell>
          <cell r="S1179">
            <v>1795000</v>
          </cell>
          <cell r="Y1179">
            <v>1417500</v>
          </cell>
          <cell r="AA1179">
            <v>1350000</v>
          </cell>
        </row>
        <row r="1180">
          <cell r="B1180" t="str">
            <v>76W-B134</v>
          </cell>
          <cell r="C1180" t="str">
            <v>TGS-27-4406X4BBS-LX</v>
          </cell>
          <cell r="E1180" t="str">
            <v>CKD</v>
          </cell>
          <cell r="F1180" t="str">
            <v>2018-04-30</v>
          </cell>
          <cell r="G1180">
            <v>15.3</v>
          </cell>
          <cell r="H1180">
            <v>42978</v>
          </cell>
          <cell r="J1180">
            <v>1740000</v>
          </cell>
          <cell r="P1180">
            <v>1359750</v>
          </cell>
          <cell r="R1180">
            <v>1295000</v>
          </cell>
          <cell r="S1180">
            <v>1795000</v>
          </cell>
          <cell r="Y1180">
            <v>1417500</v>
          </cell>
          <cell r="AA1180">
            <v>1350000</v>
          </cell>
        </row>
        <row r="1181">
          <cell r="B1181" t="str">
            <v>76W-B151</v>
          </cell>
          <cell r="C1181" t="str">
            <v>TGS-27-4406X4BBS-LX</v>
          </cell>
          <cell r="E1181" t="str">
            <v>CKD</v>
          </cell>
          <cell r="F1181" t="str">
            <v>2018-04-30</v>
          </cell>
          <cell r="G1181">
            <v>15.3</v>
          </cell>
          <cell r="H1181">
            <v>42978</v>
          </cell>
          <cell r="J1181">
            <v>1740000</v>
          </cell>
          <cell r="P1181">
            <v>1359750</v>
          </cell>
          <cell r="R1181">
            <v>1295000</v>
          </cell>
          <cell r="S1181">
            <v>1795000</v>
          </cell>
          <cell r="Y1181">
            <v>1417500</v>
          </cell>
          <cell r="AA1181">
            <v>1350000</v>
          </cell>
        </row>
        <row r="1182">
          <cell r="B1182" t="str">
            <v>76W-B152</v>
          </cell>
          <cell r="C1182" t="str">
            <v>TGS-27-4406X4BBS-LX</v>
          </cell>
          <cell r="E1182" t="str">
            <v>CKD</v>
          </cell>
          <cell r="F1182" t="str">
            <v>2018-04-30</v>
          </cell>
          <cell r="G1182">
            <v>15.3</v>
          </cell>
          <cell r="H1182">
            <v>42978</v>
          </cell>
          <cell r="J1182">
            <v>1740000</v>
          </cell>
          <cell r="P1182">
            <v>1359750</v>
          </cell>
          <cell r="R1182">
            <v>1295000</v>
          </cell>
          <cell r="S1182">
            <v>1795000</v>
          </cell>
          <cell r="Y1182">
            <v>1417500</v>
          </cell>
          <cell r="AA1182">
            <v>1350000</v>
          </cell>
        </row>
        <row r="1183">
          <cell r="B1183" t="str">
            <v>76W-B153</v>
          </cell>
          <cell r="C1183" t="str">
            <v>TGS-27-4406X4BBS-LX</v>
          </cell>
          <cell r="E1183" t="str">
            <v>CKD</v>
          </cell>
          <cell r="F1183" t="str">
            <v>2018-04-30</v>
          </cell>
          <cell r="G1183">
            <v>15.3</v>
          </cell>
          <cell r="H1183">
            <v>42978</v>
          </cell>
          <cell r="J1183">
            <v>1740000</v>
          </cell>
          <cell r="P1183">
            <v>1359750</v>
          </cell>
          <cell r="R1183">
            <v>1295000</v>
          </cell>
          <cell r="S1183">
            <v>1795000</v>
          </cell>
          <cell r="Y1183">
            <v>1417500</v>
          </cell>
          <cell r="AA1183">
            <v>1350000</v>
          </cell>
        </row>
        <row r="1184">
          <cell r="B1184" t="str">
            <v>76W-B154</v>
          </cell>
          <cell r="C1184" t="str">
            <v>TGS-27-4406X4BBS-LX</v>
          </cell>
          <cell r="E1184" t="str">
            <v>CKD</v>
          </cell>
          <cell r="F1184" t="str">
            <v>2018-04-30</v>
          </cell>
          <cell r="G1184">
            <v>15.3</v>
          </cell>
          <cell r="H1184">
            <v>42978</v>
          </cell>
          <cell r="J1184">
            <v>1740000</v>
          </cell>
          <cell r="P1184">
            <v>1359750</v>
          </cell>
          <cell r="R1184">
            <v>1295000</v>
          </cell>
          <cell r="S1184">
            <v>1795000</v>
          </cell>
          <cell r="Y1184">
            <v>1417500</v>
          </cell>
          <cell r="AA1184">
            <v>1350000</v>
          </cell>
        </row>
        <row r="1185">
          <cell r="B1185" t="str">
            <v>76W-B159</v>
          </cell>
          <cell r="C1185" t="str">
            <v>TGS-27-4406X4BBS-LX</v>
          </cell>
          <cell r="E1185" t="str">
            <v>CKD</v>
          </cell>
          <cell r="F1185" t="str">
            <v>2018-05-30</v>
          </cell>
          <cell r="G1185">
            <v>15.3</v>
          </cell>
          <cell r="H1185">
            <v>42978</v>
          </cell>
          <cell r="J1185">
            <v>1740000</v>
          </cell>
          <cell r="P1185">
            <v>1359750</v>
          </cell>
          <cell r="R1185">
            <v>1295000</v>
          </cell>
          <cell r="S1185">
            <v>1795000</v>
          </cell>
          <cell r="Y1185">
            <v>1417500</v>
          </cell>
          <cell r="AA1185">
            <v>1350000</v>
          </cell>
        </row>
        <row r="1186">
          <cell r="B1186" t="str">
            <v>76W-B160</v>
          </cell>
          <cell r="C1186" t="str">
            <v>TGS-27-4406X4BBS-LX</v>
          </cell>
          <cell r="E1186" t="str">
            <v>CKD</v>
          </cell>
          <cell r="F1186" t="str">
            <v>2018-05-30</v>
          </cell>
          <cell r="G1186">
            <v>15.3</v>
          </cell>
          <cell r="H1186">
            <v>42978</v>
          </cell>
          <cell r="J1186">
            <v>1740000</v>
          </cell>
          <cell r="P1186">
            <v>1359750</v>
          </cell>
          <cell r="R1186">
            <v>1295000</v>
          </cell>
          <cell r="S1186">
            <v>1795000</v>
          </cell>
          <cell r="Y1186">
            <v>1417500</v>
          </cell>
          <cell r="AA1186">
            <v>1350000</v>
          </cell>
        </row>
        <row r="1187">
          <cell r="B1187" t="str">
            <v>76W-B161</v>
          </cell>
          <cell r="C1187" t="str">
            <v>TGS-27-4406X4BBS-LX</v>
          </cell>
          <cell r="E1187" t="str">
            <v>CKD</v>
          </cell>
          <cell r="F1187" t="str">
            <v>2018-05-30</v>
          </cell>
          <cell r="G1187">
            <v>15.3</v>
          </cell>
          <cell r="H1187">
            <v>42978</v>
          </cell>
          <cell r="J1187">
            <v>1740000</v>
          </cell>
          <cell r="P1187">
            <v>1359750</v>
          </cell>
          <cell r="R1187">
            <v>1295000</v>
          </cell>
          <cell r="S1187">
            <v>1795000</v>
          </cell>
          <cell r="Y1187">
            <v>1417500</v>
          </cell>
          <cell r="AA1187">
            <v>1350000</v>
          </cell>
        </row>
        <row r="1188">
          <cell r="B1188" t="str">
            <v>76W-B162</v>
          </cell>
          <cell r="C1188" t="str">
            <v>TGS-27-4406X4BBS-LX</v>
          </cell>
          <cell r="E1188" t="str">
            <v>CKD</v>
          </cell>
          <cell r="F1188" t="str">
            <v>2018-05-30</v>
          </cell>
          <cell r="G1188">
            <v>15.3</v>
          </cell>
          <cell r="H1188">
            <v>42978</v>
          </cell>
          <cell r="J1188">
            <v>1740000</v>
          </cell>
          <cell r="P1188">
            <v>1359750</v>
          </cell>
          <cell r="R1188">
            <v>1295000</v>
          </cell>
          <cell r="S1188">
            <v>1795000</v>
          </cell>
          <cell r="Y1188">
            <v>1417500</v>
          </cell>
          <cell r="AA1188">
            <v>1350000</v>
          </cell>
        </row>
        <row r="1189">
          <cell r="B1189" t="str">
            <v>76W-B171</v>
          </cell>
          <cell r="C1189" t="str">
            <v>TGS-27-4406X4BBS-LX</v>
          </cell>
          <cell r="E1189" t="str">
            <v>CKD</v>
          </cell>
          <cell r="F1189" t="str">
            <v>2018-06-30</v>
          </cell>
          <cell r="G1189">
            <v>15.3</v>
          </cell>
          <cell r="H1189">
            <v>42978</v>
          </cell>
          <cell r="J1189">
            <v>1740000</v>
          </cell>
          <cell r="P1189">
            <v>1359750</v>
          </cell>
          <cell r="R1189">
            <v>1295000</v>
          </cell>
          <cell r="S1189">
            <v>1795000</v>
          </cell>
          <cell r="Y1189">
            <v>1417500</v>
          </cell>
          <cell r="AA1189">
            <v>1350000</v>
          </cell>
        </row>
        <row r="1190">
          <cell r="B1190" t="str">
            <v>76W-B172</v>
          </cell>
          <cell r="C1190" t="str">
            <v>TGS-27-4406X4BBS-LX</v>
          </cell>
          <cell r="E1190" t="str">
            <v>CKD</v>
          </cell>
          <cell r="F1190" t="str">
            <v>2018-06-30</v>
          </cell>
          <cell r="G1190">
            <v>15.3</v>
          </cell>
          <cell r="H1190">
            <v>42978</v>
          </cell>
          <cell r="J1190">
            <v>1740000</v>
          </cell>
          <cell r="P1190">
            <v>1359750</v>
          </cell>
          <cell r="R1190">
            <v>1295000</v>
          </cell>
          <cell r="S1190">
            <v>1795000</v>
          </cell>
          <cell r="Y1190">
            <v>1417500</v>
          </cell>
          <cell r="AA1190">
            <v>1350000</v>
          </cell>
        </row>
        <row r="1191">
          <cell r="B1191" t="str">
            <v>76W-B173</v>
          </cell>
          <cell r="C1191" t="str">
            <v>TGS-27-4406X4BBS-LX</v>
          </cell>
          <cell r="E1191" t="str">
            <v>CKD</v>
          </cell>
          <cell r="F1191" t="str">
            <v>2018-06-30</v>
          </cell>
          <cell r="G1191">
            <v>15.3</v>
          </cell>
          <cell r="H1191">
            <v>42978</v>
          </cell>
          <cell r="J1191">
            <v>1740000</v>
          </cell>
          <cell r="P1191">
            <v>1359750</v>
          </cell>
          <cell r="R1191">
            <v>1295000</v>
          </cell>
          <cell r="S1191">
            <v>1795000</v>
          </cell>
          <cell r="Y1191">
            <v>1417500</v>
          </cell>
          <cell r="AA1191">
            <v>1350000</v>
          </cell>
        </row>
        <row r="1192">
          <cell r="B1192" t="str">
            <v>76W-B174</v>
          </cell>
          <cell r="C1192" t="str">
            <v>TGS-27-4406X4BBS-LX</v>
          </cell>
          <cell r="E1192" t="str">
            <v>CKD</v>
          </cell>
          <cell r="F1192" t="str">
            <v>2018-06-30</v>
          </cell>
          <cell r="G1192">
            <v>15.3</v>
          </cell>
          <cell r="H1192">
            <v>42978</v>
          </cell>
          <cell r="J1192">
            <v>1740000</v>
          </cell>
          <cell r="P1192">
            <v>1359750</v>
          </cell>
          <cell r="R1192">
            <v>1295000</v>
          </cell>
          <cell r="S1192">
            <v>1795000</v>
          </cell>
          <cell r="Y1192">
            <v>1417500</v>
          </cell>
          <cell r="AA1192">
            <v>1350000</v>
          </cell>
        </row>
        <row r="1193">
          <cell r="B1193" t="str">
            <v>76W-B183</v>
          </cell>
          <cell r="C1193" t="str">
            <v>TGS-27-4406X4BBS-LX</v>
          </cell>
          <cell r="E1193" t="str">
            <v>CKD</v>
          </cell>
          <cell r="F1193" t="str">
            <v>2018-06-30</v>
          </cell>
          <cell r="G1193">
            <v>15.3</v>
          </cell>
          <cell r="H1193">
            <v>42978</v>
          </cell>
          <cell r="J1193">
            <v>1740000</v>
          </cell>
          <cell r="P1193">
            <v>1359750</v>
          </cell>
          <cell r="R1193">
            <v>1295000</v>
          </cell>
          <cell r="S1193">
            <v>1795000</v>
          </cell>
          <cell r="Y1193">
            <v>1417500</v>
          </cell>
          <cell r="AA1193">
            <v>1350000</v>
          </cell>
        </row>
        <row r="1194">
          <cell r="B1194" t="str">
            <v>76W-B184</v>
          </cell>
          <cell r="C1194" t="str">
            <v>TGS-27-4406X4BBS-LX</v>
          </cell>
          <cell r="E1194" t="str">
            <v>CKD</v>
          </cell>
          <cell r="F1194" t="str">
            <v>2018-06-30</v>
          </cell>
          <cell r="G1194">
            <v>15.3</v>
          </cell>
          <cell r="H1194">
            <v>42978</v>
          </cell>
          <cell r="J1194">
            <v>1740000</v>
          </cell>
          <cell r="P1194">
            <v>1359750</v>
          </cell>
          <cell r="R1194">
            <v>1295000</v>
          </cell>
          <cell r="S1194">
            <v>1795000</v>
          </cell>
          <cell r="Y1194">
            <v>1417500</v>
          </cell>
          <cell r="AA1194">
            <v>1350000</v>
          </cell>
        </row>
        <row r="1195">
          <cell r="B1195" t="str">
            <v>76W-B185</v>
          </cell>
          <cell r="C1195" t="str">
            <v>TGS-27-4406X4BBS-LX</v>
          </cell>
          <cell r="E1195" t="str">
            <v>CKD</v>
          </cell>
          <cell r="F1195" t="str">
            <v>2018-06-30</v>
          </cell>
          <cell r="G1195">
            <v>15.3</v>
          </cell>
          <cell r="H1195">
            <v>42978</v>
          </cell>
          <cell r="J1195">
            <v>1740000</v>
          </cell>
          <cell r="P1195">
            <v>1359750</v>
          </cell>
          <cell r="R1195">
            <v>1295000</v>
          </cell>
          <cell r="S1195">
            <v>1795000</v>
          </cell>
          <cell r="Y1195">
            <v>1417500</v>
          </cell>
          <cell r="AA1195">
            <v>1350000</v>
          </cell>
        </row>
        <row r="1196">
          <cell r="B1196" t="str">
            <v>76W-B186</v>
          </cell>
          <cell r="C1196" t="str">
            <v>TGS-27-4406X4BBS-LX</v>
          </cell>
          <cell r="E1196" t="str">
            <v>CKD</v>
          </cell>
          <cell r="F1196" t="str">
            <v>2018-06-30</v>
          </cell>
          <cell r="G1196">
            <v>15.3</v>
          </cell>
          <cell r="H1196">
            <v>42978</v>
          </cell>
          <cell r="J1196">
            <v>1740000</v>
          </cell>
          <cell r="P1196">
            <v>1359750</v>
          </cell>
          <cell r="R1196">
            <v>1295000</v>
          </cell>
          <cell r="S1196">
            <v>1795000</v>
          </cell>
          <cell r="Y1196">
            <v>1417500</v>
          </cell>
          <cell r="AA1196">
            <v>1350000</v>
          </cell>
        </row>
        <row r="1197">
          <cell r="B1197" t="str">
            <v>76W-B187</v>
          </cell>
          <cell r="C1197" t="str">
            <v>TGS-27-4406X4BBS-LX</v>
          </cell>
          <cell r="E1197" t="str">
            <v>CKD</v>
          </cell>
          <cell r="F1197" t="str">
            <v>2018-05-30</v>
          </cell>
          <cell r="G1197">
            <v>15.3</v>
          </cell>
          <cell r="H1197">
            <v>42978</v>
          </cell>
          <cell r="J1197">
            <v>1740000</v>
          </cell>
          <cell r="P1197">
            <v>1386000</v>
          </cell>
          <cell r="R1197">
            <v>1320000</v>
          </cell>
          <cell r="S1197">
            <v>1795000</v>
          </cell>
          <cell r="Y1197">
            <v>1443750</v>
          </cell>
          <cell r="AA1197">
            <v>1375000</v>
          </cell>
        </row>
        <row r="1198">
          <cell r="B1198" t="str">
            <v>76W-B188</v>
          </cell>
          <cell r="C1198" t="str">
            <v>TGS-27-4406X4BBS-LX</v>
          </cell>
          <cell r="E1198" t="str">
            <v>CKD</v>
          </cell>
          <cell r="F1198" t="str">
            <v>2018-05-30</v>
          </cell>
          <cell r="G1198">
            <v>15.3</v>
          </cell>
          <cell r="H1198">
            <v>42978</v>
          </cell>
          <cell r="J1198">
            <v>1740000</v>
          </cell>
          <cell r="P1198">
            <v>1386000</v>
          </cell>
          <cell r="R1198">
            <v>1320000</v>
          </cell>
          <cell r="S1198">
            <v>1795000</v>
          </cell>
          <cell r="Y1198">
            <v>1443750</v>
          </cell>
          <cell r="AA1198">
            <v>1375000</v>
          </cell>
        </row>
        <row r="1199">
          <cell r="B1199" t="str">
            <v>76W-B189</v>
          </cell>
          <cell r="C1199" t="str">
            <v>TGS-27-4406X4BBS-LX</v>
          </cell>
          <cell r="E1199" t="str">
            <v>CKD</v>
          </cell>
          <cell r="F1199" t="str">
            <v>2018-05-30</v>
          </cell>
          <cell r="G1199">
            <v>15.3</v>
          </cell>
          <cell r="H1199">
            <v>42978</v>
          </cell>
          <cell r="J1199">
            <v>1740000</v>
          </cell>
          <cell r="P1199">
            <v>1359750</v>
          </cell>
          <cell r="R1199">
            <v>1295000</v>
          </cell>
          <cell r="S1199">
            <v>1795000</v>
          </cell>
          <cell r="Y1199">
            <v>1417500</v>
          </cell>
          <cell r="AA1199">
            <v>1350000</v>
          </cell>
        </row>
        <row r="1200">
          <cell r="B1200" t="str">
            <v>76W-B190</v>
          </cell>
          <cell r="C1200" t="str">
            <v>TGS-27-4406X4BBS-LX</v>
          </cell>
          <cell r="E1200" t="str">
            <v>CKD</v>
          </cell>
          <cell r="F1200" t="str">
            <v>2018-05-30</v>
          </cell>
          <cell r="G1200">
            <v>15.3</v>
          </cell>
          <cell r="H1200">
            <v>42978</v>
          </cell>
          <cell r="J1200">
            <v>1740000</v>
          </cell>
          <cell r="P1200">
            <v>1359750</v>
          </cell>
          <cell r="R1200">
            <v>1295000</v>
          </cell>
          <cell r="S1200">
            <v>1795000</v>
          </cell>
          <cell r="Y1200">
            <v>1417500</v>
          </cell>
          <cell r="AA1200">
            <v>1350000</v>
          </cell>
        </row>
        <row r="1201">
          <cell r="B1201" t="str">
            <v>76W-B195</v>
          </cell>
          <cell r="C1201" t="str">
            <v>TGS-27-4406X4BBS-LX</v>
          </cell>
          <cell r="E1201" t="str">
            <v>CKD</v>
          </cell>
          <cell r="F1201" t="str">
            <v>2018-06-30</v>
          </cell>
          <cell r="G1201">
            <v>15.3</v>
          </cell>
          <cell r="H1201">
            <v>42978</v>
          </cell>
          <cell r="J1201">
            <v>1740000</v>
          </cell>
          <cell r="P1201">
            <v>1359750</v>
          </cell>
          <cell r="R1201">
            <v>1295000</v>
          </cell>
          <cell r="S1201">
            <v>1795000</v>
          </cell>
          <cell r="Y1201">
            <v>1417500</v>
          </cell>
          <cell r="AA1201">
            <v>1350000</v>
          </cell>
        </row>
        <row r="1202">
          <cell r="B1202" t="str">
            <v>76W-B196</v>
          </cell>
          <cell r="C1202" t="str">
            <v>TGS-27-4406X4BBS-LX</v>
          </cell>
          <cell r="E1202" t="str">
            <v>CKD</v>
          </cell>
          <cell r="F1202" t="str">
            <v>2018-06-30</v>
          </cell>
          <cell r="G1202">
            <v>15.3</v>
          </cell>
          <cell r="H1202">
            <v>42978</v>
          </cell>
          <cell r="J1202">
            <v>1740000</v>
          </cell>
          <cell r="P1202">
            <v>1359750</v>
          </cell>
          <cell r="R1202">
            <v>1295000</v>
          </cell>
          <cell r="S1202">
            <v>1795000</v>
          </cell>
          <cell r="Y1202">
            <v>1417500</v>
          </cell>
          <cell r="AA1202">
            <v>1350000</v>
          </cell>
        </row>
        <row r="1203">
          <cell r="B1203" t="str">
            <v>76W-B197</v>
          </cell>
          <cell r="C1203" t="str">
            <v>TGS-27-4406X4BBS-LX</v>
          </cell>
          <cell r="E1203" t="str">
            <v>CKD</v>
          </cell>
          <cell r="F1203" t="str">
            <v>2018-07-30</v>
          </cell>
          <cell r="G1203">
            <v>15.3</v>
          </cell>
          <cell r="H1203">
            <v>42978</v>
          </cell>
          <cell r="J1203">
            <v>1740000</v>
          </cell>
          <cell r="P1203">
            <v>1359750</v>
          </cell>
          <cell r="R1203">
            <v>1295000</v>
          </cell>
          <cell r="S1203">
            <v>1795000</v>
          </cell>
          <cell r="Y1203">
            <v>1417500</v>
          </cell>
          <cell r="AA1203">
            <v>1350000</v>
          </cell>
        </row>
        <row r="1204">
          <cell r="B1204" t="str">
            <v>76W-B198</v>
          </cell>
          <cell r="C1204" t="str">
            <v>TGS-27-4406X4BBS-LX</v>
          </cell>
          <cell r="E1204" t="str">
            <v>CKD</v>
          </cell>
          <cell r="F1204" t="str">
            <v>2018-07-30</v>
          </cell>
          <cell r="G1204">
            <v>15.3</v>
          </cell>
          <cell r="H1204">
            <v>42978</v>
          </cell>
          <cell r="J1204">
            <v>1740000</v>
          </cell>
          <cell r="P1204">
            <v>1359750</v>
          </cell>
          <cell r="R1204">
            <v>1295000</v>
          </cell>
          <cell r="S1204">
            <v>1795000</v>
          </cell>
          <cell r="Y1204">
            <v>1417500</v>
          </cell>
          <cell r="AA1204">
            <v>1350000</v>
          </cell>
        </row>
        <row r="1205">
          <cell r="B1205" t="str">
            <v>76W-B199</v>
          </cell>
          <cell r="C1205" t="str">
            <v>TGS-27-4406X4BBS-LX</v>
          </cell>
          <cell r="E1205" t="str">
            <v>CKD</v>
          </cell>
          <cell r="F1205" t="str">
            <v>2018-07-30</v>
          </cell>
          <cell r="G1205">
            <v>15.3</v>
          </cell>
          <cell r="H1205">
            <v>42978</v>
          </cell>
          <cell r="J1205">
            <v>1740000</v>
          </cell>
          <cell r="P1205">
            <v>1359750</v>
          </cell>
          <cell r="R1205">
            <v>1295000</v>
          </cell>
          <cell r="S1205">
            <v>1795000</v>
          </cell>
          <cell r="Y1205">
            <v>1417500</v>
          </cell>
          <cell r="AA1205">
            <v>1350000</v>
          </cell>
        </row>
        <row r="1206">
          <cell r="B1206" t="str">
            <v>76W-B200</v>
          </cell>
          <cell r="C1206" t="str">
            <v>TGS-27-4406X4BBS-LX</v>
          </cell>
          <cell r="E1206" t="str">
            <v>CKD</v>
          </cell>
          <cell r="F1206" t="str">
            <v>2018-07-30</v>
          </cell>
          <cell r="G1206">
            <v>15.3</v>
          </cell>
          <cell r="H1206">
            <v>42978</v>
          </cell>
          <cell r="J1206">
            <v>1740000</v>
          </cell>
          <cell r="P1206">
            <v>1359750</v>
          </cell>
          <cell r="R1206">
            <v>1295000</v>
          </cell>
          <cell r="S1206">
            <v>1795000</v>
          </cell>
          <cell r="Y1206">
            <v>1417500</v>
          </cell>
          <cell r="AA1206">
            <v>1350000</v>
          </cell>
        </row>
        <row r="1207">
          <cell r="B1207" t="str">
            <v>76W-B201</v>
          </cell>
          <cell r="C1207" t="str">
            <v>TGS-27-4406X4BBS-LX</v>
          </cell>
          <cell r="E1207" t="str">
            <v>CKD</v>
          </cell>
          <cell r="F1207" t="str">
            <v>2018-07-30</v>
          </cell>
          <cell r="G1207">
            <v>15.3</v>
          </cell>
          <cell r="H1207">
            <v>42978</v>
          </cell>
          <cell r="J1207">
            <v>1740000</v>
          </cell>
          <cell r="P1207">
            <v>1359750</v>
          </cell>
          <cell r="R1207">
            <v>1295000</v>
          </cell>
          <cell r="S1207">
            <v>1795000</v>
          </cell>
          <cell r="Y1207">
            <v>1417500</v>
          </cell>
          <cell r="AA1207">
            <v>1350000</v>
          </cell>
        </row>
        <row r="1208">
          <cell r="B1208" t="str">
            <v>76W-B202</v>
          </cell>
          <cell r="C1208" t="str">
            <v>TGS-27-4406X4BBS-LX</v>
          </cell>
          <cell r="E1208" t="str">
            <v>CKD</v>
          </cell>
          <cell r="F1208" t="str">
            <v>2018-07-30</v>
          </cell>
          <cell r="G1208">
            <v>15.3</v>
          </cell>
          <cell r="H1208">
            <v>42978</v>
          </cell>
          <cell r="J1208">
            <v>1740000</v>
          </cell>
          <cell r="P1208">
            <v>1359750</v>
          </cell>
          <cell r="R1208">
            <v>1295000</v>
          </cell>
          <cell r="S1208">
            <v>1795000</v>
          </cell>
          <cell r="Y1208">
            <v>1417500</v>
          </cell>
          <cell r="AA1208">
            <v>1350000</v>
          </cell>
        </row>
        <row r="1209">
          <cell r="B1209" t="str">
            <v>76W-B211</v>
          </cell>
          <cell r="C1209" t="str">
            <v>TGS-27-4406X4BBS-LX</v>
          </cell>
          <cell r="E1209" t="str">
            <v>CKD</v>
          </cell>
          <cell r="F1209" t="str">
            <v>2018-07-30</v>
          </cell>
          <cell r="G1209">
            <v>15.3</v>
          </cell>
          <cell r="H1209">
            <v>42978</v>
          </cell>
          <cell r="J1209">
            <v>1740000</v>
          </cell>
          <cell r="P1209">
            <v>1359750</v>
          </cell>
          <cell r="R1209">
            <v>1295000</v>
          </cell>
          <cell r="S1209">
            <v>1795000</v>
          </cell>
          <cell r="Y1209">
            <v>1417500</v>
          </cell>
          <cell r="AA1209">
            <v>1350000</v>
          </cell>
        </row>
        <row r="1210">
          <cell r="B1210" t="str">
            <v>76W-B212</v>
          </cell>
          <cell r="C1210" t="str">
            <v>TGS-27-4406X4BBS-LX</v>
          </cell>
          <cell r="E1210" t="str">
            <v>CKD</v>
          </cell>
          <cell r="F1210" t="str">
            <v>2018-07-30</v>
          </cell>
          <cell r="G1210">
            <v>15.3</v>
          </cell>
          <cell r="H1210">
            <v>42978</v>
          </cell>
          <cell r="J1210">
            <v>1740000</v>
          </cell>
          <cell r="P1210">
            <v>1359750</v>
          </cell>
          <cell r="R1210">
            <v>1295000</v>
          </cell>
          <cell r="S1210">
            <v>1795000</v>
          </cell>
          <cell r="Y1210">
            <v>1417500</v>
          </cell>
          <cell r="AA1210">
            <v>1350000</v>
          </cell>
        </row>
        <row r="1211">
          <cell r="B1211" t="str">
            <v>76W-B213</v>
          </cell>
          <cell r="C1211" t="str">
            <v>TGS-27-4406X4BBS-LX</v>
          </cell>
          <cell r="E1211" t="str">
            <v>CKD</v>
          </cell>
          <cell r="F1211" t="str">
            <v>2018-07-30</v>
          </cell>
          <cell r="G1211">
            <v>15.3</v>
          </cell>
          <cell r="H1211">
            <v>42978</v>
          </cell>
          <cell r="J1211">
            <v>1740000</v>
          </cell>
          <cell r="P1211">
            <v>1359750</v>
          </cell>
          <cell r="R1211">
            <v>1295000</v>
          </cell>
          <cell r="S1211">
            <v>1795000</v>
          </cell>
          <cell r="Y1211">
            <v>1417500</v>
          </cell>
          <cell r="AA1211">
            <v>1350000</v>
          </cell>
        </row>
        <row r="1212">
          <cell r="B1212" t="str">
            <v>76W-B214</v>
          </cell>
          <cell r="C1212" t="str">
            <v>TGS-27-4406X4BBS-LX</v>
          </cell>
          <cell r="E1212" t="str">
            <v>CKD</v>
          </cell>
          <cell r="F1212" t="str">
            <v>2018-07-30</v>
          </cell>
          <cell r="G1212">
            <v>15.3</v>
          </cell>
          <cell r="H1212">
            <v>42978</v>
          </cell>
          <cell r="J1212">
            <v>1740000</v>
          </cell>
          <cell r="P1212">
            <v>1359750</v>
          </cell>
          <cell r="R1212">
            <v>1295000</v>
          </cell>
          <cell r="S1212">
            <v>1795000</v>
          </cell>
          <cell r="Y1212">
            <v>1417500</v>
          </cell>
          <cell r="AA1212">
            <v>1350000</v>
          </cell>
        </row>
        <row r="1213">
          <cell r="B1213" t="str">
            <v>76W-B223</v>
          </cell>
          <cell r="C1213" t="str">
            <v>TGS-27-4406X4BBS-LX</v>
          </cell>
          <cell r="E1213" t="str">
            <v>CKD</v>
          </cell>
          <cell r="F1213" t="str">
            <v>2018-08-30</v>
          </cell>
          <cell r="G1213">
            <v>15.3</v>
          </cell>
          <cell r="H1213">
            <v>42978</v>
          </cell>
          <cell r="J1213">
            <v>1740000</v>
          </cell>
          <cell r="P1213">
            <v>1359750</v>
          </cell>
          <cell r="R1213">
            <v>1295000</v>
          </cell>
          <cell r="S1213">
            <v>1795000</v>
          </cell>
          <cell r="Y1213">
            <v>1417500</v>
          </cell>
          <cell r="AA1213">
            <v>1350000</v>
          </cell>
        </row>
        <row r="1214">
          <cell r="B1214" t="str">
            <v>76W-B224</v>
          </cell>
          <cell r="C1214" t="str">
            <v>TGS-27-4406X4BBS-LX</v>
          </cell>
          <cell r="E1214" t="str">
            <v>CKD</v>
          </cell>
          <cell r="F1214" t="str">
            <v>2018-08-30</v>
          </cell>
          <cell r="G1214">
            <v>15.3</v>
          </cell>
          <cell r="H1214">
            <v>42978</v>
          </cell>
          <cell r="J1214">
            <v>1740000</v>
          </cell>
          <cell r="P1214">
            <v>1359750</v>
          </cell>
          <cell r="R1214">
            <v>1295000</v>
          </cell>
          <cell r="S1214">
            <v>1795000</v>
          </cell>
          <cell r="Y1214">
            <v>1417500</v>
          </cell>
          <cell r="AA1214">
            <v>1350000</v>
          </cell>
        </row>
        <row r="1215">
          <cell r="B1215" t="str">
            <v>76W-B225</v>
          </cell>
          <cell r="C1215" t="str">
            <v>TGS-27-4406X4BBS-LX</v>
          </cell>
          <cell r="E1215" t="str">
            <v>CKD</v>
          </cell>
          <cell r="F1215" t="str">
            <v>2018-08-30</v>
          </cell>
          <cell r="G1215">
            <v>15.3</v>
          </cell>
          <cell r="H1215">
            <v>42978</v>
          </cell>
          <cell r="J1215">
            <v>1740000</v>
          </cell>
          <cell r="P1215">
            <v>1359750</v>
          </cell>
          <cell r="R1215">
            <v>1295000</v>
          </cell>
          <cell r="S1215">
            <v>1795000</v>
          </cell>
          <cell r="Y1215">
            <v>1417500</v>
          </cell>
          <cell r="AA1215">
            <v>1350000</v>
          </cell>
        </row>
        <row r="1216">
          <cell r="B1216" t="str">
            <v>76W-B226</v>
          </cell>
          <cell r="C1216" t="str">
            <v>TGS-27-4406X4BBS-LX</v>
          </cell>
          <cell r="E1216" t="str">
            <v>CKD</v>
          </cell>
          <cell r="F1216" t="str">
            <v>2018-08-30</v>
          </cell>
          <cell r="G1216">
            <v>15.3</v>
          </cell>
          <cell r="H1216">
            <v>42978</v>
          </cell>
          <cell r="J1216">
            <v>1740000</v>
          </cell>
          <cell r="P1216">
            <v>1359750</v>
          </cell>
          <cell r="R1216">
            <v>1295000</v>
          </cell>
          <cell r="S1216">
            <v>1795000</v>
          </cell>
          <cell r="Y1216">
            <v>1417500</v>
          </cell>
          <cell r="AA1216">
            <v>1350000</v>
          </cell>
        </row>
        <row r="1217">
          <cell r="B1217" t="str">
            <v>76W-B231</v>
          </cell>
          <cell r="C1217" t="str">
            <v>TGS-27-4406X4BBS-LX</v>
          </cell>
          <cell r="E1217" t="str">
            <v>CKD</v>
          </cell>
          <cell r="F1217" t="str">
            <v>2018-03-30</v>
          </cell>
          <cell r="G1217">
            <v>15.3</v>
          </cell>
          <cell r="H1217">
            <v>42978</v>
          </cell>
          <cell r="J1217">
            <v>1740000</v>
          </cell>
          <cell r="P1217">
            <v>1359750</v>
          </cell>
          <cell r="R1217">
            <v>1295000</v>
          </cell>
          <cell r="S1217">
            <v>1795000</v>
          </cell>
          <cell r="Y1217">
            <v>1417500</v>
          </cell>
          <cell r="AA1217">
            <v>1350000</v>
          </cell>
        </row>
        <row r="1218">
          <cell r="B1218" t="str">
            <v>76W-B232</v>
          </cell>
          <cell r="C1218" t="str">
            <v>TGS-27-4406X4BBS-LX</v>
          </cell>
          <cell r="E1218" t="str">
            <v>CKD</v>
          </cell>
          <cell r="F1218" t="str">
            <v>2018-03-30</v>
          </cell>
          <cell r="G1218">
            <v>15.3</v>
          </cell>
          <cell r="H1218">
            <v>42978</v>
          </cell>
          <cell r="J1218">
            <v>1740000</v>
          </cell>
          <cell r="P1218">
            <v>1359750</v>
          </cell>
          <cell r="R1218">
            <v>1295000</v>
          </cell>
          <cell r="S1218">
            <v>1795000</v>
          </cell>
          <cell r="Y1218">
            <v>1417500</v>
          </cell>
          <cell r="AA1218">
            <v>1350000</v>
          </cell>
        </row>
        <row r="1219">
          <cell r="B1219" t="str">
            <v>76W-B233</v>
          </cell>
          <cell r="C1219" t="str">
            <v>TGS-27-4406X4BBS-LX</v>
          </cell>
          <cell r="E1219" t="str">
            <v>CKD</v>
          </cell>
          <cell r="F1219" t="str">
            <v>2018-04-30</v>
          </cell>
          <cell r="G1219">
            <v>15.3</v>
          </cell>
          <cell r="H1219">
            <v>42978</v>
          </cell>
          <cell r="J1219">
            <v>1740000</v>
          </cell>
          <cell r="P1219">
            <v>1359750</v>
          </cell>
          <cell r="R1219">
            <v>1295000</v>
          </cell>
          <cell r="S1219">
            <v>1795000</v>
          </cell>
          <cell r="Y1219">
            <v>1417500</v>
          </cell>
          <cell r="AA1219">
            <v>1350000</v>
          </cell>
        </row>
        <row r="1220">
          <cell r="B1220" t="str">
            <v>76W-B234</v>
          </cell>
          <cell r="C1220" t="str">
            <v>TGS-27-4406X4BBS-LX</v>
          </cell>
          <cell r="E1220" t="str">
            <v>CKD</v>
          </cell>
          <cell r="F1220" t="str">
            <v>2018-03-30</v>
          </cell>
          <cell r="G1220">
            <v>15.3</v>
          </cell>
          <cell r="H1220">
            <v>42978</v>
          </cell>
          <cell r="J1220">
            <v>1740000</v>
          </cell>
          <cell r="P1220">
            <v>1359750</v>
          </cell>
          <cell r="R1220">
            <v>1295000</v>
          </cell>
          <cell r="S1220">
            <v>1795000</v>
          </cell>
          <cell r="Y1220">
            <v>1417500</v>
          </cell>
          <cell r="AA1220">
            <v>1350000</v>
          </cell>
        </row>
        <row r="1221">
          <cell r="B1221" t="str">
            <v>76W-B243</v>
          </cell>
          <cell r="C1221" t="str">
            <v>TGS-27-4406X4BBS-LX</v>
          </cell>
          <cell r="E1221" t="str">
            <v>CKD</v>
          </cell>
          <cell r="F1221" t="str">
            <v>2018-08-30</v>
          </cell>
          <cell r="G1221">
            <v>15.3</v>
          </cell>
          <cell r="H1221">
            <v>42978</v>
          </cell>
          <cell r="J1221">
            <v>1740000</v>
          </cell>
          <cell r="P1221">
            <v>1359750</v>
          </cell>
          <cell r="R1221">
            <v>1295000</v>
          </cell>
          <cell r="S1221">
            <v>1795000</v>
          </cell>
          <cell r="Y1221">
            <v>1417500</v>
          </cell>
          <cell r="AA1221">
            <v>1350000</v>
          </cell>
        </row>
        <row r="1222">
          <cell r="B1222" t="str">
            <v>76W-B244</v>
          </cell>
          <cell r="C1222" t="str">
            <v>TGS-27-4406X4BBS-LX</v>
          </cell>
          <cell r="E1222" t="str">
            <v>CKD</v>
          </cell>
          <cell r="F1222" t="str">
            <v>2018-08-30</v>
          </cell>
          <cell r="G1222">
            <v>15.3</v>
          </cell>
          <cell r="H1222">
            <v>42978</v>
          </cell>
          <cell r="J1222">
            <v>1740000</v>
          </cell>
          <cell r="P1222">
            <v>1359750</v>
          </cell>
          <cell r="R1222">
            <v>1295000</v>
          </cell>
          <cell r="S1222">
            <v>1795000</v>
          </cell>
          <cell r="Y1222">
            <v>1417500</v>
          </cell>
          <cell r="AA1222">
            <v>1350000</v>
          </cell>
        </row>
        <row r="1223">
          <cell r="B1223" t="str">
            <v>76W-B245</v>
          </cell>
          <cell r="C1223" t="str">
            <v>TGS-27-4406X4BBS-LX</v>
          </cell>
          <cell r="E1223" t="str">
            <v>CKD</v>
          </cell>
          <cell r="F1223" t="str">
            <v>2018-08-30</v>
          </cell>
          <cell r="G1223">
            <v>15.3</v>
          </cell>
          <cell r="H1223">
            <v>42978</v>
          </cell>
          <cell r="J1223">
            <v>1740000</v>
          </cell>
          <cell r="P1223">
            <v>1359750</v>
          </cell>
          <cell r="R1223">
            <v>1295000</v>
          </cell>
          <cell r="S1223">
            <v>1795000</v>
          </cell>
          <cell r="Y1223">
            <v>1417500</v>
          </cell>
          <cell r="AA1223">
            <v>1350000</v>
          </cell>
        </row>
        <row r="1224">
          <cell r="B1224" t="str">
            <v>76W-B246</v>
          </cell>
          <cell r="C1224" t="str">
            <v>TGS-27-4406X4BBS-LX</v>
          </cell>
          <cell r="E1224" t="str">
            <v>CKD</v>
          </cell>
          <cell r="F1224" t="str">
            <v>2018-08-30</v>
          </cell>
          <cell r="G1224">
            <v>15.3</v>
          </cell>
          <cell r="H1224">
            <v>42978</v>
          </cell>
          <cell r="J1224">
            <v>1740000</v>
          </cell>
          <cell r="P1224">
            <v>1359750</v>
          </cell>
          <cell r="R1224">
            <v>1295000</v>
          </cell>
          <cell r="S1224">
            <v>1795000</v>
          </cell>
          <cell r="Y1224">
            <v>1417500</v>
          </cell>
          <cell r="AA1224">
            <v>1350000</v>
          </cell>
        </row>
        <row r="1225">
          <cell r="B1225" t="str">
            <v>76W-B255</v>
          </cell>
          <cell r="C1225" t="str">
            <v>TGS-27-4406X4BBS-LX</v>
          </cell>
          <cell r="E1225" t="str">
            <v>CKD</v>
          </cell>
          <cell r="F1225" t="str">
            <v>2018-09-30</v>
          </cell>
          <cell r="G1225">
            <v>15.3</v>
          </cell>
          <cell r="H1225">
            <v>42978</v>
          </cell>
          <cell r="J1225">
            <v>1740000</v>
          </cell>
          <cell r="P1225">
            <v>1359750</v>
          </cell>
          <cell r="R1225">
            <v>1295000</v>
          </cell>
          <cell r="S1225">
            <v>1795000</v>
          </cell>
          <cell r="Y1225">
            <v>1417500</v>
          </cell>
          <cell r="AA1225">
            <v>1350000</v>
          </cell>
        </row>
        <row r="1226">
          <cell r="B1226" t="str">
            <v>76W-B256</v>
          </cell>
          <cell r="C1226" t="str">
            <v>TGS-27-4406X4BBS-LX</v>
          </cell>
          <cell r="E1226" t="str">
            <v>CKD</v>
          </cell>
          <cell r="F1226" t="str">
            <v>2018-09-30</v>
          </cell>
          <cell r="G1226">
            <v>15.3</v>
          </cell>
          <cell r="H1226">
            <v>42978</v>
          </cell>
          <cell r="J1226">
            <v>1740000</v>
          </cell>
          <cell r="P1226">
            <v>1359750</v>
          </cell>
          <cell r="R1226">
            <v>1295000</v>
          </cell>
          <cell r="S1226">
            <v>1795000</v>
          </cell>
          <cell r="Y1226">
            <v>1417500</v>
          </cell>
          <cell r="AA1226">
            <v>1350000</v>
          </cell>
        </row>
        <row r="1227">
          <cell r="B1227" t="str">
            <v>76W-B257</v>
          </cell>
          <cell r="C1227" t="str">
            <v>TGS-27-4406X4BBS-LX</v>
          </cell>
          <cell r="E1227" t="str">
            <v>CKD</v>
          </cell>
          <cell r="F1227" t="str">
            <v>2018-09-30</v>
          </cell>
          <cell r="G1227">
            <v>15.3</v>
          </cell>
          <cell r="H1227">
            <v>42978</v>
          </cell>
          <cell r="J1227">
            <v>1740000</v>
          </cell>
          <cell r="P1227">
            <v>1359750</v>
          </cell>
          <cell r="R1227">
            <v>1295000</v>
          </cell>
          <cell r="S1227">
            <v>1795000</v>
          </cell>
          <cell r="Y1227">
            <v>1417500</v>
          </cell>
          <cell r="AA1227">
            <v>1350000</v>
          </cell>
        </row>
        <row r="1228">
          <cell r="B1228" t="str">
            <v>76W-B258</v>
          </cell>
          <cell r="C1228" t="str">
            <v>TGS-27-4406X4BBS-LX</v>
          </cell>
          <cell r="E1228" t="str">
            <v>CKD</v>
          </cell>
          <cell r="F1228" t="str">
            <v>2018-09-30</v>
          </cell>
          <cell r="G1228">
            <v>15.3</v>
          </cell>
          <cell r="H1228">
            <v>42978</v>
          </cell>
          <cell r="J1228">
            <v>1740000</v>
          </cell>
          <cell r="P1228">
            <v>1359750</v>
          </cell>
          <cell r="R1228">
            <v>1295000</v>
          </cell>
          <cell r="S1228">
            <v>1795000</v>
          </cell>
          <cell r="Y1228">
            <v>1417500</v>
          </cell>
          <cell r="AA1228">
            <v>1350000</v>
          </cell>
        </row>
        <row r="1229">
          <cell r="B1229" t="str">
            <v>76W-B259</v>
          </cell>
          <cell r="C1229" t="str">
            <v>TGS-27-4406X4BBS-LX</v>
          </cell>
          <cell r="E1229" t="str">
            <v>CKD</v>
          </cell>
          <cell r="F1229" t="str">
            <v>2018-09-30</v>
          </cell>
          <cell r="G1229">
            <v>15.3</v>
          </cell>
          <cell r="H1229">
            <v>42978</v>
          </cell>
          <cell r="J1229">
            <v>1740000</v>
          </cell>
          <cell r="P1229">
            <v>1359750</v>
          </cell>
          <cell r="R1229">
            <v>1295000</v>
          </cell>
          <cell r="S1229">
            <v>1795000</v>
          </cell>
          <cell r="Y1229">
            <v>1417500</v>
          </cell>
          <cell r="AA1229">
            <v>1350000</v>
          </cell>
        </row>
        <row r="1230">
          <cell r="B1230" t="str">
            <v>76W-B260</v>
          </cell>
          <cell r="C1230" t="str">
            <v>TGS-27-4406X4BBS-LX</v>
          </cell>
          <cell r="E1230" t="str">
            <v>CKD</v>
          </cell>
          <cell r="F1230" t="str">
            <v>2018-09-30</v>
          </cell>
          <cell r="G1230">
            <v>15.3</v>
          </cell>
          <cell r="H1230">
            <v>42978</v>
          </cell>
          <cell r="J1230">
            <v>1740000</v>
          </cell>
          <cell r="P1230">
            <v>1359750</v>
          </cell>
          <cell r="R1230">
            <v>1295000</v>
          </cell>
          <cell r="S1230">
            <v>1795000</v>
          </cell>
          <cell r="Y1230">
            <v>1417500</v>
          </cell>
          <cell r="AA1230">
            <v>1350000</v>
          </cell>
        </row>
        <row r="1231">
          <cell r="B1231" t="str">
            <v>76W-B261</v>
          </cell>
          <cell r="C1231" t="str">
            <v>TGS-27-4406X4BBS-LX</v>
          </cell>
          <cell r="E1231" t="str">
            <v>CKD</v>
          </cell>
          <cell r="F1231" t="str">
            <v>2018-09-30</v>
          </cell>
          <cell r="G1231">
            <v>15.3</v>
          </cell>
          <cell r="H1231">
            <v>42978</v>
          </cell>
          <cell r="J1231">
            <v>1740000</v>
          </cell>
          <cell r="P1231">
            <v>1359750</v>
          </cell>
          <cell r="R1231">
            <v>1295000</v>
          </cell>
          <cell r="S1231">
            <v>1795000</v>
          </cell>
          <cell r="Y1231">
            <v>1417500</v>
          </cell>
          <cell r="AA1231">
            <v>1350000</v>
          </cell>
        </row>
        <row r="1232">
          <cell r="B1232" t="str">
            <v>76W-B262</v>
          </cell>
          <cell r="C1232" t="str">
            <v>TGS-27-4406X4BBS-LX</v>
          </cell>
          <cell r="E1232" t="str">
            <v>CKD</v>
          </cell>
          <cell r="F1232" t="str">
            <v>2018-09-30</v>
          </cell>
          <cell r="G1232">
            <v>15.3</v>
          </cell>
          <cell r="H1232">
            <v>42978</v>
          </cell>
          <cell r="J1232">
            <v>1740000</v>
          </cell>
          <cell r="P1232">
            <v>1359750</v>
          </cell>
          <cell r="R1232">
            <v>1295000</v>
          </cell>
          <cell r="S1232">
            <v>1795000</v>
          </cell>
          <cell r="Y1232">
            <v>1417500</v>
          </cell>
          <cell r="AA1232">
            <v>1350000</v>
          </cell>
        </row>
        <row r="1233">
          <cell r="B1233" t="str">
            <v>TBAKP753</v>
          </cell>
          <cell r="C1233" t="str">
            <v>TGS-27-4406X4BBS-LX</v>
          </cell>
          <cell r="E1233" t="str">
            <v>CKD</v>
          </cell>
          <cell r="F1233" t="str">
            <v>2018-08-19</v>
          </cell>
          <cell r="G1233">
            <v>15.8</v>
          </cell>
          <cell r="H1233">
            <v>43159</v>
          </cell>
          <cell r="J1233">
            <v>1740000</v>
          </cell>
          <cell r="P1233">
            <v>1386000</v>
          </cell>
          <cell r="R1233">
            <v>1320000</v>
          </cell>
          <cell r="S1233">
            <v>1795000</v>
          </cell>
          <cell r="Y1233">
            <v>1443750</v>
          </cell>
          <cell r="AA1233">
            <v>1375000</v>
          </cell>
        </row>
        <row r="1234">
          <cell r="B1234" t="str">
            <v>76W-2270</v>
          </cell>
          <cell r="C1234" t="str">
            <v>TGS-27-4806X4BBS-LX</v>
          </cell>
          <cell r="E1234" t="str">
            <v>BOOKED: 1900-01-00</v>
          </cell>
          <cell r="F1234">
            <v>120</v>
          </cell>
          <cell r="G1234">
            <v>14.7</v>
          </cell>
          <cell r="H1234">
            <v>42838</v>
          </cell>
          <cell r="J1234">
            <v>1820000</v>
          </cell>
          <cell r="P1234">
            <v>1370250</v>
          </cell>
          <cell r="R1234">
            <v>1305000</v>
          </cell>
          <cell r="S1234">
            <v>1875000</v>
          </cell>
          <cell r="Y1234">
            <v>1428000</v>
          </cell>
          <cell r="AA1234">
            <v>1360000</v>
          </cell>
        </row>
        <row r="1235">
          <cell r="B1235" t="str">
            <v>76W-9376</v>
          </cell>
          <cell r="C1235" t="str">
            <v>TGS-27-4806X4BBS-LX</v>
          </cell>
          <cell r="E1235" t="str">
            <v>SOLD</v>
          </cell>
          <cell r="F1235">
            <v>123</v>
          </cell>
          <cell r="G1235">
            <v>14.7</v>
          </cell>
          <cell r="H1235">
            <v>42859</v>
          </cell>
          <cell r="J1235">
            <v>1820000</v>
          </cell>
          <cell r="P1235">
            <v>1370250</v>
          </cell>
          <cell r="R1235">
            <v>1305000</v>
          </cell>
          <cell r="S1235">
            <v>1875000</v>
          </cell>
          <cell r="Y1235">
            <v>1428000</v>
          </cell>
          <cell r="AA1235">
            <v>1360000</v>
          </cell>
        </row>
        <row r="1236">
          <cell r="B1236" t="str">
            <v>76W-9377</v>
          </cell>
          <cell r="C1236" t="str">
            <v>TGS-27-4806X4BBS-LX</v>
          </cell>
          <cell r="E1236" t="str">
            <v>SOLD</v>
          </cell>
          <cell r="F1236">
            <v>120</v>
          </cell>
          <cell r="G1236">
            <v>14.7</v>
          </cell>
          <cell r="H1236">
            <v>42859</v>
          </cell>
          <cell r="J1236">
            <v>1820000</v>
          </cell>
          <cell r="P1236">
            <v>1370250</v>
          </cell>
          <cell r="R1236">
            <v>1305000</v>
          </cell>
          <cell r="S1236">
            <v>1875000</v>
          </cell>
          <cell r="Y1236">
            <v>1428000</v>
          </cell>
          <cell r="AA1236">
            <v>1360000</v>
          </cell>
        </row>
        <row r="1237">
          <cell r="B1237" t="str">
            <v>76W-9398</v>
          </cell>
          <cell r="C1237" t="str">
            <v>TGS-27-4806X4BBS-LX</v>
          </cell>
          <cell r="E1237" t="str">
            <v>SOLD</v>
          </cell>
          <cell r="F1237">
            <v>92</v>
          </cell>
          <cell r="G1237">
            <v>14.7</v>
          </cell>
          <cell r="H1237">
            <v>42859</v>
          </cell>
          <cell r="J1237">
            <v>1820000</v>
          </cell>
          <cell r="P1237">
            <v>1370250</v>
          </cell>
          <cell r="R1237">
            <v>1305000</v>
          </cell>
          <cell r="S1237">
            <v>1875000</v>
          </cell>
          <cell r="Y1237">
            <v>1428000</v>
          </cell>
          <cell r="AA1237">
            <v>1360000</v>
          </cell>
        </row>
        <row r="1238">
          <cell r="B1238" t="str">
            <v>76W-9459</v>
          </cell>
          <cell r="C1238" t="str">
            <v>TGS-27-4806X4BBS-LX</v>
          </cell>
          <cell r="E1238" t="str">
            <v>SOLD</v>
          </cell>
          <cell r="F1238">
            <v>82</v>
          </cell>
          <cell r="G1238">
            <v>14.7</v>
          </cell>
          <cell r="H1238">
            <v>42937</v>
          </cell>
          <cell r="J1238">
            <v>1820000</v>
          </cell>
          <cell r="P1238">
            <v>1370250</v>
          </cell>
          <cell r="R1238">
            <v>1305000</v>
          </cell>
          <cell r="S1238">
            <v>1875000</v>
          </cell>
          <cell r="Y1238">
            <v>1428000</v>
          </cell>
          <cell r="AA1238">
            <v>1360000</v>
          </cell>
        </row>
        <row r="1239">
          <cell r="B1239" t="str">
            <v>76W-9460</v>
          </cell>
          <cell r="C1239" t="str">
            <v>TGS-27-4806X4BBS-LX</v>
          </cell>
          <cell r="E1239" t="str">
            <v>DEMO</v>
          </cell>
          <cell r="F1239">
            <v>78</v>
          </cell>
          <cell r="G1239">
            <v>14.7</v>
          </cell>
          <cell r="H1239">
            <v>42937</v>
          </cell>
          <cell r="J1239">
            <v>1820000</v>
          </cell>
          <cell r="P1239">
            <v>1359750</v>
          </cell>
          <cell r="R1239">
            <v>1295000</v>
          </cell>
          <cell r="S1239">
            <v>1820000</v>
          </cell>
          <cell r="Y1239">
            <v>1359750</v>
          </cell>
          <cell r="AA1239">
            <v>1295000</v>
          </cell>
        </row>
        <row r="1240">
          <cell r="B1240" t="str">
            <v>76W-9461</v>
          </cell>
          <cell r="C1240" t="str">
            <v>TGS-27-4806X4BBS-LX</v>
          </cell>
          <cell r="E1240" t="str">
            <v>DEMO</v>
          </cell>
          <cell r="F1240">
            <v>78</v>
          </cell>
          <cell r="G1240">
            <v>14.7</v>
          </cell>
          <cell r="H1240">
            <v>42937</v>
          </cell>
          <cell r="J1240">
            <v>1820000</v>
          </cell>
          <cell r="P1240">
            <v>1359750</v>
          </cell>
          <cell r="R1240">
            <v>1295000</v>
          </cell>
          <cell r="S1240">
            <v>1820000</v>
          </cell>
          <cell r="Y1240">
            <v>1359750</v>
          </cell>
          <cell r="AA1240">
            <v>1295000</v>
          </cell>
        </row>
        <row r="1241">
          <cell r="B1241" t="str">
            <v>76W-9462</v>
          </cell>
          <cell r="C1241" t="str">
            <v>TGS-27-4806X4BBS-LX</v>
          </cell>
          <cell r="E1241" t="str">
            <v>SOLD</v>
          </cell>
          <cell r="F1241">
            <v>82</v>
          </cell>
          <cell r="G1241">
            <v>14.7</v>
          </cell>
          <cell r="H1241">
            <v>42937</v>
          </cell>
          <cell r="J1241">
            <v>1820000</v>
          </cell>
          <cell r="P1241">
            <v>1370250</v>
          </cell>
          <cell r="R1241">
            <v>1305000</v>
          </cell>
          <cell r="S1241">
            <v>1875000</v>
          </cell>
          <cell r="Y1241">
            <v>1428000</v>
          </cell>
          <cell r="AA1241">
            <v>1360000</v>
          </cell>
        </row>
        <row r="1242">
          <cell r="B1242" t="str">
            <v>76W-9463</v>
          </cell>
          <cell r="C1242" t="str">
            <v>TGS-27-4806X4BBS-LX</v>
          </cell>
          <cell r="E1242" t="str">
            <v>SOLD</v>
          </cell>
          <cell r="F1242">
            <v>90</v>
          </cell>
          <cell r="G1242">
            <v>14.7</v>
          </cell>
          <cell r="H1242">
            <v>42937</v>
          </cell>
          <cell r="J1242">
            <v>1820000</v>
          </cell>
          <cell r="P1242">
            <v>1396500</v>
          </cell>
          <cell r="R1242">
            <v>1330000</v>
          </cell>
          <cell r="S1242">
            <v>1875000</v>
          </cell>
          <cell r="Y1242">
            <v>1454250</v>
          </cell>
          <cell r="AA1242">
            <v>1385000</v>
          </cell>
        </row>
        <row r="1243">
          <cell r="B1243" t="str">
            <v>76W-9464</v>
          </cell>
          <cell r="C1243" t="str">
            <v>TGS-27-4806X4BBS-LX</v>
          </cell>
          <cell r="E1243" t="str">
            <v>SOLD</v>
          </cell>
          <cell r="F1243">
            <v>90</v>
          </cell>
          <cell r="G1243">
            <v>14.7</v>
          </cell>
          <cell r="H1243">
            <v>42937</v>
          </cell>
          <cell r="J1243">
            <v>1820000</v>
          </cell>
          <cell r="P1243">
            <v>1396500</v>
          </cell>
          <cell r="R1243">
            <v>1330000</v>
          </cell>
          <cell r="S1243">
            <v>1875000</v>
          </cell>
          <cell r="Y1243">
            <v>1454250</v>
          </cell>
          <cell r="AA1243">
            <v>1385000</v>
          </cell>
        </row>
        <row r="1244">
          <cell r="B1244" t="str">
            <v>76W-9466</v>
          </cell>
          <cell r="C1244" t="str">
            <v>TGS-27-4806X4BBS-LX</v>
          </cell>
          <cell r="E1244" t="str">
            <v>SOLD</v>
          </cell>
          <cell r="F1244">
            <v>92</v>
          </cell>
          <cell r="G1244">
            <v>14.7</v>
          </cell>
          <cell r="H1244">
            <v>42937</v>
          </cell>
          <cell r="J1244">
            <v>1820000</v>
          </cell>
          <cell r="P1244">
            <v>1396500</v>
          </cell>
          <cell r="R1244">
            <v>1330000</v>
          </cell>
          <cell r="S1244">
            <v>1875000</v>
          </cell>
          <cell r="Y1244">
            <v>1454250</v>
          </cell>
          <cell r="AA1244">
            <v>1385000</v>
          </cell>
        </row>
        <row r="1245">
          <cell r="B1245" t="str">
            <v>76W-9479</v>
          </cell>
          <cell r="C1245" t="str">
            <v>TGS-27-4806X4BBS-LX</v>
          </cell>
          <cell r="E1245" t="str">
            <v>SOLD</v>
          </cell>
          <cell r="F1245">
            <v>85</v>
          </cell>
          <cell r="G1245">
            <v>14.7</v>
          </cell>
          <cell r="H1245">
            <v>42937</v>
          </cell>
          <cell r="J1245">
            <v>1820000</v>
          </cell>
          <cell r="P1245">
            <v>1370250</v>
          </cell>
          <cell r="R1245">
            <v>1305000</v>
          </cell>
          <cell r="S1245">
            <v>1875000</v>
          </cell>
          <cell r="Y1245">
            <v>1428000</v>
          </cell>
          <cell r="AA1245">
            <v>1360000</v>
          </cell>
        </row>
        <row r="1246">
          <cell r="B1246" t="str">
            <v>76W-9480</v>
          </cell>
          <cell r="C1246" t="str">
            <v>TGS-27-4806X4BBS-LX</v>
          </cell>
          <cell r="E1246" t="str">
            <v>SOLD</v>
          </cell>
          <cell r="F1246">
            <v>85</v>
          </cell>
          <cell r="G1246">
            <v>14.7</v>
          </cell>
          <cell r="H1246">
            <v>42937</v>
          </cell>
          <cell r="J1246">
            <v>1820000</v>
          </cell>
          <cell r="P1246">
            <v>1370250</v>
          </cell>
          <cell r="R1246">
            <v>1305000</v>
          </cell>
          <cell r="S1246">
            <v>1875000</v>
          </cell>
          <cell r="Y1246">
            <v>1428000</v>
          </cell>
          <cell r="AA1246">
            <v>1360000</v>
          </cell>
        </row>
        <row r="1247">
          <cell r="B1247" t="str">
            <v>76W-9481</v>
          </cell>
          <cell r="C1247" t="str">
            <v>TGS-27-4806X4BBS-LX</v>
          </cell>
          <cell r="E1247" t="str">
            <v>SOLD</v>
          </cell>
          <cell r="F1247">
            <v>85</v>
          </cell>
          <cell r="G1247">
            <v>14.7</v>
          </cell>
          <cell r="H1247">
            <v>42937</v>
          </cell>
          <cell r="J1247">
            <v>1820000</v>
          </cell>
          <cell r="P1247">
            <v>1370250</v>
          </cell>
          <cell r="R1247">
            <v>1305000</v>
          </cell>
          <cell r="S1247">
            <v>1875000</v>
          </cell>
          <cell r="Y1247">
            <v>1428000</v>
          </cell>
          <cell r="AA1247">
            <v>1360000</v>
          </cell>
        </row>
        <row r="1248">
          <cell r="B1248" t="str">
            <v>76W-9483</v>
          </cell>
          <cell r="C1248" t="str">
            <v>TGS-27-4806X4BBS-LX</v>
          </cell>
          <cell r="E1248" t="str">
            <v>SOLD</v>
          </cell>
          <cell r="F1248">
            <v>78</v>
          </cell>
          <cell r="G1248">
            <v>14.7</v>
          </cell>
          <cell r="H1248">
            <v>42937</v>
          </cell>
          <cell r="J1248">
            <v>1820000</v>
          </cell>
          <cell r="P1248">
            <v>1370250</v>
          </cell>
          <cell r="R1248">
            <v>1305000</v>
          </cell>
          <cell r="S1248">
            <v>1875000</v>
          </cell>
          <cell r="Y1248">
            <v>1428000</v>
          </cell>
          <cell r="AA1248">
            <v>1360000</v>
          </cell>
        </row>
        <row r="1249">
          <cell r="B1249" t="str">
            <v>76W-9484</v>
          </cell>
          <cell r="C1249" t="str">
            <v>TGS-27-4806X4BBS-LX</v>
          </cell>
          <cell r="E1249" t="str">
            <v>SOLD</v>
          </cell>
          <cell r="F1249">
            <v>85</v>
          </cell>
          <cell r="G1249">
            <v>14.7</v>
          </cell>
          <cell r="H1249">
            <v>42937</v>
          </cell>
          <cell r="J1249">
            <v>1820000</v>
          </cell>
          <cell r="P1249">
            <v>1396500</v>
          </cell>
          <cell r="R1249">
            <v>1330000</v>
          </cell>
          <cell r="S1249">
            <v>1875000</v>
          </cell>
          <cell r="Y1249">
            <v>1454250</v>
          </cell>
          <cell r="AA1249">
            <v>1385000</v>
          </cell>
        </row>
        <row r="1250">
          <cell r="B1250" t="str">
            <v>76W-9485</v>
          </cell>
          <cell r="C1250" t="str">
            <v>TGS-27-4806X4BBS-LX</v>
          </cell>
          <cell r="E1250" t="str">
            <v>SOLD</v>
          </cell>
          <cell r="F1250">
            <v>85</v>
          </cell>
          <cell r="G1250">
            <v>14.7</v>
          </cell>
          <cell r="H1250">
            <v>42937</v>
          </cell>
          <cell r="J1250">
            <v>1820000</v>
          </cell>
          <cell r="P1250">
            <v>1396500</v>
          </cell>
          <cell r="R1250">
            <v>1330000</v>
          </cell>
          <cell r="S1250">
            <v>1875000</v>
          </cell>
          <cell r="Y1250">
            <v>1454250</v>
          </cell>
          <cell r="AA1250">
            <v>1385000</v>
          </cell>
        </row>
        <row r="1251">
          <cell r="B1251" t="str">
            <v>76W-9486</v>
          </cell>
          <cell r="C1251" t="str">
            <v>TGS-27-4806X4BBS-LX</v>
          </cell>
          <cell r="E1251" t="str">
            <v>SOLD</v>
          </cell>
          <cell r="F1251">
            <v>82</v>
          </cell>
          <cell r="G1251">
            <v>14.7</v>
          </cell>
          <cell r="H1251">
            <v>42937</v>
          </cell>
          <cell r="J1251">
            <v>1820000</v>
          </cell>
          <cell r="P1251">
            <v>1370250</v>
          </cell>
          <cell r="R1251">
            <v>1305000</v>
          </cell>
          <cell r="S1251">
            <v>1875000</v>
          </cell>
          <cell r="Y1251">
            <v>1428000</v>
          </cell>
          <cell r="AA1251">
            <v>1360000</v>
          </cell>
        </row>
        <row r="1252">
          <cell r="B1252" t="str">
            <v>76W-9656</v>
          </cell>
          <cell r="C1252" t="str">
            <v>TGS-27-4806X4BBS-LX</v>
          </cell>
          <cell r="E1252" t="str">
            <v>CKD</v>
          </cell>
          <cell r="F1252" t="str">
            <v>2018-04-30</v>
          </cell>
          <cell r="G1252">
            <v>14.7</v>
          </cell>
          <cell r="H1252">
            <v>42947</v>
          </cell>
          <cell r="J1252">
            <v>1820000</v>
          </cell>
          <cell r="P1252">
            <v>1370250</v>
          </cell>
          <cell r="R1252">
            <v>1305000</v>
          </cell>
          <cell r="S1252">
            <v>1875000</v>
          </cell>
          <cell r="Y1252">
            <v>1428000</v>
          </cell>
          <cell r="AA1252">
            <v>1360000</v>
          </cell>
        </row>
        <row r="1253">
          <cell r="B1253" t="str">
            <v>76W-9657</v>
          </cell>
          <cell r="C1253" t="str">
            <v>TGS-27-4806X4BBS-LX</v>
          </cell>
          <cell r="E1253" t="str">
            <v>CKD</v>
          </cell>
          <cell r="F1253" t="str">
            <v>2018-04-30</v>
          </cell>
          <cell r="G1253">
            <v>14.7</v>
          </cell>
          <cell r="H1253">
            <v>42947</v>
          </cell>
          <cell r="J1253">
            <v>1820000</v>
          </cell>
          <cell r="P1253">
            <v>1370250</v>
          </cell>
          <cell r="R1253">
            <v>1305000</v>
          </cell>
          <cell r="S1253">
            <v>1875000</v>
          </cell>
          <cell r="Y1253">
            <v>1428000</v>
          </cell>
          <cell r="AA1253">
            <v>1360000</v>
          </cell>
        </row>
        <row r="1254">
          <cell r="B1254" t="str">
            <v>76W-9658</v>
          </cell>
          <cell r="C1254" t="str">
            <v>TGS-27-4806X4BBS-LX</v>
          </cell>
          <cell r="E1254" t="str">
            <v>CKD</v>
          </cell>
          <cell r="F1254" t="str">
            <v>2018-04-30</v>
          </cell>
          <cell r="G1254">
            <v>14.7</v>
          </cell>
          <cell r="H1254">
            <v>42947</v>
          </cell>
          <cell r="J1254">
            <v>1820000</v>
          </cell>
          <cell r="P1254">
            <v>1370250</v>
          </cell>
          <cell r="R1254">
            <v>1305000</v>
          </cell>
          <cell r="S1254">
            <v>1875000</v>
          </cell>
          <cell r="Y1254">
            <v>1428000</v>
          </cell>
          <cell r="AA1254">
            <v>1360000</v>
          </cell>
        </row>
        <row r="1255">
          <cell r="B1255" t="str">
            <v>76W-9659</v>
          </cell>
          <cell r="C1255" t="str">
            <v>TGS-27-4806X4BBS-LX</v>
          </cell>
          <cell r="E1255" t="str">
            <v>CKD</v>
          </cell>
          <cell r="F1255" t="str">
            <v>2018-04-30</v>
          </cell>
          <cell r="G1255">
            <v>14.7</v>
          </cell>
          <cell r="H1255">
            <v>42947</v>
          </cell>
          <cell r="J1255">
            <v>1820000</v>
          </cell>
          <cell r="P1255">
            <v>1370250</v>
          </cell>
          <cell r="R1255">
            <v>1305000</v>
          </cell>
          <cell r="S1255">
            <v>1875000</v>
          </cell>
          <cell r="Y1255">
            <v>1428000</v>
          </cell>
          <cell r="AA1255">
            <v>1360000</v>
          </cell>
        </row>
        <row r="1256">
          <cell r="B1256" t="str">
            <v>76W-9684</v>
          </cell>
          <cell r="C1256" t="str">
            <v>TGS-27-4806X4BBS-LX</v>
          </cell>
          <cell r="E1256" t="str">
            <v>CKD</v>
          </cell>
          <cell r="F1256" t="str">
            <v>2018-04-30</v>
          </cell>
          <cell r="G1256">
            <v>14.7</v>
          </cell>
          <cell r="H1256">
            <v>42947</v>
          </cell>
          <cell r="J1256">
            <v>1820000</v>
          </cell>
          <cell r="P1256">
            <v>1370250</v>
          </cell>
          <cell r="R1256">
            <v>1305000</v>
          </cell>
          <cell r="S1256">
            <v>1875000</v>
          </cell>
          <cell r="Y1256">
            <v>1428000</v>
          </cell>
          <cell r="AA1256">
            <v>1360000</v>
          </cell>
        </row>
        <row r="1257">
          <cell r="B1257" t="str">
            <v>76W-9685</v>
          </cell>
          <cell r="C1257" t="str">
            <v>TGS-27-4806X4BBS-LX</v>
          </cell>
          <cell r="E1257" t="str">
            <v>CKD</v>
          </cell>
          <cell r="F1257" t="str">
            <v>2018-04-30</v>
          </cell>
          <cell r="G1257">
            <v>14.7</v>
          </cell>
          <cell r="H1257">
            <v>42947</v>
          </cell>
          <cell r="J1257">
            <v>1820000</v>
          </cell>
          <cell r="P1257">
            <v>1370250</v>
          </cell>
          <cell r="R1257">
            <v>1305000</v>
          </cell>
          <cell r="S1257">
            <v>1875000</v>
          </cell>
          <cell r="Y1257">
            <v>1428000</v>
          </cell>
          <cell r="AA1257">
            <v>1360000</v>
          </cell>
        </row>
        <row r="1258">
          <cell r="B1258" t="str">
            <v>76W-9686</v>
          </cell>
          <cell r="C1258" t="str">
            <v>TGS-27-4806X4BBS-LX</v>
          </cell>
          <cell r="E1258" t="str">
            <v>CKD</v>
          </cell>
          <cell r="F1258" t="str">
            <v>2018-04-30</v>
          </cell>
          <cell r="G1258">
            <v>14.7</v>
          </cell>
          <cell r="H1258">
            <v>42947</v>
          </cell>
          <cell r="J1258">
            <v>1820000</v>
          </cell>
          <cell r="P1258">
            <v>1370250</v>
          </cell>
          <cell r="R1258">
            <v>1305000</v>
          </cell>
          <cell r="S1258">
            <v>1875000</v>
          </cell>
          <cell r="Y1258">
            <v>1428000</v>
          </cell>
          <cell r="AA1258">
            <v>1360000</v>
          </cell>
        </row>
        <row r="1259">
          <cell r="B1259" t="str">
            <v>76W-9687</v>
          </cell>
          <cell r="C1259" t="str">
            <v>TGS-27-4806X4BBS-LX</v>
          </cell>
          <cell r="E1259" t="str">
            <v>CKD</v>
          </cell>
          <cell r="F1259" t="str">
            <v>2018-04-30</v>
          </cell>
          <cell r="G1259">
            <v>14.7</v>
          </cell>
          <cell r="H1259">
            <v>42947</v>
          </cell>
          <cell r="J1259">
            <v>1820000</v>
          </cell>
          <cell r="P1259">
            <v>1370250</v>
          </cell>
          <cell r="R1259">
            <v>1305000</v>
          </cell>
          <cell r="S1259">
            <v>1875000</v>
          </cell>
          <cell r="Y1259">
            <v>1428000</v>
          </cell>
          <cell r="AA1259">
            <v>1360000</v>
          </cell>
        </row>
        <row r="1260">
          <cell r="B1260" t="str">
            <v>76W-B135</v>
          </cell>
          <cell r="C1260" t="str">
            <v>TGS-27-4806X4BBS-LX</v>
          </cell>
          <cell r="E1260" t="str">
            <v>CKD</v>
          </cell>
          <cell r="F1260" t="str">
            <v>2018-04-30</v>
          </cell>
          <cell r="G1260">
            <v>15.3</v>
          </cell>
          <cell r="H1260">
            <v>42978</v>
          </cell>
          <cell r="J1260">
            <v>1820000</v>
          </cell>
          <cell r="P1260">
            <v>1370250</v>
          </cell>
          <cell r="R1260">
            <v>1305000</v>
          </cell>
          <cell r="S1260">
            <v>1875000</v>
          </cell>
          <cell r="Y1260">
            <v>1428000</v>
          </cell>
          <cell r="AA1260">
            <v>1360000</v>
          </cell>
        </row>
        <row r="1261">
          <cell r="B1261" t="str">
            <v>76W-B136</v>
          </cell>
          <cell r="C1261" t="str">
            <v>TGS-27-4806X4BBS-LX</v>
          </cell>
          <cell r="E1261" t="str">
            <v>CKD</v>
          </cell>
          <cell r="F1261" t="str">
            <v>2018-04-30</v>
          </cell>
          <cell r="G1261">
            <v>15.3</v>
          </cell>
          <cell r="H1261">
            <v>42978</v>
          </cell>
          <cell r="J1261">
            <v>1820000</v>
          </cell>
          <cell r="P1261">
            <v>1370250</v>
          </cell>
          <cell r="R1261">
            <v>1305000</v>
          </cell>
          <cell r="S1261">
            <v>1875000</v>
          </cell>
          <cell r="Y1261">
            <v>1428000</v>
          </cell>
          <cell r="AA1261">
            <v>1360000</v>
          </cell>
        </row>
        <row r="1262">
          <cell r="B1262" t="str">
            <v>76W-B137</v>
          </cell>
          <cell r="C1262" t="str">
            <v>TGS-27-4806X4BBS-LX</v>
          </cell>
          <cell r="E1262" t="str">
            <v>CKD</v>
          </cell>
          <cell r="F1262" t="str">
            <v>2018-04-30</v>
          </cell>
          <cell r="G1262">
            <v>15.3</v>
          </cell>
          <cell r="H1262">
            <v>42978</v>
          </cell>
          <cell r="J1262">
            <v>1820000</v>
          </cell>
          <cell r="P1262">
            <v>1370250</v>
          </cell>
          <cell r="R1262">
            <v>1305000</v>
          </cell>
          <cell r="S1262">
            <v>1875000</v>
          </cell>
          <cell r="Y1262">
            <v>1428000</v>
          </cell>
          <cell r="AA1262">
            <v>1360000</v>
          </cell>
        </row>
        <row r="1263">
          <cell r="B1263" t="str">
            <v>76W-B138</v>
          </cell>
          <cell r="C1263" t="str">
            <v>TGS-27-4806X4BBS-LX</v>
          </cell>
          <cell r="E1263" t="str">
            <v>CKD</v>
          </cell>
          <cell r="F1263" t="str">
            <v>2018-04-30</v>
          </cell>
          <cell r="G1263">
            <v>15.3</v>
          </cell>
          <cell r="H1263">
            <v>42978</v>
          </cell>
          <cell r="J1263">
            <v>1820000</v>
          </cell>
          <cell r="P1263">
            <v>1370250</v>
          </cell>
          <cell r="R1263">
            <v>1305000</v>
          </cell>
          <cell r="S1263">
            <v>1875000</v>
          </cell>
          <cell r="Y1263">
            <v>1428000</v>
          </cell>
          <cell r="AA1263">
            <v>1360000</v>
          </cell>
        </row>
        <row r="1264">
          <cell r="B1264" t="str">
            <v>76W-B139</v>
          </cell>
          <cell r="C1264" t="str">
            <v>TGS-27-4806X4BBS-LX</v>
          </cell>
          <cell r="E1264" t="str">
            <v>CKD</v>
          </cell>
          <cell r="F1264" t="str">
            <v>2018-04-30</v>
          </cell>
          <cell r="G1264">
            <v>15.3</v>
          </cell>
          <cell r="H1264">
            <v>42978</v>
          </cell>
          <cell r="J1264">
            <v>1820000</v>
          </cell>
          <cell r="P1264">
            <v>1370250</v>
          </cell>
          <cell r="R1264">
            <v>1305000</v>
          </cell>
          <cell r="S1264">
            <v>1875000</v>
          </cell>
          <cell r="Y1264">
            <v>1428000</v>
          </cell>
          <cell r="AA1264">
            <v>1360000</v>
          </cell>
        </row>
        <row r="1265">
          <cell r="B1265" t="str">
            <v>76W-B140</v>
          </cell>
          <cell r="C1265" t="str">
            <v>TGS-27-4806X4BBS-LX</v>
          </cell>
          <cell r="E1265" t="str">
            <v>CKD</v>
          </cell>
          <cell r="F1265" t="str">
            <v>2018-04-30</v>
          </cell>
          <cell r="G1265">
            <v>15.3</v>
          </cell>
          <cell r="H1265">
            <v>42978</v>
          </cell>
          <cell r="J1265">
            <v>1820000</v>
          </cell>
          <cell r="P1265">
            <v>1370250</v>
          </cell>
          <cell r="R1265">
            <v>1305000</v>
          </cell>
          <cell r="S1265">
            <v>1875000</v>
          </cell>
          <cell r="Y1265">
            <v>1428000</v>
          </cell>
          <cell r="AA1265">
            <v>1360000</v>
          </cell>
        </row>
        <row r="1266">
          <cell r="B1266" t="str">
            <v>76W-B141</v>
          </cell>
          <cell r="C1266" t="str">
            <v>TGS-27-4806X4BBS-LX</v>
          </cell>
          <cell r="E1266" t="str">
            <v>CKD</v>
          </cell>
          <cell r="F1266" t="str">
            <v>2018-04-30</v>
          </cell>
          <cell r="G1266">
            <v>15.3</v>
          </cell>
          <cell r="H1266">
            <v>42978</v>
          </cell>
          <cell r="J1266">
            <v>1820000</v>
          </cell>
          <cell r="P1266">
            <v>1370250</v>
          </cell>
          <cell r="R1266">
            <v>1305000</v>
          </cell>
          <cell r="S1266">
            <v>1875000</v>
          </cell>
          <cell r="Y1266">
            <v>1428000</v>
          </cell>
          <cell r="AA1266">
            <v>1360000</v>
          </cell>
        </row>
        <row r="1267">
          <cell r="B1267" t="str">
            <v>76W-B142</v>
          </cell>
          <cell r="C1267" t="str">
            <v>TGS-27-4806X4BBS-LX</v>
          </cell>
          <cell r="E1267" t="str">
            <v>CKD</v>
          </cell>
          <cell r="F1267" t="str">
            <v>2018-04-30</v>
          </cell>
          <cell r="G1267">
            <v>15.3</v>
          </cell>
          <cell r="H1267">
            <v>42978</v>
          </cell>
          <cell r="J1267">
            <v>1820000</v>
          </cell>
          <cell r="P1267">
            <v>1370250</v>
          </cell>
          <cell r="R1267">
            <v>1305000</v>
          </cell>
          <cell r="S1267">
            <v>1875000</v>
          </cell>
          <cell r="Y1267">
            <v>1428000</v>
          </cell>
          <cell r="AA1267">
            <v>1360000</v>
          </cell>
        </row>
        <row r="1268">
          <cell r="B1268" t="str">
            <v>76W-B155</v>
          </cell>
          <cell r="C1268" t="str">
            <v>TGS-27-4806X4BBS-LX</v>
          </cell>
          <cell r="E1268" t="str">
            <v>CKD</v>
          </cell>
          <cell r="F1268" t="str">
            <v>2018-04-30</v>
          </cell>
          <cell r="G1268">
            <v>15.3</v>
          </cell>
          <cell r="H1268">
            <v>42978</v>
          </cell>
          <cell r="J1268">
            <v>1820000</v>
          </cell>
          <cell r="P1268">
            <v>1370250</v>
          </cell>
          <cell r="R1268">
            <v>1305000</v>
          </cell>
          <cell r="S1268">
            <v>1875000</v>
          </cell>
          <cell r="Y1268">
            <v>1428000</v>
          </cell>
          <cell r="AA1268">
            <v>1360000</v>
          </cell>
        </row>
        <row r="1269">
          <cell r="B1269" t="str">
            <v>76W-B156</v>
          </cell>
          <cell r="C1269" t="str">
            <v>TGS-27-4806X4BBS-LX</v>
          </cell>
          <cell r="E1269" t="str">
            <v>CKD</v>
          </cell>
          <cell r="F1269" t="str">
            <v>2018-04-30</v>
          </cell>
          <cell r="G1269">
            <v>15.3</v>
          </cell>
          <cell r="H1269">
            <v>42978</v>
          </cell>
          <cell r="J1269">
            <v>1820000</v>
          </cell>
          <cell r="P1269">
            <v>1370250</v>
          </cell>
          <cell r="R1269">
            <v>1305000</v>
          </cell>
          <cell r="S1269">
            <v>1875000</v>
          </cell>
          <cell r="Y1269">
            <v>1428000</v>
          </cell>
          <cell r="AA1269">
            <v>1360000</v>
          </cell>
        </row>
        <row r="1270">
          <cell r="B1270" t="str">
            <v>76W-B157</v>
          </cell>
          <cell r="C1270" t="str">
            <v>TGS-27-4806X4BBS-LX</v>
          </cell>
          <cell r="E1270" t="str">
            <v>CKD</v>
          </cell>
          <cell r="F1270" t="str">
            <v>2018-04-30</v>
          </cell>
          <cell r="G1270">
            <v>15.3</v>
          </cell>
          <cell r="H1270">
            <v>42978</v>
          </cell>
          <cell r="J1270">
            <v>1820000</v>
          </cell>
          <cell r="P1270">
            <v>1370250</v>
          </cell>
          <cell r="R1270">
            <v>1305000</v>
          </cell>
          <cell r="S1270">
            <v>1875000</v>
          </cell>
          <cell r="Y1270">
            <v>1428000</v>
          </cell>
          <cell r="AA1270">
            <v>1360000</v>
          </cell>
        </row>
        <row r="1271">
          <cell r="B1271" t="str">
            <v>76W-B158</v>
          </cell>
          <cell r="C1271" t="str">
            <v>TGS-27-4806X4BBS-LX</v>
          </cell>
          <cell r="E1271" t="str">
            <v>CKD</v>
          </cell>
          <cell r="F1271" t="str">
            <v>2018-04-30</v>
          </cell>
          <cell r="G1271">
            <v>15.3</v>
          </cell>
          <cell r="H1271">
            <v>42978</v>
          </cell>
          <cell r="J1271">
            <v>1820000</v>
          </cell>
          <cell r="P1271">
            <v>1370250</v>
          </cell>
          <cell r="R1271">
            <v>1305000</v>
          </cell>
          <cell r="S1271">
            <v>1875000</v>
          </cell>
          <cell r="Y1271">
            <v>1428000</v>
          </cell>
          <cell r="AA1271">
            <v>1360000</v>
          </cell>
        </row>
        <row r="1272">
          <cell r="B1272" t="str">
            <v>76W-B235</v>
          </cell>
          <cell r="C1272" t="str">
            <v>TGS-27-4806X4BBS-LX</v>
          </cell>
          <cell r="E1272" t="str">
            <v>CKD</v>
          </cell>
          <cell r="F1272" t="str">
            <v>2018-04-30</v>
          </cell>
          <cell r="G1272">
            <v>15.3</v>
          </cell>
          <cell r="H1272">
            <v>42978</v>
          </cell>
          <cell r="J1272">
            <v>1820000</v>
          </cell>
          <cell r="P1272">
            <v>1370250</v>
          </cell>
          <cell r="R1272">
            <v>1305000</v>
          </cell>
          <cell r="S1272">
            <v>1875000</v>
          </cell>
          <cell r="Y1272">
            <v>1428000</v>
          </cell>
          <cell r="AA1272">
            <v>1360000</v>
          </cell>
        </row>
        <row r="1273">
          <cell r="B1273" t="str">
            <v>76W-B236</v>
          </cell>
          <cell r="C1273" t="str">
            <v>TGS-27-4806X4BBS-LX</v>
          </cell>
          <cell r="E1273" t="str">
            <v>CKD</v>
          </cell>
          <cell r="F1273" t="str">
            <v>2018-04-30</v>
          </cell>
          <cell r="G1273">
            <v>15.3</v>
          </cell>
          <cell r="H1273">
            <v>42978</v>
          </cell>
          <cell r="J1273">
            <v>1820000</v>
          </cell>
          <cell r="P1273">
            <v>1370250</v>
          </cell>
          <cell r="R1273">
            <v>1305000</v>
          </cell>
          <cell r="S1273">
            <v>1875000</v>
          </cell>
          <cell r="Y1273">
            <v>1428000</v>
          </cell>
          <cell r="AA1273">
            <v>1360000</v>
          </cell>
        </row>
        <row r="1274">
          <cell r="B1274" t="str">
            <v>76W-B237</v>
          </cell>
          <cell r="C1274" t="str">
            <v>TGS-27-4806X4BBS-LX</v>
          </cell>
          <cell r="E1274" t="str">
            <v>CKD</v>
          </cell>
          <cell r="F1274" t="str">
            <v>2018-04-30</v>
          </cell>
          <cell r="G1274">
            <v>15.3</v>
          </cell>
          <cell r="H1274">
            <v>42978</v>
          </cell>
          <cell r="J1274">
            <v>1820000</v>
          </cell>
          <cell r="P1274">
            <v>1370250</v>
          </cell>
          <cell r="R1274">
            <v>1305000</v>
          </cell>
          <cell r="S1274">
            <v>1875000</v>
          </cell>
          <cell r="Y1274">
            <v>1428000</v>
          </cell>
          <cell r="AA1274">
            <v>1360000</v>
          </cell>
        </row>
        <row r="1275">
          <cell r="B1275" t="str">
            <v>76W-B238</v>
          </cell>
          <cell r="C1275" t="str">
            <v>TGS-27-4806X4BBS-LX</v>
          </cell>
          <cell r="E1275" t="str">
            <v>CKD</v>
          </cell>
          <cell r="F1275" t="str">
            <v>2018-04-30</v>
          </cell>
          <cell r="G1275">
            <v>15.3</v>
          </cell>
          <cell r="H1275">
            <v>42978</v>
          </cell>
          <cell r="J1275">
            <v>1820000</v>
          </cell>
          <cell r="P1275">
            <v>1370250</v>
          </cell>
          <cell r="R1275">
            <v>1305000</v>
          </cell>
          <cell r="S1275">
            <v>1875000</v>
          </cell>
          <cell r="Y1275">
            <v>1428000</v>
          </cell>
          <cell r="AA1275">
            <v>1360000</v>
          </cell>
        </row>
        <row r="1276">
          <cell r="B1276" t="str">
            <v>76W-B247</v>
          </cell>
          <cell r="C1276" t="str">
            <v>TGS-27-4806X4BBS-LX</v>
          </cell>
          <cell r="E1276" t="str">
            <v>CKD</v>
          </cell>
          <cell r="F1276" t="str">
            <v>2018-05-30</v>
          </cell>
          <cell r="G1276">
            <v>15.3</v>
          </cell>
          <cell r="H1276">
            <v>42978</v>
          </cell>
          <cell r="J1276">
            <v>1820000</v>
          </cell>
          <cell r="P1276">
            <v>1370250</v>
          </cell>
          <cell r="R1276">
            <v>1305000</v>
          </cell>
          <cell r="S1276">
            <v>1875000</v>
          </cell>
          <cell r="Y1276">
            <v>1428000</v>
          </cell>
          <cell r="AA1276">
            <v>1360000</v>
          </cell>
        </row>
        <row r="1277">
          <cell r="B1277" t="str">
            <v>76W-B248</v>
          </cell>
          <cell r="C1277" t="str">
            <v>TGS-27-4806X4BBS-LX</v>
          </cell>
          <cell r="E1277" t="str">
            <v>CKD</v>
          </cell>
          <cell r="F1277" t="str">
            <v>2018-05-30</v>
          </cell>
          <cell r="G1277">
            <v>15.3</v>
          </cell>
          <cell r="H1277">
            <v>42978</v>
          </cell>
          <cell r="J1277">
            <v>1820000</v>
          </cell>
          <cell r="P1277">
            <v>1370250</v>
          </cell>
          <cell r="R1277">
            <v>1305000</v>
          </cell>
          <cell r="S1277">
            <v>1875000</v>
          </cell>
          <cell r="Y1277">
            <v>1428000</v>
          </cell>
          <cell r="AA1277">
            <v>1360000</v>
          </cell>
        </row>
        <row r="1278">
          <cell r="B1278" t="str">
            <v>76W-B249</v>
          </cell>
          <cell r="C1278" t="str">
            <v>TGS-27-4806X4BBS-LX</v>
          </cell>
          <cell r="E1278" t="str">
            <v>CKD</v>
          </cell>
          <cell r="F1278" t="str">
            <v>2018-05-30</v>
          </cell>
          <cell r="G1278">
            <v>15.3</v>
          </cell>
          <cell r="H1278">
            <v>42978</v>
          </cell>
          <cell r="J1278">
            <v>1820000</v>
          </cell>
          <cell r="P1278">
            <v>1370250</v>
          </cell>
          <cell r="R1278">
            <v>1305000</v>
          </cell>
          <cell r="S1278">
            <v>1875000</v>
          </cell>
          <cell r="Y1278">
            <v>1428000</v>
          </cell>
          <cell r="AA1278">
            <v>1360000</v>
          </cell>
        </row>
        <row r="1279">
          <cell r="B1279" t="str">
            <v>76W-B250</v>
          </cell>
          <cell r="C1279" t="str">
            <v>TGS-27-4806X4BBS-LX</v>
          </cell>
          <cell r="E1279" t="str">
            <v>CKD</v>
          </cell>
          <cell r="F1279" t="str">
            <v>2018-05-30</v>
          </cell>
          <cell r="G1279">
            <v>15.3</v>
          </cell>
          <cell r="H1279">
            <v>42978</v>
          </cell>
          <cell r="J1279">
            <v>1820000</v>
          </cell>
          <cell r="P1279">
            <v>1370250</v>
          </cell>
          <cell r="R1279">
            <v>1305000</v>
          </cell>
          <cell r="S1279">
            <v>1875000</v>
          </cell>
          <cell r="Y1279">
            <v>1428000</v>
          </cell>
          <cell r="AA1279">
            <v>1360000</v>
          </cell>
        </row>
        <row r="1280">
          <cell r="B1280" t="str">
            <v>TBAKP659</v>
          </cell>
          <cell r="C1280" t="str">
            <v>TGS-27-4806X4BBS-LX</v>
          </cell>
          <cell r="E1280" t="str">
            <v>CKD</v>
          </cell>
          <cell r="F1280" t="str">
            <v>2018-08-19</v>
          </cell>
          <cell r="G1280">
            <v>15.8</v>
          </cell>
          <cell r="H1280">
            <v>43159</v>
          </cell>
          <cell r="J1280">
            <v>1820000</v>
          </cell>
          <cell r="P1280">
            <v>1396500</v>
          </cell>
          <cell r="R1280">
            <v>1330000</v>
          </cell>
          <cell r="S1280">
            <v>1875000</v>
          </cell>
          <cell r="Y1280">
            <v>1454250</v>
          </cell>
          <cell r="AA1280">
            <v>1385000</v>
          </cell>
        </row>
        <row r="1281">
          <cell r="B1281" t="str">
            <v>76W-9053</v>
          </cell>
          <cell r="C1281" t="str">
            <v>TGS-27-4806X4BBS-LX-PBS</v>
          </cell>
          <cell r="E1281" t="str">
            <v>DEMO</v>
          </cell>
          <cell r="F1281">
            <v>217</v>
          </cell>
          <cell r="G1281">
            <v>15.4</v>
          </cell>
          <cell r="H1281">
            <v>42758</v>
          </cell>
          <cell r="J1281">
            <v>1780000</v>
          </cell>
          <cell r="P1281">
            <v>1407000</v>
          </cell>
          <cell r="R1281">
            <v>1340000</v>
          </cell>
          <cell r="S1281">
            <v>1835000</v>
          </cell>
          <cell r="Y1281">
            <v>1464750</v>
          </cell>
          <cell r="AA1281">
            <v>1395000</v>
          </cell>
        </row>
        <row r="1282">
          <cell r="B1282" t="str">
            <v>76W-9054</v>
          </cell>
          <cell r="C1282" t="str">
            <v>TGS-27-4806X4BBS-LX-PBS</v>
          </cell>
          <cell r="E1282" t="str">
            <v>SOLD</v>
          </cell>
          <cell r="F1282">
            <v>216</v>
          </cell>
          <cell r="G1282">
            <v>15.4</v>
          </cell>
          <cell r="H1282">
            <v>42758</v>
          </cell>
          <cell r="J1282">
            <v>1780000</v>
          </cell>
          <cell r="P1282">
            <v>1407000</v>
          </cell>
          <cell r="R1282">
            <v>1340000</v>
          </cell>
          <cell r="S1282">
            <v>1835000</v>
          </cell>
          <cell r="Y1282">
            <v>1464750</v>
          </cell>
          <cell r="AA1282">
            <v>1395000</v>
          </cell>
        </row>
        <row r="1283">
          <cell r="B1283" t="str">
            <v>TBATG015</v>
          </cell>
          <cell r="C1283" t="str">
            <v>TGS-27-4806X4BBS-LX-PBS</v>
          </cell>
          <cell r="E1283" t="str">
            <v>CKD</v>
          </cell>
          <cell r="F1283" t="str">
            <v>2018-06-18</v>
          </cell>
          <cell r="G1283">
            <v>15.8</v>
          </cell>
          <cell r="H1283">
            <v>43159</v>
          </cell>
          <cell r="J1283">
            <v>1780000</v>
          </cell>
          <cell r="P1283">
            <v>1449000</v>
          </cell>
          <cell r="R1283">
            <v>1380000</v>
          </cell>
          <cell r="S1283">
            <v>1835000</v>
          </cell>
          <cell r="Y1283">
            <v>1506750</v>
          </cell>
          <cell r="AA1283">
            <v>1435000</v>
          </cell>
        </row>
        <row r="1284">
          <cell r="B1284" t="str">
            <v>76W-9399</v>
          </cell>
          <cell r="C1284" t="str">
            <v>TGS-33-3606X4BB-M</v>
          </cell>
          <cell r="E1284" t="str">
            <v>BOOKED: 2017-11-29</v>
          </cell>
          <cell r="F1284">
            <v>112</v>
          </cell>
          <cell r="G1284">
            <v>14.7</v>
          </cell>
          <cell r="H1284">
            <v>42859</v>
          </cell>
          <cell r="J1284">
            <v>1490000</v>
          </cell>
          <cell r="P1284">
            <v>1291500</v>
          </cell>
          <cell r="R1284">
            <v>1230000</v>
          </cell>
          <cell r="S1284">
            <v>1545000</v>
          </cell>
          <cell r="Y1284">
            <v>1349250</v>
          </cell>
          <cell r="AA1284">
            <v>1285000</v>
          </cell>
        </row>
        <row r="1285">
          <cell r="B1285" t="str">
            <v>76W-9491</v>
          </cell>
          <cell r="C1285" t="str">
            <v>TGS-33-3606X4BB-M</v>
          </cell>
          <cell r="E1285" t="str">
            <v>SOLD</v>
          </cell>
          <cell r="F1285">
            <v>75</v>
          </cell>
          <cell r="G1285">
            <v>14.7</v>
          </cell>
          <cell r="H1285">
            <v>42937</v>
          </cell>
          <cell r="J1285">
            <v>1490000</v>
          </cell>
          <cell r="P1285">
            <v>1291500</v>
          </cell>
          <cell r="R1285">
            <v>1230000</v>
          </cell>
          <cell r="S1285">
            <v>1545000</v>
          </cell>
          <cell r="Y1285">
            <v>1349250</v>
          </cell>
          <cell r="AA1285">
            <v>1285000</v>
          </cell>
        </row>
        <row r="1286">
          <cell r="B1286" t="str">
            <v>76W-9492</v>
          </cell>
          <cell r="C1286" t="str">
            <v>TGS-33-3606X4BB-M</v>
          </cell>
          <cell r="E1286" t="str">
            <v>SOLD</v>
          </cell>
          <cell r="F1286">
            <v>71</v>
          </cell>
          <cell r="G1286">
            <v>14.7</v>
          </cell>
          <cell r="H1286">
            <v>42937</v>
          </cell>
          <cell r="J1286">
            <v>1490000</v>
          </cell>
          <cell r="P1286">
            <v>1291500</v>
          </cell>
          <cell r="R1286">
            <v>1230000</v>
          </cell>
          <cell r="S1286">
            <v>1545000</v>
          </cell>
          <cell r="Y1286">
            <v>1349250</v>
          </cell>
          <cell r="AA1286">
            <v>1285000</v>
          </cell>
        </row>
        <row r="1287">
          <cell r="B1287" t="str">
            <v>76W-9494</v>
          </cell>
          <cell r="C1287" t="str">
            <v>TGS-33-3606X4BB-M</v>
          </cell>
          <cell r="E1287" t="str">
            <v>SOLD</v>
          </cell>
          <cell r="F1287">
            <v>69</v>
          </cell>
          <cell r="G1287">
            <v>14.7</v>
          </cell>
          <cell r="H1287">
            <v>42937</v>
          </cell>
          <cell r="J1287">
            <v>1490000</v>
          </cell>
          <cell r="P1287">
            <v>1291500</v>
          </cell>
          <cell r="R1287">
            <v>1230000</v>
          </cell>
          <cell r="S1287">
            <v>1545000</v>
          </cell>
          <cell r="Y1287">
            <v>1349250</v>
          </cell>
          <cell r="AA1287">
            <v>1285000</v>
          </cell>
        </row>
        <row r="1288">
          <cell r="B1288" t="str">
            <v>76W-9688</v>
          </cell>
          <cell r="C1288" t="str">
            <v>TGS-33-3606X4BB-M</v>
          </cell>
          <cell r="E1288" t="str">
            <v>CKD</v>
          </cell>
          <cell r="F1288" t="str">
            <v>2018-03-28</v>
          </cell>
          <cell r="G1288">
            <v>14.7</v>
          </cell>
          <cell r="H1288">
            <v>42947</v>
          </cell>
          <cell r="J1288">
            <v>1490000</v>
          </cell>
          <cell r="P1288">
            <v>1291500</v>
          </cell>
          <cell r="R1288">
            <v>1230000</v>
          </cell>
          <cell r="S1288">
            <v>1545000</v>
          </cell>
          <cell r="Y1288">
            <v>1349250</v>
          </cell>
          <cell r="AA1288">
            <v>1285000</v>
          </cell>
        </row>
        <row r="1289">
          <cell r="B1289" t="str">
            <v>76W-9689</v>
          </cell>
          <cell r="C1289" t="str">
            <v>TGS-33-3606X4BB-M</v>
          </cell>
          <cell r="E1289" t="str">
            <v>CKD</v>
          </cell>
          <cell r="F1289" t="str">
            <v>2018-03-28</v>
          </cell>
          <cell r="G1289">
            <v>14.7</v>
          </cell>
          <cell r="H1289">
            <v>42947</v>
          </cell>
          <cell r="J1289">
            <v>1490000</v>
          </cell>
          <cell r="P1289">
            <v>1291500</v>
          </cell>
          <cell r="R1289">
            <v>1230000</v>
          </cell>
          <cell r="S1289">
            <v>1545000</v>
          </cell>
          <cell r="Y1289">
            <v>1349250</v>
          </cell>
          <cell r="AA1289">
            <v>1285000</v>
          </cell>
        </row>
        <row r="1290">
          <cell r="B1290" t="str">
            <v>76W-9690</v>
          </cell>
          <cell r="C1290" t="str">
            <v>TGS-33-3606X4BB-M</v>
          </cell>
          <cell r="E1290" t="str">
            <v>CKD</v>
          </cell>
          <cell r="F1290" t="str">
            <v>2018-03-28</v>
          </cell>
          <cell r="G1290">
            <v>14.7</v>
          </cell>
          <cell r="H1290">
            <v>42947</v>
          </cell>
          <cell r="J1290">
            <v>1490000</v>
          </cell>
          <cell r="P1290">
            <v>1291500</v>
          </cell>
          <cell r="R1290">
            <v>1230000</v>
          </cell>
          <cell r="S1290">
            <v>1545000</v>
          </cell>
          <cell r="Y1290">
            <v>1349250</v>
          </cell>
          <cell r="AA1290">
            <v>1285000</v>
          </cell>
        </row>
        <row r="1291">
          <cell r="B1291" t="str">
            <v>76W-9691</v>
          </cell>
          <cell r="C1291" t="str">
            <v>TGS-33-3606X4BB-M</v>
          </cell>
          <cell r="E1291" t="str">
            <v>CKD</v>
          </cell>
          <cell r="F1291" t="str">
            <v>2018-03-28</v>
          </cell>
          <cell r="G1291">
            <v>14.7</v>
          </cell>
          <cell r="H1291">
            <v>42947</v>
          </cell>
          <cell r="J1291">
            <v>1490000</v>
          </cell>
          <cell r="P1291">
            <v>1291500</v>
          </cell>
          <cell r="R1291">
            <v>1230000</v>
          </cell>
          <cell r="S1291">
            <v>1545000</v>
          </cell>
          <cell r="Y1291">
            <v>1349250</v>
          </cell>
          <cell r="AA1291">
            <v>1285000</v>
          </cell>
        </row>
        <row r="1292">
          <cell r="B1292" t="str">
            <v>TBAKP682</v>
          </cell>
          <cell r="C1292" t="str">
            <v>TGS-33-3606X4BB-M</v>
          </cell>
          <cell r="E1292" t="str">
            <v>CKD</v>
          </cell>
          <cell r="F1292" t="str">
            <v>2018-08-19</v>
          </cell>
          <cell r="G1292">
            <v>15.8</v>
          </cell>
          <cell r="H1292">
            <v>43159</v>
          </cell>
          <cell r="J1292">
            <v>1490000</v>
          </cell>
          <cell r="P1292">
            <v>1291500</v>
          </cell>
          <cell r="R1292">
            <v>1230000</v>
          </cell>
          <cell r="S1292">
            <v>1545000</v>
          </cell>
          <cell r="Y1292">
            <v>1349250</v>
          </cell>
          <cell r="AA1292">
            <v>1285000</v>
          </cell>
        </row>
        <row r="1293">
          <cell r="B1293" t="str">
            <v>TBAKP681</v>
          </cell>
          <cell r="C1293" t="str">
            <v>TGS-33-3606X4BB-M-K</v>
          </cell>
          <cell r="E1293" t="str">
            <v>CKD</v>
          </cell>
          <cell r="F1293" t="str">
            <v>2018-08-19</v>
          </cell>
          <cell r="G1293">
            <v>15.8</v>
          </cell>
          <cell r="H1293">
            <v>43159</v>
          </cell>
          <cell r="J1293">
            <v>1450000</v>
          </cell>
          <cell r="P1293">
            <v>1365000</v>
          </cell>
          <cell r="R1293">
            <v>1300000</v>
          </cell>
          <cell r="S1293">
            <v>1505000</v>
          </cell>
          <cell r="Y1293">
            <v>1422750</v>
          </cell>
          <cell r="AA1293">
            <v>1355000</v>
          </cell>
        </row>
        <row r="1294">
          <cell r="B1294" t="str">
            <v>56W-2560</v>
          </cell>
          <cell r="C1294" t="str">
            <v>TGS-33-3606X6BB-M-DWA</v>
          </cell>
          <cell r="E1294" t="str">
            <v>SOLD</v>
          </cell>
          <cell r="F1294">
            <v>62</v>
          </cell>
          <cell r="G1294">
            <v>14.7</v>
          </cell>
          <cell r="H1294">
            <v>42874</v>
          </cell>
          <cell r="J1294" t="e">
            <v>#N/A</v>
          </cell>
          <cell r="P1294" t="e">
            <v>#N/A</v>
          </cell>
          <cell r="R1294" t="e">
            <v>#N/A</v>
          </cell>
          <cell r="S1294" t="e">
            <v>#N/A</v>
          </cell>
          <cell r="Y1294" t="e">
            <v>#N/A</v>
          </cell>
          <cell r="AA1294" t="e">
            <v>#N/A</v>
          </cell>
        </row>
        <row r="1295">
          <cell r="B1295">
            <v>48895</v>
          </cell>
          <cell r="C1295" t="str">
            <v>TGS-33-4406X4BBS-L</v>
          </cell>
          <cell r="E1295" t="str">
            <v>CKD</v>
          </cell>
          <cell r="F1295" t="str">
            <v>2018-07-30</v>
          </cell>
          <cell r="G1295">
            <v>15.9</v>
          </cell>
          <cell r="H1295">
            <v>43069</v>
          </cell>
          <cell r="J1295">
            <v>1770000</v>
          </cell>
          <cell r="P1295">
            <v>1354500</v>
          </cell>
          <cell r="R1295">
            <v>1290000</v>
          </cell>
          <cell r="S1295">
            <v>1825000</v>
          </cell>
          <cell r="Y1295">
            <v>1412250</v>
          </cell>
          <cell r="AA1295">
            <v>1345000</v>
          </cell>
        </row>
        <row r="1296">
          <cell r="B1296">
            <v>48896</v>
          </cell>
          <cell r="C1296" t="str">
            <v>TGS-33-4406X4BBS-L</v>
          </cell>
          <cell r="E1296" t="str">
            <v>CKD</v>
          </cell>
          <cell r="F1296" t="str">
            <v>2018-07-30</v>
          </cell>
          <cell r="G1296">
            <v>15.9</v>
          </cell>
          <cell r="H1296">
            <v>43069</v>
          </cell>
          <cell r="J1296">
            <v>1770000</v>
          </cell>
          <cell r="P1296">
            <v>1354500</v>
          </cell>
          <cell r="R1296">
            <v>1290000</v>
          </cell>
          <cell r="S1296">
            <v>1825000</v>
          </cell>
          <cell r="Y1296">
            <v>1412250</v>
          </cell>
          <cell r="AA1296">
            <v>1345000</v>
          </cell>
        </row>
        <row r="1297">
          <cell r="B1297">
            <v>48897</v>
          </cell>
          <cell r="C1297" t="str">
            <v>TGS-33-4406X4BBS-L</v>
          </cell>
          <cell r="E1297" t="str">
            <v>CKD</v>
          </cell>
          <cell r="F1297" t="str">
            <v>2018-07-30</v>
          </cell>
          <cell r="G1297">
            <v>15.9</v>
          </cell>
          <cell r="H1297">
            <v>43069</v>
          </cell>
          <cell r="J1297">
            <v>1770000</v>
          </cell>
          <cell r="P1297">
            <v>1354500</v>
          </cell>
          <cell r="R1297">
            <v>1290000</v>
          </cell>
          <cell r="S1297">
            <v>1825000</v>
          </cell>
          <cell r="Y1297">
            <v>1412250</v>
          </cell>
          <cell r="AA1297">
            <v>1345000</v>
          </cell>
        </row>
        <row r="1298">
          <cell r="B1298">
            <v>48898</v>
          </cell>
          <cell r="C1298" t="str">
            <v>TGS-33-4406X4BBS-L</v>
          </cell>
          <cell r="E1298" t="str">
            <v>CKD</v>
          </cell>
          <cell r="F1298" t="str">
            <v>2018-07-30</v>
          </cell>
          <cell r="G1298">
            <v>15.9</v>
          </cell>
          <cell r="H1298">
            <v>43069</v>
          </cell>
          <cell r="J1298">
            <v>1770000</v>
          </cell>
          <cell r="P1298">
            <v>1354500</v>
          </cell>
          <cell r="R1298">
            <v>1290000</v>
          </cell>
          <cell r="S1298">
            <v>1825000</v>
          </cell>
          <cell r="Y1298">
            <v>1412250</v>
          </cell>
          <cell r="AA1298">
            <v>1345000</v>
          </cell>
        </row>
        <row r="1299">
          <cell r="B1299" t="str">
            <v>76W-9627</v>
          </cell>
          <cell r="C1299" t="str">
            <v>TGS-33-4406X4BBS-L</v>
          </cell>
          <cell r="E1299" t="str">
            <v>SOLD</v>
          </cell>
          <cell r="F1299">
            <v>34</v>
          </cell>
          <cell r="G1299">
            <v>14.7</v>
          </cell>
          <cell r="H1299">
            <v>42937</v>
          </cell>
          <cell r="J1299">
            <v>1770000</v>
          </cell>
          <cell r="P1299">
            <v>1375500</v>
          </cell>
          <cell r="R1299">
            <v>1310000</v>
          </cell>
          <cell r="S1299">
            <v>1825000</v>
          </cell>
          <cell r="Y1299">
            <v>1433250</v>
          </cell>
          <cell r="AA1299">
            <v>1365000</v>
          </cell>
        </row>
        <row r="1300">
          <cell r="B1300" t="str">
            <v>76W-9628</v>
          </cell>
          <cell r="C1300" t="str">
            <v>TGS-33-4406X4BBS-L</v>
          </cell>
          <cell r="E1300" t="str">
            <v>SOLD</v>
          </cell>
          <cell r="F1300">
            <v>34</v>
          </cell>
          <cell r="G1300">
            <v>14.7</v>
          </cell>
          <cell r="H1300">
            <v>42937</v>
          </cell>
          <cell r="J1300">
            <v>1770000</v>
          </cell>
          <cell r="P1300">
            <v>1375500</v>
          </cell>
          <cell r="R1300">
            <v>1310000</v>
          </cell>
          <cell r="S1300">
            <v>1825000</v>
          </cell>
          <cell r="Y1300">
            <v>1433250</v>
          </cell>
          <cell r="AA1300">
            <v>1365000</v>
          </cell>
        </row>
        <row r="1301">
          <cell r="B1301" t="str">
            <v>76W-9629</v>
          </cell>
          <cell r="C1301" t="str">
            <v>TGS-33-4406X4BBS-L</v>
          </cell>
          <cell r="E1301" t="str">
            <v>SOLD</v>
          </cell>
          <cell r="F1301">
            <v>34</v>
          </cell>
          <cell r="G1301">
            <v>14.7</v>
          </cell>
          <cell r="H1301">
            <v>42937</v>
          </cell>
          <cell r="J1301">
            <v>1770000</v>
          </cell>
          <cell r="P1301">
            <v>1375500</v>
          </cell>
          <cell r="R1301">
            <v>1310000</v>
          </cell>
          <cell r="S1301">
            <v>1825000</v>
          </cell>
          <cell r="Y1301">
            <v>1433250</v>
          </cell>
          <cell r="AA1301">
            <v>1365000</v>
          </cell>
        </row>
        <row r="1302">
          <cell r="B1302" t="str">
            <v>76W-9630</v>
          </cell>
          <cell r="C1302" t="str">
            <v>TGS-33-4406X4BBS-L</v>
          </cell>
          <cell r="E1302" t="str">
            <v>SOLD</v>
          </cell>
          <cell r="F1302">
            <v>22</v>
          </cell>
          <cell r="G1302">
            <v>14.7</v>
          </cell>
          <cell r="H1302">
            <v>42937</v>
          </cell>
          <cell r="J1302">
            <v>1770000</v>
          </cell>
          <cell r="P1302">
            <v>1375500</v>
          </cell>
          <cell r="R1302">
            <v>1310000</v>
          </cell>
          <cell r="S1302">
            <v>1825000</v>
          </cell>
          <cell r="Y1302">
            <v>1433250</v>
          </cell>
          <cell r="AA1302">
            <v>1365000</v>
          </cell>
        </row>
        <row r="1303">
          <cell r="B1303" t="str">
            <v>76W-9631</v>
          </cell>
          <cell r="C1303" t="str">
            <v>TGS-33-4406X4BBS-L</v>
          </cell>
          <cell r="E1303" t="str">
            <v>SOLD</v>
          </cell>
          <cell r="F1303">
            <v>35</v>
          </cell>
          <cell r="G1303">
            <v>14.7</v>
          </cell>
          <cell r="H1303">
            <v>42937</v>
          </cell>
          <cell r="J1303">
            <v>1770000</v>
          </cell>
          <cell r="P1303">
            <v>1375500</v>
          </cell>
          <cell r="R1303">
            <v>1310000</v>
          </cell>
          <cell r="S1303">
            <v>1825000</v>
          </cell>
          <cell r="Y1303">
            <v>1433250</v>
          </cell>
          <cell r="AA1303">
            <v>1365000</v>
          </cell>
        </row>
        <row r="1304">
          <cell r="B1304" t="str">
            <v>76W-9632</v>
          </cell>
          <cell r="C1304" t="str">
            <v>TGS-33-4406X4BBS-L</v>
          </cell>
          <cell r="E1304" t="str">
            <v>SOLD</v>
          </cell>
          <cell r="F1304">
            <v>34</v>
          </cell>
          <cell r="G1304">
            <v>14.7</v>
          </cell>
          <cell r="H1304">
            <v>42937</v>
          </cell>
          <cell r="J1304">
            <v>1770000</v>
          </cell>
          <cell r="P1304">
            <v>1375500</v>
          </cell>
          <cell r="R1304">
            <v>1310000</v>
          </cell>
          <cell r="S1304">
            <v>1825000</v>
          </cell>
          <cell r="Y1304">
            <v>1433250</v>
          </cell>
          <cell r="AA1304">
            <v>1365000</v>
          </cell>
        </row>
        <row r="1305">
          <cell r="B1305" t="str">
            <v>76W-9633</v>
          </cell>
          <cell r="C1305" t="str">
            <v>TGS-33-4406X4BBS-L</v>
          </cell>
          <cell r="E1305" t="str">
            <v>SOLD</v>
          </cell>
          <cell r="F1305">
            <v>35</v>
          </cell>
          <cell r="G1305">
            <v>14.7</v>
          </cell>
          <cell r="H1305">
            <v>42937</v>
          </cell>
          <cell r="J1305">
            <v>1770000</v>
          </cell>
          <cell r="P1305">
            <v>1375500</v>
          </cell>
          <cell r="R1305">
            <v>1310000</v>
          </cell>
          <cell r="S1305">
            <v>1825000</v>
          </cell>
          <cell r="Y1305">
            <v>1433250</v>
          </cell>
          <cell r="AA1305">
            <v>1365000</v>
          </cell>
        </row>
        <row r="1306">
          <cell r="B1306" t="str">
            <v>76W-9634</v>
          </cell>
          <cell r="C1306" t="str">
            <v>TGS-33-4406X4BBS-L</v>
          </cell>
          <cell r="E1306" t="str">
            <v>SOLD</v>
          </cell>
          <cell r="F1306">
            <v>34</v>
          </cell>
          <cell r="G1306">
            <v>14.7</v>
          </cell>
          <cell r="H1306">
            <v>42937</v>
          </cell>
          <cell r="J1306">
            <v>1770000</v>
          </cell>
          <cell r="P1306">
            <v>1375500</v>
          </cell>
          <cell r="R1306">
            <v>1310000</v>
          </cell>
          <cell r="S1306">
            <v>1825000</v>
          </cell>
          <cell r="Y1306">
            <v>1433250</v>
          </cell>
          <cell r="AA1306">
            <v>1365000</v>
          </cell>
        </row>
        <row r="1307">
          <cell r="B1307" t="str">
            <v>76W-9635</v>
          </cell>
          <cell r="C1307" t="str">
            <v>TGS-33-4406X4BBS-L</v>
          </cell>
          <cell r="E1307" t="str">
            <v>SOLD</v>
          </cell>
          <cell r="F1307">
            <v>25</v>
          </cell>
          <cell r="G1307">
            <v>14.7</v>
          </cell>
          <cell r="H1307">
            <v>42937</v>
          </cell>
          <cell r="J1307">
            <v>1770000</v>
          </cell>
          <cell r="P1307">
            <v>1375500</v>
          </cell>
          <cell r="R1307">
            <v>1310000</v>
          </cell>
          <cell r="S1307">
            <v>1825000</v>
          </cell>
          <cell r="Y1307">
            <v>1433250</v>
          </cell>
          <cell r="AA1307">
            <v>1365000</v>
          </cell>
        </row>
        <row r="1308">
          <cell r="B1308" t="str">
            <v>76W-9636</v>
          </cell>
          <cell r="C1308" t="str">
            <v>TGS-33-4406X4BBS-L</v>
          </cell>
          <cell r="E1308" t="str">
            <v>SOLD</v>
          </cell>
          <cell r="F1308">
            <v>25</v>
          </cell>
          <cell r="G1308">
            <v>14.7</v>
          </cell>
          <cell r="H1308">
            <v>42937</v>
          </cell>
          <cell r="J1308">
            <v>1770000</v>
          </cell>
          <cell r="P1308">
            <v>1375500</v>
          </cell>
          <cell r="R1308">
            <v>1310000</v>
          </cell>
          <cell r="S1308">
            <v>1825000</v>
          </cell>
          <cell r="Y1308">
            <v>1433250</v>
          </cell>
          <cell r="AA1308">
            <v>1365000</v>
          </cell>
        </row>
        <row r="1309">
          <cell r="B1309" t="str">
            <v>76W-9637</v>
          </cell>
          <cell r="C1309" t="str">
            <v>TGS-33-4406X4BBS-L</v>
          </cell>
          <cell r="E1309" t="str">
            <v>SOLD</v>
          </cell>
          <cell r="F1309">
            <v>25</v>
          </cell>
          <cell r="G1309">
            <v>14.7</v>
          </cell>
          <cell r="H1309">
            <v>42937</v>
          </cell>
          <cell r="J1309">
            <v>1770000</v>
          </cell>
          <cell r="P1309">
            <v>1375500</v>
          </cell>
          <cell r="R1309">
            <v>1310000</v>
          </cell>
          <cell r="S1309">
            <v>1825000</v>
          </cell>
          <cell r="Y1309">
            <v>1433250</v>
          </cell>
          <cell r="AA1309">
            <v>1365000</v>
          </cell>
        </row>
        <row r="1310">
          <cell r="B1310" t="str">
            <v>76W-9638</v>
          </cell>
          <cell r="C1310" t="str">
            <v>TGS-33-4406X4BBS-L</v>
          </cell>
          <cell r="E1310" t="str">
            <v>SOLD</v>
          </cell>
          <cell r="F1310">
            <v>25</v>
          </cell>
          <cell r="G1310">
            <v>14.7</v>
          </cell>
          <cell r="H1310">
            <v>42937</v>
          </cell>
          <cell r="J1310">
            <v>1770000</v>
          </cell>
          <cell r="P1310">
            <v>1375500</v>
          </cell>
          <cell r="R1310">
            <v>1310000</v>
          </cell>
          <cell r="S1310">
            <v>1825000</v>
          </cell>
          <cell r="Y1310">
            <v>1433250</v>
          </cell>
          <cell r="AA1310">
            <v>1365000</v>
          </cell>
        </row>
        <row r="1311">
          <cell r="B1311" t="str">
            <v>76W-9639</v>
          </cell>
          <cell r="C1311" t="str">
            <v>TGS-33-4406X4BBS-L</v>
          </cell>
          <cell r="E1311" t="str">
            <v>SOLD</v>
          </cell>
          <cell r="F1311">
            <v>22</v>
          </cell>
          <cell r="G1311">
            <v>14.7</v>
          </cell>
          <cell r="H1311">
            <v>42937</v>
          </cell>
          <cell r="J1311">
            <v>1770000</v>
          </cell>
          <cell r="P1311">
            <v>1375500</v>
          </cell>
          <cell r="R1311">
            <v>1310000</v>
          </cell>
          <cell r="S1311">
            <v>1825000</v>
          </cell>
          <cell r="Y1311">
            <v>1433250</v>
          </cell>
          <cell r="AA1311">
            <v>1365000</v>
          </cell>
        </row>
        <row r="1312">
          <cell r="B1312" t="str">
            <v>76W-9640</v>
          </cell>
          <cell r="C1312" t="str">
            <v>TGS-33-4406X4BBS-L</v>
          </cell>
          <cell r="E1312" t="str">
            <v>SOLD</v>
          </cell>
          <cell r="F1312">
            <v>22</v>
          </cell>
          <cell r="G1312">
            <v>14.7</v>
          </cell>
          <cell r="H1312">
            <v>42937</v>
          </cell>
          <cell r="J1312">
            <v>1770000</v>
          </cell>
          <cell r="P1312">
            <v>1375500</v>
          </cell>
          <cell r="R1312">
            <v>1310000</v>
          </cell>
          <cell r="S1312">
            <v>1825000</v>
          </cell>
          <cell r="Y1312">
            <v>1433250</v>
          </cell>
          <cell r="AA1312">
            <v>1365000</v>
          </cell>
        </row>
        <row r="1313">
          <cell r="B1313" t="str">
            <v>76W-9641</v>
          </cell>
          <cell r="C1313" t="str">
            <v>TGS-33-4406X4BBS-L</v>
          </cell>
          <cell r="E1313" t="str">
            <v>SOLD</v>
          </cell>
          <cell r="F1313">
            <v>22</v>
          </cell>
          <cell r="G1313">
            <v>14.7</v>
          </cell>
          <cell r="H1313">
            <v>42937</v>
          </cell>
          <cell r="J1313">
            <v>1770000</v>
          </cell>
          <cell r="P1313">
            <v>1375500</v>
          </cell>
          <cell r="R1313">
            <v>1310000</v>
          </cell>
          <cell r="S1313">
            <v>1825000</v>
          </cell>
          <cell r="Y1313">
            <v>1433250</v>
          </cell>
          <cell r="AA1313">
            <v>1365000</v>
          </cell>
        </row>
        <row r="1314">
          <cell r="B1314" t="str">
            <v>76W-9642</v>
          </cell>
          <cell r="C1314" t="str">
            <v>TGS-33-4406X4BBS-L</v>
          </cell>
          <cell r="E1314" t="str">
            <v>SOLD</v>
          </cell>
          <cell r="F1314">
            <v>32</v>
          </cell>
          <cell r="G1314">
            <v>14.7</v>
          </cell>
          <cell r="H1314">
            <v>42937</v>
          </cell>
          <cell r="J1314">
            <v>1770000</v>
          </cell>
          <cell r="P1314">
            <v>1375500</v>
          </cell>
          <cell r="R1314">
            <v>1310000</v>
          </cell>
          <cell r="S1314">
            <v>1825000</v>
          </cell>
          <cell r="Y1314">
            <v>1433250</v>
          </cell>
          <cell r="AA1314">
            <v>1365000</v>
          </cell>
        </row>
        <row r="1315">
          <cell r="B1315" t="str">
            <v>76W-9643</v>
          </cell>
          <cell r="C1315" t="str">
            <v>TGS-33-4406X4BBS-L</v>
          </cell>
          <cell r="E1315" t="str">
            <v>CKD</v>
          </cell>
          <cell r="F1315" t="str">
            <v>2018-02-02</v>
          </cell>
          <cell r="G1315">
            <v>14.7</v>
          </cell>
          <cell r="H1315">
            <v>42937</v>
          </cell>
          <cell r="J1315">
            <v>1770000</v>
          </cell>
          <cell r="P1315">
            <v>1375500</v>
          </cell>
          <cell r="R1315">
            <v>1310000</v>
          </cell>
          <cell r="S1315">
            <v>1825000</v>
          </cell>
          <cell r="Y1315">
            <v>1433250</v>
          </cell>
          <cell r="AA1315">
            <v>1365000</v>
          </cell>
        </row>
        <row r="1316">
          <cell r="B1316" t="str">
            <v>TBAKP673</v>
          </cell>
          <cell r="C1316" t="str">
            <v>TGS-33-4406X4BBS-L</v>
          </cell>
          <cell r="E1316" t="str">
            <v>CKD</v>
          </cell>
          <cell r="F1316" t="str">
            <v>2018-08-19</v>
          </cell>
          <cell r="G1316">
            <v>15.8</v>
          </cell>
          <cell r="H1316">
            <v>43159</v>
          </cell>
          <cell r="J1316">
            <v>1770000</v>
          </cell>
          <cell r="P1316">
            <v>1375500</v>
          </cell>
          <cell r="R1316">
            <v>1310000</v>
          </cell>
          <cell r="S1316">
            <v>1825000</v>
          </cell>
          <cell r="Y1316">
            <v>1433250</v>
          </cell>
          <cell r="AA1316">
            <v>1365000</v>
          </cell>
        </row>
        <row r="1317">
          <cell r="B1317">
            <v>48657</v>
          </cell>
          <cell r="C1317" t="str">
            <v>TGS-33-4406X6BB-M-SWA</v>
          </cell>
          <cell r="E1317" t="str">
            <v>CKD</v>
          </cell>
          <cell r="F1317" t="str">
            <v>2018-04-06</v>
          </cell>
          <cell r="G1317">
            <v>15.9</v>
          </cell>
          <cell r="H1317">
            <v>43039</v>
          </cell>
          <cell r="J1317">
            <v>2090000</v>
          </cell>
          <cell r="P1317">
            <v>1779750</v>
          </cell>
          <cell r="R1317">
            <v>1695000</v>
          </cell>
          <cell r="S1317">
            <v>2145000</v>
          </cell>
          <cell r="Y1317">
            <v>1837500</v>
          </cell>
          <cell r="AA1317">
            <v>1750000</v>
          </cell>
        </row>
        <row r="1318">
          <cell r="B1318">
            <v>48658</v>
          </cell>
          <cell r="C1318" t="str">
            <v>TGS-33-4406X6BB-M-SWA</v>
          </cell>
          <cell r="E1318" t="str">
            <v>CKD</v>
          </cell>
          <cell r="F1318" t="str">
            <v>2018-04-06</v>
          </cell>
          <cell r="G1318">
            <v>15.9</v>
          </cell>
          <cell r="H1318">
            <v>43039</v>
          </cell>
          <cell r="J1318">
            <v>2090000</v>
          </cell>
          <cell r="P1318">
            <v>1779750</v>
          </cell>
          <cell r="R1318">
            <v>1695000</v>
          </cell>
          <cell r="S1318">
            <v>2145000</v>
          </cell>
          <cell r="Y1318">
            <v>1837500</v>
          </cell>
          <cell r="AA1318">
            <v>1750000</v>
          </cell>
        </row>
        <row r="1319">
          <cell r="B1319">
            <v>48659</v>
          </cell>
          <cell r="C1319" t="str">
            <v>TGS-33-4406X6BB-M-SWA</v>
          </cell>
          <cell r="E1319" t="str">
            <v>CKD</v>
          </cell>
          <cell r="F1319" t="str">
            <v>2018-04-06</v>
          </cell>
          <cell r="G1319">
            <v>15.9</v>
          </cell>
          <cell r="H1319">
            <v>43039</v>
          </cell>
          <cell r="J1319">
            <v>2090000</v>
          </cell>
          <cell r="P1319">
            <v>1779750</v>
          </cell>
          <cell r="R1319">
            <v>1695000</v>
          </cell>
          <cell r="S1319">
            <v>2145000</v>
          </cell>
          <cell r="Y1319">
            <v>1837500</v>
          </cell>
          <cell r="AA1319">
            <v>1750000</v>
          </cell>
        </row>
        <row r="1320">
          <cell r="B1320">
            <v>48660</v>
          </cell>
          <cell r="C1320" t="str">
            <v>TGS-33-4406X6BB-M-SWA</v>
          </cell>
          <cell r="E1320" t="str">
            <v>CKD</v>
          </cell>
          <cell r="F1320" t="str">
            <v>2018-04-06</v>
          </cell>
          <cell r="G1320">
            <v>15.9</v>
          </cell>
          <cell r="H1320">
            <v>43039</v>
          </cell>
          <cell r="J1320">
            <v>2090000</v>
          </cell>
          <cell r="P1320">
            <v>1779750</v>
          </cell>
          <cell r="R1320">
            <v>1695000</v>
          </cell>
          <cell r="S1320">
            <v>2145000</v>
          </cell>
          <cell r="Y1320">
            <v>1837500</v>
          </cell>
          <cell r="AA1320">
            <v>1750000</v>
          </cell>
        </row>
        <row r="1321">
          <cell r="B1321" t="str">
            <v>TBATG006</v>
          </cell>
          <cell r="C1321" t="str">
            <v>TGS-33-4406X6BB-M-SWA</v>
          </cell>
          <cell r="E1321" t="str">
            <v>CKD</v>
          </cell>
          <cell r="F1321" t="str">
            <v>2018-06-18</v>
          </cell>
          <cell r="G1321">
            <v>15.8</v>
          </cell>
          <cell r="H1321">
            <v>43159</v>
          </cell>
          <cell r="J1321">
            <v>2090000</v>
          </cell>
          <cell r="P1321">
            <v>1779750</v>
          </cell>
          <cell r="R1321">
            <v>1695000</v>
          </cell>
          <cell r="S1321">
            <v>2145000</v>
          </cell>
          <cell r="Y1321">
            <v>1837500</v>
          </cell>
          <cell r="AA1321">
            <v>1750000</v>
          </cell>
        </row>
        <row r="1322">
          <cell r="B1322">
            <v>48717</v>
          </cell>
          <cell r="C1322" t="str">
            <v>TGS-33-4806X4BB-M</v>
          </cell>
          <cell r="E1322" t="str">
            <v>CKD</v>
          </cell>
          <cell r="F1322" t="str">
            <v>2018-06-30</v>
          </cell>
          <cell r="G1322">
            <v>15.9</v>
          </cell>
          <cell r="H1322">
            <v>43039</v>
          </cell>
          <cell r="J1322">
            <v>1795000</v>
          </cell>
          <cell r="P1322">
            <v>1380750</v>
          </cell>
          <cell r="R1322">
            <v>1315000</v>
          </cell>
          <cell r="S1322">
            <v>1850000</v>
          </cell>
          <cell r="Y1322">
            <v>1438500</v>
          </cell>
          <cell r="AA1322">
            <v>1370000</v>
          </cell>
        </row>
        <row r="1323">
          <cell r="B1323">
            <v>48718</v>
          </cell>
          <cell r="C1323" t="str">
            <v>TGS-33-4806X4BB-M</v>
          </cell>
          <cell r="E1323" t="str">
            <v>CKD</v>
          </cell>
          <cell r="F1323" t="str">
            <v>2018-06-30</v>
          </cell>
          <cell r="G1323">
            <v>15.9</v>
          </cell>
          <cell r="H1323">
            <v>43039</v>
          </cell>
          <cell r="J1323">
            <v>1795000</v>
          </cell>
          <cell r="P1323">
            <v>1380750</v>
          </cell>
          <cell r="R1323">
            <v>1315000</v>
          </cell>
          <cell r="S1323">
            <v>1850000</v>
          </cell>
          <cell r="Y1323">
            <v>1438500</v>
          </cell>
          <cell r="AA1323">
            <v>1370000</v>
          </cell>
        </row>
        <row r="1324">
          <cell r="B1324">
            <v>48719</v>
          </cell>
          <cell r="C1324" t="str">
            <v>TGS-33-4806X4BB-M</v>
          </cell>
          <cell r="E1324" t="str">
            <v>CKD</v>
          </cell>
          <cell r="F1324" t="str">
            <v>2018-07-30</v>
          </cell>
          <cell r="G1324">
            <v>15.9</v>
          </cell>
          <cell r="H1324">
            <v>43039</v>
          </cell>
          <cell r="J1324">
            <v>1795000</v>
          </cell>
          <cell r="P1324">
            <v>1380750</v>
          </cell>
          <cell r="R1324">
            <v>1315000</v>
          </cell>
          <cell r="S1324">
            <v>1850000</v>
          </cell>
          <cell r="Y1324">
            <v>1438500</v>
          </cell>
          <cell r="AA1324">
            <v>1370000</v>
          </cell>
        </row>
        <row r="1325">
          <cell r="B1325">
            <v>48720</v>
          </cell>
          <cell r="C1325" t="str">
            <v>TGS-33-4806X4BB-M</v>
          </cell>
          <cell r="E1325" t="str">
            <v>CKD</v>
          </cell>
          <cell r="F1325" t="str">
            <v>2018-07-30</v>
          </cell>
          <cell r="G1325">
            <v>15.9</v>
          </cell>
          <cell r="H1325">
            <v>43039</v>
          </cell>
          <cell r="J1325">
            <v>1795000</v>
          </cell>
          <cell r="P1325">
            <v>1380750</v>
          </cell>
          <cell r="R1325">
            <v>1315000</v>
          </cell>
          <cell r="S1325">
            <v>1850000</v>
          </cell>
          <cell r="Y1325">
            <v>1438500</v>
          </cell>
          <cell r="AA1325">
            <v>1370000</v>
          </cell>
        </row>
        <row r="1326">
          <cell r="B1326" t="str">
            <v>76W-9496</v>
          </cell>
          <cell r="C1326" t="str">
            <v>TGS-33-4806X4BB-M</v>
          </cell>
          <cell r="E1326" t="str">
            <v>SOLD</v>
          </cell>
          <cell r="F1326">
            <v>70</v>
          </cell>
          <cell r="G1326">
            <v>14.7</v>
          </cell>
          <cell r="H1326">
            <v>42937</v>
          </cell>
          <cell r="J1326">
            <v>1795000</v>
          </cell>
          <cell r="P1326">
            <v>1417500</v>
          </cell>
          <cell r="R1326">
            <v>1350000</v>
          </cell>
          <cell r="S1326">
            <v>1850000</v>
          </cell>
          <cell r="Y1326">
            <v>1475250</v>
          </cell>
          <cell r="AA1326">
            <v>1405000</v>
          </cell>
        </row>
        <row r="1327">
          <cell r="B1327" t="str">
            <v>76W-9499</v>
          </cell>
          <cell r="C1327" t="str">
            <v>TGS-33-4806X4BB-M</v>
          </cell>
          <cell r="E1327" t="str">
            <v>SOLD</v>
          </cell>
          <cell r="F1327">
            <v>76</v>
          </cell>
          <cell r="G1327">
            <v>14.7</v>
          </cell>
          <cell r="H1327">
            <v>42937</v>
          </cell>
          <cell r="J1327">
            <v>1795000</v>
          </cell>
          <cell r="P1327">
            <v>1417500</v>
          </cell>
          <cell r="R1327">
            <v>1350000</v>
          </cell>
          <cell r="S1327">
            <v>1850000</v>
          </cell>
          <cell r="Y1327">
            <v>1475250</v>
          </cell>
          <cell r="AA1327">
            <v>1405000</v>
          </cell>
        </row>
        <row r="1328">
          <cell r="B1328" t="str">
            <v>76W-9501</v>
          </cell>
          <cell r="C1328" t="str">
            <v>TGS-33-4806X4BB-M</v>
          </cell>
          <cell r="E1328" t="str">
            <v>SOLD</v>
          </cell>
          <cell r="F1328">
            <v>70</v>
          </cell>
          <cell r="G1328">
            <v>14.7</v>
          </cell>
          <cell r="H1328">
            <v>42937</v>
          </cell>
          <cell r="J1328">
            <v>1795000</v>
          </cell>
          <cell r="P1328">
            <v>1417500</v>
          </cell>
          <cell r="R1328">
            <v>1350000</v>
          </cell>
          <cell r="S1328">
            <v>1850000</v>
          </cell>
          <cell r="Y1328">
            <v>1475250</v>
          </cell>
          <cell r="AA1328">
            <v>1405000</v>
          </cell>
        </row>
        <row r="1329">
          <cell r="B1329" t="str">
            <v>76W-9502</v>
          </cell>
          <cell r="C1329" t="str">
            <v>TGS-33-4806X4BB-M</v>
          </cell>
          <cell r="E1329" t="str">
            <v>SOLD</v>
          </cell>
          <cell r="F1329">
            <v>70</v>
          </cell>
          <cell r="G1329">
            <v>14.7</v>
          </cell>
          <cell r="H1329">
            <v>42937</v>
          </cell>
          <cell r="J1329">
            <v>1795000</v>
          </cell>
          <cell r="P1329">
            <v>1417500</v>
          </cell>
          <cell r="R1329">
            <v>1350000</v>
          </cell>
          <cell r="S1329">
            <v>1850000</v>
          </cell>
          <cell r="Y1329">
            <v>1475250</v>
          </cell>
          <cell r="AA1329">
            <v>1405000</v>
          </cell>
        </row>
        <row r="1330">
          <cell r="B1330" t="str">
            <v>76W-9619</v>
          </cell>
          <cell r="C1330" t="str">
            <v>TGS-33-4806X4BB-M</v>
          </cell>
          <cell r="E1330" t="str">
            <v>SOLD</v>
          </cell>
          <cell r="F1330">
            <v>70</v>
          </cell>
          <cell r="G1330">
            <v>15.3</v>
          </cell>
          <cell r="H1330">
            <v>42957</v>
          </cell>
          <cell r="J1330">
            <v>1795000</v>
          </cell>
          <cell r="P1330">
            <v>1417500</v>
          </cell>
          <cell r="R1330">
            <v>1350000</v>
          </cell>
          <cell r="S1330">
            <v>1850000</v>
          </cell>
          <cell r="Y1330">
            <v>1475250</v>
          </cell>
          <cell r="AA1330">
            <v>1405000</v>
          </cell>
        </row>
        <row r="1331">
          <cell r="B1331" t="str">
            <v>76W-9620</v>
          </cell>
          <cell r="C1331" t="str">
            <v>TGS-33-4806X4BB-M</v>
          </cell>
          <cell r="E1331" t="str">
            <v>SOLD</v>
          </cell>
          <cell r="F1331">
            <v>82</v>
          </cell>
          <cell r="G1331">
            <v>15.3</v>
          </cell>
          <cell r="H1331">
            <v>42957</v>
          </cell>
          <cell r="J1331">
            <v>1795000</v>
          </cell>
          <cell r="P1331">
            <v>1417500</v>
          </cell>
          <cell r="R1331">
            <v>1350000</v>
          </cell>
          <cell r="S1331">
            <v>1850000</v>
          </cell>
          <cell r="Y1331">
            <v>1475250</v>
          </cell>
          <cell r="AA1331">
            <v>1405000</v>
          </cell>
        </row>
        <row r="1332">
          <cell r="B1332" t="str">
            <v>76W-9621</v>
          </cell>
          <cell r="C1332" t="str">
            <v>TGS-33-4806X4BB-M</v>
          </cell>
          <cell r="E1332" t="str">
            <v>SOLD</v>
          </cell>
          <cell r="F1332">
            <v>81</v>
          </cell>
          <cell r="G1332">
            <v>15.3</v>
          </cell>
          <cell r="H1332">
            <v>42957</v>
          </cell>
          <cell r="J1332">
            <v>1795000</v>
          </cell>
          <cell r="P1332">
            <v>1417500</v>
          </cell>
          <cell r="R1332">
            <v>1350000</v>
          </cell>
          <cell r="S1332">
            <v>1850000</v>
          </cell>
          <cell r="Y1332">
            <v>1475250</v>
          </cell>
          <cell r="AA1332">
            <v>1405000</v>
          </cell>
        </row>
        <row r="1333">
          <cell r="B1333" t="str">
            <v>76W-9622</v>
          </cell>
          <cell r="C1333" t="str">
            <v>TGS-33-4806X4BB-M</v>
          </cell>
          <cell r="E1333" t="str">
            <v>SOLD</v>
          </cell>
          <cell r="F1333">
            <v>78</v>
          </cell>
          <cell r="G1333">
            <v>15.3</v>
          </cell>
          <cell r="H1333">
            <v>42957</v>
          </cell>
          <cell r="J1333">
            <v>1795000</v>
          </cell>
          <cell r="P1333">
            <v>1417500</v>
          </cell>
          <cell r="R1333">
            <v>1350000</v>
          </cell>
          <cell r="S1333">
            <v>1850000</v>
          </cell>
          <cell r="Y1333">
            <v>1475250</v>
          </cell>
          <cell r="AA1333">
            <v>1405000</v>
          </cell>
        </row>
        <row r="1334">
          <cell r="B1334" t="str">
            <v>76W-9623</v>
          </cell>
          <cell r="C1334" t="str">
            <v>TGS-33-4806X4BB-M</v>
          </cell>
          <cell r="E1334" t="str">
            <v>SOLD</v>
          </cell>
          <cell r="F1334">
            <v>78</v>
          </cell>
          <cell r="G1334">
            <v>15.3</v>
          </cell>
          <cell r="H1334">
            <v>42957</v>
          </cell>
          <cell r="J1334">
            <v>1795000</v>
          </cell>
          <cell r="P1334">
            <v>1417500</v>
          </cell>
          <cell r="R1334">
            <v>1350000</v>
          </cell>
          <cell r="S1334">
            <v>1850000</v>
          </cell>
          <cell r="Y1334">
            <v>1475250</v>
          </cell>
          <cell r="AA1334">
            <v>1405000</v>
          </cell>
        </row>
        <row r="1335">
          <cell r="B1335" t="str">
            <v>76W-9624</v>
          </cell>
          <cell r="C1335" t="str">
            <v>TGS-33-4806X4BB-M</v>
          </cell>
          <cell r="E1335" t="str">
            <v>SOLD</v>
          </cell>
          <cell r="F1335">
            <v>78</v>
          </cell>
          <cell r="G1335">
            <v>15.3</v>
          </cell>
          <cell r="H1335">
            <v>42957</v>
          </cell>
          <cell r="J1335">
            <v>1795000</v>
          </cell>
          <cell r="P1335">
            <v>1417500</v>
          </cell>
          <cell r="R1335">
            <v>1350000</v>
          </cell>
          <cell r="S1335">
            <v>1850000</v>
          </cell>
          <cell r="Y1335">
            <v>1475250</v>
          </cell>
          <cell r="AA1335">
            <v>1405000</v>
          </cell>
        </row>
        <row r="1336">
          <cell r="B1336" t="str">
            <v>76W-9625</v>
          </cell>
          <cell r="C1336" t="str">
            <v>TGS-33-4806X4BB-M</v>
          </cell>
          <cell r="E1336" t="str">
            <v>SOLD</v>
          </cell>
          <cell r="F1336">
            <v>33</v>
          </cell>
          <cell r="G1336">
            <v>15.3</v>
          </cell>
          <cell r="H1336">
            <v>42957</v>
          </cell>
          <cell r="J1336">
            <v>1795000</v>
          </cell>
          <cell r="P1336">
            <v>1417500</v>
          </cell>
          <cell r="R1336">
            <v>1350000</v>
          </cell>
          <cell r="S1336">
            <v>1850000</v>
          </cell>
          <cell r="Y1336">
            <v>1475250</v>
          </cell>
          <cell r="AA1336">
            <v>1405000</v>
          </cell>
        </row>
        <row r="1337">
          <cell r="B1337" t="str">
            <v>76W-9626</v>
          </cell>
          <cell r="C1337" t="str">
            <v>TGS-33-4806X4BB-M</v>
          </cell>
          <cell r="E1337" t="str">
            <v>SOLD</v>
          </cell>
          <cell r="F1337">
            <v>34</v>
          </cell>
          <cell r="G1337">
            <v>15.3</v>
          </cell>
          <cell r="H1337">
            <v>42957</v>
          </cell>
          <cell r="J1337">
            <v>1795000</v>
          </cell>
          <cell r="P1337">
            <v>1417500</v>
          </cell>
          <cell r="R1337">
            <v>1350000</v>
          </cell>
          <cell r="S1337">
            <v>1850000</v>
          </cell>
          <cell r="Y1337">
            <v>1475250</v>
          </cell>
          <cell r="AA1337">
            <v>1405000</v>
          </cell>
        </row>
        <row r="1338">
          <cell r="B1338" t="str">
            <v>76W-B263</v>
          </cell>
          <cell r="C1338" t="str">
            <v>TGS-33-4806X4BB-M</v>
          </cell>
          <cell r="E1338" t="str">
            <v>CKD</v>
          </cell>
          <cell r="F1338" t="str">
            <v>2018-03-30</v>
          </cell>
          <cell r="G1338">
            <v>15.3</v>
          </cell>
          <cell r="H1338">
            <v>42978</v>
          </cell>
          <cell r="J1338">
            <v>1795000</v>
          </cell>
          <cell r="P1338">
            <v>1417500</v>
          </cell>
          <cell r="R1338">
            <v>1350000</v>
          </cell>
          <cell r="S1338">
            <v>1850000</v>
          </cell>
          <cell r="Y1338">
            <v>1475250</v>
          </cell>
          <cell r="AA1338">
            <v>1405000</v>
          </cell>
        </row>
        <row r="1339">
          <cell r="B1339" t="str">
            <v>76W-B264</v>
          </cell>
          <cell r="C1339" t="str">
            <v>TGS-33-4806X4BB-M</v>
          </cell>
          <cell r="E1339" t="str">
            <v>CKD</v>
          </cell>
          <cell r="F1339" t="str">
            <v>2018-03-30</v>
          </cell>
          <cell r="G1339">
            <v>15.3</v>
          </cell>
          <cell r="H1339">
            <v>42978</v>
          </cell>
          <cell r="J1339">
            <v>1795000</v>
          </cell>
          <cell r="P1339">
            <v>1417500</v>
          </cell>
          <cell r="R1339">
            <v>1350000</v>
          </cell>
          <cell r="S1339">
            <v>1850000</v>
          </cell>
          <cell r="Y1339">
            <v>1475250</v>
          </cell>
          <cell r="AA1339">
            <v>1405000</v>
          </cell>
        </row>
        <row r="1340">
          <cell r="B1340" t="str">
            <v>76W-B265</v>
          </cell>
          <cell r="C1340" t="str">
            <v>TGS-33-4806X4BB-M</v>
          </cell>
          <cell r="E1340" t="str">
            <v>CKD</v>
          </cell>
          <cell r="F1340" t="str">
            <v>2018-05-30</v>
          </cell>
          <cell r="G1340">
            <v>15.3</v>
          </cell>
          <cell r="H1340">
            <v>42978</v>
          </cell>
          <cell r="J1340">
            <v>1795000</v>
          </cell>
          <cell r="P1340">
            <v>1380750</v>
          </cell>
          <cell r="R1340">
            <v>1315000</v>
          </cell>
          <cell r="S1340">
            <v>1850000</v>
          </cell>
          <cell r="Y1340">
            <v>1438500</v>
          </cell>
          <cell r="AA1340">
            <v>1370000</v>
          </cell>
        </row>
        <row r="1341">
          <cell r="B1341" t="str">
            <v>76W-B266</v>
          </cell>
          <cell r="C1341" t="str">
            <v>TGS-33-4806X4BB-M</v>
          </cell>
          <cell r="E1341" t="str">
            <v>CKD</v>
          </cell>
          <cell r="F1341" t="str">
            <v>2018-05-30</v>
          </cell>
          <cell r="G1341">
            <v>15.3</v>
          </cell>
          <cell r="H1341">
            <v>42978</v>
          </cell>
          <cell r="J1341">
            <v>1795000</v>
          </cell>
          <cell r="P1341">
            <v>1380750</v>
          </cell>
          <cell r="R1341">
            <v>1315000</v>
          </cell>
          <cell r="S1341">
            <v>1850000</v>
          </cell>
          <cell r="Y1341">
            <v>1438500</v>
          </cell>
          <cell r="AA1341">
            <v>1370000</v>
          </cell>
        </row>
        <row r="1342">
          <cell r="B1342" t="str">
            <v>TBAKP678</v>
          </cell>
          <cell r="C1342" t="str">
            <v>TGS-33-4806X4BB-M</v>
          </cell>
          <cell r="E1342" t="str">
            <v>CKD</v>
          </cell>
          <cell r="F1342" t="str">
            <v>2018-08-19</v>
          </cell>
          <cell r="G1342">
            <v>15.8</v>
          </cell>
          <cell r="H1342">
            <v>43159</v>
          </cell>
          <cell r="J1342">
            <v>1795000</v>
          </cell>
          <cell r="P1342">
            <v>1417500</v>
          </cell>
          <cell r="R1342">
            <v>1350000</v>
          </cell>
          <cell r="S1342">
            <v>1850000</v>
          </cell>
          <cell r="Y1342">
            <v>1475250</v>
          </cell>
          <cell r="AA1342">
            <v>1405000</v>
          </cell>
        </row>
        <row r="1343">
          <cell r="B1343">
            <v>48725</v>
          </cell>
          <cell r="C1343" t="str">
            <v>TGS-33-4806X4BBS-L</v>
          </cell>
          <cell r="E1343" t="str">
            <v>CKD</v>
          </cell>
          <cell r="F1343" t="str">
            <v>2018-07-30</v>
          </cell>
          <cell r="G1343">
            <v>15.9</v>
          </cell>
          <cell r="H1343">
            <v>43039</v>
          </cell>
          <cell r="J1343">
            <v>1820000</v>
          </cell>
          <cell r="P1343">
            <v>1407000</v>
          </cell>
          <cell r="R1343">
            <v>1340000</v>
          </cell>
          <cell r="S1343">
            <v>1875000</v>
          </cell>
          <cell r="Y1343">
            <v>1464750</v>
          </cell>
          <cell r="AA1343">
            <v>1395000</v>
          </cell>
        </row>
        <row r="1344">
          <cell r="B1344">
            <v>48726</v>
          </cell>
          <cell r="C1344" t="str">
            <v>TGS-33-4806X4BBS-L</v>
          </cell>
          <cell r="E1344" t="str">
            <v>CKD</v>
          </cell>
          <cell r="F1344" t="str">
            <v>2018-07-30</v>
          </cell>
          <cell r="G1344">
            <v>15.9</v>
          </cell>
          <cell r="H1344">
            <v>43039</v>
          </cell>
          <cell r="J1344">
            <v>1820000</v>
          </cell>
          <cell r="P1344">
            <v>1407000</v>
          </cell>
          <cell r="R1344">
            <v>1340000</v>
          </cell>
          <cell r="S1344">
            <v>1875000</v>
          </cell>
          <cell r="Y1344">
            <v>1464750</v>
          </cell>
          <cell r="AA1344">
            <v>1395000</v>
          </cell>
        </row>
        <row r="1345">
          <cell r="B1345">
            <v>48727</v>
          </cell>
          <cell r="C1345" t="str">
            <v>TGS-33-4806X4BBS-L</v>
          </cell>
          <cell r="E1345" t="str">
            <v>CKD</v>
          </cell>
          <cell r="F1345" t="str">
            <v>2018-07-30</v>
          </cell>
          <cell r="G1345">
            <v>15.9</v>
          </cell>
          <cell r="H1345">
            <v>43039</v>
          </cell>
          <cell r="J1345">
            <v>1820000</v>
          </cell>
          <cell r="P1345">
            <v>1407000</v>
          </cell>
          <cell r="R1345">
            <v>1340000</v>
          </cell>
          <cell r="S1345">
            <v>1875000</v>
          </cell>
          <cell r="Y1345">
            <v>1464750</v>
          </cell>
          <cell r="AA1345">
            <v>1395000</v>
          </cell>
        </row>
        <row r="1346">
          <cell r="B1346">
            <v>48728</v>
          </cell>
          <cell r="C1346" t="str">
            <v>TGS-33-4806X4BBS-L</v>
          </cell>
          <cell r="E1346" t="str">
            <v>CKD</v>
          </cell>
          <cell r="F1346" t="str">
            <v>2018-07-30</v>
          </cell>
          <cell r="G1346">
            <v>15.9</v>
          </cell>
          <cell r="H1346">
            <v>43039</v>
          </cell>
          <cell r="J1346">
            <v>1820000</v>
          </cell>
          <cell r="P1346">
            <v>1407000</v>
          </cell>
          <cell r="R1346">
            <v>1340000</v>
          </cell>
          <cell r="S1346">
            <v>1875000</v>
          </cell>
          <cell r="Y1346">
            <v>1464750</v>
          </cell>
          <cell r="AA1346">
            <v>1395000</v>
          </cell>
        </row>
        <row r="1347">
          <cell r="B1347" t="str">
            <v>76W-B103</v>
          </cell>
          <cell r="C1347" t="str">
            <v>TGS-33-4806X4BBS-L</v>
          </cell>
          <cell r="E1347" t="str">
            <v>CKD</v>
          </cell>
          <cell r="F1347" t="str">
            <v>2018-02-26</v>
          </cell>
          <cell r="G1347">
            <v>15.3</v>
          </cell>
          <cell r="H1347">
            <v>42978</v>
          </cell>
          <cell r="J1347">
            <v>1820000</v>
          </cell>
          <cell r="P1347">
            <v>1407000</v>
          </cell>
          <cell r="R1347">
            <v>1340000</v>
          </cell>
          <cell r="S1347">
            <v>1875000</v>
          </cell>
          <cell r="Y1347">
            <v>1464750</v>
          </cell>
          <cell r="AA1347">
            <v>1395000</v>
          </cell>
        </row>
        <row r="1348">
          <cell r="B1348" t="str">
            <v>76W-B104</v>
          </cell>
          <cell r="C1348" t="str">
            <v>TGS-33-4806X4BBS-L</v>
          </cell>
          <cell r="E1348" t="str">
            <v>CKD</v>
          </cell>
          <cell r="F1348" t="str">
            <v>2018-02-26</v>
          </cell>
          <cell r="G1348">
            <v>15.3</v>
          </cell>
          <cell r="H1348">
            <v>42978</v>
          </cell>
          <cell r="J1348">
            <v>1820000</v>
          </cell>
          <cell r="P1348">
            <v>1407000</v>
          </cell>
          <cell r="R1348">
            <v>1340000</v>
          </cell>
          <cell r="S1348">
            <v>1875000</v>
          </cell>
          <cell r="Y1348">
            <v>1464750</v>
          </cell>
          <cell r="AA1348">
            <v>1395000</v>
          </cell>
        </row>
        <row r="1349">
          <cell r="B1349" t="str">
            <v>76W-B105</v>
          </cell>
          <cell r="C1349" t="str">
            <v>TGS-33-4806X4BBS-L</v>
          </cell>
          <cell r="E1349" t="str">
            <v>CKD</v>
          </cell>
          <cell r="F1349" t="str">
            <v>2018-02-26</v>
          </cell>
          <cell r="G1349">
            <v>15.3</v>
          </cell>
          <cell r="H1349">
            <v>42978</v>
          </cell>
          <cell r="J1349">
            <v>1820000</v>
          </cell>
          <cell r="P1349">
            <v>1407000</v>
          </cell>
          <cell r="R1349">
            <v>1340000</v>
          </cell>
          <cell r="S1349">
            <v>1875000</v>
          </cell>
          <cell r="Y1349">
            <v>1464750</v>
          </cell>
          <cell r="AA1349">
            <v>1395000</v>
          </cell>
        </row>
        <row r="1350">
          <cell r="B1350" t="str">
            <v>76W-B106</v>
          </cell>
          <cell r="C1350" t="str">
            <v>TGS-33-4806X4BBS-L</v>
          </cell>
          <cell r="E1350" t="str">
            <v>CKD</v>
          </cell>
          <cell r="F1350" t="str">
            <v>2018-02-26</v>
          </cell>
          <cell r="G1350">
            <v>15.3</v>
          </cell>
          <cell r="H1350">
            <v>42978</v>
          </cell>
          <cell r="J1350">
            <v>1820000</v>
          </cell>
          <cell r="P1350">
            <v>1407000</v>
          </cell>
          <cell r="R1350">
            <v>1340000</v>
          </cell>
          <cell r="S1350">
            <v>1875000</v>
          </cell>
          <cell r="Y1350">
            <v>1464750</v>
          </cell>
          <cell r="AA1350">
            <v>1395000</v>
          </cell>
        </row>
        <row r="1351">
          <cell r="B1351" t="str">
            <v>76W-B107</v>
          </cell>
          <cell r="C1351" t="str">
            <v>TGS-33-4806X4BBS-L</v>
          </cell>
          <cell r="E1351" t="str">
            <v>CKD</v>
          </cell>
          <cell r="F1351" t="str">
            <v>2018-02-27</v>
          </cell>
          <cell r="G1351">
            <v>15.3</v>
          </cell>
          <cell r="H1351">
            <v>42978</v>
          </cell>
          <cell r="J1351">
            <v>1820000</v>
          </cell>
          <cell r="P1351">
            <v>1407000</v>
          </cell>
          <cell r="R1351">
            <v>1340000</v>
          </cell>
          <cell r="S1351">
            <v>1875000</v>
          </cell>
          <cell r="Y1351">
            <v>1464750</v>
          </cell>
          <cell r="AA1351">
            <v>1395000</v>
          </cell>
        </row>
        <row r="1352">
          <cell r="B1352" t="str">
            <v>76W-B108</v>
          </cell>
          <cell r="C1352" t="str">
            <v>TGS-33-4806X4BBS-L</v>
          </cell>
          <cell r="E1352" t="str">
            <v>CKD</v>
          </cell>
          <cell r="F1352" t="str">
            <v>2018-02-27</v>
          </cell>
          <cell r="G1352">
            <v>15.3</v>
          </cell>
          <cell r="H1352">
            <v>42978</v>
          </cell>
          <cell r="J1352">
            <v>1820000</v>
          </cell>
          <cell r="P1352">
            <v>1407000</v>
          </cell>
          <cell r="R1352">
            <v>1340000</v>
          </cell>
          <cell r="S1352">
            <v>1875000</v>
          </cell>
          <cell r="Y1352">
            <v>1464750</v>
          </cell>
          <cell r="AA1352">
            <v>1395000</v>
          </cell>
        </row>
        <row r="1353">
          <cell r="B1353" t="str">
            <v>76W-B109</v>
          </cell>
          <cell r="C1353" t="str">
            <v>TGS-33-4806X4BBS-L</v>
          </cell>
          <cell r="E1353" t="str">
            <v>CKD</v>
          </cell>
          <cell r="F1353" t="str">
            <v>2018-03-30</v>
          </cell>
          <cell r="G1353">
            <v>15.3</v>
          </cell>
          <cell r="H1353">
            <v>42978</v>
          </cell>
          <cell r="J1353">
            <v>1820000</v>
          </cell>
          <cell r="P1353">
            <v>1407000</v>
          </cell>
          <cell r="R1353">
            <v>1340000</v>
          </cell>
          <cell r="S1353">
            <v>1875000</v>
          </cell>
          <cell r="Y1353">
            <v>1464750</v>
          </cell>
          <cell r="AA1353">
            <v>1395000</v>
          </cell>
        </row>
        <row r="1354">
          <cell r="B1354" t="str">
            <v>76W-B110</v>
          </cell>
          <cell r="C1354" t="str">
            <v>TGS-33-4806X4BBS-L</v>
          </cell>
          <cell r="E1354" t="str">
            <v>CKD</v>
          </cell>
          <cell r="F1354" t="str">
            <v>2018-03-30</v>
          </cell>
          <cell r="G1354">
            <v>15.3</v>
          </cell>
          <cell r="H1354">
            <v>42978</v>
          </cell>
          <cell r="J1354">
            <v>1820000</v>
          </cell>
          <cell r="P1354">
            <v>1407000</v>
          </cell>
          <cell r="R1354">
            <v>1340000</v>
          </cell>
          <cell r="S1354">
            <v>1875000</v>
          </cell>
          <cell r="Y1354">
            <v>1464750</v>
          </cell>
          <cell r="AA1354">
            <v>1395000</v>
          </cell>
        </row>
        <row r="1355">
          <cell r="B1355" t="str">
            <v>76W-B115</v>
          </cell>
          <cell r="C1355" t="str">
            <v>TGS-33-4806X4BBS-L</v>
          </cell>
          <cell r="E1355" t="str">
            <v>CKD</v>
          </cell>
          <cell r="F1355" t="str">
            <v>2018-04-30</v>
          </cell>
          <cell r="G1355">
            <v>15.3</v>
          </cell>
          <cell r="H1355">
            <v>42978</v>
          </cell>
          <cell r="J1355">
            <v>1820000</v>
          </cell>
          <cell r="P1355">
            <v>1407000</v>
          </cell>
          <cell r="R1355">
            <v>1340000</v>
          </cell>
          <cell r="S1355">
            <v>1875000</v>
          </cell>
          <cell r="Y1355">
            <v>1464750</v>
          </cell>
          <cell r="AA1355">
            <v>1395000</v>
          </cell>
        </row>
        <row r="1356">
          <cell r="B1356" t="str">
            <v>76W-B116</v>
          </cell>
          <cell r="C1356" t="str">
            <v>TGS-33-4806X4BBS-L</v>
          </cell>
          <cell r="E1356" t="str">
            <v>CKD</v>
          </cell>
          <cell r="F1356" t="str">
            <v>2018-04-30</v>
          </cell>
          <cell r="G1356">
            <v>15.3</v>
          </cell>
          <cell r="H1356">
            <v>42978</v>
          </cell>
          <cell r="J1356">
            <v>1820000</v>
          </cell>
          <cell r="P1356">
            <v>1407000</v>
          </cell>
          <cell r="R1356">
            <v>1340000</v>
          </cell>
          <cell r="S1356">
            <v>1875000</v>
          </cell>
          <cell r="Y1356">
            <v>1464750</v>
          </cell>
          <cell r="AA1356">
            <v>1395000</v>
          </cell>
        </row>
        <row r="1357">
          <cell r="B1357" t="str">
            <v>76W-B117</v>
          </cell>
          <cell r="C1357" t="str">
            <v>TGS-33-4806X4BBS-L</v>
          </cell>
          <cell r="E1357" t="str">
            <v>CKD</v>
          </cell>
          <cell r="F1357" t="str">
            <v>2018-03-30</v>
          </cell>
          <cell r="G1357">
            <v>15.3</v>
          </cell>
          <cell r="H1357">
            <v>42978</v>
          </cell>
          <cell r="J1357">
            <v>1820000</v>
          </cell>
          <cell r="P1357">
            <v>1407000</v>
          </cell>
          <cell r="R1357">
            <v>1340000</v>
          </cell>
          <cell r="S1357">
            <v>1875000</v>
          </cell>
          <cell r="Y1357">
            <v>1464750</v>
          </cell>
          <cell r="AA1357">
            <v>1395000</v>
          </cell>
        </row>
        <row r="1358">
          <cell r="B1358" t="str">
            <v>76W-B118</v>
          </cell>
          <cell r="C1358" t="str">
            <v>TGS-33-4806X4BBS-L</v>
          </cell>
          <cell r="E1358" t="str">
            <v>CKD</v>
          </cell>
          <cell r="F1358" t="str">
            <v>2018-05-30</v>
          </cell>
          <cell r="G1358">
            <v>15.3</v>
          </cell>
          <cell r="H1358">
            <v>42978</v>
          </cell>
          <cell r="J1358">
            <v>1820000</v>
          </cell>
          <cell r="P1358">
            <v>1407000</v>
          </cell>
          <cell r="R1358">
            <v>1340000</v>
          </cell>
          <cell r="S1358">
            <v>1875000</v>
          </cell>
          <cell r="Y1358">
            <v>1464750</v>
          </cell>
          <cell r="AA1358">
            <v>1395000</v>
          </cell>
        </row>
        <row r="1359">
          <cell r="B1359" t="str">
            <v>76W-B119</v>
          </cell>
          <cell r="C1359" t="str">
            <v>TGS-33-4806X4BBS-L</v>
          </cell>
          <cell r="E1359" t="str">
            <v>CKD</v>
          </cell>
          <cell r="F1359" t="str">
            <v>2018-03-30</v>
          </cell>
          <cell r="G1359">
            <v>15.3</v>
          </cell>
          <cell r="H1359">
            <v>42978</v>
          </cell>
          <cell r="J1359">
            <v>1820000</v>
          </cell>
          <cell r="P1359">
            <v>1407000</v>
          </cell>
          <cell r="R1359">
            <v>1340000</v>
          </cell>
          <cell r="S1359">
            <v>1875000</v>
          </cell>
          <cell r="Y1359">
            <v>1464750</v>
          </cell>
          <cell r="AA1359">
            <v>1395000</v>
          </cell>
        </row>
        <row r="1360">
          <cell r="B1360" t="str">
            <v>76W-B120</v>
          </cell>
          <cell r="C1360" t="str">
            <v>TGS-33-4806X4BBS-L</v>
          </cell>
          <cell r="E1360" t="str">
            <v>CKD</v>
          </cell>
          <cell r="F1360" t="str">
            <v>2018-05-30</v>
          </cell>
          <cell r="G1360">
            <v>15.3</v>
          </cell>
          <cell r="H1360">
            <v>42978</v>
          </cell>
          <cell r="J1360">
            <v>1820000</v>
          </cell>
          <cell r="P1360">
            <v>1407000</v>
          </cell>
          <cell r="R1360">
            <v>1340000</v>
          </cell>
          <cell r="S1360">
            <v>1875000</v>
          </cell>
          <cell r="Y1360">
            <v>1464750</v>
          </cell>
          <cell r="AA1360">
            <v>1395000</v>
          </cell>
        </row>
        <row r="1361">
          <cell r="B1361" t="str">
            <v>76W-B121</v>
          </cell>
          <cell r="C1361" t="str">
            <v>TGS-33-4806X4BBS-L</v>
          </cell>
          <cell r="E1361" t="str">
            <v>CKD</v>
          </cell>
          <cell r="F1361" t="str">
            <v>2018-05-30</v>
          </cell>
          <cell r="G1361">
            <v>15.3</v>
          </cell>
          <cell r="H1361">
            <v>42978</v>
          </cell>
          <cell r="J1361">
            <v>1820000</v>
          </cell>
          <cell r="P1361">
            <v>1407000</v>
          </cell>
          <cell r="R1361">
            <v>1340000</v>
          </cell>
          <cell r="S1361">
            <v>1875000</v>
          </cell>
          <cell r="Y1361">
            <v>1464750</v>
          </cell>
          <cell r="AA1361">
            <v>1395000</v>
          </cell>
        </row>
        <row r="1362">
          <cell r="B1362" t="str">
            <v>76W-B122</v>
          </cell>
          <cell r="C1362" t="str">
            <v>TGS-33-4806X4BBS-L</v>
          </cell>
          <cell r="E1362" t="str">
            <v>CKD</v>
          </cell>
          <cell r="F1362" t="str">
            <v>2018-05-30</v>
          </cell>
          <cell r="G1362">
            <v>15.3</v>
          </cell>
          <cell r="H1362">
            <v>42978</v>
          </cell>
          <cell r="J1362">
            <v>1820000</v>
          </cell>
          <cell r="P1362">
            <v>1407000</v>
          </cell>
          <cell r="R1362">
            <v>1340000</v>
          </cell>
          <cell r="S1362">
            <v>1875000</v>
          </cell>
          <cell r="Y1362">
            <v>1464750</v>
          </cell>
          <cell r="AA1362">
            <v>1395000</v>
          </cell>
        </row>
        <row r="1363">
          <cell r="B1363" t="str">
            <v>76W-B175</v>
          </cell>
          <cell r="C1363" t="str">
            <v>TGS-33-4806X4BBS-L</v>
          </cell>
          <cell r="E1363" t="str">
            <v>CKD</v>
          </cell>
          <cell r="F1363" t="str">
            <v>2018-05-30</v>
          </cell>
          <cell r="G1363">
            <v>15.3</v>
          </cell>
          <cell r="H1363">
            <v>42978</v>
          </cell>
          <cell r="J1363">
            <v>1820000</v>
          </cell>
          <cell r="P1363">
            <v>1407000</v>
          </cell>
          <cell r="R1363">
            <v>1340000</v>
          </cell>
          <cell r="S1363">
            <v>1875000</v>
          </cell>
          <cell r="Y1363">
            <v>1464750</v>
          </cell>
          <cell r="AA1363">
            <v>1395000</v>
          </cell>
        </row>
        <row r="1364">
          <cell r="B1364" t="str">
            <v>76W-B176</v>
          </cell>
          <cell r="C1364" t="str">
            <v>TGS-33-4806X4BBS-L</v>
          </cell>
          <cell r="E1364" t="str">
            <v>CKD</v>
          </cell>
          <cell r="F1364" t="str">
            <v>2018-05-30</v>
          </cell>
          <cell r="G1364">
            <v>15.3</v>
          </cell>
          <cell r="H1364">
            <v>42978</v>
          </cell>
          <cell r="J1364">
            <v>1820000</v>
          </cell>
          <cell r="P1364">
            <v>1407000</v>
          </cell>
          <cell r="R1364">
            <v>1340000</v>
          </cell>
          <cell r="S1364">
            <v>1875000</v>
          </cell>
          <cell r="Y1364">
            <v>1464750</v>
          </cell>
          <cell r="AA1364">
            <v>1395000</v>
          </cell>
        </row>
        <row r="1365">
          <cell r="B1365" t="str">
            <v>76W-B177</v>
          </cell>
          <cell r="C1365" t="str">
            <v>TGS-33-4806X4BBS-L</v>
          </cell>
          <cell r="E1365" t="str">
            <v>CKD</v>
          </cell>
          <cell r="F1365" t="str">
            <v>2018-06-30</v>
          </cell>
          <cell r="G1365">
            <v>15.3</v>
          </cell>
          <cell r="H1365">
            <v>42978</v>
          </cell>
          <cell r="J1365">
            <v>1820000</v>
          </cell>
          <cell r="P1365">
            <v>1407000</v>
          </cell>
          <cell r="R1365">
            <v>1340000</v>
          </cell>
          <cell r="S1365">
            <v>1875000</v>
          </cell>
          <cell r="Y1365">
            <v>1464750</v>
          </cell>
          <cell r="AA1365">
            <v>1395000</v>
          </cell>
        </row>
        <row r="1366">
          <cell r="B1366" t="str">
            <v>76W-B178</v>
          </cell>
          <cell r="C1366" t="str">
            <v>TGS-33-4806X4BBS-L</v>
          </cell>
          <cell r="E1366" t="str">
            <v>CKD</v>
          </cell>
          <cell r="F1366" t="str">
            <v>2018-06-30</v>
          </cell>
          <cell r="G1366">
            <v>15.3</v>
          </cell>
          <cell r="H1366">
            <v>42978</v>
          </cell>
          <cell r="J1366">
            <v>1820000</v>
          </cell>
          <cell r="P1366">
            <v>1407000</v>
          </cell>
          <cell r="R1366">
            <v>1340000</v>
          </cell>
          <cell r="S1366">
            <v>1875000</v>
          </cell>
          <cell r="Y1366">
            <v>1464750</v>
          </cell>
          <cell r="AA1366">
            <v>1395000</v>
          </cell>
        </row>
        <row r="1367">
          <cell r="B1367" t="str">
            <v>76W-B471</v>
          </cell>
          <cell r="C1367" t="str">
            <v>TGS-33-4806X4BBS-L</v>
          </cell>
          <cell r="E1367" t="str">
            <v>CKD</v>
          </cell>
          <cell r="F1367" t="str">
            <v>2018-06-30</v>
          </cell>
          <cell r="G1367">
            <v>15.9</v>
          </cell>
          <cell r="H1367">
            <v>43039</v>
          </cell>
          <cell r="J1367">
            <v>1820000</v>
          </cell>
          <cell r="P1367">
            <v>1407000</v>
          </cell>
          <cell r="R1367">
            <v>1340000</v>
          </cell>
          <cell r="S1367">
            <v>1875000</v>
          </cell>
          <cell r="Y1367">
            <v>1464750</v>
          </cell>
          <cell r="AA1367">
            <v>1395000</v>
          </cell>
        </row>
        <row r="1368">
          <cell r="B1368" t="str">
            <v>76W-B472</v>
          </cell>
          <cell r="C1368" t="str">
            <v>TGS-33-4806X4BBS-L</v>
          </cell>
          <cell r="E1368" t="str">
            <v>CKD</v>
          </cell>
          <cell r="F1368" t="str">
            <v>2018-06-30</v>
          </cell>
          <cell r="G1368">
            <v>15.9</v>
          </cell>
          <cell r="H1368">
            <v>43039</v>
          </cell>
          <cell r="J1368">
            <v>1820000</v>
          </cell>
          <cell r="P1368">
            <v>1407000</v>
          </cell>
          <cell r="R1368">
            <v>1340000</v>
          </cell>
          <cell r="S1368">
            <v>1875000</v>
          </cell>
          <cell r="Y1368">
            <v>1464750</v>
          </cell>
          <cell r="AA1368">
            <v>1395000</v>
          </cell>
        </row>
        <row r="1369">
          <cell r="B1369" t="str">
            <v>76W-B473</v>
          </cell>
          <cell r="C1369" t="str">
            <v>TGS-33-4806X4BBS-L</v>
          </cell>
          <cell r="E1369" t="str">
            <v>CKD</v>
          </cell>
          <cell r="F1369" t="str">
            <v>2018-07-30</v>
          </cell>
          <cell r="G1369">
            <v>15.9</v>
          </cell>
          <cell r="H1369">
            <v>43039</v>
          </cell>
          <cell r="J1369">
            <v>1820000</v>
          </cell>
          <cell r="P1369">
            <v>1407000</v>
          </cell>
          <cell r="R1369">
            <v>1340000</v>
          </cell>
          <cell r="S1369">
            <v>1875000</v>
          </cell>
          <cell r="Y1369">
            <v>1464750</v>
          </cell>
          <cell r="AA1369">
            <v>1395000</v>
          </cell>
        </row>
        <row r="1370">
          <cell r="B1370" t="str">
            <v>76W-B474</v>
          </cell>
          <cell r="C1370" t="str">
            <v>TGS-33-4806X4BBS-L</v>
          </cell>
          <cell r="E1370" t="str">
            <v>CKD</v>
          </cell>
          <cell r="F1370" t="str">
            <v>2018-07-30</v>
          </cell>
          <cell r="G1370">
            <v>15.9</v>
          </cell>
          <cell r="H1370">
            <v>43039</v>
          </cell>
          <cell r="J1370">
            <v>1820000</v>
          </cell>
          <cell r="P1370">
            <v>1407000</v>
          </cell>
          <cell r="R1370">
            <v>1340000</v>
          </cell>
          <cell r="S1370">
            <v>1875000</v>
          </cell>
          <cell r="Y1370">
            <v>1464750</v>
          </cell>
          <cell r="AA1370">
            <v>1395000</v>
          </cell>
        </row>
        <row r="1371">
          <cell r="B1371" t="str">
            <v>TBAKP679</v>
          </cell>
          <cell r="C1371" t="str">
            <v>TGS-33-4806X4BBS-L</v>
          </cell>
          <cell r="E1371" t="str">
            <v>CKD</v>
          </cell>
          <cell r="F1371" t="str">
            <v>2018-08-19</v>
          </cell>
          <cell r="G1371">
            <v>15.8</v>
          </cell>
          <cell r="H1371">
            <v>43159</v>
          </cell>
          <cell r="J1371">
            <v>1820000</v>
          </cell>
          <cell r="P1371">
            <v>1428000</v>
          </cell>
          <cell r="R1371">
            <v>1360000</v>
          </cell>
          <cell r="S1371">
            <v>1875000</v>
          </cell>
          <cell r="Y1371">
            <v>1485750</v>
          </cell>
          <cell r="AA1371">
            <v>1415000</v>
          </cell>
        </row>
        <row r="1372">
          <cell r="B1372" t="str">
            <v>79W-2419</v>
          </cell>
          <cell r="C1372" t="str">
            <v>TGS-41-4408X4BB-M-DWA</v>
          </cell>
          <cell r="E1372" t="str">
            <v>SOLD</v>
          </cell>
          <cell r="F1372">
            <v>103</v>
          </cell>
          <cell r="G1372">
            <v>14.7</v>
          </cell>
          <cell r="H1372">
            <v>42859</v>
          </cell>
          <cell r="J1372">
            <v>1930000</v>
          </cell>
          <cell r="P1372">
            <v>1496250</v>
          </cell>
          <cell r="R1372">
            <v>1425000</v>
          </cell>
          <cell r="S1372">
            <v>1985000</v>
          </cell>
          <cell r="Y1372">
            <v>1554000</v>
          </cell>
          <cell r="AA1372">
            <v>1480000</v>
          </cell>
        </row>
        <row r="1373">
          <cell r="B1373" t="str">
            <v>79W-2420</v>
          </cell>
          <cell r="C1373" t="str">
            <v>TGS-41-4408X4BB-M-DWA</v>
          </cell>
          <cell r="E1373" t="str">
            <v>SOLD</v>
          </cell>
          <cell r="F1373">
            <v>95</v>
          </cell>
          <cell r="G1373">
            <v>14.7</v>
          </cell>
          <cell r="H1373">
            <v>42859</v>
          </cell>
          <cell r="J1373">
            <v>1930000</v>
          </cell>
          <cell r="P1373">
            <v>1496250</v>
          </cell>
          <cell r="R1373">
            <v>1425000</v>
          </cell>
          <cell r="S1373">
            <v>1985000</v>
          </cell>
          <cell r="Y1373">
            <v>1554000</v>
          </cell>
          <cell r="AA1373">
            <v>1480000</v>
          </cell>
        </row>
        <row r="1374">
          <cell r="B1374" t="str">
            <v>79W-2421</v>
          </cell>
          <cell r="C1374" t="str">
            <v>TGS-41-4408X4BB-M-DWA</v>
          </cell>
          <cell r="E1374" t="str">
            <v>SOLD</v>
          </cell>
          <cell r="F1374">
            <v>103</v>
          </cell>
          <cell r="G1374">
            <v>14.7</v>
          </cell>
          <cell r="H1374">
            <v>42859</v>
          </cell>
          <cell r="J1374">
            <v>1930000</v>
          </cell>
          <cell r="P1374">
            <v>1496250</v>
          </cell>
          <cell r="R1374">
            <v>1425000</v>
          </cell>
          <cell r="S1374">
            <v>1985000</v>
          </cell>
          <cell r="Y1374">
            <v>1554000</v>
          </cell>
          <cell r="AA1374">
            <v>1480000</v>
          </cell>
        </row>
        <row r="1375">
          <cell r="B1375" t="str">
            <v>79W-2422</v>
          </cell>
          <cell r="C1375" t="str">
            <v>TGS-41-4408X4BB-M-DWA</v>
          </cell>
          <cell r="E1375" t="str">
            <v>SOLD</v>
          </cell>
          <cell r="F1375">
            <v>99</v>
          </cell>
          <cell r="G1375">
            <v>14.7</v>
          </cell>
          <cell r="H1375">
            <v>42859</v>
          </cell>
          <cell r="J1375">
            <v>1930000</v>
          </cell>
          <cell r="P1375">
            <v>1496250</v>
          </cell>
          <cell r="R1375">
            <v>1425000</v>
          </cell>
          <cell r="S1375">
            <v>1985000</v>
          </cell>
          <cell r="Y1375">
            <v>1554000</v>
          </cell>
          <cell r="AA1375">
            <v>1480000</v>
          </cell>
        </row>
        <row r="1376">
          <cell r="B1376" t="str">
            <v>79W-2425</v>
          </cell>
          <cell r="C1376" t="str">
            <v>TGS-41-4408X4BB-M-DWA</v>
          </cell>
          <cell r="E1376" t="str">
            <v>SOLD</v>
          </cell>
          <cell r="F1376">
            <v>77</v>
          </cell>
          <cell r="G1376">
            <v>14.7</v>
          </cell>
          <cell r="H1376">
            <v>42859</v>
          </cell>
          <cell r="J1376">
            <v>1930000</v>
          </cell>
          <cell r="P1376">
            <v>1496250</v>
          </cell>
          <cell r="R1376">
            <v>1425000</v>
          </cell>
          <cell r="S1376">
            <v>1985000</v>
          </cell>
          <cell r="Y1376">
            <v>1554000</v>
          </cell>
          <cell r="AA1376">
            <v>1480000</v>
          </cell>
        </row>
        <row r="1377">
          <cell r="B1377" t="str">
            <v>TBAKP732</v>
          </cell>
          <cell r="C1377" t="str">
            <v>TGS-41-4408X4BB-M-DWA</v>
          </cell>
          <cell r="E1377" t="str">
            <v>CKD</v>
          </cell>
          <cell r="F1377" t="str">
            <v>2018-08-19</v>
          </cell>
          <cell r="G1377">
            <v>15.8</v>
          </cell>
          <cell r="H1377">
            <v>43159</v>
          </cell>
          <cell r="J1377">
            <v>1930000</v>
          </cell>
          <cell r="P1377">
            <v>1496250</v>
          </cell>
          <cell r="R1377">
            <v>1425000</v>
          </cell>
          <cell r="S1377">
            <v>1985000</v>
          </cell>
          <cell r="Y1377">
            <v>1554000</v>
          </cell>
          <cell r="AA1377">
            <v>1480000</v>
          </cell>
        </row>
        <row r="1378">
          <cell r="B1378" t="str">
            <v>79W-2482</v>
          </cell>
          <cell r="C1378" t="str">
            <v>TGS-41-4808X4BB-M-DWA</v>
          </cell>
          <cell r="E1378" t="str">
            <v>UNSOLD</v>
          </cell>
          <cell r="F1378">
            <v>8</v>
          </cell>
          <cell r="G1378">
            <v>14.7</v>
          </cell>
          <cell r="H1378">
            <v>42937</v>
          </cell>
          <cell r="J1378">
            <v>1995000</v>
          </cell>
          <cell r="P1378">
            <v>1496250</v>
          </cell>
          <cell r="R1378">
            <v>1425000</v>
          </cell>
          <cell r="S1378">
            <v>2050000</v>
          </cell>
          <cell r="Y1378">
            <v>1554000</v>
          </cell>
          <cell r="AA1378">
            <v>1480000</v>
          </cell>
        </row>
        <row r="1379">
          <cell r="B1379" t="str">
            <v>79W-2483</v>
          </cell>
          <cell r="C1379" t="str">
            <v>TGS-41-4808X4BB-M-DWA</v>
          </cell>
          <cell r="E1379" t="str">
            <v>UNSOLD</v>
          </cell>
          <cell r="F1379">
            <v>5</v>
          </cell>
          <cell r="G1379">
            <v>14.7</v>
          </cell>
          <cell r="H1379">
            <v>42937</v>
          </cell>
          <cell r="J1379">
            <v>1995000</v>
          </cell>
          <cell r="P1379">
            <v>1496250</v>
          </cell>
          <cell r="R1379">
            <v>1425000</v>
          </cell>
          <cell r="S1379">
            <v>2050000</v>
          </cell>
          <cell r="Y1379">
            <v>1554000</v>
          </cell>
          <cell r="AA1379">
            <v>1480000</v>
          </cell>
        </row>
        <row r="1380">
          <cell r="B1380" t="str">
            <v>79W-2484</v>
          </cell>
          <cell r="C1380" t="str">
            <v>TGS-41-4808X4BB-M-DWA</v>
          </cell>
          <cell r="E1380" t="str">
            <v>CKD</v>
          </cell>
          <cell r="F1380" t="str">
            <v>2018-06-30</v>
          </cell>
          <cell r="G1380">
            <v>14.7</v>
          </cell>
          <cell r="H1380">
            <v>42937</v>
          </cell>
          <cell r="J1380">
            <v>1995000</v>
          </cell>
          <cell r="P1380">
            <v>1496250</v>
          </cell>
          <cell r="R1380">
            <v>1425000</v>
          </cell>
          <cell r="S1380">
            <v>2050000</v>
          </cell>
          <cell r="Y1380">
            <v>1554000</v>
          </cell>
          <cell r="AA1380">
            <v>1480000</v>
          </cell>
        </row>
        <row r="1381">
          <cell r="B1381" t="str">
            <v>79W-2485</v>
          </cell>
          <cell r="C1381" t="str">
            <v>TGS-41-4808X4BB-M-DWA</v>
          </cell>
          <cell r="E1381" t="str">
            <v>CKD</v>
          </cell>
          <cell r="F1381" t="str">
            <v>2018-07-30</v>
          </cell>
          <cell r="G1381">
            <v>14.7</v>
          </cell>
          <cell r="H1381">
            <v>42937</v>
          </cell>
          <cell r="J1381">
            <v>1995000</v>
          </cell>
          <cell r="P1381">
            <v>1496250</v>
          </cell>
          <cell r="R1381">
            <v>1425000</v>
          </cell>
          <cell r="S1381">
            <v>2050000</v>
          </cell>
          <cell r="Y1381">
            <v>1554000</v>
          </cell>
          <cell r="AA1381">
            <v>1480000</v>
          </cell>
        </row>
        <row r="1382">
          <cell r="B1382" t="str">
            <v>TBAKP757</v>
          </cell>
          <cell r="C1382" t="str">
            <v>TGS-41-4808X4BB-M-DWA</v>
          </cell>
          <cell r="E1382" t="str">
            <v>CKD</v>
          </cell>
          <cell r="F1382" t="str">
            <v>2018-08-19</v>
          </cell>
          <cell r="G1382">
            <v>15.8</v>
          </cell>
          <cell r="H1382">
            <v>43159</v>
          </cell>
          <cell r="J1382">
            <v>1995000</v>
          </cell>
          <cell r="P1382">
            <v>1522500</v>
          </cell>
          <cell r="R1382">
            <v>1450000</v>
          </cell>
          <cell r="S1382">
            <v>2050000</v>
          </cell>
          <cell r="Y1382">
            <v>1580250</v>
          </cell>
          <cell r="AA1382">
            <v>1505000</v>
          </cell>
        </row>
        <row r="1383">
          <cell r="B1383">
            <v>48649</v>
          </cell>
          <cell r="C1383" t="str">
            <v>TGX-26-5406X4BLS-XLX</v>
          </cell>
          <cell r="E1383" t="str">
            <v>CKD</v>
          </cell>
          <cell r="F1383" t="str">
            <v>2018-07-13</v>
          </cell>
          <cell r="G1383">
            <v>15.9</v>
          </cell>
          <cell r="H1383">
            <v>43039</v>
          </cell>
          <cell r="J1383">
            <v>2250000</v>
          </cell>
          <cell r="P1383">
            <v>1669500</v>
          </cell>
          <cell r="R1383">
            <v>1590000</v>
          </cell>
          <cell r="S1383">
            <v>2330000</v>
          </cell>
          <cell r="Y1383">
            <v>1753500</v>
          </cell>
          <cell r="AA1383">
            <v>1670000</v>
          </cell>
        </row>
        <row r="1384">
          <cell r="B1384">
            <v>48650</v>
          </cell>
          <cell r="C1384" t="str">
            <v>TGX-26-5406X4BLS-XLX</v>
          </cell>
          <cell r="E1384" t="str">
            <v>CKD</v>
          </cell>
          <cell r="F1384" t="str">
            <v>2018-07-18</v>
          </cell>
          <cell r="G1384">
            <v>15.9</v>
          </cell>
          <cell r="H1384">
            <v>43039</v>
          </cell>
          <cell r="J1384">
            <v>2250000</v>
          </cell>
          <cell r="P1384">
            <v>1669500</v>
          </cell>
          <cell r="R1384">
            <v>1590000</v>
          </cell>
          <cell r="S1384">
            <v>2330000</v>
          </cell>
          <cell r="Y1384">
            <v>1753500</v>
          </cell>
          <cell r="AA1384">
            <v>1670000</v>
          </cell>
        </row>
        <row r="1385">
          <cell r="B1385">
            <v>48651</v>
          </cell>
          <cell r="C1385" t="str">
            <v>TGX-26-5406X4BLS-XLX</v>
          </cell>
          <cell r="E1385" t="str">
            <v>CKD</v>
          </cell>
          <cell r="F1385" t="str">
            <v>2018-07-25</v>
          </cell>
          <cell r="G1385">
            <v>15.9</v>
          </cell>
          <cell r="H1385">
            <v>43039</v>
          </cell>
          <cell r="J1385">
            <v>2250000</v>
          </cell>
          <cell r="P1385">
            <v>1669500</v>
          </cell>
          <cell r="R1385">
            <v>1590000</v>
          </cell>
          <cell r="S1385">
            <v>2330000</v>
          </cell>
          <cell r="Y1385">
            <v>1753500</v>
          </cell>
          <cell r="AA1385">
            <v>1670000</v>
          </cell>
        </row>
        <row r="1386">
          <cell r="B1386">
            <v>48652</v>
          </cell>
          <cell r="C1386" t="str">
            <v>TGX-26-5406X4BLS-XLX</v>
          </cell>
          <cell r="E1386" t="str">
            <v>CKD</v>
          </cell>
          <cell r="F1386" t="str">
            <v>2018-07-25</v>
          </cell>
          <cell r="G1386">
            <v>15.9</v>
          </cell>
          <cell r="H1386">
            <v>43039</v>
          </cell>
          <cell r="J1386">
            <v>2250000</v>
          </cell>
          <cell r="P1386">
            <v>1669500</v>
          </cell>
          <cell r="R1386">
            <v>1590000</v>
          </cell>
          <cell r="S1386">
            <v>2327910</v>
          </cell>
          <cell r="Y1386">
            <v>1753500</v>
          </cell>
          <cell r="AA1386">
            <v>1670000</v>
          </cell>
        </row>
        <row r="1387">
          <cell r="B1387">
            <v>48653</v>
          </cell>
          <cell r="C1387" t="str">
            <v>TGX-26-5406X4BLS-XLX</v>
          </cell>
          <cell r="E1387" t="str">
            <v>CKD</v>
          </cell>
          <cell r="F1387" t="str">
            <v>2018-07-25</v>
          </cell>
          <cell r="G1387">
            <v>15.9</v>
          </cell>
          <cell r="H1387">
            <v>43039</v>
          </cell>
          <cell r="J1387">
            <v>2250000</v>
          </cell>
          <cell r="P1387">
            <v>1669500</v>
          </cell>
          <cell r="R1387">
            <v>1590000</v>
          </cell>
          <cell r="S1387">
            <v>2327910</v>
          </cell>
          <cell r="Y1387">
            <v>1753500</v>
          </cell>
          <cell r="AA1387">
            <v>1670000</v>
          </cell>
        </row>
        <row r="1388">
          <cell r="B1388">
            <v>48654</v>
          </cell>
          <cell r="C1388" t="str">
            <v>TGX-26-5406X4BLS-XLX</v>
          </cell>
          <cell r="E1388" t="str">
            <v>CKD</v>
          </cell>
          <cell r="F1388" t="str">
            <v>2018-07-25</v>
          </cell>
          <cell r="G1388">
            <v>15.9</v>
          </cell>
          <cell r="H1388">
            <v>43039</v>
          </cell>
          <cell r="J1388">
            <v>2250000</v>
          </cell>
          <cell r="P1388">
            <v>1669500</v>
          </cell>
          <cell r="R1388">
            <v>1590000</v>
          </cell>
          <cell r="S1388">
            <v>2327910</v>
          </cell>
          <cell r="Y1388">
            <v>1753500</v>
          </cell>
          <cell r="AA1388">
            <v>1670000</v>
          </cell>
        </row>
        <row r="1389">
          <cell r="B1389">
            <v>48655</v>
          </cell>
          <cell r="C1389" t="str">
            <v>TGX-26-5406X4BLS-XLX</v>
          </cell>
          <cell r="E1389" t="str">
            <v>CKD</v>
          </cell>
          <cell r="F1389" t="str">
            <v>2018-07-25</v>
          </cell>
          <cell r="G1389">
            <v>15.9</v>
          </cell>
          <cell r="H1389">
            <v>43039</v>
          </cell>
          <cell r="J1389">
            <v>2250000</v>
          </cell>
          <cell r="P1389">
            <v>1669500</v>
          </cell>
          <cell r="R1389">
            <v>1590000</v>
          </cell>
          <cell r="S1389">
            <v>2327910</v>
          </cell>
          <cell r="Y1389">
            <v>1753500</v>
          </cell>
          <cell r="AA1389">
            <v>1670000</v>
          </cell>
        </row>
        <row r="1390">
          <cell r="B1390">
            <v>48656</v>
          </cell>
          <cell r="C1390" t="str">
            <v>TGX-26-5406X4BLS-XLX</v>
          </cell>
          <cell r="E1390" t="str">
            <v>CKD</v>
          </cell>
          <cell r="F1390" t="str">
            <v>2018-07-25</v>
          </cell>
          <cell r="G1390">
            <v>15.9</v>
          </cell>
          <cell r="H1390">
            <v>43039</v>
          </cell>
          <cell r="J1390">
            <v>2250000</v>
          </cell>
          <cell r="P1390">
            <v>1669500</v>
          </cell>
          <cell r="R1390">
            <v>1590000</v>
          </cell>
          <cell r="S1390">
            <v>2327910</v>
          </cell>
          <cell r="Y1390">
            <v>1753500</v>
          </cell>
          <cell r="AA1390">
            <v>1670000</v>
          </cell>
        </row>
        <row r="1391">
          <cell r="B1391">
            <v>48876</v>
          </cell>
          <cell r="C1391" t="str">
            <v>TGX-26-5406X4BLS-XLX</v>
          </cell>
          <cell r="E1391" t="str">
            <v>CKD</v>
          </cell>
          <cell r="F1391" t="str">
            <v>2018-05-23</v>
          </cell>
          <cell r="G1391">
            <v>15.9</v>
          </cell>
          <cell r="H1391">
            <v>43059</v>
          </cell>
          <cell r="J1391">
            <v>2250000</v>
          </cell>
          <cell r="P1391">
            <v>1669500</v>
          </cell>
          <cell r="R1391">
            <v>1590000</v>
          </cell>
          <cell r="S1391">
            <v>2327910</v>
          </cell>
          <cell r="Y1391">
            <v>1753500</v>
          </cell>
          <cell r="AA1391">
            <v>1670000</v>
          </cell>
        </row>
        <row r="1392">
          <cell r="B1392">
            <v>48877</v>
          </cell>
          <cell r="C1392" t="str">
            <v>TGX-26-5406X4BLS-XLX</v>
          </cell>
          <cell r="E1392" t="str">
            <v>CKD</v>
          </cell>
          <cell r="F1392" t="str">
            <v>2018-05-24</v>
          </cell>
          <cell r="G1392">
            <v>15.9</v>
          </cell>
          <cell r="H1392">
            <v>43059</v>
          </cell>
          <cell r="J1392">
            <v>2250000</v>
          </cell>
          <cell r="P1392">
            <v>1669500</v>
          </cell>
          <cell r="R1392">
            <v>1590000</v>
          </cell>
          <cell r="S1392">
            <v>2327910</v>
          </cell>
          <cell r="Y1392">
            <v>1753500</v>
          </cell>
          <cell r="AA1392">
            <v>1670000</v>
          </cell>
        </row>
        <row r="1393">
          <cell r="B1393">
            <v>48878</v>
          </cell>
          <cell r="C1393" t="str">
            <v>TGX-26-5406X4BLS-XLX</v>
          </cell>
          <cell r="E1393" t="str">
            <v>CKD</v>
          </cell>
          <cell r="F1393" t="str">
            <v>2018-05-23</v>
          </cell>
          <cell r="G1393">
            <v>15.9</v>
          </cell>
          <cell r="H1393">
            <v>43059</v>
          </cell>
          <cell r="J1393">
            <v>2250000</v>
          </cell>
          <cell r="P1393">
            <v>1669500</v>
          </cell>
          <cell r="R1393">
            <v>1590000</v>
          </cell>
          <cell r="S1393">
            <v>2327910</v>
          </cell>
          <cell r="Y1393">
            <v>1753500</v>
          </cell>
          <cell r="AA1393">
            <v>1670000</v>
          </cell>
        </row>
        <row r="1394">
          <cell r="B1394">
            <v>48879</v>
          </cell>
          <cell r="C1394" t="str">
            <v>TGX-26-5406X4BLS-XLX</v>
          </cell>
          <cell r="E1394" t="str">
            <v>CKD</v>
          </cell>
          <cell r="F1394" t="str">
            <v>2018-05-23</v>
          </cell>
          <cell r="G1394">
            <v>15.9</v>
          </cell>
          <cell r="H1394">
            <v>43059</v>
          </cell>
          <cell r="J1394">
            <v>2250000</v>
          </cell>
          <cell r="P1394">
            <v>1669500</v>
          </cell>
          <cell r="R1394">
            <v>1590000</v>
          </cell>
          <cell r="S1394">
            <v>2327910</v>
          </cell>
          <cell r="Y1394">
            <v>1753500</v>
          </cell>
          <cell r="AA1394">
            <v>1670000</v>
          </cell>
        </row>
        <row r="1395">
          <cell r="B1395" t="str">
            <v>30X-5226</v>
          </cell>
          <cell r="C1395" t="str">
            <v>TGX-26-5406X4BLS-XLX</v>
          </cell>
          <cell r="E1395" t="str">
            <v>UNSOLD</v>
          </cell>
          <cell r="F1395">
            <v>228</v>
          </cell>
          <cell r="G1395">
            <v>15.4</v>
          </cell>
          <cell r="H1395">
            <v>42794</v>
          </cell>
          <cell r="J1395">
            <v>2250000</v>
          </cell>
          <cell r="P1395">
            <v>1669500</v>
          </cell>
          <cell r="R1395">
            <v>1590000</v>
          </cell>
          <cell r="S1395">
            <v>2327910</v>
          </cell>
          <cell r="Y1395">
            <v>1753500</v>
          </cell>
          <cell r="AA1395">
            <v>1670000</v>
          </cell>
        </row>
        <row r="1396">
          <cell r="B1396" t="str">
            <v>30X-5551</v>
          </cell>
          <cell r="C1396" t="str">
            <v>TGX-26-5406X4BLS-XLX</v>
          </cell>
          <cell r="E1396" t="str">
            <v>CKD</v>
          </cell>
          <cell r="F1396" t="str">
            <v>2018-03-23</v>
          </cell>
          <cell r="G1396">
            <v>15.9</v>
          </cell>
          <cell r="H1396">
            <v>43026</v>
          </cell>
          <cell r="J1396">
            <v>2250000</v>
          </cell>
          <cell r="P1396">
            <v>1669500</v>
          </cell>
          <cell r="R1396">
            <v>1590000</v>
          </cell>
          <cell r="S1396">
            <v>2327910</v>
          </cell>
          <cell r="Y1396">
            <v>1753500</v>
          </cell>
          <cell r="AA1396">
            <v>1670000</v>
          </cell>
        </row>
        <row r="1397">
          <cell r="B1397" t="str">
            <v>30X-5552</v>
          </cell>
          <cell r="C1397" t="str">
            <v>TGX-26-5406X4BLS-XLX</v>
          </cell>
          <cell r="E1397" t="str">
            <v>CKD</v>
          </cell>
          <cell r="F1397" t="str">
            <v>2018-03-23</v>
          </cell>
          <cell r="G1397">
            <v>15.9</v>
          </cell>
          <cell r="H1397">
            <v>43026</v>
          </cell>
          <cell r="J1397">
            <v>2250000</v>
          </cell>
          <cell r="P1397">
            <v>1669500</v>
          </cell>
          <cell r="R1397">
            <v>1590000</v>
          </cell>
          <cell r="S1397">
            <v>2327910</v>
          </cell>
          <cell r="Y1397">
            <v>1753500</v>
          </cell>
          <cell r="AA1397">
            <v>1670000</v>
          </cell>
        </row>
        <row r="1398">
          <cell r="B1398" t="str">
            <v>30X-5553</v>
          </cell>
          <cell r="C1398" t="str">
            <v>TGX-26-5406X4BLS-XLX</v>
          </cell>
          <cell r="E1398" t="str">
            <v>CKD</v>
          </cell>
          <cell r="F1398" t="str">
            <v>2018-03-23</v>
          </cell>
          <cell r="G1398">
            <v>15.9</v>
          </cell>
          <cell r="H1398">
            <v>43026</v>
          </cell>
          <cell r="J1398">
            <v>2250000</v>
          </cell>
          <cell r="P1398">
            <v>1669500</v>
          </cell>
          <cell r="R1398">
            <v>1590000</v>
          </cell>
          <cell r="S1398">
            <v>2327910</v>
          </cell>
          <cell r="Y1398">
            <v>1753500</v>
          </cell>
          <cell r="AA1398">
            <v>1670000</v>
          </cell>
        </row>
        <row r="1399">
          <cell r="B1399" t="str">
            <v>30X-5554</v>
          </cell>
          <cell r="C1399" t="str">
            <v>TGX-26-5406X4BLS-XLX</v>
          </cell>
          <cell r="E1399" t="str">
            <v>CKD</v>
          </cell>
          <cell r="F1399" t="str">
            <v>2018-03-23</v>
          </cell>
          <cell r="G1399">
            <v>15.9</v>
          </cell>
          <cell r="H1399">
            <v>43026</v>
          </cell>
          <cell r="J1399">
            <v>2250000</v>
          </cell>
          <cell r="P1399">
            <v>1669500</v>
          </cell>
          <cell r="R1399">
            <v>1590000</v>
          </cell>
          <cell r="S1399">
            <v>2327910</v>
          </cell>
          <cell r="Y1399">
            <v>1753500</v>
          </cell>
          <cell r="AA1399">
            <v>1670000</v>
          </cell>
        </row>
        <row r="1400">
          <cell r="B1400" t="str">
            <v>30X-5555</v>
          </cell>
          <cell r="C1400" t="str">
            <v>TGX-26-5406X4BLS-XLX</v>
          </cell>
          <cell r="E1400" t="str">
            <v>CKD</v>
          </cell>
          <cell r="F1400" t="str">
            <v>2018-03-23</v>
          </cell>
          <cell r="G1400">
            <v>15.9</v>
          </cell>
          <cell r="H1400">
            <v>43026</v>
          </cell>
          <cell r="J1400">
            <v>2250000</v>
          </cell>
          <cell r="P1400">
            <v>1669500</v>
          </cell>
          <cell r="R1400">
            <v>1590000</v>
          </cell>
          <cell r="S1400">
            <v>2327910</v>
          </cell>
          <cell r="Y1400">
            <v>1753500</v>
          </cell>
          <cell r="AA1400">
            <v>1670000</v>
          </cell>
        </row>
        <row r="1401">
          <cell r="B1401" t="str">
            <v>30X-5556</v>
          </cell>
          <cell r="C1401" t="str">
            <v>TGX-26-5406X4BLS-XLX</v>
          </cell>
          <cell r="E1401" t="str">
            <v>CKD</v>
          </cell>
          <cell r="F1401" t="str">
            <v>2018-03-23</v>
          </cell>
          <cell r="G1401">
            <v>15.9</v>
          </cell>
          <cell r="H1401">
            <v>43026</v>
          </cell>
          <cell r="J1401">
            <v>2250000</v>
          </cell>
          <cell r="P1401">
            <v>1669500</v>
          </cell>
          <cell r="R1401">
            <v>1590000</v>
          </cell>
          <cell r="S1401">
            <v>2327910</v>
          </cell>
          <cell r="Y1401">
            <v>1753500</v>
          </cell>
          <cell r="AA1401">
            <v>1670000</v>
          </cell>
        </row>
        <row r="1402">
          <cell r="B1402" t="str">
            <v>30X-5557</v>
          </cell>
          <cell r="C1402" t="str">
            <v>TGX-26-5406X4BLS-XLX</v>
          </cell>
          <cell r="E1402" t="str">
            <v>CKD</v>
          </cell>
          <cell r="F1402" t="str">
            <v>2018-03-23</v>
          </cell>
          <cell r="G1402">
            <v>15.9</v>
          </cell>
          <cell r="H1402">
            <v>43026</v>
          </cell>
          <cell r="J1402">
            <v>2250000</v>
          </cell>
          <cell r="P1402">
            <v>1669500</v>
          </cell>
          <cell r="R1402">
            <v>1590000</v>
          </cell>
          <cell r="S1402">
            <v>2327910</v>
          </cell>
          <cell r="Y1402">
            <v>1753500</v>
          </cell>
          <cell r="AA1402">
            <v>1670000</v>
          </cell>
        </row>
        <row r="1403">
          <cell r="B1403" t="str">
            <v>30X-5558</v>
          </cell>
          <cell r="C1403" t="str">
            <v>TGX-26-5406X4BLS-XLX</v>
          </cell>
          <cell r="E1403" t="str">
            <v>CKD</v>
          </cell>
          <cell r="F1403" t="str">
            <v>2018-03-23</v>
          </cell>
          <cell r="G1403">
            <v>15.9</v>
          </cell>
          <cell r="H1403">
            <v>43026</v>
          </cell>
          <cell r="J1403">
            <v>2250000</v>
          </cell>
          <cell r="P1403">
            <v>1669500</v>
          </cell>
          <cell r="R1403">
            <v>1590000</v>
          </cell>
          <cell r="S1403">
            <v>2327910</v>
          </cell>
          <cell r="Y1403">
            <v>1753500</v>
          </cell>
          <cell r="AA1403">
            <v>1670000</v>
          </cell>
        </row>
        <row r="1404">
          <cell r="B1404" t="str">
            <v>TBATG0X1</v>
          </cell>
          <cell r="C1404" t="str">
            <v>TGX-26-5406X4BLS-XLX</v>
          </cell>
          <cell r="E1404" t="str">
            <v>CKD</v>
          </cell>
          <cell r="F1404" t="str">
            <v>2018-06-18</v>
          </cell>
          <cell r="G1404">
            <v>15.8</v>
          </cell>
          <cell r="H1404">
            <v>43159</v>
          </cell>
          <cell r="J1404">
            <v>2250000</v>
          </cell>
          <cell r="P1404">
            <v>1706250</v>
          </cell>
          <cell r="R1404">
            <v>1625000</v>
          </cell>
          <cell r="S1404">
            <v>2327910</v>
          </cell>
          <cell r="Y1404">
            <v>1790250</v>
          </cell>
          <cell r="AA1404">
            <v>1705000</v>
          </cell>
        </row>
        <row r="1405">
          <cell r="B1405">
            <v>0</v>
          </cell>
          <cell r="C1405">
            <v>0</v>
          </cell>
          <cell r="E1405">
            <v>0</v>
          </cell>
          <cell r="F1405">
            <v>0</v>
          </cell>
          <cell r="G1405">
            <v>0</v>
          </cell>
          <cell r="H1405">
            <v>0</v>
          </cell>
          <cell r="J1405" t="e">
            <v>#N/A</v>
          </cell>
          <cell r="P1405" t="e">
            <v>#N/A</v>
          </cell>
          <cell r="R1405" t="e">
            <v>#N/A</v>
          </cell>
          <cell r="S1405" t="e">
            <v>#N/A</v>
          </cell>
          <cell r="Y1405" t="e">
            <v>#N/A</v>
          </cell>
          <cell r="AA1405" t="e">
            <v>#N/A</v>
          </cell>
        </row>
        <row r="1406">
          <cell r="B1406">
            <v>0</v>
          </cell>
          <cell r="C1406">
            <v>0</v>
          </cell>
          <cell r="E1406">
            <v>0</v>
          </cell>
          <cell r="F1406">
            <v>0</v>
          </cell>
          <cell r="G1406">
            <v>0</v>
          </cell>
          <cell r="H1406">
            <v>0</v>
          </cell>
          <cell r="J1406" t="e">
            <v>#N/A</v>
          </cell>
          <cell r="P1406" t="e">
            <v>#N/A</v>
          </cell>
          <cell r="R1406" t="e">
            <v>#N/A</v>
          </cell>
          <cell r="S1406" t="e">
            <v>#N/A</v>
          </cell>
          <cell r="Y1406" t="e">
            <v>#N/A</v>
          </cell>
          <cell r="AA1406" t="e">
            <v>#N/A</v>
          </cell>
        </row>
        <row r="1407">
          <cell r="B1407">
            <v>0</v>
          </cell>
          <cell r="C1407">
            <v>0</v>
          </cell>
          <cell r="E1407">
            <v>0</v>
          </cell>
          <cell r="F1407">
            <v>0</v>
          </cell>
          <cell r="G1407">
            <v>0</v>
          </cell>
          <cell r="H1407">
            <v>0</v>
          </cell>
          <cell r="J1407" t="e">
            <v>#N/A</v>
          </cell>
          <cell r="P1407" t="e">
            <v>#N/A</v>
          </cell>
          <cell r="R1407" t="e">
            <v>#N/A</v>
          </cell>
          <cell r="S1407" t="e">
            <v>#N/A</v>
          </cell>
          <cell r="Y1407" t="e">
            <v>#N/A</v>
          </cell>
          <cell r="AA1407" t="e">
            <v>#N/A</v>
          </cell>
        </row>
        <row r="1408">
          <cell r="B1408">
            <v>0</v>
          </cell>
          <cell r="C1408">
            <v>0</v>
          </cell>
          <cell r="E1408">
            <v>0</v>
          </cell>
          <cell r="F1408">
            <v>0</v>
          </cell>
          <cell r="G1408">
            <v>0</v>
          </cell>
          <cell r="H1408">
            <v>0</v>
          </cell>
          <cell r="J1408" t="e">
            <v>#N/A</v>
          </cell>
          <cell r="P1408" t="e">
            <v>#N/A</v>
          </cell>
          <cell r="R1408" t="e">
            <v>#N/A</v>
          </cell>
          <cell r="S1408" t="e">
            <v>#N/A</v>
          </cell>
          <cell r="Y1408" t="e">
            <v>#N/A</v>
          </cell>
          <cell r="AA1408" t="e">
            <v>#N/A</v>
          </cell>
        </row>
        <row r="1409">
          <cell r="B1409">
            <v>0</v>
          </cell>
          <cell r="C1409">
            <v>0</v>
          </cell>
          <cell r="E1409">
            <v>0</v>
          </cell>
          <cell r="F1409">
            <v>0</v>
          </cell>
          <cell r="G1409">
            <v>0</v>
          </cell>
          <cell r="H1409">
            <v>0</v>
          </cell>
          <cell r="J1409" t="e">
            <v>#N/A</v>
          </cell>
          <cell r="P1409" t="e">
            <v>#N/A</v>
          </cell>
          <cell r="R1409" t="e">
            <v>#N/A</v>
          </cell>
          <cell r="S1409" t="e">
            <v>#N/A</v>
          </cell>
          <cell r="Y1409" t="e">
            <v>#N/A</v>
          </cell>
          <cell r="AA1409" t="e">
            <v>#N/A</v>
          </cell>
        </row>
        <row r="1410">
          <cell r="B1410">
            <v>0</v>
          </cell>
          <cell r="C1410">
            <v>0</v>
          </cell>
          <cell r="E1410">
            <v>0</v>
          </cell>
          <cell r="F1410">
            <v>0</v>
          </cell>
          <cell r="G1410">
            <v>0</v>
          </cell>
          <cell r="H1410">
            <v>0</v>
          </cell>
          <cell r="J1410" t="e">
            <v>#N/A</v>
          </cell>
          <cell r="P1410" t="e">
            <v>#N/A</v>
          </cell>
          <cell r="R1410" t="e">
            <v>#N/A</v>
          </cell>
          <cell r="S1410" t="e">
            <v>#N/A</v>
          </cell>
          <cell r="Y1410" t="e">
            <v>#N/A</v>
          </cell>
          <cell r="AA1410" t="e">
            <v>#N/A</v>
          </cell>
        </row>
        <row r="1411">
          <cell r="B1411">
            <v>0</v>
          </cell>
          <cell r="C1411">
            <v>0</v>
          </cell>
          <cell r="E1411">
            <v>0</v>
          </cell>
          <cell r="F1411">
            <v>0</v>
          </cell>
          <cell r="G1411">
            <v>0</v>
          </cell>
          <cell r="H1411">
            <v>0</v>
          </cell>
          <cell r="J1411" t="e">
            <v>#N/A</v>
          </cell>
          <cell r="P1411" t="e">
            <v>#N/A</v>
          </cell>
          <cell r="R1411" t="e">
            <v>#N/A</v>
          </cell>
          <cell r="S1411" t="e">
            <v>#N/A</v>
          </cell>
          <cell r="Y1411" t="e">
            <v>#N/A</v>
          </cell>
          <cell r="AA1411" t="e">
            <v>#N/A</v>
          </cell>
        </row>
        <row r="1412">
          <cell r="B1412">
            <v>0</v>
          </cell>
          <cell r="C1412">
            <v>0</v>
          </cell>
          <cell r="E1412">
            <v>0</v>
          </cell>
          <cell r="F1412">
            <v>0</v>
          </cell>
          <cell r="G1412">
            <v>0</v>
          </cell>
          <cell r="H1412">
            <v>0</v>
          </cell>
          <cell r="J1412" t="e">
            <v>#N/A</v>
          </cell>
          <cell r="P1412" t="e">
            <v>#N/A</v>
          </cell>
          <cell r="R1412" t="e">
            <v>#N/A</v>
          </cell>
          <cell r="S1412" t="e">
            <v>#N/A</v>
          </cell>
          <cell r="Y1412" t="e">
            <v>#N/A</v>
          </cell>
          <cell r="AA1412" t="e">
            <v>#N/A</v>
          </cell>
        </row>
        <row r="1413">
          <cell r="B1413">
            <v>0</v>
          </cell>
          <cell r="C1413">
            <v>0</v>
          </cell>
          <cell r="E1413">
            <v>0</v>
          </cell>
          <cell r="F1413">
            <v>0</v>
          </cell>
          <cell r="G1413">
            <v>0</v>
          </cell>
          <cell r="H1413">
            <v>0</v>
          </cell>
          <cell r="J1413" t="e">
            <v>#N/A</v>
          </cell>
          <cell r="P1413" t="e">
            <v>#N/A</v>
          </cell>
          <cell r="R1413" t="e">
            <v>#N/A</v>
          </cell>
          <cell r="S1413" t="e">
            <v>#N/A</v>
          </cell>
          <cell r="Y1413" t="e">
            <v>#N/A</v>
          </cell>
          <cell r="AA1413" t="e">
            <v>#N/A</v>
          </cell>
        </row>
        <row r="1414">
          <cell r="B1414">
            <v>0</v>
          </cell>
          <cell r="C1414">
            <v>0</v>
          </cell>
          <cell r="E1414">
            <v>0</v>
          </cell>
          <cell r="F1414">
            <v>0</v>
          </cell>
          <cell r="G1414">
            <v>0</v>
          </cell>
          <cell r="H1414">
            <v>0</v>
          </cell>
          <cell r="J1414" t="e">
            <v>#N/A</v>
          </cell>
          <cell r="P1414" t="e">
            <v>#N/A</v>
          </cell>
          <cell r="R1414" t="e">
            <v>#N/A</v>
          </cell>
          <cell r="S1414" t="e">
            <v>#N/A</v>
          </cell>
          <cell r="Y1414" t="e">
            <v>#N/A</v>
          </cell>
          <cell r="AA1414" t="e">
            <v>#N/A</v>
          </cell>
        </row>
        <row r="1415">
          <cell r="B1415">
            <v>0</v>
          </cell>
          <cell r="C1415">
            <v>0</v>
          </cell>
          <cell r="E1415">
            <v>0</v>
          </cell>
          <cell r="F1415">
            <v>0</v>
          </cell>
          <cell r="G1415">
            <v>0</v>
          </cell>
          <cell r="H1415">
            <v>0</v>
          </cell>
          <cell r="J1415" t="e">
            <v>#N/A</v>
          </cell>
          <cell r="P1415" t="e">
            <v>#N/A</v>
          </cell>
          <cell r="R1415" t="e">
            <v>#N/A</v>
          </cell>
          <cell r="S1415" t="e">
            <v>#N/A</v>
          </cell>
          <cell r="Y1415" t="e">
            <v>#N/A</v>
          </cell>
          <cell r="AA1415" t="e">
            <v>#N/A</v>
          </cell>
        </row>
        <row r="1416">
          <cell r="B1416">
            <v>0</v>
          </cell>
          <cell r="C1416">
            <v>0</v>
          </cell>
          <cell r="E1416">
            <v>0</v>
          </cell>
          <cell r="F1416">
            <v>0</v>
          </cell>
          <cell r="G1416">
            <v>0</v>
          </cell>
          <cell r="H1416">
            <v>0</v>
          </cell>
          <cell r="J1416" t="e">
            <v>#N/A</v>
          </cell>
          <cell r="P1416" t="e">
            <v>#N/A</v>
          </cell>
          <cell r="R1416" t="e">
            <v>#N/A</v>
          </cell>
          <cell r="S1416" t="e">
            <v>#N/A</v>
          </cell>
          <cell r="Y1416" t="e">
            <v>#N/A</v>
          </cell>
          <cell r="AA1416" t="e">
            <v>#N/A</v>
          </cell>
        </row>
        <row r="1417">
          <cell r="B1417">
            <v>0</v>
          </cell>
          <cell r="C1417">
            <v>0</v>
          </cell>
          <cell r="E1417">
            <v>0</v>
          </cell>
          <cell r="F1417">
            <v>0</v>
          </cell>
          <cell r="G1417">
            <v>0</v>
          </cell>
          <cell r="H1417">
            <v>0</v>
          </cell>
          <cell r="J1417" t="e">
            <v>#N/A</v>
          </cell>
          <cell r="P1417" t="e">
            <v>#N/A</v>
          </cell>
          <cell r="R1417" t="e">
            <v>#N/A</v>
          </cell>
          <cell r="S1417" t="e">
            <v>#N/A</v>
          </cell>
          <cell r="Y1417" t="e">
            <v>#N/A</v>
          </cell>
          <cell r="AA1417" t="e">
            <v>#N/A</v>
          </cell>
        </row>
        <row r="1418">
          <cell r="B1418">
            <v>0</v>
          </cell>
          <cell r="C1418">
            <v>0</v>
          </cell>
          <cell r="E1418">
            <v>0</v>
          </cell>
          <cell r="F1418">
            <v>0</v>
          </cell>
          <cell r="G1418">
            <v>0</v>
          </cell>
          <cell r="H1418">
            <v>0</v>
          </cell>
          <cell r="J1418" t="e">
            <v>#N/A</v>
          </cell>
          <cell r="P1418" t="e">
            <v>#N/A</v>
          </cell>
          <cell r="R1418" t="e">
            <v>#N/A</v>
          </cell>
          <cell r="S1418" t="e">
            <v>#N/A</v>
          </cell>
          <cell r="Y1418" t="e">
            <v>#N/A</v>
          </cell>
          <cell r="AA1418" t="e">
            <v>#N/A</v>
          </cell>
        </row>
        <row r="1419">
          <cell r="B1419">
            <v>0</v>
          </cell>
          <cell r="C1419">
            <v>0</v>
          </cell>
          <cell r="E1419">
            <v>0</v>
          </cell>
          <cell r="F1419">
            <v>0</v>
          </cell>
          <cell r="G1419">
            <v>0</v>
          </cell>
          <cell r="H1419">
            <v>0</v>
          </cell>
          <cell r="J1419" t="e">
            <v>#N/A</v>
          </cell>
          <cell r="P1419" t="e">
            <v>#N/A</v>
          </cell>
          <cell r="R1419" t="e">
            <v>#N/A</v>
          </cell>
          <cell r="S1419" t="e">
            <v>#N/A</v>
          </cell>
          <cell r="Y1419" t="e">
            <v>#N/A</v>
          </cell>
          <cell r="AA1419" t="e">
            <v>#N/A</v>
          </cell>
        </row>
        <row r="1420">
          <cell r="B1420">
            <v>0</v>
          </cell>
          <cell r="C1420">
            <v>0</v>
          </cell>
          <cell r="E1420">
            <v>0</v>
          </cell>
          <cell r="F1420">
            <v>0</v>
          </cell>
          <cell r="G1420">
            <v>0</v>
          </cell>
          <cell r="H1420">
            <v>0</v>
          </cell>
          <cell r="J1420" t="e">
            <v>#N/A</v>
          </cell>
          <cell r="P1420" t="e">
            <v>#N/A</v>
          </cell>
          <cell r="R1420" t="e">
            <v>#N/A</v>
          </cell>
          <cell r="S1420" t="e">
            <v>#N/A</v>
          </cell>
          <cell r="Y1420" t="e">
            <v>#N/A</v>
          </cell>
          <cell r="AA1420" t="e">
            <v>#N/A</v>
          </cell>
        </row>
        <row r="1421">
          <cell r="B1421">
            <v>0</v>
          </cell>
          <cell r="C1421">
            <v>0</v>
          </cell>
          <cell r="E1421">
            <v>0</v>
          </cell>
          <cell r="F1421">
            <v>0</v>
          </cell>
          <cell r="G1421">
            <v>0</v>
          </cell>
          <cell r="H1421">
            <v>0</v>
          </cell>
          <cell r="J1421" t="e">
            <v>#N/A</v>
          </cell>
          <cell r="P1421" t="e">
            <v>#N/A</v>
          </cell>
          <cell r="R1421" t="e">
            <v>#N/A</v>
          </cell>
          <cell r="S1421" t="e">
            <v>#N/A</v>
          </cell>
          <cell r="Y1421" t="e">
            <v>#N/A</v>
          </cell>
          <cell r="AA1421" t="e">
            <v>#N/A</v>
          </cell>
        </row>
        <row r="1422">
          <cell r="B1422">
            <v>0</v>
          </cell>
          <cell r="C1422">
            <v>0</v>
          </cell>
          <cell r="E1422">
            <v>0</v>
          </cell>
          <cell r="F1422">
            <v>0</v>
          </cell>
          <cell r="G1422">
            <v>0</v>
          </cell>
          <cell r="H1422">
            <v>0</v>
          </cell>
          <cell r="J1422" t="e">
            <v>#N/A</v>
          </cell>
          <cell r="P1422" t="e">
            <v>#N/A</v>
          </cell>
          <cell r="R1422" t="e">
            <v>#N/A</v>
          </cell>
          <cell r="S1422" t="e">
            <v>#N/A</v>
          </cell>
          <cell r="Y1422" t="e">
            <v>#N/A</v>
          </cell>
          <cell r="AA1422" t="e">
            <v>#N/A</v>
          </cell>
        </row>
        <row r="1423">
          <cell r="B1423">
            <v>0</v>
          </cell>
          <cell r="C1423">
            <v>0</v>
          </cell>
          <cell r="E1423">
            <v>0</v>
          </cell>
          <cell r="F1423">
            <v>0</v>
          </cell>
          <cell r="G1423">
            <v>0</v>
          </cell>
          <cell r="H1423">
            <v>0</v>
          </cell>
          <cell r="J1423" t="e">
            <v>#N/A</v>
          </cell>
          <cell r="P1423" t="e">
            <v>#N/A</v>
          </cell>
          <cell r="R1423" t="e">
            <v>#N/A</v>
          </cell>
          <cell r="S1423" t="e">
            <v>#N/A</v>
          </cell>
          <cell r="Y1423" t="e">
            <v>#N/A</v>
          </cell>
          <cell r="AA1423" t="e">
            <v>#N/A</v>
          </cell>
        </row>
        <row r="1424">
          <cell r="B1424">
            <v>0</v>
          </cell>
          <cell r="C1424">
            <v>0</v>
          </cell>
          <cell r="E1424">
            <v>0</v>
          </cell>
          <cell r="F1424">
            <v>0</v>
          </cell>
          <cell r="G1424">
            <v>0</v>
          </cell>
          <cell r="H1424">
            <v>0</v>
          </cell>
          <cell r="J1424" t="e">
            <v>#N/A</v>
          </cell>
          <cell r="P1424" t="e">
            <v>#N/A</v>
          </cell>
          <cell r="R1424" t="e">
            <v>#N/A</v>
          </cell>
          <cell r="S1424" t="e">
            <v>#N/A</v>
          </cell>
          <cell r="Y1424" t="e">
            <v>#N/A</v>
          </cell>
          <cell r="AA1424" t="e">
            <v>#N/A</v>
          </cell>
        </row>
        <row r="1425">
          <cell r="B1425">
            <v>0</v>
          </cell>
          <cell r="C1425">
            <v>0</v>
          </cell>
          <cell r="E1425">
            <v>0</v>
          </cell>
          <cell r="F1425">
            <v>0</v>
          </cell>
          <cell r="G1425">
            <v>0</v>
          </cell>
          <cell r="H1425">
            <v>0</v>
          </cell>
          <cell r="J1425" t="e">
            <v>#N/A</v>
          </cell>
          <cell r="P1425" t="e">
            <v>#N/A</v>
          </cell>
          <cell r="R1425" t="e">
            <v>#N/A</v>
          </cell>
          <cell r="S1425" t="e">
            <v>#N/A</v>
          </cell>
          <cell r="Y1425" t="e">
            <v>#N/A</v>
          </cell>
          <cell r="AA1425" t="e">
            <v>#N/A</v>
          </cell>
        </row>
        <row r="1426">
          <cell r="B1426">
            <v>0</v>
          </cell>
          <cell r="C1426">
            <v>0</v>
          </cell>
          <cell r="E1426">
            <v>0</v>
          </cell>
          <cell r="F1426">
            <v>0</v>
          </cell>
          <cell r="G1426">
            <v>0</v>
          </cell>
          <cell r="H1426">
            <v>0</v>
          </cell>
          <cell r="J1426" t="e">
            <v>#N/A</v>
          </cell>
          <cell r="P1426" t="e">
            <v>#N/A</v>
          </cell>
          <cell r="R1426" t="e">
            <v>#N/A</v>
          </cell>
          <cell r="S1426" t="e">
            <v>#N/A</v>
          </cell>
          <cell r="Y1426" t="e">
            <v>#N/A</v>
          </cell>
          <cell r="AA1426" t="e">
            <v>#N/A</v>
          </cell>
        </row>
        <row r="1427">
          <cell r="B1427">
            <v>0</v>
          </cell>
          <cell r="C1427">
            <v>0</v>
          </cell>
          <cell r="E1427">
            <v>0</v>
          </cell>
          <cell r="F1427">
            <v>0</v>
          </cell>
          <cell r="G1427">
            <v>0</v>
          </cell>
          <cell r="H1427">
            <v>0</v>
          </cell>
          <cell r="J1427" t="e">
            <v>#N/A</v>
          </cell>
          <cell r="P1427" t="e">
            <v>#N/A</v>
          </cell>
          <cell r="R1427" t="e">
            <v>#N/A</v>
          </cell>
          <cell r="S1427" t="e">
            <v>#N/A</v>
          </cell>
          <cell r="Y1427" t="e">
            <v>#N/A</v>
          </cell>
          <cell r="AA1427" t="e">
            <v>#N/A</v>
          </cell>
        </row>
        <row r="1428">
          <cell r="B1428">
            <v>0</v>
          </cell>
          <cell r="C1428">
            <v>0</v>
          </cell>
          <cell r="E1428">
            <v>0</v>
          </cell>
          <cell r="F1428">
            <v>0</v>
          </cell>
          <cell r="G1428">
            <v>0</v>
          </cell>
          <cell r="H1428">
            <v>0</v>
          </cell>
          <cell r="J1428" t="e">
            <v>#N/A</v>
          </cell>
          <cell r="P1428" t="e">
            <v>#N/A</v>
          </cell>
          <cell r="R1428" t="e">
            <v>#N/A</v>
          </cell>
          <cell r="S1428" t="e">
            <v>#N/A</v>
          </cell>
          <cell r="Y1428" t="e">
            <v>#N/A</v>
          </cell>
          <cell r="AA1428" t="e">
            <v>#N/A</v>
          </cell>
        </row>
        <row r="1429">
          <cell r="B1429">
            <v>0</v>
          </cell>
          <cell r="C1429">
            <v>0</v>
          </cell>
          <cell r="E1429">
            <v>0</v>
          </cell>
          <cell r="F1429">
            <v>0</v>
          </cell>
          <cell r="G1429">
            <v>0</v>
          </cell>
          <cell r="H1429">
            <v>0</v>
          </cell>
          <cell r="J1429" t="e">
            <v>#N/A</v>
          </cell>
          <cell r="P1429" t="e">
            <v>#N/A</v>
          </cell>
          <cell r="R1429" t="e">
            <v>#N/A</v>
          </cell>
          <cell r="S1429" t="e">
            <v>#N/A</v>
          </cell>
          <cell r="Y1429" t="e">
            <v>#N/A</v>
          </cell>
          <cell r="AA1429" t="e">
            <v>#N/A</v>
          </cell>
        </row>
        <row r="1430">
          <cell r="B1430">
            <v>0</v>
          </cell>
          <cell r="C1430">
            <v>0</v>
          </cell>
          <cell r="E1430">
            <v>0</v>
          </cell>
          <cell r="F1430">
            <v>0</v>
          </cell>
          <cell r="G1430">
            <v>0</v>
          </cell>
          <cell r="H1430">
            <v>0</v>
          </cell>
          <cell r="J1430" t="e">
            <v>#N/A</v>
          </cell>
          <cell r="P1430" t="e">
            <v>#N/A</v>
          </cell>
          <cell r="R1430" t="e">
            <v>#N/A</v>
          </cell>
          <cell r="S1430" t="e">
            <v>#N/A</v>
          </cell>
          <cell r="Y1430" t="e">
            <v>#N/A</v>
          </cell>
          <cell r="AA1430" t="e">
            <v>#N/A</v>
          </cell>
        </row>
        <row r="1431">
          <cell r="B1431">
            <v>0</v>
          </cell>
          <cell r="C1431">
            <v>0</v>
          </cell>
          <cell r="E1431">
            <v>0</v>
          </cell>
          <cell r="F1431">
            <v>0</v>
          </cell>
          <cell r="G1431">
            <v>0</v>
          </cell>
          <cell r="H1431">
            <v>0</v>
          </cell>
          <cell r="J1431" t="e">
            <v>#N/A</v>
          </cell>
          <cell r="P1431" t="e">
            <v>#N/A</v>
          </cell>
          <cell r="R1431" t="e">
            <v>#N/A</v>
          </cell>
          <cell r="S1431" t="e">
            <v>#N/A</v>
          </cell>
          <cell r="Y1431" t="e">
            <v>#N/A</v>
          </cell>
          <cell r="AA1431" t="e">
            <v>#N/A</v>
          </cell>
        </row>
        <row r="1432">
          <cell r="B1432">
            <v>0</v>
          </cell>
          <cell r="C1432">
            <v>0</v>
          </cell>
          <cell r="E1432">
            <v>0</v>
          </cell>
          <cell r="F1432">
            <v>0</v>
          </cell>
          <cell r="G1432">
            <v>0</v>
          </cell>
          <cell r="H1432">
            <v>0</v>
          </cell>
          <cell r="J1432" t="e">
            <v>#N/A</v>
          </cell>
          <cell r="P1432" t="e">
            <v>#N/A</v>
          </cell>
          <cell r="R1432" t="e">
            <v>#N/A</v>
          </cell>
          <cell r="S1432" t="e">
            <v>#N/A</v>
          </cell>
          <cell r="Y1432" t="e">
            <v>#N/A</v>
          </cell>
          <cell r="AA1432" t="e">
            <v>#N/A</v>
          </cell>
        </row>
        <row r="1433">
          <cell r="B1433">
            <v>0</v>
          </cell>
          <cell r="C1433">
            <v>0</v>
          </cell>
          <cell r="E1433">
            <v>0</v>
          </cell>
          <cell r="F1433">
            <v>0</v>
          </cell>
          <cell r="G1433">
            <v>0</v>
          </cell>
          <cell r="H1433">
            <v>0</v>
          </cell>
          <cell r="J1433" t="e">
            <v>#N/A</v>
          </cell>
          <cell r="P1433" t="e">
            <v>#N/A</v>
          </cell>
          <cell r="R1433" t="e">
            <v>#N/A</v>
          </cell>
          <cell r="S1433" t="e">
            <v>#N/A</v>
          </cell>
          <cell r="Y1433" t="e">
            <v>#N/A</v>
          </cell>
          <cell r="AA1433" t="e">
            <v>#N/A</v>
          </cell>
        </row>
        <row r="1434">
          <cell r="B1434">
            <v>0</v>
          </cell>
          <cell r="C1434">
            <v>0</v>
          </cell>
          <cell r="E1434">
            <v>0</v>
          </cell>
          <cell r="F1434">
            <v>0</v>
          </cell>
          <cell r="G1434">
            <v>0</v>
          </cell>
          <cell r="H1434">
            <v>0</v>
          </cell>
          <cell r="J1434" t="e">
            <v>#N/A</v>
          </cell>
          <cell r="P1434" t="e">
            <v>#N/A</v>
          </cell>
          <cell r="R1434" t="e">
            <v>#N/A</v>
          </cell>
          <cell r="S1434" t="e">
            <v>#N/A</v>
          </cell>
          <cell r="Y1434" t="e">
            <v>#N/A</v>
          </cell>
          <cell r="AA1434" t="e">
            <v>#N/A</v>
          </cell>
        </row>
        <row r="1435">
          <cell r="B1435">
            <v>0</v>
          </cell>
          <cell r="C1435">
            <v>0</v>
          </cell>
          <cell r="E1435">
            <v>0</v>
          </cell>
          <cell r="F1435">
            <v>0</v>
          </cell>
          <cell r="G1435">
            <v>0</v>
          </cell>
          <cell r="H1435">
            <v>0</v>
          </cell>
          <cell r="J1435" t="e">
            <v>#N/A</v>
          </cell>
          <cell r="P1435" t="e">
            <v>#N/A</v>
          </cell>
          <cell r="R1435" t="e">
            <v>#N/A</v>
          </cell>
          <cell r="S1435" t="e">
            <v>#N/A</v>
          </cell>
          <cell r="Y1435" t="e">
            <v>#N/A</v>
          </cell>
          <cell r="AA1435" t="e">
            <v>#N/A</v>
          </cell>
        </row>
        <row r="1436">
          <cell r="B1436">
            <v>0</v>
          </cell>
          <cell r="C1436">
            <v>0</v>
          </cell>
          <cell r="E1436">
            <v>0</v>
          </cell>
          <cell r="F1436">
            <v>0</v>
          </cell>
          <cell r="G1436">
            <v>0</v>
          </cell>
          <cell r="H1436">
            <v>0</v>
          </cell>
          <cell r="J1436" t="e">
            <v>#N/A</v>
          </cell>
          <cell r="P1436" t="e">
            <v>#N/A</v>
          </cell>
          <cell r="R1436" t="e">
            <v>#N/A</v>
          </cell>
          <cell r="S1436" t="e">
            <v>#N/A</v>
          </cell>
          <cell r="Y1436" t="e">
            <v>#N/A</v>
          </cell>
          <cell r="AA1436" t="e">
            <v>#N/A</v>
          </cell>
        </row>
        <row r="1437">
          <cell r="B1437">
            <v>0</v>
          </cell>
          <cell r="C1437">
            <v>0</v>
          </cell>
          <cell r="E1437">
            <v>0</v>
          </cell>
          <cell r="F1437">
            <v>0</v>
          </cell>
          <cell r="G1437">
            <v>0</v>
          </cell>
          <cell r="H1437">
            <v>0</v>
          </cell>
          <cell r="J1437" t="e">
            <v>#N/A</v>
          </cell>
          <cell r="P1437" t="e">
            <v>#N/A</v>
          </cell>
          <cell r="R1437" t="e">
            <v>#N/A</v>
          </cell>
          <cell r="S1437" t="e">
            <v>#N/A</v>
          </cell>
          <cell r="Y1437" t="e">
            <v>#N/A</v>
          </cell>
          <cell r="AA1437" t="e">
            <v>#N/A</v>
          </cell>
        </row>
        <row r="1438">
          <cell r="B1438">
            <v>0</v>
          </cell>
          <cell r="C1438">
            <v>0</v>
          </cell>
          <cell r="E1438">
            <v>0</v>
          </cell>
          <cell r="F1438">
            <v>0</v>
          </cell>
          <cell r="G1438">
            <v>0</v>
          </cell>
          <cell r="H1438">
            <v>0</v>
          </cell>
          <cell r="J1438" t="e">
            <v>#N/A</v>
          </cell>
          <cell r="P1438" t="e">
            <v>#N/A</v>
          </cell>
          <cell r="R1438" t="e">
            <v>#N/A</v>
          </cell>
          <cell r="S1438" t="e">
            <v>#N/A</v>
          </cell>
          <cell r="Y1438" t="e">
            <v>#N/A</v>
          </cell>
          <cell r="AA1438" t="e">
            <v>#N/A</v>
          </cell>
        </row>
        <row r="1439">
          <cell r="B1439">
            <v>0</v>
          </cell>
          <cell r="C1439">
            <v>0</v>
          </cell>
          <cell r="E1439">
            <v>0</v>
          </cell>
          <cell r="F1439">
            <v>0</v>
          </cell>
          <cell r="G1439">
            <v>0</v>
          </cell>
          <cell r="H1439">
            <v>0</v>
          </cell>
          <cell r="J1439" t="e">
            <v>#N/A</v>
          </cell>
          <cell r="P1439" t="e">
            <v>#N/A</v>
          </cell>
          <cell r="R1439" t="e">
            <v>#N/A</v>
          </cell>
          <cell r="S1439" t="e">
            <v>#N/A</v>
          </cell>
          <cell r="Y1439" t="e">
            <v>#N/A</v>
          </cell>
          <cell r="AA1439" t="e">
            <v>#N/A</v>
          </cell>
        </row>
        <row r="1440">
          <cell r="B1440">
            <v>0</v>
          </cell>
          <cell r="C1440">
            <v>0</v>
          </cell>
          <cell r="E1440">
            <v>0</v>
          </cell>
          <cell r="F1440">
            <v>0</v>
          </cell>
          <cell r="G1440">
            <v>0</v>
          </cell>
          <cell r="H1440">
            <v>0</v>
          </cell>
          <cell r="J1440" t="e">
            <v>#N/A</v>
          </cell>
          <cell r="P1440" t="e">
            <v>#N/A</v>
          </cell>
          <cell r="R1440" t="e">
            <v>#N/A</v>
          </cell>
          <cell r="S1440" t="e">
            <v>#N/A</v>
          </cell>
          <cell r="Y1440" t="e">
            <v>#N/A</v>
          </cell>
          <cell r="AA1440" t="e">
            <v>#N/A</v>
          </cell>
        </row>
        <row r="1441">
          <cell r="B1441">
            <v>0</v>
          </cell>
          <cell r="C1441">
            <v>0</v>
          </cell>
          <cell r="E1441">
            <v>0</v>
          </cell>
          <cell r="F1441">
            <v>0</v>
          </cell>
          <cell r="G1441">
            <v>0</v>
          </cell>
          <cell r="H1441">
            <v>0</v>
          </cell>
          <cell r="J1441" t="e">
            <v>#N/A</v>
          </cell>
          <cell r="P1441" t="e">
            <v>#N/A</v>
          </cell>
          <cell r="R1441" t="e">
            <v>#N/A</v>
          </cell>
          <cell r="S1441" t="e">
            <v>#N/A</v>
          </cell>
          <cell r="Y1441" t="e">
            <v>#N/A</v>
          </cell>
          <cell r="AA1441" t="e">
            <v>#N/A</v>
          </cell>
        </row>
        <row r="1442">
          <cell r="B1442">
            <v>0</v>
          </cell>
          <cell r="C1442">
            <v>0</v>
          </cell>
          <cell r="E1442">
            <v>0</v>
          </cell>
          <cell r="F1442">
            <v>0</v>
          </cell>
          <cell r="G1442">
            <v>0</v>
          </cell>
          <cell r="H1442">
            <v>0</v>
          </cell>
          <cell r="J1442" t="e">
            <v>#N/A</v>
          </cell>
          <cell r="P1442" t="e">
            <v>#N/A</v>
          </cell>
          <cell r="R1442" t="e">
            <v>#N/A</v>
          </cell>
          <cell r="S1442" t="e">
            <v>#N/A</v>
          </cell>
          <cell r="Y1442" t="e">
            <v>#N/A</v>
          </cell>
          <cell r="AA1442" t="e">
            <v>#N/A</v>
          </cell>
        </row>
        <row r="1443">
          <cell r="B1443">
            <v>0</v>
          </cell>
          <cell r="C1443">
            <v>0</v>
          </cell>
          <cell r="E1443">
            <v>0</v>
          </cell>
          <cell r="F1443">
            <v>0</v>
          </cell>
          <cell r="G1443">
            <v>0</v>
          </cell>
          <cell r="H1443">
            <v>0</v>
          </cell>
          <cell r="J1443" t="e">
            <v>#N/A</v>
          </cell>
          <cell r="P1443" t="e">
            <v>#N/A</v>
          </cell>
          <cell r="R1443" t="e">
            <v>#N/A</v>
          </cell>
          <cell r="S1443" t="e">
            <v>#N/A</v>
          </cell>
          <cell r="Y1443" t="e">
            <v>#N/A</v>
          </cell>
          <cell r="AA1443" t="e">
            <v>#N/A</v>
          </cell>
        </row>
        <row r="1444">
          <cell r="B1444">
            <v>0</v>
          </cell>
          <cell r="C1444">
            <v>0</v>
          </cell>
          <cell r="E1444">
            <v>0</v>
          </cell>
          <cell r="F1444">
            <v>0</v>
          </cell>
          <cell r="G1444">
            <v>0</v>
          </cell>
          <cell r="H1444">
            <v>0</v>
          </cell>
          <cell r="J1444" t="e">
            <v>#N/A</v>
          </cell>
          <cell r="P1444" t="e">
            <v>#N/A</v>
          </cell>
          <cell r="R1444" t="e">
            <v>#N/A</v>
          </cell>
          <cell r="S1444" t="e">
            <v>#N/A</v>
          </cell>
          <cell r="Y1444" t="e">
            <v>#N/A</v>
          </cell>
          <cell r="AA1444" t="e">
            <v>#N/A</v>
          </cell>
        </row>
        <row r="1445">
          <cell r="B1445">
            <v>0</v>
          </cell>
          <cell r="C1445">
            <v>0</v>
          </cell>
          <cell r="E1445">
            <v>0</v>
          </cell>
          <cell r="F1445">
            <v>0</v>
          </cell>
          <cell r="G1445">
            <v>0</v>
          </cell>
          <cell r="H1445">
            <v>0</v>
          </cell>
          <cell r="J1445" t="e">
            <v>#N/A</v>
          </cell>
          <cell r="P1445" t="e">
            <v>#N/A</v>
          </cell>
          <cell r="R1445" t="e">
            <v>#N/A</v>
          </cell>
          <cell r="S1445" t="e">
            <v>#N/A</v>
          </cell>
          <cell r="Y1445" t="e">
            <v>#N/A</v>
          </cell>
          <cell r="AA1445" t="e">
            <v>#N/A</v>
          </cell>
        </row>
        <row r="1446">
          <cell r="B1446">
            <v>0</v>
          </cell>
          <cell r="C1446">
            <v>0</v>
          </cell>
          <cell r="E1446">
            <v>0</v>
          </cell>
          <cell r="F1446">
            <v>0</v>
          </cell>
          <cell r="G1446">
            <v>0</v>
          </cell>
          <cell r="H1446">
            <v>0</v>
          </cell>
          <cell r="J1446" t="e">
            <v>#N/A</v>
          </cell>
          <cell r="P1446" t="e">
            <v>#N/A</v>
          </cell>
          <cell r="R1446" t="e">
            <v>#N/A</v>
          </cell>
          <cell r="S1446" t="e">
            <v>#N/A</v>
          </cell>
          <cell r="Y1446" t="e">
            <v>#N/A</v>
          </cell>
          <cell r="AA1446" t="e">
            <v>#N/A</v>
          </cell>
        </row>
        <row r="1447">
          <cell r="B1447">
            <v>0</v>
          </cell>
          <cell r="C1447">
            <v>0</v>
          </cell>
          <cell r="E1447">
            <v>0</v>
          </cell>
          <cell r="F1447">
            <v>0</v>
          </cell>
          <cell r="G1447">
            <v>0</v>
          </cell>
          <cell r="H1447">
            <v>0</v>
          </cell>
          <cell r="J1447" t="e">
            <v>#N/A</v>
          </cell>
          <cell r="P1447" t="e">
            <v>#N/A</v>
          </cell>
          <cell r="R1447" t="e">
            <v>#N/A</v>
          </cell>
          <cell r="S1447" t="e">
            <v>#N/A</v>
          </cell>
          <cell r="Y1447" t="e">
            <v>#N/A</v>
          </cell>
          <cell r="AA1447" t="e">
            <v>#N/A</v>
          </cell>
        </row>
        <row r="1448">
          <cell r="B1448">
            <v>0</v>
          </cell>
          <cell r="C1448">
            <v>0</v>
          </cell>
          <cell r="E1448">
            <v>0</v>
          </cell>
          <cell r="F1448">
            <v>0</v>
          </cell>
          <cell r="G1448">
            <v>0</v>
          </cell>
          <cell r="H1448">
            <v>0</v>
          </cell>
          <cell r="J1448" t="e">
            <v>#N/A</v>
          </cell>
          <cell r="P1448" t="e">
            <v>#N/A</v>
          </cell>
          <cell r="R1448" t="e">
            <v>#N/A</v>
          </cell>
          <cell r="S1448" t="e">
            <v>#N/A</v>
          </cell>
          <cell r="Y1448" t="e">
            <v>#N/A</v>
          </cell>
          <cell r="AA1448" t="e">
            <v>#N/A</v>
          </cell>
        </row>
        <row r="1449">
          <cell r="B1449">
            <v>0</v>
          </cell>
          <cell r="C1449">
            <v>0</v>
          </cell>
          <cell r="E1449">
            <v>0</v>
          </cell>
          <cell r="F1449">
            <v>0</v>
          </cell>
          <cell r="G1449">
            <v>0</v>
          </cell>
          <cell r="H1449">
            <v>0</v>
          </cell>
          <cell r="J1449" t="e">
            <v>#N/A</v>
          </cell>
          <cell r="P1449" t="e">
            <v>#N/A</v>
          </cell>
          <cell r="R1449" t="e">
            <v>#N/A</v>
          </cell>
          <cell r="S1449" t="e">
            <v>#N/A</v>
          </cell>
          <cell r="Y1449" t="e">
            <v>#N/A</v>
          </cell>
          <cell r="AA1449" t="e">
            <v>#N/A</v>
          </cell>
        </row>
        <row r="1450">
          <cell r="B1450">
            <v>0</v>
          </cell>
          <cell r="C1450">
            <v>0</v>
          </cell>
          <cell r="E1450">
            <v>0</v>
          </cell>
          <cell r="F1450">
            <v>0</v>
          </cell>
          <cell r="G1450">
            <v>0</v>
          </cell>
          <cell r="H1450">
            <v>0</v>
          </cell>
          <cell r="J1450" t="e">
            <v>#N/A</v>
          </cell>
          <cell r="P1450" t="e">
            <v>#N/A</v>
          </cell>
          <cell r="R1450" t="e">
            <v>#N/A</v>
          </cell>
          <cell r="S1450" t="e">
            <v>#N/A</v>
          </cell>
          <cell r="Y1450" t="e">
            <v>#N/A</v>
          </cell>
          <cell r="AA1450" t="e">
            <v>#N/A</v>
          </cell>
        </row>
        <row r="1451">
          <cell r="B1451">
            <v>0</v>
          </cell>
          <cell r="C1451">
            <v>0</v>
          </cell>
          <cell r="E1451">
            <v>0</v>
          </cell>
          <cell r="F1451">
            <v>0</v>
          </cell>
          <cell r="G1451">
            <v>0</v>
          </cell>
          <cell r="H1451">
            <v>0</v>
          </cell>
          <cell r="J1451" t="e">
            <v>#N/A</v>
          </cell>
          <cell r="P1451" t="e">
            <v>#N/A</v>
          </cell>
          <cell r="R1451" t="e">
            <v>#N/A</v>
          </cell>
          <cell r="S1451" t="e">
            <v>#N/A</v>
          </cell>
          <cell r="Y1451" t="e">
            <v>#N/A</v>
          </cell>
          <cell r="AA1451" t="e">
            <v>#N/A</v>
          </cell>
        </row>
        <row r="1452">
          <cell r="B1452">
            <v>0</v>
          </cell>
          <cell r="C1452">
            <v>0</v>
          </cell>
          <cell r="E1452">
            <v>0</v>
          </cell>
          <cell r="F1452">
            <v>0</v>
          </cell>
          <cell r="G1452">
            <v>0</v>
          </cell>
          <cell r="H1452">
            <v>0</v>
          </cell>
          <cell r="J1452" t="e">
            <v>#N/A</v>
          </cell>
          <cell r="P1452" t="e">
            <v>#N/A</v>
          </cell>
          <cell r="R1452" t="e">
            <v>#N/A</v>
          </cell>
          <cell r="S1452" t="e">
            <v>#N/A</v>
          </cell>
          <cell r="Y1452" t="e">
            <v>#N/A</v>
          </cell>
          <cell r="AA1452" t="e">
            <v>#N/A</v>
          </cell>
        </row>
        <row r="1453">
          <cell r="B1453">
            <v>0</v>
          </cell>
          <cell r="C1453">
            <v>0</v>
          </cell>
          <cell r="E1453">
            <v>0</v>
          </cell>
          <cell r="F1453">
            <v>0</v>
          </cell>
          <cell r="G1453">
            <v>0</v>
          </cell>
          <cell r="H1453">
            <v>0</v>
          </cell>
          <cell r="J1453" t="e">
            <v>#N/A</v>
          </cell>
          <cell r="P1453" t="e">
            <v>#N/A</v>
          </cell>
          <cell r="R1453" t="e">
            <v>#N/A</v>
          </cell>
          <cell r="S1453" t="e">
            <v>#N/A</v>
          </cell>
          <cell r="Y1453" t="e">
            <v>#N/A</v>
          </cell>
          <cell r="AA1453" t="e">
            <v>#N/A</v>
          </cell>
        </row>
        <row r="1454">
          <cell r="B1454">
            <v>0</v>
          </cell>
          <cell r="C1454">
            <v>0</v>
          </cell>
          <cell r="E1454">
            <v>0</v>
          </cell>
          <cell r="F1454">
            <v>0</v>
          </cell>
          <cell r="G1454">
            <v>0</v>
          </cell>
          <cell r="H1454">
            <v>0</v>
          </cell>
          <cell r="J1454" t="e">
            <v>#N/A</v>
          </cell>
          <cell r="P1454" t="e">
            <v>#N/A</v>
          </cell>
          <cell r="R1454" t="e">
            <v>#N/A</v>
          </cell>
          <cell r="S1454" t="e">
            <v>#N/A</v>
          </cell>
          <cell r="Y1454" t="e">
            <v>#N/A</v>
          </cell>
          <cell r="AA1454" t="e">
            <v>#N/A</v>
          </cell>
        </row>
        <row r="1455">
          <cell r="B1455">
            <v>0</v>
          </cell>
          <cell r="C1455">
            <v>0</v>
          </cell>
          <cell r="E1455">
            <v>0</v>
          </cell>
          <cell r="F1455">
            <v>0</v>
          </cell>
          <cell r="G1455">
            <v>0</v>
          </cell>
          <cell r="H1455">
            <v>0</v>
          </cell>
          <cell r="J1455" t="e">
            <v>#N/A</v>
          </cell>
          <cell r="P1455" t="e">
            <v>#N/A</v>
          </cell>
          <cell r="R1455" t="e">
            <v>#N/A</v>
          </cell>
          <cell r="S1455" t="e">
            <v>#N/A</v>
          </cell>
          <cell r="Y1455" t="e">
            <v>#N/A</v>
          </cell>
          <cell r="AA1455" t="e">
            <v>#N/A</v>
          </cell>
        </row>
        <row r="1456">
          <cell r="B1456">
            <v>0</v>
          </cell>
          <cell r="C1456">
            <v>0</v>
          </cell>
          <cell r="E1456">
            <v>0</v>
          </cell>
          <cell r="F1456">
            <v>0</v>
          </cell>
          <cell r="G1456">
            <v>0</v>
          </cell>
          <cell r="H1456">
            <v>0</v>
          </cell>
          <cell r="J1456" t="e">
            <v>#N/A</v>
          </cell>
          <cell r="P1456" t="e">
            <v>#N/A</v>
          </cell>
          <cell r="R1456" t="e">
            <v>#N/A</v>
          </cell>
          <cell r="S1456" t="e">
            <v>#N/A</v>
          </cell>
          <cell r="Y1456" t="e">
            <v>#N/A</v>
          </cell>
          <cell r="AA1456" t="e">
            <v>#N/A</v>
          </cell>
        </row>
        <row r="1457">
          <cell r="B1457">
            <v>0</v>
          </cell>
          <cell r="C1457">
            <v>0</v>
          </cell>
          <cell r="E1457">
            <v>0</v>
          </cell>
          <cell r="F1457">
            <v>0</v>
          </cell>
          <cell r="G1457">
            <v>0</v>
          </cell>
          <cell r="H1457">
            <v>0</v>
          </cell>
          <cell r="J1457" t="e">
            <v>#N/A</v>
          </cell>
          <cell r="P1457" t="e">
            <v>#N/A</v>
          </cell>
          <cell r="R1457" t="e">
            <v>#N/A</v>
          </cell>
          <cell r="S1457" t="e">
            <v>#N/A</v>
          </cell>
          <cell r="Y1457" t="e">
            <v>#N/A</v>
          </cell>
          <cell r="AA1457" t="e">
            <v>#N/A</v>
          </cell>
        </row>
        <row r="1458">
          <cell r="B1458">
            <v>0</v>
          </cell>
          <cell r="C1458">
            <v>0</v>
          </cell>
          <cell r="E1458">
            <v>0</v>
          </cell>
          <cell r="F1458">
            <v>0</v>
          </cell>
          <cell r="G1458">
            <v>0</v>
          </cell>
          <cell r="H1458">
            <v>0</v>
          </cell>
          <cell r="J1458" t="e">
            <v>#N/A</v>
          </cell>
          <cell r="P1458" t="e">
            <v>#N/A</v>
          </cell>
          <cell r="R1458" t="e">
            <v>#N/A</v>
          </cell>
          <cell r="S1458" t="e">
            <v>#N/A</v>
          </cell>
          <cell r="Y1458" t="e">
            <v>#N/A</v>
          </cell>
          <cell r="AA1458" t="e">
            <v>#N/A</v>
          </cell>
        </row>
        <row r="1459">
          <cell r="B1459">
            <v>0</v>
          </cell>
          <cell r="C1459">
            <v>0</v>
          </cell>
          <cell r="E1459">
            <v>0</v>
          </cell>
          <cell r="F1459">
            <v>0</v>
          </cell>
          <cell r="G1459">
            <v>0</v>
          </cell>
          <cell r="H1459">
            <v>0</v>
          </cell>
          <cell r="J1459" t="e">
            <v>#N/A</v>
          </cell>
          <cell r="P1459" t="e">
            <v>#N/A</v>
          </cell>
          <cell r="R1459" t="e">
            <v>#N/A</v>
          </cell>
          <cell r="S1459" t="e">
            <v>#N/A</v>
          </cell>
          <cell r="Y1459" t="e">
            <v>#N/A</v>
          </cell>
          <cell r="AA1459" t="e">
            <v>#N/A</v>
          </cell>
        </row>
        <row r="1460">
          <cell r="B1460">
            <v>0</v>
          </cell>
          <cell r="C1460">
            <v>0</v>
          </cell>
          <cell r="E1460">
            <v>0</v>
          </cell>
          <cell r="F1460">
            <v>0</v>
          </cell>
          <cell r="G1460">
            <v>0</v>
          </cell>
          <cell r="H1460">
            <v>0</v>
          </cell>
          <cell r="J1460" t="e">
            <v>#N/A</v>
          </cell>
          <cell r="P1460" t="e">
            <v>#N/A</v>
          </cell>
          <cell r="R1460" t="e">
            <v>#N/A</v>
          </cell>
          <cell r="S1460" t="e">
            <v>#N/A</v>
          </cell>
          <cell r="Y1460" t="e">
            <v>#N/A</v>
          </cell>
          <cell r="AA1460" t="e">
            <v>#N/A</v>
          </cell>
        </row>
        <row r="1461">
          <cell r="B1461">
            <v>0</v>
          </cell>
          <cell r="C1461">
            <v>0</v>
          </cell>
          <cell r="E1461">
            <v>0</v>
          </cell>
          <cell r="F1461">
            <v>0</v>
          </cell>
          <cell r="G1461">
            <v>0</v>
          </cell>
          <cell r="H1461">
            <v>0</v>
          </cell>
          <cell r="J1461" t="e">
            <v>#N/A</v>
          </cell>
          <cell r="P1461" t="e">
            <v>#N/A</v>
          </cell>
          <cell r="R1461" t="e">
            <v>#N/A</v>
          </cell>
          <cell r="S1461" t="e">
            <v>#N/A</v>
          </cell>
          <cell r="Y1461" t="e">
            <v>#N/A</v>
          </cell>
          <cell r="AA1461" t="e">
            <v>#N/A</v>
          </cell>
        </row>
        <row r="1462">
          <cell r="B1462">
            <v>0</v>
          </cell>
          <cell r="C1462">
            <v>0</v>
          </cell>
          <cell r="E1462">
            <v>0</v>
          </cell>
          <cell r="F1462">
            <v>0</v>
          </cell>
          <cell r="G1462">
            <v>0</v>
          </cell>
          <cell r="H1462">
            <v>0</v>
          </cell>
          <cell r="J1462" t="e">
            <v>#N/A</v>
          </cell>
          <cell r="P1462" t="e">
            <v>#N/A</v>
          </cell>
          <cell r="R1462" t="e">
            <v>#N/A</v>
          </cell>
          <cell r="S1462" t="e">
            <v>#N/A</v>
          </cell>
          <cell r="Y1462" t="e">
            <v>#N/A</v>
          </cell>
          <cell r="AA1462" t="e">
            <v>#N/A</v>
          </cell>
        </row>
        <row r="1463">
          <cell r="B1463">
            <v>0</v>
          </cell>
          <cell r="C1463">
            <v>0</v>
          </cell>
          <cell r="E1463">
            <v>0</v>
          </cell>
          <cell r="F1463">
            <v>0</v>
          </cell>
          <cell r="G1463">
            <v>0</v>
          </cell>
          <cell r="H1463">
            <v>0</v>
          </cell>
          <cell r="J1463" t="e">
            <v>#N/A</v>
          </cell>
          <cell r="P1463" t="e">
            <v>#N/A</v>
          </cell>
          <cell r="R1463" t="e">
            <v>#N/A</v>
          </cell>
          <cell r="S1463" t="e">
            <v>#N/A</v>
          </cell>
          <cell r="Y1463" t="e">
            <v>#N/A</v>
          </cell>
          <cell r="AA1463" t="e">
            <v>#N/A</v>
          </cell>
        </row>
        <row r="1464">
          <cell r="B1464">
            <v>0</v>
          </cell>
          <cell r="C1464">
            <v>0</v>
          </cell>
          <cell r="E1464">
            <v>0</v>
          </cell>
          <cell r="F1464">
            <v>0</v>
          </cell>
          <cell r="G1464">
            <v>0</v>
          </cell>
          <cell r="H1464">
            <v>0</v>
          </cell>
          <cell r="J1464" t="e">
            <v>#N/A</v>
          </cell>
          <cell r="P1464" t="e">
            <v>#N/A</v>
          </cell>
          <cell r="R1464" t="e">
            <v>#N/A</v>
          </cell>
          <cell r="S1464" t="e">
            <v>#N/A</v>
          </cell>
          <cell r="Y1464" t="e">
            <v>#N/A</v>
          </cell>
          <cell r="AA1464" t="e">
            <v>#N/A</v>
          </cell>
        </row>
        <row r="1465">
          <cell r="B1465">
            <v>0</v>
          </cell>
          <cell r="C1465">
            <v>0</v>
          </cell>
          <cell r="E1465">
            <v>0</v>
          </cell>
          <cell r="F1465">
            <v>0</v>
          </cell>
          <cell r="G1465">
            <v>0</v>
          </cell>
          <cell r="H1465">
            <v>0</v>
          </cell>
          <cell r="J1465" t="e">
            <v>#N/A</v>
          </cell>
          <cell r="P1465" t="e">
            <v>#N/A</v>
          </cell>
          <cell r="R1465" t="e">
            <v>#N/A</v>
          </cell>
          <cell r="S1465" t="e">
            <v>#N/A</v>
          </cell>
          <cell r="Y1465" t="e">
            <v>#N/A</v>
          </cell>
          <cell r="AA1465" t="e">
            <v>#N/A</v>
          </cell>
        </row>
        <row r="1466">
          <cell r="B1466">
            <v>0</v>
          </cell>
          <cell r="C1466">
            <v>0</v>
          </cell>
          <cell r="E1466">
            <v>0</v>
          </cell>
          <cell r="F1466">
            <v>0</v>
          </cell>
          <cell r="G1466">
            <v>0</v>
          </cell>
          <cell r="H1466">
            <v>0</v>
          </cell>
          <cell r="J1466" t="e">
            <v>#N/A</v>
          </cell>
          <cell r="P1466" t="e">
            <v>#N/A</v>
          </cell>
          <cell r="R1466" t="e">
            <v>#N/A</v>
          </cell>
          <cell r="S1466" t="e">
            <v>#N/A</v>
          </cell>
          <cell r="Y1466" t="e">
            <v>#N/A</v>
          </cell>
          <cell r="AA1466" t="e">
            <v>#N/A</v>
          </cell>
        </row>
        <row r="1467">
          <cell r="B1467">
            <v>0</v>
          </cell>
          <cell r="C1467">
            <v>0</v>
          </cell>
          <cell r="E1467">
            <v>0</v>
          </cell>
          <cell r="F1467">
            <v>0</v>
          </cell>
          <cell r="G1467">
            <v>0</v>
          </cell>
          <cell r="H1467">
            <v>0</v>
          </cell>
          <cell r="J1467" t="e">
            <v>#N/A</v>
          </cell>
          <cell r="P1467" t="e">
            <v>#N/A</v>
          </cell>
          <cell r="R1467" t="e">
            <v>#N/A</v>
          </cell>
          <cell r="S1467" t="e">
            <v>#N/A</v>
          </cell>
          <cell r="Y1467" t="e">
            <v>#N/A</v>
          </cell>
          <cell r="AA1467" t="e">
            <v>#N/A</v>
          </cell>
        </row>
        <row r="1468">
          <cell r="B1468">
            <v>0</v>
          </cell>
          <cell r="C1468">
            <v>0</v>
          </cell>
          <cell r="E1468">
            <v>0</v>
          </cell>
          <cell r="F1468">
            <v>0</v>
          </cell>
          <cell r="G1468">
            <v>0</v>
          </cell>
          <cell r="H1468">
            <v>0</v>
          </cell>
          <cell r="J1468" t="e">
            <v>#N/A</v>
          </cell>
          <cell r="P1468" t="e">
            <v>#N/A</v>
          </cell>
          <cell r="R1468" t="e">
            <v>#N/A</v>
          </cell>
          <cell r="S1468" t="e">
            <v>#N/A</v>
          </cell>
          <cell r="Y1468" t="e">
            <v>#N/A</v>
          </cell>
          <cell r="AA1468" t="e">
            <v>#N/A</v>
          </cell>
        </row>
        <row r="1469">
          <cell r="B1469">
            <v>0</v>
          </cell>
          <cell r="C1469">
            <v>0</v>
          </cell>
          <cell r="E1469">
            <v>0</v>
          </cell>
          <cell r="F1469">
            <v>0</v>
          </cell>
          <cell r="G1469">
            <v>0</v>
          </cell>
          <cell r="H1469">
            <v>0</v>
          </cell>
          <cell r="J1469" t="e">
            <v>#N/A</v>
          </cell>
          <cell r="P1469" t="e">
            <v>#N/A</v>
          </cell>
          <cell r="R1469" t="e">
            <v>#N/A</v>
          </cell>
          <cell r="S1469" t="e">
            <v>#N/A</v>
          </cell>
          <cell r="Y1469" t="e">
            <v>#N/A</v>
          </cell>
          <cell r="AA1469" t="e">
            <v>#N/A</v>
          </cell>
        </row>
        <row r="1470">
          <cell r="B1470">
            <v>0</v>
          </cell>
          <cell r="C1470">
            <v>0</v>
          </cell>
          <cell r="E1470">
            <v>0</v>
          </cell>
          <cell r="F1470">
            <v>0</v>
          </cell>
          <cell r="G1470">
            <v>0</v>
          </cell>
          <cell r="H1470">
            <v>0</v>
          </cell>
          <cell r="J1470" t="e">
            <v>#N/A</v>
          </cell>
          <cell r="P1470" t="e">
            <v>#N/A</v>
          </cell>
          <cell r="R1470" t="e">
            <v>#N/A</v>
          </cell>
          <cell r="S1470" t="e">
            <v>#N/A</v>
          </cell>
          <cell r="Y1470" t="e">
            <v>#N/A</v>
          </cell>
          <cell r="AA1470" t="e">
            <v>#N/A</v>
          </cell>
        </row>
        <row r="1471">
          <cell r="B1471">
            <v>0</v>
          </cell>
          <cell r="C1471">
            <v>0</v>
          </cell>
          <cell r="E1471">
            <v>0</v>
          </cell>
          <cell r="F1471">
            <v>0</v>
          </cell>
          <cell r="G1471">
            <v>0</v>
          </cell>
          <cell r="H1471">
            <v>0</v>
          </cell>
          <cell r="J1471" t="e">
            <v>#N/A</v>
          </cell>
          <cell r="P1471" t="e">
            <v>#N/A</v>
          </cell>
          <cell r="R1471" t="e">
            <v>#N/A</v>
          </cell>
          <cell r="S1471" t="e">
            <v>#N/A</v>
          </cell>
          <cell r="Y1471" t="e">
            <v>#N/A</v>
          </cell>
          <cell r="AA1471" t="e">
            <v>#N/A</v>
          </cell>
        </row>
        <row r="1472">
          <cell r="B1472">
            <v>0</v>
          </cell>
          <cell r="C1472">
            <v>0</v>
          </cell>
          <cell r="E1472">
            <v>0</v>
          </cell>
          <cell r="F1472">
            <v>0</v>
          </cell>
          <cell r="G1472">
            <v>0</v>
          </cell>
          <cell r="H1472">
            <v>0</v>
          </cell>
          <cell r="J1472" t="e">
            <v>#N/A</v>
          </cell>
          <cell r="P1472" t="e">
            <v>#N/A</v>
          </cell>
          <cell r="R1472" t="e">
            <v>#N/A</v>
          </cell>
          <cell r="S1472" t="e">
            <v>#N/A</v>
          </cell>
          <cell r="Y1472" t="e">
            <v>#N/A</v>
          </cell>
          <cell r="AA1472" t="e">
            <v>#N/A</v>
          </cell>
        </row>
        <row r="1473">
          <cell r="B1473">
            <v>0</v>
          </cell>
          <cell r="C1473">
            <v>0</v>
          </cell>
          <cell r="E1473">
            <v>0</v>
          </cell>
          <cell r="F1473">
            <v>0</v>
          </cell>
          <cell r="G1473">
            <v>0</v>
          </cell>
          <cell r="H1473">
            <v>0</v>
          </cell>
          <cell r="J1473" t="e">
            <v>#N/A</v>
          </cell>
          <cell r="P1473" t="e">
            <v>#N/A</v>
          </cell>
          <cell r="R1473" t="e">
            <v>#N/A</v>
          </cell>
          <cell r="S1473" t="e">
            <v>#N/A</v>
          </cell>
          <cell r="Y1473" t="e">
            <v>#N/A</v>
          </cell>
          <cell r="AA1473" t="e">
            <v>#N/A</v>
          </cell>
        </row>
        <row r="1474">
          <cell r="B1474">
            <v>0</v>
          </cell>
          <cell r="C1474">
            <v>0</v>
          </cell>
          <cell r="E1474">
            <v>0</v>
          </cell>
          <cell r="F1474">
            <v>0</v>
          </cell>
          <cell r="G1474">
            <v>0</v>
          </cell>
          <cell r="H1474">
            <v>0</v>
          </cell>
          <cell r="J1474" t="e">
            <v>#N/A</v>
          </cell>
          <cell r="P1474" t="e">
            <v>#N/A</v>
          </cell>
          <cell r="R1474" t="e">
            <v>#N/A</v>
          </cell>
          <cell r="S1474" t="e">
            <v>#N/A</v>
          </cell>
          <cell r="Y1474" t="e">
            <v>#N/A</v>
          </cell>
          <cell r="AA1474" t="e">
            <v>#N/A</v>
          </cell>
        </row>
        <row r="1475">
          <cell r="B1475">
            <v>0</v>
          </cell>
          <cell r="C1475">
            <v>0</v>
          </cell>
          <cell r="E1475">
            <v>0</v>
          </cell>
          <cell r="F1475">
            <v>0</v>
          </cell>
          <cell r="G1475">
            <v>0</v>
          </cell>
          <cell r="H1475">
            <v>0</v>
          </cell>
          <cell r="J1475" t="e">
            <v>#N/A</v>
          </cell>
          <cell r="P1475" t="e">
            <v>#N/A</v>
          </cell>
          <cell r="R1475" t="e">
            <v>#N/A</v>
          </cell>
          <cell r="S1475" t="e">
            <v>#N/A</v>
          </cell>
          <cell r="Y1475" t="e">
            <v>#N/A</v>
          </cell>
          <cell r="AA1475" t="e">
            <v>#N/A</v>
          </cell>
        </row>
        <row r="1476">
          <cell r="B1476">
            <v>0</v>
          </cell>
          <cell r="C1476">
            <v>0</v>
          </cell>
          <cell r="E1476">
            <v>0</v>
          </cell>
          <cell r="F1476">
            <v>0</v>
          </cell>
          <cell r="G1476">
            <v>0</v>
          </cell>
          <cell r="H1476">
            <v>0</v>
          </cell>
          <cell r="J1476" t="e">
            <v>#N/A</v>
          </cell>
          <cell r="P1476" t="e">
            <v>#N/A</v>
          </cell>
          <cell r="R1476" t="e">
            <v>#N/A</v>
          </cell>
          <cell r="S1476" t="e">
            <v>#N/A</v>
          </cell>
          <cell r="Y1476" t="e">
            <v>#N/A</v>
          </cell>
          <cell r="AA1476" t="e">
            <v>#N/A</v>
          </cell>
        </row>
        <row r="1477">
          <cell r="B1477">
            <v>0</v>
          </cell>
          <cell r="C1477">
            <v>0</v>
          </cell>
          <cell r="E1477">
            <v>0</v>
          </cell>
          <cell r="F1477">
            <v>0</v>
          </cell>
          <cell r="G1477">
            <v>0</v>
          </cell>
          <cell r="H1477">
            <v>0</v>
          </cell>
          <cell r="J1477" t="e">
            <v>#N/A</v>
          </cell>
          <cell r="P1477" t="e">
            <v>#N/A</v>
          </cell>
          <cell r="R1477" t="e">
            <v>#N/A</v>
          </cell>
          <cell r="S1477" t="e">
            <v>#N/A</v>
          </cell>
          <cell r="Y1477" t="e">
            <v>#N/A</v>
          </cell>
          <cell r="AA1477" t="e">
            <v>#N/A</v>
          </cell>
        </row>
        <row r="1478">
          <cell r="B1478">
            <v>0</v>
          </cell>
          <cell r="C1478">
            <v>0</v>
          </cell>
          <cell r="E1478">
            <v>0</v>
          </cell>
          <cell r="F1478">
            <v>0</v>
          </cell>
          <cell r="G1478">
            <v>0</v>
          </cell>
          <cell r="H1478">
            <v>0</v>
          </cell>
          <cell r="J1478" t="e">
            <v>#N/A</v>
          </cell>
          <cell r="P1478" t="e">
            <v>#N/A</v>
          </cell>
          <cell r="R1478" t="e">
            <v>#N/A</v>
          </cell>
          <cell r="S1478" t="e">
            <v>#N/A</v>
          </cell>
          <cell r="Y1478" t="e">
            <v>#N/A</v>
          </cell>
          <cell r="AA1478" t="e">
            <v>#N/A</v>
          </cell>
        </row>
        <row r="1479">
          <cell r="B1479">
            <v>0</v>
          </cell>
          <cell r="C1479">
            <v>0</v>
          </cell>
          <cell r="E1479">
            <v>0</v>
          </cell>
          <cell r="F1479">
            <v>0</v>
          </cell>
          <cell r="G1479">
            <v>0</v>
          </cell>
          <cell r="H1479">
            <v>0</v>
          </cell>
          <cell r="J1479" t="e">
            <v>#N/A</v>
          </cell>
          <cell r="P1479" t="e">
            <v>#N/A</v>
          </cell>
          <cell r="R1479" t="e">
            <v>#N/A</v>
          </cell>
          <cell r="S1479" t="e">
            <v>#N/A</v>
          </cell>
          <cell r="Y1479" t="e">
            <v>#N/A</v>
          </cell>
          <cell r="AA1479" t="e">
            <v>#N/A</v>
          </cell>
        </row>
        <row r="1480">
          <cell r="B1480">
            <v>0</v>
          </cell>
          <cell r="C1480">
            <v>0</v>
          </cell>
          <cell r="E1480">
            <v>0</v>
          </cell>
          <cell r="F1480">
            <v>0</v>
          </cell>
          <cell r="G1480">
            <v>0</v>
          </cell>
          <cell r="H1480">
            <v>0</v>
          </cell>
          <cell r="J1480" t="e">
            <v>#N/A</v>
          </cell>
          <cell r="P1480" t="e">
            <v>#N/A</v>
          </cell>
          <cell r="R1480" t="e">
            <v>#N/A</v>
          </cell>
          <cell r="S1480" t="e">
            <v>#N/A</v>
          </cell>
          <cell r="Y1480" t="e">
            <v>#N/A</v>
          </cell>
          <cell r="AA1480" t="e">
            <v>#N/A</v>
          </cell>
        </row>
        <row r="1481">
          <cell r="B1481">
            <v>0</v>
          </cell>
          <cell r="C1481">
            <v>0</v>
          </cell>
          <cell r="E1481">
            <v>0</v>
          </cell>
          <cell r="F1481">
            <v>0</v>
          </cell>
          <cell r="G1481">
            <v>0</v>
          </cell>
          <cell r="H1481">
            <v>0</v>
          </cell>
          <cell r="J1481" t="e">
            <v>#N/A</v>
          </cell>
          <cell r="P1481" t="e">
            <v>#N/A</v>
          </cell>
          <cell r="R1481" t="e">
            <v>#N/A</v>
          </cell>
          <cell r="S1481" t="e">
            <v>#N/A</v>
          </cell>
          <cell r="Y1481" t="e">
            <v>#N/A</v>
          </cell>
          <cell r="AA1481" t="e">
            <v>#N/A</v>
          </cell>
        </row>
        <row r="1482">
          <cell r="B1482">
            <v>0</v>
          </cell>
          <cell r="C1482">
            <v>0</v>
          </cell>
          <cell r="E1482">
            <v>0</v>
          </cell>
          <cell r="F1482">
            <v>0</v>
          </cell>
          <cell r="G1482">
            <v>0</v>
          </cell>
          <cell r="H1482">
            <v>0</v>
          </cell>
          <cell r="J1482" t="e">
            <v>#N/A</v>
          </cell>
          <cell r="P1482" t="e">
            <v>#N/A</v>
          </cell>
          <cell r="R1482" t="e">
            <v>#N/A</v>
          </cell>
          <cell r="S1482" t="e">
            <v>#N/A</v>
          </cell>
          <cell r="Y1482" t="e">
            <v>#N/A</v>
          </cell>
          <cell r="AA1482" t="e">
            <v>#N/A</v>
          </cell>
        </row>
        <row r="1483">
          <cell r="B1483">
            <v>0</v>
          </cell>
          <cell r="C1483">
            <v>0</v>
          </cell>
          <cell r="E1483">
            <v>0</v>
          </cell>
          <cell r="F1483">
            <v>0</v>
          </cell>
          <cell r="G1483">
            <v>0</v>
          </cell>
          <cell r="H1483">
            <v>0</v>
          </cell>
          <cell r="J1483" t="e">
            <v>#N/A</v>
          </cell>
          <cell r="P1483" t="e">
            <v>#N/A</v>
          </cell>
          <cell r="R1483" t="e">
            <v>#N/A</v>
          </cell>
          <cell r="S1483" t="e">
            <v>#N/A</v>
          </cell>
          <cell r="Y1483" t="e">
            <v>#N/A</v>
          </cell>
          <cell r="AA1483" t="e">
            <v>#N/A</v>
          </cell>
        </row>
        <row r="1484">
          <cell r="B1484">
            <v>0</v>
          </cell>
          <cell r="C1484">
            <v>0</v>
          </cell>
          <cell r="E1484">
            <v>0</v>
          </cell>
          <cell r="F1484">
            <v>0</v>
          </cell>
          <cell r="G1484">
            <v>0</v>
          </cell>
          <cell r="H1484">
            <v>0</v>
          </cell>
          <cell r="J1484" t="e">
            <v>#N/A</v>
          </cell>
          <cell r="P1484" t="e">
            <v>#N/A</v>
          </cell>
          <cell r="R1484" t="e">
            <v>#N/A</v>
          </cell>
          <cell r="S1484" t="e">
            <v>#N/A</v>
          </cell>
          <cell r="Y1484" t="e">
            <v>#N/A</v>
          </cell>
          <cell r="AA1484" t="e">
            <v>#N/A</v>
          </cell>
        </row>
        <row r="1485">
          <cell r="B1485">
            <v>0</v>
          </cell>
          <cell r="C1485">
            <v>0</v>
          </cell>
          <cell r="E1485">
            <v>0</v>
          </cell>
          <cell r="F1485">
            <v>0</v>
          </cell>
          <cell r="G1485">
            <v>0</v>
          </cell>
          <cell r="H1485">
            <v>0</v>
          </cell>
          <cell r="J1485" t="e">
            <v>#N/A</v>
          </cell>
          <cell r="P1485" t="e">
            <v>#N/A</v>
          </cell>
          <cell r="R1485" t="e">
            <v>#N/A</v>
          </cell>
          <cell r="S1485" t="e">
            <v>#N/A</v>
          </cell>
          <cell r="Y1485" t="e">
            <v>#N/A</v>
          </cell>
          <cell r="AA1485" t="e">
            <v>#N/A</v>
          </cell>
        </row>
        <row r="1486">
          <cell r="B1486">
            <v>0</v>
          </cell>
          <cell r="C1486">
            <v>0</v>
          </cell>
          <cell r="E1486">
            <v>0</v>
          </cell>
          <cell r="F1486">
            <v>0</v>
          </cell>
          <cell r="G1486">
            <v>0</v>
          </cell>
          <cell r="H1486">
            <v>0</v>
          </cell>
          <cell r="J1486" t="e">
            <v>#N/A</v>
          </cell>
          <cell r="P1486" t="e">
            <v>#N/A</v>
          </cell>
          <cell r="R1486" t="e">
            <v>#N/A</v>
          </cell>
          <cell r="S1486" t="e">
            <v>#N/A</v>
          </cell>
          <cell r="Y1486" t="e">
            <v>#N/A</v>
          </cell>
          <cell r="AA1486" t="e">
            <v>#N/A</v>
          </cell>
        </row>
        <row r="1487">
          <cell r="B1487">
            <v>0</v>
          </cell>
          <cell r="C1487">
            <v>0</v>
          </cell>
          <cell r="E1487">
            <v>0</v>
          </cell>
          <cell r="F1487">
            <v>0</v>
          </cell>
          <cell r="G1487">
            <v>0</v>
          </cell>
          <cell r="H1487">
            <v>0</v>
          </cell>
          <cell r="J1487" t="e">
            <v>#N/A</v>
          </cell>
          <cell r="P1487" t="e">
            <v>#N/A</v>
          </cell>
          <cell r="R1487" t="e">
            <v>#N/A</v>
          </cell>
          <cell r="S1487" t="e">
            <v>#N/A</v>
          </cell>
          <cell r="Y1487" t="e">
            <v>#N/A</v>
          </cell>
          <cell r="AA1487" t="e">
            <v>#N/A</v>
          </cell>
        </row>
        <row r="1488">
          <cell r="B1488">
            <v>0</v>
          </cell>
          <cell r="C1488">
            <v>0</v>
          </cell>
          <cell r="E1488">
            <v>0</v>
          </cell>
          <cell r="F1488">
            <v>0</v>
          </cell>
          <cell r="G1488">
            <v>0</v>
          </cell>
          <cell r="H1488">
            <v>0</v>
          </cell>
          <cell r="J1488" t="e">
            <v>#N/A</v>
          </cell>
          <cell r="P1488" t="e">
            <v>#N/A</v>
          </cell>
          <cell r="R1488" t="e">
            <v>#N/A</v>
          </cell>
          <cell r="S1488" t="e">
            <v>#N/A</v>
          </cell>
          <cell r="Y1488" t="e">
            <v>#N/A</v>
          </cell>
          <cell r="AA1488" t="e">
            <v>#N/A</v>
          </cell>
        </row>
        <row r="1489">
          <cell r="B1489">
            <v>0</v>
          </cell>
          <cell r="C1489">
            <v>0</v>
          </cell>
          <cell r="E1489">
            <v>0</v>
          </cell>
          <cell r="F1489">
            <v>0</v>
          </cell>
          <cell r="G1489">
            <v>0</v>
          </cell>
          <cell r="H1489">
            <v>0</v>
          </cell>
          <cell r="J1489" t="e">
            <v>#N/A</v>
          </cell>
          <cell r="P1489" t="e">
            <v>#N/A</v>
          </cell>
          <cell r="R1489" t="e">
            <v>#N/A</v>
          </cell>
          <cell r="S1489" t="e">
            <v>#N/A</v>
          </cell>
          <cell r="Y1489" t="e">
            <v>#N/A</v>
          </cell>
          <cell r="AA1489" t="e">
            <v>#N/A</v>
          </cell>
        </row>
        <row r="1490">
          <cell r="B1490">
            <v>0</v>
          </cell>
          <cell r="C1490">
            <v>0</v>
          </cell>
          <cell r="E1490">
            <v>0</v>
          </cell>
          <cell r="F1490">
            <v>0</v>
          </cell>
          <cell r="G1490">
            <v>0</v>
          </cell>
          <cell r="H1490">
            <v>0</v>
          </cell>
          <cell r="J1490" t="e">
            <v>#N/A</v>
          </cell>
          <cell r="P1490" t="e">
            <v>#N/A</v>
          </cell>
          <cell r="R1490" t="e">
            <v>#N/A</v>
          </cell>
          <cell r="S1490" t="e">
            <v>#N/A</v>
          </cell>
          <cell r="Y1490" t="e">
            <v>#N/A</v>
          </cell>
          <cell r="AA1490" t="e">
            <v>#N/A</v>
          </cell>
        </row>
        <row r="1491">
          <cell r="B1491">
            <v>0</v>
          </cell>
          <cell r="C1491">
            <v>0</v>
          </cell>
          <cell r="E1491">
            <v>0</v>
          </cell>
          <cell r="F1491">
            <v>0</v>
          </cell>
          <cell r="G1491">
            <v>0</v>
          </cell>
          <cell r="H1491">
            <v>0</v>
          </cell>
          <cell r="J1491" t="e">
            <v>#N/A</v>
          </cell>
          <cell r="P1491" t="e">
            <v>#N/A</v>
          </cell>
          <cell r="R1491" t="e">
            <v>#N/A</v>
          </cell>
          <cell r="S1491" t="e">
            <v>#N/A</v>
          </cell>
          <cell r="Y1491" t="e">
            <v>#N/A</v>
          </cell>
          <cell r="AA1491" t="e">
            <v>#N/A</v>
          </cell>
        </row>
        <row r="1492">
          <cell r="B1492">
            <v>0</v>
          </cell>
          <cell r="C1492">
            <v>0</v>
          </cell>
          <cell r="E1492">
            <v>0</v>
          </cell>
          <cell r="F1492">
            <v>0</v>
          </cell>
          <cell r="G1492">
            <v>0</v>
          </cell>
          <cell r="H1492">
            <v>0</v>
          </cell>
          <cell r="J1492" t="e">
            <v>#N/A</v>
          </cell>
          <cell r="P1492" t="e">
            <v>#N/A</v>
          </cell>
          <cell r="R1492" t="e">
            <v>#N/A</v>
          </cell>
          <cell r="S1492" t="e">
            <v>#N/A</v>
          </cell>
          <cell r="Y1492" t="e">
            <v>#N/A</v>
          </cell>
          <cell r="AA1492" t="e">
            <v>#N/A</v>
          </cell>
        </row>
        <row r="1493">
          <cell r="B1493">
            <v>0</v>
          </cell>
          <cell r="C1493">
            <v>0</v>
          </cell>
          <cell r="E1493">
            <v>0</v>
          </cell>
          <cell r="F1493">
            <v>0</v>
          </cell>
          <cell r="G1493">
            <v>0</v>
          </cell>
          <cell r="H1493">
            <v>0</v>
          </cell>
          <cell r="J1493" t="e">
            <v>#N/A</v>
          </cell>
          <cell r="P1493" t="e">
            <v>#N/A</v>
          </cell>
          <cell r="R1493" t="e">
            <v>#N/A</v>
          </cell>
          <cell r="S1493" t="e">
            <v>#N/A</v>
          </cell>
          <cell r="Y1493" t="e">
            <v>#N/A</v>
          </cell>
          <cell r="AA1493" t="e">
            <v>#N/A</v>
          </cell>
        </row>
        <row r="1494">
          <cell r="B1494">
            <v>0</v>
          </cell>
          <cell r="C1494">
            <v>0</v>
          </cell>
          <cell r="E1494">
            <v>0</v>
          </cell>
          <cell r="F1494">
            <v>0</v>
          </cell>
          <cell r="G1494">
            <v>0</v>
          </cell>
          <cell r="H1494">
            <v>0</v>
          </cell>
          <cell r="J1494" t="e">
            <v>#N/A</v>
          </cell>
          <cell r="P1494" t="e">
            <v>#N/A</v>
          </cell>
          <cell r="R1494" t="e">
            <v>#N/A</v>
          </cell>
          <cell r="S1494" t="e">
            <v>#N/A</v>
          </cell>
          <cell r="Y1494" t="e">
            <v>#N/A</v>
          </cell>
          <cell r="AA1494" t="e">
            <v>#N/A</v>
          </cell>
        </row>
        <row r="1495">
          <cell r="B1495">
            <v>0</v>
          </cell>
          <cell r="C1495">
            <v>0</v>
          </cell>
          <cell r="E1495">
            <v>0</v>
          </cell>
          <cell r="F1495">
            <v>0</v>
          </cell>
          <cell r="G1495">
            <v>0</v>
          </cell>
          <cell r="H1495">
            <v>0</v>
          </cell>
          <cell r="J1495" t="e">
            <v>#N/A</v>
          </cell>
          <cell r="P1495" t="e">
            <v>#N/A</v>
          </cell>
          <cell r="R1495" t="e">
            <v>#N/A</v>
          </cell>
          <cell r="S1495" t="e">
            <v>#N/A</v>
          </cell>
          <cell r="Y1495" t="e">
            <v>#N/A</v>
          </cell>
          <cell r="AA1495" t="e">
            <v>#N/A</v>
          </cell>
        </row>
        <row r="1496">
          <cell r="B1496">
            <v>0</v>
          </cell>
          <cell r="C1496">
            <v>0</v>
          </cell>
          <cell r="E1496">
            <v>0</v>
          </cell>
          <cell r="F1496">
            <v>0</v>
          </cell>
          <cell r="G1496">
            <v>0</v>
          </cell>
          <cell r="H1496">
            <v>0</v>
          </cell>
          <cell r="J1496" t="e">
            <v>#N/A</v>
          </cell>
          <cell r="P1496" t="e">
            <v>#N/A</v>
          </cell>
          <cell r="R1496" t="e">
            <v>#N/A</v>
          </cell>
          <cell r="S1496" t="e">
            <v>#N/A</v>
          </cell>
          <cell r="Y1496" t="e">
            <v>#N/A</v>
          </cell>
          <cell r="AA1496" t="e">
            <v>#N/A</v>
          </cell>
        </row>
        <row r="1497">
          <cell r="B1497">
            <v>0</v>
          </cell>
          <cell r="C1497">
            <v>0</v>
          </cell>
          <cell r="E1497">
            <v>0</v>
          </cell>
          <cell r="F1497">
            <v>0</v>
          </cell>
          <cell r="G1497">
            <v>0</v>
          </cell>
          <cell r="H1497">
            <v>0</v>
          </cell>
          <cell r="J1497" t="e">
            <v>#N/A</v>
          </cell>
          <cell r="P1497" t="e">
            <v>#N/A</v>
          </cell>
          <cell r="R1497" t="e">
            <v>#N/A</v>
          </cell>
          <cell r="S1497" t="e">
            <v>#N/A</v>
          </cell>
          <cell r="Y1497" t="e">
            <v>#N/A</v>
          </cell>
          <cell r="AA1497" t="e">
            <v>#N/A</v>
          </cell>
        </row>
        <row r="1498">
          <cell r="B1498">
            <v>0</v>
          </cell>
          <cell r="C1498">
            <v>0</v>
          </cell>
          <cell r="E1498">
            <v>0</v>
          </cell>
          <cell r="F1498">
            <v>0</v>
          </cell>
          <cell r="G1498">
            <v>0</v>
          </cell>
          <cell r="H1498">
            <v>0</v>
          </cell>
          <cell r="J1498" t="e">
            <v>#N/A</v>
          </cell>
          <cell r="P1498" t="e">
            <v>#N/A</v>
          </cell>
          <cell r="R1498" t="e">
            <v>#N/A</v>
          </cell>
          <cell r="S1498" t="e">
            <v>#N/A</v>
          </cell>
          <cell r="Y1498" t="e">
            <v>#N/A</v>
          </cell>
          <cell r="AA1498" t="e">
            <v>#N/A</v>
          </cell>
        </row>
        <row r="1499">
          <cell r="B1499">
            <v>0</v>
          </cell>
          <cell r="C1499">
            <v>0</v>
          </cell>
          <cell r="E1499">
            <v>0</v>
          </cell>
          <cell r="F1499">
            <v>0</v>
          </cell>
          <cell r="G1499">
            <v>0</v>
          </cell>
          <cell r="H1499">
            <v>0</v>
          </cell>
          <cell r="J1499" t="e">
            <v>#N/A</v>
          </cell>
          <cell r="P1499" t="e">
            <v>#N/A</v>
          </cell>
          <cell r="R1499" t="e">
            <v>#N/A</v>
          </cell>
          <cell r="S1499" t="e">
            <v>#N/A</v>
          </cell>
          <cell r="Y1499" t="e">
            <v>#N/A</v>
          </cell>
          <cell r="AA1499" t="e">
            <v>#N/A</v>
          </cell>
        </row>
        <row r="1500">
          <cell r="B1500">
            <v>0</v>
          </cell>
          <cell r="C1500">
            <v>0</v>
          </cell>
          <cell r="E1500">
            <v>0</v>
          </cell>
          <cell r="F1500">
            <v>0</v>
          </cell>
          <cell r="G1500">
            <v>0</v>
          </cell>
          <cell r="H1500">
            <v>0</v>
          </cell>
          <cell r="J1500" t="e">
            <v>#N/A</v>
          </cell>
          <cell r="P1500" t="e">
            <v>#N/A</v>
          </cell>
          <cell r="R1500" t="e">
            <v>#N/A</v>
          </cell>
          <cell r="S1500" t="e">
            <v>#N/A</v>
          </cell>
          <cell r="Y1500" t="e">
            <v>#N/A</v>
          </cell>
          <cell r="AA1500" t="e">
            <v>#N/A</v>
          </cell>
        </row>
        <row r="1501">
          <cell r="B1501">
            <v>0</v>
          </cell>
          <cell r="C1501">
            <v>0</v>
          </cell>
          <cell r="E1501">
            <v>0</v>
          </cell>
          <cell r="F1501">
            <v>0</v>
          </cell>
          <cell r="G1501">
            <v>0</v>
          </cell>
          <cell r="H1501">
            <v>0</v>
          </cell>
          <cell r="J1501" t="e">
            <v>#N/A</v>
          </cell>
          <cell r="P1501" t="e">
            <v>#N/A</v>
          </cell>
          <cell r="R1501" t="e">
            <v>#N/A</v>
          </cell>
          <cell r="S1501" t="e">
            <v>#N/A</v>
          </cell>
          <cell r="Y1501" t="e">
            <v>#N/A</v>
          </cell>
          <cell r="AA1501" t="e">
            <v>#N/A</v>
          </cell>
        </row>
        <row r="1502">
          <cell r="B1502">
            <v>0</v>
          </cell>
          <cell r="C1502">
            <v>0</v>
          </cell>
          <cell r="E1502">
            <v>0</v>
          </cell>
          <cell r="F1502">
            <v>0</v>
          </cell>
          <cell r="G1502">
            <v>0</v>
          </cell>
          <cell r="H1502">
            <v>0</v>
          </cell>
          <cell r="J1502" t="e">
            <v>#N/A</v>
          </cell>
          <cell r="P1502" t="e">
            <v>#N/A</v>
          </cell>
          <cell r="R1502" t="e">
            <v>#N/A</v>
          </cell>
          <cell r="S1502" t="e">
            <v>#N/A</v>
          </cell>
          <cell r="Y1502" t="e">
            <v>#N/A</v>
          </cell>
          <cell r="AA1502" t="e">
            <v>#N/A</v>
          </cell>
        </row>
        <row r="1503">
          <cell r="B1503">
            <v>0</v>
          </cell>
          <cell r="C1503">
            <v>0</v>
          </cell>
          <cell r="E1503">
            <v>0</v>
          </cell>
          <cell r="F1503">
            <v>0</v>
          </cell>
          <cell r="G1503">
            <v>0</v>
          </cell>
          <cell r="H1503">
            <v>0</v>
          </cell>
          <cell r="J1503" t="e">
            <v>#N/A</v>
          </cell>
          <cell r="P1503" t="e">
            <v>#N/A</v>
          </cell>
          <cell r="R1503" t="e">
            <v>#N/A</v>
          </cell>
          <cell r="S1503" t="e">
            <v>#N/A</v>
          </cell>
          <cell r="Y1503" t="e">
            <v>#N/A</v>
          </cell>
          <cell r="AA1503" t="e">
            <v>#N/A</v>
          </cell>
        </row>
        <row r="1504">
          <cell r="B1504">
            <v>0</v>
          </cell>
          <cell r="C1504">
            <v>0</v>
          </cell>
          <cell r="E1504">
            <v>0</v>
          </cell>
          <cell r="F1504">
            <v>0</v>
          </cell>
          <cell r="G1504">
            <v>0</v>
          </cell>
          <cell r="H1504">
            <v>0</v>
          </cell>
          <cell r="J1504" t="e">
            <v>#N/A</v>
          </cell>
          <cell r="P1504" t="e">
            <v>#N/A</v>
          </cell>
          <cell r="R1504" t="e">
            <v>#N/A</v>
          </cell>
          <cell r="S1504" t="e">
            <v>#N/A</v>
          </cell>
          <cell r="Y1504" t="e">
            <v>#N/A</v>
          </cell>
          <cell r="AA1504" t="e">
            <v>#N/A</v>
          </cell>
        </row>
        <row r="1505">
          <cell r="B1505">
            <v>0</v>
          </cell>
          <cell r="C1505">
            <v>0</v>
          </cell>
          <cell r="E1505">
            <v>0</v>
          </cell>
          <cell r="F1505">
            <v>0</v>
          </cell>
          <cell r="G1505">
            <v>0</v>
          </cell>
          <cell r="H1505">
            <v>0</v>
          </cell>
          <cell r="J1505" t="e">
            <v>#N/A</v>
          </cell>
          <cell r="P1505" t="e">
            <v>#N/A</v>
          </cell>
          <cell r="R1505" t="e">
            <v>#N/A</v>
          </cell>
          <cell r="S1505" t="e">
            <v>#N/A</v>
          </cell>
          <cell r="Y1505" t="e">
            <v>#N/A</v>
          </cell>
          <cell r="AA1505" t="e">
            <v>#N/A</v>
          </cell>
        </row>
        <row r="1506">
          <cell r="B1506">
            <v>0</v>
          </cell>
          <cell r="C1506">
            <v>0</v>
          </cell>
          <cell r="E1506">
            <v>0</v>
          </cell>
          <cell r="F1506">
            <v>0</v>
          </cell>
          <cell r="G1506">
            <v>0</v>
          </cell>
          <cell r="H1506">
            <v>0</v>
          </cell>
          <cell r="J1506" t="e">
            <v>#N/A</v>
          </cell>
          <cell r="P1506" t="e">
            <v>#N/A</v>
          </cell>
          <cell r="R1506" t="e">
            <v>#N/A</v>
          </cell>
          <cell r="S1506" t="e">
            <v>#N/A</v>
          </cell>
          <cell r="Y1506" t="e">
            <v>#N/A</v>
          </cell>
          <cell r="AA1506" t="e">
            <v>#N/A</v>
          </cell>
        </row>
        <row r="1507">
          <cell r="B1507">
            <v>0</v>
          </cell>
          <cell r="C1507">
            <v>0</v>
          </cell>
          <cell r="E1507">
            <v>0</v>
          </cell>
          <cell r="F1507">
            <v>0</v>
          </cell>
          <cell r="G1507">
            <v>0</v>
          </cell>
          <cell r="H1507">
            <v>0</v>
          </cell>
          <cell r="J1507" t="e">
            <v>#N/A</v>
          </cell>
          <cell r="P1507" t="e">
            <v>#N/A</v>
          </cell>
          <cell r="R1507" t="e">
            <v>#N/A</v>
          </cell>
          <cell r="S1507" t="e">
            <v>#N/A</v>
          </cell>
          <cell r="Y1507" t="e">
            <v>#N/A</v>
          </cell>
          <cell r="AA1507" t="e">
            <v>#N/A</v>
          </cell>
        </row>
        <row r="1508">
          <cell r="B1508">
            <v>0</v>
          </cell>
          <cell r="C1508">
            <v>0</v>
          </cell>
          <cell r="E1508">
            <v>0</v>
          </cell>
          <cell r="F1508">
            <v>0</v>
          </cell>
          <cell r="G1508">
            <v>0</v>
          </cell>
          <cell r="H1508">
            <v>0</v>
          </cell>
          <cell r="J1508" t="e">
            <v>#N/A</v>
          </cell>
          <cell r="P1508" t="e">
            <v>#N/A</v>
          </cell>
          <cell r="R1508" t="e">
            <v>#N/A</v>
          </cell>
          <cell r="S1508" t="e">
            <v>#N/A</v>
          </cell>
          <cell r="Y1508" t="e">
            <v>#N/A</v>
          </cell>
          <cell r="AA1508" t="e">
            <v>#N/A</v>
          </cell>
        </row>
        <row r="1509">
          <cell r="B1509">
            <v>0</v>
          </cell>
          <cell r="C1509">
            <v>0</v>
          </cell>
          <cell r="E1509">
            <v>0</v>
          </cell>
          <cell r="F1509">
            <v>0</v>
          </cell>
          <cell r="G1509">
            <v>0</v>
          </cell>
          <cell r="H1509">
            <v>0</v>
          </cell>
          <cell r="J1509" t="e">
            <v>#N/A</v>
          </cell>
          <cell r="P1509" t="e">
            <v>#N/A</v>
          </cell>
          <cell r="R1509" t="e">
            <v>#N/A</v>
          </cell>
          <cell r="S1509" t="e">
            <v>#N/A</v>
          </cell>
          <cell r="Y1509" t="e">
            <v>#N/A</v>
          </cell>
          <cell r="AA1509" t="e">
            <v>#N/A</v>
          </cell>
        </row>
        <row r="1510">
          <cell r="B1510">
            <v>0</v>
          </cell>
          <cell r="C1510">
            <v>0</v>
          </cell>
          <cell r="E1510">
            <v>0</v>
          </cell>
          <cell r="F1510">
            <v>0</v>
          </cell>
          <cell r="G1510">
            <v>0</v>
          </cell>
          <cell r="H1510">
            <v>0</v>
          </cell>
          <cell r="J1510" t="e">
            <v>#N/A</v>
          </cell>
          <cell r="P1510" t="e">
            <v>#N/A</v>
          </cell>
          <cell r="R1510" t="e">
            <v>#N/A</v>
          </cell>
          <cell r="S1510" t="e">
            <v>#N/A</v>
          </cell>
          <cell r="Y1510" t="e">
            <v>#N/A</v>
          </cell>
          <cell r="AA1510" t="e">
            <v>#N/A</v>
          </cell>
        </row>
        <row r="1511">
          <cell r="B1511">
            <v>0</v>
          </cell>
          <cell r="C1511">
            <v>0</v>
          </cell>
          <cell r="E1511">
            <v>0</v>
          </cell>
          <cell r="F1511">
            <v>0</v>
          </cell>
          <cell r="G1511">
            <v>0</v>
          </cell>
          <cell r="H1511">
            <v>0</v>
          </cell>
          <cell r="J1511" t="e">
            <v>#N/A</v>
          </cell>
          <cell r="P1511" t="e">
            <v>#N/A</v>
          </cell>
          <cell r="R1511" t="e">
            <v>#N/A</v>
          </cell>
          <cell r="S1511" t="e">
            <v>#N/A</v>
          </cell>
          <cell r="Y1511" t="e">
            <v>#N/A</v>
          </cell>
          <cell r="AA1511" t="e">
            <v>#N/A</v>
          </cell>
        </row>
        <row r="1512">
          <cell r="B1512">
            <v>0</v>
          </cell>
          <cell r="C1512">
            <v>0</v>
          </cell>
          <cell r="E1512">
            <v>0</v>
          </cell>
          <cell r="F1512">
            <v>0</v>
          </cell>
          <cell r="G1512">
            <v>0</v>
          </cell>
          <cell r="H1512">
            <v>0</v>
          </cell>
          <cell r="J1512" t="e">
            <v>#N/A</v>
          </cell>
          <cell r="P1512" t="e">
            <v>#N/A</v>
          </cell>
          <cell r="R1512" t="e">
            <v>#N/A</v>
          </cell>
          <cell r="S1512" t="e">
            <v>#N/A</v>
          </cell>
          <cell r="Y1512" t="e">
            <v>#N/A</v>
          </cell>
          <cell r="AA1512" t="e">
            <v>#N/A</v>
          </cell>
        </row>
        <row r="1513">
          <cell r="B1513">
            <v>0</v>
          </cell>
          <cell r="C1513">
            <v>0</v>
          </cell>
          <cell r="E1513">
            <v>0</v>
          </cell>
          <cell r="F1513">
            <v>0</v>
          </cell>
          <cell r="G1513">
            <v>0</v>
          </cell>
          <cell r="H1513">
            <v>0</v>
          </cell>
          <cell r="J1513" t="e">
            <v>#N/A</v>
          </cell>
          <cell r="P1513" t="e">
            <v>#N/A</v>
          </cell>
          <cell r="R1513" t="e">
            <v>#N/A</v>
          </cell>
          <cell r="S1513" t="e">
            <v>#N/A</v>
          </cell>
          <cell r="Y1513" t="e">
            <v>#N/A</v>
          </cell>
          <cell r="AA1513" t="e">
            <v>#N/A</v>
          </cell>
        </row>
        <row r="1514">
          <cell r="B1514">
            <v>0</v>
          </cell>
          <cell r="C1514">
            <v>0</v>
          </cell>
          <cell r="E1514">
            <v>0</v>
          </cell>
          <cell r="F1514">
            <v>0</v>
          </cell>
          <cell r="G1514">
            <v>0</v>
          </cell>
          <cell r="H1514">
            <v>0</v>
          </cell>
          <cell r="J1514" t="e">
            <v>#N/A</v>
          </cell>
          <cell r="P1514" t="e">
            <v>#N/A</v>
          </cell>
          <cell r="R1514" t="e">
            <v>#N/A</v>
          </cell>
          <cell r="S1514" t="e">
            <v>#N/A</v>
          </cell>
          <cell r="Y1514" t="e">
            <v>#N/A</v>
          </cell>
          <cell r="AA1514" t="e">
            <v>#N/A</v>
          </cell>
        </row>
        <row r="1515">
          <cell r="B1515">
            <v>0</v>
          </cell>
          <cell r="C1515">
            <v>0</v>
          </cell>
          <cell r="E1515">
            <v>0</v>
          </cell>
          <cell r="F1515">
            <v>0</v>
          </cell>
          <cell r="G1515">
            <v>0</v>
          </cell>
          <cell r="H1515">
            <v>0</v>
          </cell>
          <cell r="J1515" t="e">
            <v>#N/A</v>
          </cell>
          <cell r="P1515" t="e">
            <v>#N/A</v>
          </cell>
          <cell r="R1515" t="e">
            <v>#N/A</v>
          </cell>
          <cell r="S1515" t="e">
            <v>#N/A</v>
          </cell>
          <cell r="Y1515" t="e">
            <v>#N/A</v>
          </cell>
          <cell r="AA1515" t="e">
            <v>#N/A</v>
          </cell>
        </row>
        <row r="1516">
          <cell r="B1516">
            <v>0</v>
          </cell>
          <cell r="C1516">
            <v>0</v>
          </cell>
          <cell r="E1516">
            <v>0</v>
          </cell>
          <cell r="F1516">
            <v>0</v>
          </cell>
          <cell r="G1516">
            <v>0</v>
          </cell>
          <cell r="H1516">
            <v>0</v>
          </cell>
          <cell r="J1516" t="e">
            <v>#N/A</v>
          </cell>
          <cell r="P1516" t="e">
            <v>#N/A</v>
          </cell>
          <cell r="R1516" t="e">
            <v>#N/A</v>
          </cell>
          <cell r="S1516" t="e">
            <v>#N/A</v>
          </cell>
          <cell r="Y1516" t="e">
            <v>#N/A</v>
          </cell>
          <cell r="AA1516" t="e">
            <v>#N/A</v>
          </cell>
        </row>
        <row r="1517">
          <cell r="B1517">
            <v>0</v>
          </cell>
          <cell r="C1517">
            <v>0</v>
          </cell>
          <cell r="E1517">
            <v>0</v>
          </cell>
          <cell r="F1517">
            <v>0</v>
          </cell>
          <cell r="G1517">
            <v>0</v>
          </cell>
          <cell r="H1517">
            <v>0</v>
          </cell>
          <cell r="J1517" t="e">
            <v>#N/A</v>
          </cell>
          <cell r="P1517" t="e">
            <v>#N/A</v>
          </cell>
          <cell r="R1517" t="e">
            <v>#N/A</v>
          </cell>
          <cell r="S1517" t="e">
            <v>#N/A</v>
          </cell>
          <cell r="Y1517" t="e">
            <v>#N/A</v>
          </cell>
          <cell r="AA1517" t="e">
            <v>#N/A</v>
          </cell>
        </row>
        <row r="1518">
          <cell r="B1518">
            <v>0</v>
          </cell>
          <cell r="C1518">
            <v>0</v>
          </cell>
          <cell r="E1518">
            <v>0</v>
          </cell>
          <cell r="F1518">
            <v>0</v>
          </cell>
          <cell r="G1518">
            <v>0</v>
          </cell>
          <cell r="H1518">
            <v>0</v>
          </cell>
          <cell r="J1518" t="e">
            <v>#N/A</v>
          </cell>
          <cell r="P1518" t="e">
            <v>#N/A</v>
          </cell>
          <cell r="R1518" t="e">
            <v>#N/A</v>
          </cell>
          <cell r="S1518" t="e">
            <v>#N/A</v>
          </cell>
          <cell r="Y1518" t="e">
            <v>#N/A</v>
          </cell>
          <cell r="AA1518" t="e">
            <v>#N/A</v>
          </cell>
        </row>
        <row r="1519">
          <cell r="B1519">
            <v>0</v>
          </cell>
          <cell r="C1519">
            <v>0</v>
          </cell>
          <cell r="E1519">
            <v>0</v>
          </cell>
          <cell r="F1519">
            <v>0</v>
          </cell>
          <cell r="G1519">
            <v>0</v>
          </cell>
          <cell r="H1519">
            <v>0</v>
          </cell>
          <cell r="J1519" t="e">
            <v>#N/A</v>
          </cell>
          <cell r="P1519" t="e">
            <v>#N/A</v>
          </cell>
          <cell r="R1519" t="e">
            <v>#N/A</v>
          </cell>
          <cell r="S1519" t="e">
            <v>#N/A</v>
          </cell>
          <cell r="Y1519" t="e">
            <v>#N/A</v>
          </cell>
          <cell r="AA1519" t="e">
            <v>#N/A</v>
          </cell>
        </row>
        <row r="1520">
          <cell r="B1520">
            <v>0</v>
          </cell>
          <cell r="C1520">
            <v>0</v>
          </cell>
          <cell r="E1520">
            <v>0</v>
          </cell>
          <cell r="F1520">
            <v>0</v>
          </cell>
          <cell r="G1520">
            <v>0</v>
          </cell>
          <cell r="H1520">
            <v>0</v>
          </cell>
          <cell r="J1520" t="e">
            <v>#N/A</v>
          </cell>
          <cell r="P1520" t="e">
            <v>#N/A</v>
          </cell>
          <cell r="R1520" t="e">
            <v>#N/A</v>
          </cell>
          <cell r="S1520" t="e">
            <v>#N/A</v>
          </cell>
          <cell r="Y1520" t="e">
            <v>#N/A</v>
          </cell>
          <cell r="AA1520" t="e">
            <v>#N/A</v>
          </cell>
        </row>
        <row r="1521">
          <cell r="B1521">
            <v>0</v>
          </cell>
          <cell r="C1521">
            <v>0</v>
          </cell>
          <cell r="E1521">
            <v>0</v>
          </cell>
          <cell r="F1521">
            <v>0</v>
          </cell>
          <cell r="G1521">
            <v>0</v>
          </cell>
          <cell r="H1521">
            <v>0</v>
          </cell>
          <cell r="J1521" t="e">
            <v>#N/A</v>
          </cell>
          <cell r="P1521" t="e">
            <v>#N/A</v>
          </cell>
          <cell r="R1521" t="e">
            <v>#N/A</v>
          </cell>
          <cell r="S1521" t="e">
            <v>#N/A</v>
          </cell>
          <cell r="Y1521" t="e">
            <v>#N/A</v>
          </cell>
          <cell r="AA1521" t="e">
            <v>#N/A</v>
          </cell>
        </row>
        <row r="1522">
          <cell r="B1522">
            <v>0</v>
          </cell>
          <cell r="C1522">
            <v>0</v>
          </cell>
          <cell r="E1522">
            <v>0</v>
          </cell>
          <cell r="F1522">
            <v>0</v>
          </cell>
          <cell r="G1522">
            <v>0</v>
          </cell>
          <cell r="H1522">
            <v>0</v>
          </cell>
          <cell r="J1522" t="e">
            <v>#N/A</v>
          </cell>
          <cell r="P1522" t="e">
            <v>#N/A</v>
          </cell>
          <cell r="R1522" t="e">
            <v>#N/A</v>
          </cell>
          <cell r="S1522" t="e">
            <v>#N/A</v>
          </cell>
          <cell r="Y1522" t="e">
            <v>#N/A</v>
          </cell>
          <cell r="AA1522" t="e">
            <v>#N/A</v>
          </cell>
        </row>
        <row r="1523">
          <cell r="B1523">
            <v>0</v>
          </cell>
          <cell r="C1523">
            <v>0</v>
          </cell>
          <cell r="E1523">
            <v>0</v>
          </cell>
          <cell r="F1523">
            <v>0</v>
          </cell>
          <cell r="G1523">
            <v>0</v>
          </cell>
          <cell r="H1523">
            <v>0</v>
          </cell>
          <cell r="J1523" t="e">
            <v>#N/A</v>
          </cell>
          <cell r="P1523" t="e">
            <v>#N/A</v>
          </cell>
          <cell r="R1523" t="e">
            <v>#N/A</v>
          </cell>
          <cell r="S1523" t="e">
            <v>#N/A</v>
          </cell>
          <cell r="Y1523" t="e">
            <v>#N/A</v>
          </cell>
          <cell r="AA1523" t="e">
            <v>#N/A</v>
          </cell>
        </row>
        <row r="1524">
          <cell r="B1524">
            <v>0</v>
          </cell>
          <cell r="C1524">
            <v>0</v>
          </cell>
          <cell r="E1524">
            <v>0</v>
          </cell>
          <cell r="F1524">
            <v>0</v>
          </cell>
          <cell r="G1524">
            <v>0</v>
          </cell>
          <cell r="H1524">
            <v>0</v>
          </cell>
          <cell r="J1524" t="e">
            <v>#N/A</v>
          </cell>
          <cell r="P1524" t="e">
            <v>#N/A</v>
          </cell>
          <cell r="R1524" t="e">
            <v>#N/A</v>
          </cell>
          <cell r="S1524" t="e">
            <v>#N/A</v>
          </cell>
          <cell r="Y1524" t="e">
            <v>#N/A</v>
          </cell>
          <cell r="AA1524" t="e">
            <v>#N/A</v>
          </cell>
        </row>
        <row r="1525">
          <cell r="B1525">
            <v>0</v>
          </cell>
          <cell r="C1525">
            <v>0</v>
          </cell>
          <cell r="E1525">
            <v>0</v>
          </cell>
          <cell r="F1525">
            <v>0</v>
          </cell>
          <cell r="G1525">
            <v>0</v>
          </cell>
          <cell r="H1525">
            <v>0</v>
          </cell>
          <cell r="J1525" t="e">
            <v>#N/A</v>
          </cell>
          <cell r="P1525" t="e">
            <v>#N/A</v>
          </cell>
          <cell r="R1525" t="e">
            <v>#N/A</v>
          </cell>
          <cell r="S1525" t="e">
            <v>#N/A</v>
          </cell>
          <cell r="Y1525" t="e">
            <v>#N/A</v>
          </cell>
          <cell r="AA1525" t="e">
            <v>#N/A</v>
          </cell>
        </row>
        <row r="1526">
          <cell r="B1526">
            <v>0</v>
          </cell>
          <cell r="C1526">
            <v>0</v>
          </cell>
          <cell r="E1526">
            <v>0</v>
          </cell>
          <cell r="F1526">
            <v>0</v>
          </cell>
          <cell r="G1526">
            <v>0</v>
          </cell>
          <cell r="H1526">
            <v>0</v>
          </cell>
          <cell r="J1526" t="e">
            <v>#N/A</v>
          </cell>
          <cell r="P1526" t="e">
            <v>#N/A</v>
          </cell>
          <cell r="R1526" t="e">
            <v>#N/A</v>
          </cell>
          <cell r="S1526" t="e">
            <v>#N/A</v>
          </cell>
          <cell r="Y1526" t="e">
            <v>#N/A</v>
          </cell>
          <cell r="AA1526" t="e">
            <v>#N/A</v>
          </cell>
        </row>
        <row r="1527">
          <cell r="B1527">
            <v>0</v>
          </cell>
          <cell r="C1527">
            <v>0</v>
          </cell>
          <cell r="E1527">
            <v>0</v>
          </cell>
          <cell r="F1527">
            <v>0</v>
          </cell>
          <cell r="G1527">
            <v>0</v>
          </cell>
          <cell r="H1527">
            <v>0</v>
          </cell>
          <cell r="J1527" t="e">
            <v>#N/A</v>
          </cell>
          <cell r="P1527" t="e">
            <v>#N/A</v>
          </cell>
          <cell r="R1527" t="e">
            <v>#N/A</v>
          </cell>
          <cell r="S1527" t="e">
            <v>#N/A</v>
          </cell>
          <cell r="Y1527" t="e">
            <v>#N/A</v>
          </cell>
          <cell r="AA1527" t="e">
            <v>#N/A</v>
          </cell>
        </row>
        <row r="1528">
          <cell r="B1528">
            <v>0</v>
          </cell>
          <cell r="C1528">
            <v>0</v>
          </cell>
          <cell r="E1528">
            <v>0</v>
          </cell>
          <cell r="F1528">
            <v>0</v>
          </cell>
          <cell r="G1528">
            <v>0</v>
          </cell>
          <cell r="H1528">
            <v>0</v>
          </cell>
          <cell r="J1528" t="e">
            <v>#N/A</v>
          </cell>
          <cell r="P1528" t="e">
            <v>#N/A</v>
          </cell>
          <cell r="R1528" t="e">
            <v>#N/A</v>
          </cell>
          <cell r="S1528" t="e">
            <v>#N/A</v>
          </cell>
          <cell r="Y1528" t="e">
            <v>#N/A</v>
          </cell>
          <cell r="AA1528" t="e">
            <v>#N/A</v>
          </cell>
        </row>
        <row r="1529">
          <cell r="B1529">
            <v>0</v>
          </cell>
          <cell r="C1529">
            <v>0</v>
          </cell>
          <cell r="E1529">
            <v>0</v>
          </cell>
          <cell r="F1529">
            <v>0</v>
          </cell>
          <cell r="G1529">
            <v>0</v>
          </cell>
          <cell r="H1529">
            <v>0</v>
          </cell>
          <cell r="J1529" t="e">
            <v>#N/A</v>
          </cell>
          <cell r="P1529" t="e">
            <v>#N/A</v>
          </cell>
          <cell r="R1529" t="e">
            <v>#N/A</v>
          </cell>
          <cell r="S1529" t="e">
            <v>#N/A</v>
          </cell>
          <cell r="Y1529" t="e">
            <v>#N/A</v>
          </cell>
          <cell r="AA1529" t="e">
            <v>#N/A</v>
          </cell>
        </row>
        <row r="1530">
          <cell r="B1530">
            <v>0</v>
          </cell>
          <cell r="C1530">
            <v>0</v>
          </cell>
          <cell r="E1530">
            <v>0</v>
          </cell>
          <cell r="F1530">
            <v>0</v>
          </cell>
          <cell r="G1530">
            <v>0</v>
          </cell>
          <cell r="H1530">
            <v>0</v>
          </cell>
          <cell r="J1530" t="e">
            <v>#N/A</v>
          </cell>
          <cell r="P1530" t="e">
            <v>#N/A</v>
          </cell>
          <cell r="R1530" t="e">
            <v>#N/A</v>
          </cell>
          <cell r="S1530" t="e">
            <v>#N/A</v>
          </cell>
          <cell r="Y1530" t="e">
            <v>#N/A</v>
          </cell>
          <cell r="AA1530" t="e">
            <v>#N/A</v>
          </cell>
        </row>
        <row r="1531">
          <cell r="B1531">
            <v>0</v>
          </cell>
          <cell r="C1531">
            <v>0</v>
          </cell>
          <cell r="E1531">
            <v>0</v>
          </cell>
          <cell r="F1531">
            <v>0</v>
          </cell>
          <cell r="G1531">
            <v>0</v>
          </cell>
          <cell r="H1531">
            <v>0</v>
          </cell>
          <cell r="J1531" t="e">
            <v>#N/A</v>
          </cell>
          <cell r="P1531" t="e">
            <v>#N/A</v>
          </cell>
          <cell r="R1531" t="e">
            <v>#N/A</v>
          </cell>
          <cell r="S1531" t="e">
            <v>#N/A</v>
          </cell>
          <cell r="Y1531" t="e">
            <v>#N/A</v>
          </cell>
          <cell r="AA1531" t="e">
            <v>#N/A</v>
          </cell>
        </row>
        <row r="1532">
          <cell r="B1532">
            <v>0</v>
          </cell>
          <cell r="C1532">
            <v>0</v>
          </cell>
          <cell r="E1532">
            <v>0</v>
          </cell>
          <cell r="F1532">
            <v>0</v>
          </cell>
          <cell r="G1532">
            <v>0</v>
          </cell>
          <cell r="H1532">
            <v>0</v>
          </cell>
          <cell r="J1532" t="e">
            <v>#N/A</v>
          </cell>
          <cell r="P1532" t="e">
            <v>#N/A</v>
          </cell>
          <cell r="R1532" t="e">
            <v>#N/A</v>
          </cell>
          <cell r="S1532" t="e">
            <v>#N/A</v>
          </cell>
          <cell r="Y1532" t="e">
            <v>#N/A</v>
          </cell>
          <cell r="AA1532" t="e">
            <v>#N/A</v>
          </cell>
        </row>
        <row r="1533">
          <cell r="B1533">
            <v>0</v>
          </cell>
          <cell r="C1533">
            <v>0</v>
          </cell>
          <cell r="E1533">
            <v>0</v>
          </cell>
          <cell r="F1533">
            <v>0</v>
          </cell>
          <cell r="G1533">
            <v>0</v>
          </cell>
          <cell r="H1533">
            <v>0</v>
          </cell>
          <cell r="J1533" t="e">
            <v>#N/A</v>
          </cell>
          <cell r="P1533" t="e">
            <v>#N/A</v>
          </cell>
          <cell r="R1533" t="e">
            <v>#N/A</v>
          </cell>
          <cell r="S1533" t="e">
            <v>#N/A</v>
          </cell>
          <cell r="Y1533" t="e">
            <v>#N/A</v>
          </cell>
          <cell r="AA1533" t="e">
            <v>#N/A</v>
          </cell>
        </row>
        <row r="1534">
          <cell r="B1534">
            <v>0</v>
          </cell>
          <cell r="C1534">
            <v>0</v>
          </cell>
          <cell r="E1534">
            <v>0</v>
          </cell>
          <cell r="F1534">
            <v>0</v>
          </cell>
          <cell r="G1534">
            <v>0</v>
          </cell>
          <cell r="H1534">
            <v>0</v>
          </cell>
          <cell r="J1534" t="e">
            <v>#N/A</v>
          </cell>
          <cell r="P1534" t="e">
            <v>#N/A</v>
          </cell>
          <cell r="R1534" t="e">
            <v>#N/A</v>
          </cell>
          <cell r="S1534" t="e">
            <v>#N/A</v>
          </cell>
          <cell r="Y1534" t="e">
            <v>#N/A</v>
          </cell>
          <cell r="AA1534" t="e">
            <v>#N/A</v>
          </cell>
        </row>
        <row r="1535">
          <cell r="B1535">
            <v>0</v>
          </cell>
          <cell r="C1535">
            <v>0</v>
          </cell>
          <cell r="E1535">
            <v>0</v>
          </cell>
          <cell r="F1535">
            <v>0</v>
          </cell>
          <cell r="G1535">
            <v>0</v>
          </cell>
          <cell r="H1535">
            <v>0</v>
          </cell>
          <cell r="J1535" t="e">
            <v>#N/A</v>
          </cell>
          <cell r="P1535" t="e">
            <v>#N/A</v>
          </cell>
          <cell r="R1535" t="e">
            <v>#N/A</v>
          </cell>
          <cell r="S1535" t="e">
            <v>#N/A</v>
          </cell>
          <cell r="Y1535" t="e">
            <v>#N/A</v>
          </cell>
          <cell r="AA1535" t="e">
            <v>#N/A</v>
          </cell>
        </row>
        <row r="1536">
          <cell r="B1536">
            <v>0</v>
          </cell>
          <cell r="C1536">
            <v>0</v>
          </cell>
          <cell r="E1536">
            <v>0</v>
          </cell>
          <cell r="F1536">
            <v>0</v>
          </cell>
          <cell r="G1536">
            <v>0</v>
          </cell>
          <cell r="H1536">
            <v>0</v>
          </cell>
          <cell r="J1536" t="e">
            <v>#N/A</v>
          </cell>
          <cell r="P1536" t="e">
            <v>#N/A</v>
          </cell>
          <cell r="R1536" t="e">
            <v>#N/A</v>
          </cell>
          <cell r="S1536" t="e">
            <v>#N/A</v>
          </cell>
          <cell r="Y1536" t="e">
            <v>#N/A</v>
          </cell>
          <cell r="AA1536" t="e">
            <v>#N/A</v>
          </cell>
        </row>
        <row r="1537">
          <cell r="B1537">
            <v>0</v>
          </cell>
          <cell r="C1537">
            <v>0</v>
          </cell>
          <cell r="E1537">
            <v>0</v>
          </cell>
          <cell r="F1537">
            <v>0</v>
          </cell>
          <cell r="G1537">
            <v>0</v>
          </cell>
          <cell r="H1537">
            <v>0</v>
          </cell>
          <cell r="J1537" t="e">
            <v>#N/A</v>
          </cell>
          <cell r="P1537" t="e">
            <v>#N/A</v>
          </cell>
          <cell r="R1537" t="e">
            <v>#N/A</v>
          </cell>
          <cell r="S1537" t="e">
            <v>#N/A</v>
          </cell>
          <cell r="Y1537" t="e">
            <v>#N/A</v>
          </cell>
          <cell r="AA1537" t="e">
            <v>#N/A</v>
          </cell>
        </row>
        <row r="1538">
          <cell r="B1538">
            <v>0</v>
          </cell>
          <cell r="C1538">
            <v>0</v>
          </cell>
          <cell r="E1538">
            <v>0</v>
          </cell>
          <cell r="F1538">
            <v>0</v>
          </cell>
          <cell r="G1538">
            <v>0</v>
          </cell>
          <cell r="H1538">
            <v>0</v>
          </cell>
          <cell r="J1538" t="e">
            <v>#N/A</v>
          </cell>
          <cell r="P1538" t="e">
            <v>#N/A</v>
          </cell>
          <cell r="R1538" t="e">
            <v>#N/A</v>
          </cell>
          <cell r="S1538" t="e">
            <v>#N/A</v>
          </cell>
          <cell r="Y1538" t="e">
            <v>#N/A</v>
          </cell>
          <cell r="AA1538" t="e">
            <v>#N/A</v>
          </cell>
        </row>
        <row r="1539">
          <cell r="B1539">
            <v>0</v>
          </cell>
          <cell r="C1539">
            <v>0</v>
          </cell>
          <cell r="E1539">
            <v>0</v>
          </cell>
          <cell r="F1539">
            <v>0</v>
          </cell>
          <cell r="G1539">
            <v>0</v>
          </cell>
          <cell r="H1539">
            <v>0</v>
          </cell>
          <cell r="J1539" t="e">
            <v>#N/A</v>
          </cell>
          <cell r="P1539" t="e">
            <v>#N/A</v>
          </cell>
          <cell r="R1539" t="e">
            <v>#N/A</v>
          </cell>
          <cell r="S1539" t="e">
            <v>#N/A</v>
          </cell>
          <cell r="Y1539" t="e">
            <v>#N/A</v>
          </cell>
          <cell r="AA1539" t="e">
            <v>#N/A</v>
          </cell>
        </row>
        <row r="1540">
          <cell r="B1540">
            <v>0</v>
          </cell>
          <cell r="C1540">
            <v>0</v>
          </cell>
          <cell r="E1540">
            <v>0</v>
          </cell>
          <cell r="F1540">
            <v>0</v>
          </cell>
          <cell r="G1540">
            <v>0</v>
          </cell>
          <cell r="H1540">
            <v>0</v>
          </cell>
          <cell r="J1540" t="e">
            <v>#N/A</v>
          </cell>
          <cell r="P1540" t="e">
            <v>#N/A</v>
          </cell>
          <cell r="R1540" t="e">
            <v>#N/A</v>
          </cell>
          <cell r="S1540" t="e">
            <v>#N/A</v>
          </cell>
          <cell r="Y1540" t="e">
            <v>#N/A</v>
          </cell>
          <cell r="AA1540" t="e">
            <v>#N/A</v>
          </cell>
        </row>
        <row r="1541">
          <cell r="B1541">
            <v>0</v>
          </cell>
          <cell r="C1541">
            <v>0</v>
          </cell>
          <cell r="E1541">
            <v>0</v>
          </cell>
          <cell r="F1541">
            <v>0</v>
          </cell>
          <cell r="G1541">
            <v>0</v>
          </cell>
          <cell r="H1541">
            <v>0</v>
          </cell>
          <cell r="J1541" t="e">
            <v>#N/A</v>
          </cell>
          <cell r="P1541" t="e">
            <v>#N/A</v>
          </cell>
          <cell r="R1541" t="e">
            <v>#N/A</v>
          </cell>
          <cell r="S1541" t="e">
            <v>#N/A</v>
          </cell>
          <cell r="Y1541" t="e">
            <v>#N/A</v>
          </cell>
          <cell r="AA1541" t="e">
            <v>#N/A</v>
          </cell>
        </row>
        <row r="1542">
          <cell r="B1542">
            <v>0</v>
          </cell>
          <cell r="C1542">
            <v>0</v>
          </cell>
          <cell r="E1542">
            <v>0</v>
          </cell>
          <cell r="F1542">
            <v>0</v>
          </cell>
          <cell r="G1542">
            <v>0</v>
          </cell>
          <cell r="H1542">
            <v>0</v>
          </cell>
          <cell r="J1542" t="e">
            <v>#N/A</v>
          </cell>
          <cell r="P1542" t="e">
            <v>#N/A</v>
          </cell>
          <cell r="R1542" t="e">
            <v>#N/A</v>
          </cell>
          <cell r="S1542" t="e">
            <v>#N/A</v>
          </cell>
          <cell r="Y1542" t="e">
            <v>#N/A</v>
          </cell>
          <cell r="AA1542" t="e">
            <v>#N/A</v>
          </cell>
        </row>
        <row r="1543">
          <cell r="B1543">
            <v>0</v>
          </cell>
          <cell r="C1543">
            <v>0</v>
          </cell>
          <cell r="E1543">
            <v>0</v>
          </cell>
          <cell r="F1543">
            <v>0</v>
          </cell>
          <cell r="G1543">
            <v>0</v>
          </cell>
          <cell r="H1543">
            <v>0</v>
          </cell>
          <cell r="J1543" t="e">
            <v>#N/A</v>
          </cell>
          <cell r="P1543" t="e">
            <v>#N/A</v>
          </cell>
          <cell r="R1543" t="e">
            <v>#N/A</v>
          </cell>
          <cell r="S1543" t="e">
            <v>#N/A</v>
          </cell>
          <cell r="Y1543" t="e">
            <v>#N/A</v>
          </cell>
          <cell r="AA1543" t="e">
            <v>#N/A</v>
          </cell>
        </row>
        <row r="1544">
          <cell r="B1544">
            <v>0</v>
          </cell>
          <cell r="C1544">
            <v>0</v>
          </cell>
          <cell r="E1544">
            <v>0</v>
          </cell>
          <cell r="F1544">
            <v>0</v>
          </cell>
          <cell r="G1544">
            <v>0</v>
          </cell>
          <cell r="H1544">
            <v>0</v>
          </cell>
          <cell r="J1544" t="e">
            <v>#N/A</v>
          </cell>
          <cell r="P1544" t="e">
            <v>#N/A</v>
          </cell>
          <cell r="R1544" t="e">
            <v>#N/A</v>
          </cell>
          <cell r="S1544" t="e">
            <v>#N/A</v>
          </cell>
          <cell r="Y1544" t="e">
            <v>#N/A</v>
          </cell>
          <cell r="AA1544" t="e">
            <v>#N/A</v>
          </cell>
        </row>
        <row r="1545">
          <cell r="B1545">
            <v>0</v>
          </cell>
          <cell r="C1545">
            <v>0</v>
          </cell>
          <cell r="E1545">
            <v>0</v>
          </cell>
          <cell r="F1545">
            <v>0</v>
          </cell>
          <cell r="G1545">
            <v>0</v>
          </cell>
          <cell r="H1545">
            <v>0</v>
          </cell>
          <cell r="J1545" t="e">
            <v>#N/A</v>
          </cell>
          <cell r="P1545" t="e">
            <v>#N/A</v>
          </cell>
          <cell r="R1545" t="e">
            <v>#N/A</v>
          </cell>
          <cell r="S1545" t="e">
            <v>#N/A</v>
          </cell>
          <cell r="Y1545" t="e">
            <v>#N/A</v>
          </cell>
          <cell r="AA1545" t="e">
            <v>#N/A</v>
          </cell>
        </row>
        <row r="1546">
          <cell r="B1546">
            <v>0</v>
          </cell>
          <cell r="C1546">
            <v>0</v>
          </cell>
          <cell r="E1546">
            <v>0</v>
          </cell>
          <cell r="F1546">
            <v>0</v>
          </cell>
          <cell r="G1546">
            <v>0</v>
          </cell>
          <cell r="H1546">
            <v>0</v>
          </cell>
          <cell r="J1546" t="e">
            <v>#N/A</v>
          </cell>
          <cell r="P1546" t="e">
            <v>#N/A</v>
          </cell>
          <cell r="R1546" t="e">
            <v>#N/A</v>
          </cell>
          <cell r="S1546" t="e">
            <v>#N/A</v>
          </cell>
          <cell r="Y1546" t="e">
            <v>#N/A</v>
          </cell>
          <cell r="AA1546" t="e">
            <v>#N/A</v>
          </cell>
        </row>
        <row r="1547">
          <cell r="B1547">
            <v>0</v>
          </cell>
          <cell r="C1547">
            <v>0</v>
          </cell>
          <cell r="E1547">
            <v>0</v>
          </cell>
          <cell r="F1547">
            <v>0</v>
          </cell>
          <cell r="G1547">
            <v>0</v>
          </cell>
          <cell r="H1547">
            <v>0</v>
          </cell>
          <cell r="J1547" t="e">
            <v>#N/A</v>
          </cell>
          <cell r="P1547" t="e">
            <v>#N/A</v>
          </cell>
          <cell r="R1547" t="e">
            <v>#N/A</v>
          </cell>
          <cell r="S1547" t="e">
            <v>#N/A</v>
          </cell>
          <cell r="Y1547" t="e">
            <v>#N/A</v>
          </cell>
          <cell r="AA1547" t="e">
            <v>#N/A</v>
          </cell>
        </row>
        <row r="1548">
          <cell r="B1548">
            <v>0</v>
          </cell>
          <cell r="C1548">
            <v>0</v>
          </cell>
          <cell r="E1548">
            <v>0</v>
          </cell>
          <cell r="F1548">
            <v>0</v>
          </cell>
          <cell r="G1548">
            <v>0</v>
          </cell>
          <cell r="H1548">
            <v>0</v>
          </cell>
          <cell r="J1548" t="e">
            <v>#N/A</v>
          </cell>
          <cell r="P1548" t="e">
            <v>#N/A</v>
          </cell>
          <cell r="R1548" t="e">
            <v>#N/A</v>
          </cell>
          <cell r="S1548" t="e">
            <v>#N/A</v>
          </cell>
          <cell r="Y1548" t="e">
            <v>#N/A</v>
          </cell>
          <cell r="AA1548" t="e">
            <v>#N/A</v>
          </cell>
        </row>
        <row r="1549">
          <cell r="B1549">
            <v>0</v>
          </cell>
          <cell r="C1549">
            <v>0</v>
          </cell>
          <cell r="E1549">
            <v>0</v>
          </cell>
          <cell r="F1549">
            <v>0</v>
          </cell>
          <cell r="G1549">
            <v>0</v>
          </cell>
          <cell r="H1549">
            <v>0</v>
          </cell>
          <cell r="J1549" t="e">
            <v>#N/A</v>
          </cell>
          <cell r="P1549" t="e">
            <v>#N/A</v>
          </cell>
          <cell r="R1549" t="e">
            <v>#N/A</v>
          </cell>
          <cell r="S1549" t="e">
            <v>#N/A</v>
          </cell>
          <cell r="Y1549" t="e">
            <v>#N/A</v>
          </cell>
          <cell r="AA1549" t="e">
            <v>#N/A</v>
          </cell>
        </row>
        <row r="1550">
          <cell r="B1550">
            <v>0</v>
          </cell>
          <cell r="C1550">
            <v>0</v>
          </cell>
          <cell r="E1550">
            <v>0</v>
          </cell>
          <cell r="F1550">
            <v>0</v>
          </cell>
          <cell r="G1550">
            <v>0</v>
          </cell>
          <cell r="H1550">
            <v>0</v>
          </cell>
          <cell r="J1550" t="e">
            <v>#N/A</v>
          </cell>
          <cell r="P1550" t="e">
            <v>#N/A</v>
          </cell>
          <cell r="R1550" t="e">
            <v>#N/A</v>
          </cell>
          <cell r="S1550" t="e">
            <v>#N/A</v>
          </cell>
          <cell r="Y1550" t="e">
            <v>#N/A</v>
          </cell>
          <cell r="AA1550" t="e">
            <v>#N/A</v>
          </cell>
        </row>
        <row r="1551">
          <cell r="B1551">
            <v>0</v>
          </cell>
          <cell r="C1551">
            <v>0</v>
          </cell>
          <cell r="E1551">
            <v>0</v>
          </cell>
          <cell r="F1551">
            <v>0</v>
          </cell>
          <cell r="G1551">
            <v>0</v>
          </cell>
          <cell r="H1551">
            <v>0</v>
          </cell>
          <cell r="J1551" t="e">
            <v>#N/A</v>
          </cell>
          <cell r="P1551" t="e">
            <v>#N/A</v>
          </cell>
          <cell r="R1551" t="e">
            <v>#N/A</v>
          </cell>
          <cell r="S1551" t="e">
            <v>#N/A</v>
          </cell>
          <cell r="Y1551" t="e">
            <v>#N/A</v>
          </cell>
          <cell r="AA1551" t="e">
            <v>#N/A</v>
          </cell>
        </row>
        <row r="1552">
          <cell r="B1552">
            <v>0</v>
          </cell>
          <cell r="C1552">
            <v>0</v>
          </cell>
          <cell r="E1552">
            <v>0</v>
          </cell>
          <cell r="F1552">
            <v>0</v>
          </cell>
          <cell r="G1552">
            <v>0</v>
          </cell>
          <cell r="H1552">
            <v>0</v>
          </cell>
          <cell r="J1552" t="e">
            <v>#N/A</v>
          </cell>
          <cell r="P1552" t="e">
            <v>#N/A</v>
          </cell>
          <cell r="R1552" t="e">
            <v>#N/A</v>
          </cell>
          <cell r="S1552" t="e">
            <v>#N/A</v>
          </cell>
          <cell r="Y1552" t="e">
            <v>#N/A</v>
          </cell>
          <cell r="AA1552" t="e">
            <v>#N/A</v>
          </cell>
        </row>
        <row r="1553">
          <cell r="B1553">
            <v>0</v>
          </cell>
          <cell r="C1553">
            <v>0</v>
          </cell>
          <cell r="E1553">
            <v>0</v>
          </cell>
          <cell r="F1553">
            <v>0</v>
          </cell>
          <cell r="G1553">
            <v>0</v>
          </cell>
          <cell r="H1553">
            <v>0</v>
          </cell>
          <cell r="J1553" t="e">
            <v>#N/A</v>
          </cell>
          <cell r="P1553" t="e">
            <v>#N/A</v>
          </cell>
          <cell r="R1553" t="e">
            <v>#N/A</v>
          </cell>
          <cell r="S1553" t="e">
            <v>#N/A</v>
          </cell>
          <cell r="Y1553" t="e">
            <v>#N/A</v>
          </cell>
          <cell r="AA1553" t="e">
            <v>#N/A</v>
          </cell>
        </row>
        <row r="1554">
          <cell r="B1554">
            <v>0</v>
          </cell>
          <cell r="C1554">
            <v>0</v>
          </cell>
          <cell r="E1554">
            <v>0</v>
          </cell>
          <cell r="F1554">
            <v>0</v>
          </cell>
          <cell r="G1554">
            <v>0</v>
          </cell>
          <cell r="H1554">
            <v>0</v>
          </cell>
          <cell r="J1554" t="e">
            <v>#N/A</v>
          </cell>
          <cell r="P1554" t="e">
            <v>#N/A</v>
          </cell>
          <cell r="R1554" t="e">
            <v>#N/A</v>
          </cell>
          <cell r="S1554" t="e">
            <v>#N/A</v>
          </cell>
          <cell r="Y1554" t="e">
            <v>#N/A</v>
          </cell>
          <cell r="AA1554" t="e">
            <v>#N/A</v>
          </cell>
        </row>
        <row r="1555">
          <cell r="B1555">
            <v>0</v>
          </cell>
          <cell r="C1555">
            <v>0</v>
          </cell>
          <cell r="E1555">
            <v>0</v>
          </cell>
          <cell r="F1555">
            <v>0</v>
          </cell>
          <cell r="G1555">
            <v>0</v>
          </cell>
          <cell r="H1555">
            <v>0</v>
          </cell>
          <cell r="J1555" t="e">
            <v>#N/A</v>
          </cell>
          <cell r="P1555" t="e">
            <v>#N/A</v>
          </cell>
          <cell r="R1555" t="e">
            <v>#N/A</v>
          </cell>
          <cell r="S1555" t="e">
            <v>#N/A</v>
          </cell>
          <cell r="Y1555" t="e">
            <v>#N/A</v>
          </cell>
          <cell r="AA1555" t="e">
            <v>#N/A</v>
          </cell>
        </row>
        <row r="1556">
          <cell r="B1556">
            <v>0</v>
          </cell>
          <cell r="C1556">
            <v>0</v>
          </cell>
          <cell r="E1556">
            <v>0</v>
          </cell>
          <cell r="F1556">
            <v>0</v>
          </cell>
          <cell r="G1556">
            <v>0</v>
          </cell>
          <cell r="H1556">
            <v>0</v>
          </cell>
          <cell r="J1556" t="e">
            <v>#N/A</v>
          </cell>
          <cell r="P1556" t="e">
            <v>#N/A</v>
          </cell>
          <cell r="R1556" t="e">
            <v>#N/A</v>
          </cell>
          <cell r="S1556" t="e">
            <v>#N/A</v>
          </cell>
          <cell r="Y1556" t="e">
            <v>#N/A</v>
          </cell>
          <cell r="AA1556" t="e">
            <v>#N/A</v>
          </cell>
        </row>
        <row r="1557">
          <cell r="B1557">
            <v>0</v>
          </cell>
          <cell r="C1557">
            <v>0</v>
          </cell>
          <cell r="E1557">
            <v>0</v>
          </cell>
          <cell r="F1557">
            <v>0</v>
          </cell>
          <cell r="G1557">
            <v>0</v>
          </cell>
          <cell r="H1557">
            <v>0</v>
          </cell>
          <cell r="J1557" t="e">
            <v>#N/A</v>
          </cell>
          <cell r="P1557" t="e">
            <v>#N/A</v>
          </cell>
          <cell r="R1557" t="e">
            <v>#N/A</v>
          </cell>
          <cell r="S1557" t="e">
            <v>#N/A</v>
          </cell>
          <cell r="Y1557" t="e">
            <v>#N/A</v>
          </cell>
          <cell r="AA1557" t="e">
            <v>#N/A</v>
          </cell>
        </row>
        <row r="1558">
          <cell r="B1558">
            <v>0</v>
          </cell>
          <cell r="C1558">
            <v>0</v>
          </cell>
          <cell r="E1558">
            <v>0</v>
          </cell>
          <cell r="F1558">
            <v>0</v>
          </cell>
          <cell r="G1558">
            <v>0</v>
          </cell>
          <cell r="H1558">
            <v>0</v>
          </cell>
          <cell r="J1558" t="e">
            <v>#N/A</v>
          </cell>
          <cell r="P1558" t="e">
            <v>#N/A</v>
          </cell>
          <cell r="R1558" t="e">
            <v>#N/A</v>
          </cell>
          <cell r="S1558" t="e">
            <v>#N/A</v>
          </cell>
          <cell r="Y1558" t="e">
            <v>#N/A</v>
          </cell>
          <cell r="AA1558" t="e">
            <v>#N/A</v>
          </cell>
        </row>
        <row r="1559">
          <cell r="B1559">
            <v>0</v>
          </cell>
          <cell r="C1559">
            <v>0</v>
          </cell>
          <cell r="E1559">
            <v>0</v>
          </cell>
          <cell r="F1559">
            <v>0</v>
          </cell>
          <cell r="G1559">
            <v>0</v>
          </cell>
          <cell r="H1559">
            <v>0</v>
          </cell>
          <cell r="J1559" t="e">
            <v>#N/A</v>
          </cell>
          <cell r="P1559" t="e">
            <v>#N/A</v>
          </cell>
          <cell r="R1559" t="e">
            <v>#N/A</v>
          </cell>
          <cell r="S1559" t="e">
            <v>#N/A</v>
          </cell>
          <cell r="Y1559" t="e">
            <v>#N/A</v>
          </cell>
          <cell r="AA1559" t="e">
            <v>#N/A</v>
          </cell>
        </row>
        <row r="1560">
          <cell r="B1560">
            <v>0</v>
          </cell>
          <cell r="C1560">
            <v>0</v>
          </cell>
          <cell r="E1560">
            <v>0</v>
          </cell>
          <cell r="F1560">
            <v>0</v>
          </cell>
          <cell r="G1560">
            <v>0</v>
          </cell>
          <cell r="H1560">
            <v>0</v>
          </cell>
          <cell r="J1560" t="e">
            <v>#N/A</v>
          </cell>
          <cell r="P1560" t="e">
            <v>#N/A</v>
          </cell>
          <cell r="R1560" t="e">
            <v>#N/A</v>
          </cell>
          <cell r="S1560" t="e">
            <v>#N/A</v>
          </cell>
          <cell r="Y1560" t="e">
            <v>#N/A</v>
          </cell>
          <cell r="AA1560" t="e">
            <v>#N/A</v>
          </cell>
        </row>
        <row r="1561">
          <cell r="B1561">
            <v>0</v>
          </cell>
          <cell r="C1561">
            <v>0</v>
          </cell>
          <cell r="E1561">
            <v>0</v>
          </cell>
          <cell r="F1561">
            <v>0</v>
          </cell>
          <cell r="G1561">
            <v>0</v>
          </cell>
          <cell r="H1561">
            <v>0</v>
          </cell>
          <cell r="J1561" t="e">
            <v>#N/A</v>
          </cell>
          <cell r="P1561" t="e">
            <v>#N/A</v>
          </cell>
          <cell r="R1561" t="e">
            <v>#N/A</v>
          </cell>
          <cell r="S1561" t="e">
            <v>#N/A</v>
          </cell>
          <cell r="Y1561" t="e">
            <v>#N/A</v>
          </cell>
          <cell r="AA1561" t="e">
            <v>#N/A</v>
          </cell>
        </row>
        <row r="1562">
          <cell r="B1562">
            <v>0</v>
          </cell>
          <cell r="C1562">
            <v>0</v>
          </cell>
          <cell r="E1562">
            <v>0</v>
          </cell>
          <cell r="F1562">
            <v>0</v>
          </cell>
          <cell r="G1562">
            <v>0</v>
          </cell>
          <cell r="H1562">
            <v>0</v>
          </cell>
          <cell r="J1562" t="e">
            <v>#N/A</v>
          </cell>
          <cell r="P1562" t="e">
            <v>#N/A</v>
          </cell>
          <cell r="R1562" t="e">
            <v>#N/A</v>
          </cell>
          <cell r="S1562" t="e">
            <v>#N/A</v>
          </cell>
          <cell r="Y1562" t="e">
            <v>#N/A</v>
          </cell>
          <cell r="AA1562" t="e">
            <v>#N/A</v>
          </cell>
        </row>
        <row r="1563">
          <cell r="B1563">
            <v>0</v>
          </cell>
          <cell r="C1563">
            <v>0</v>
          </cell>
          <cell r="E1563">
            <v>0</v>
          </cell>
          <cell r="F1563">
            <v>0</v>
          </cell>
          <cell r="G1563">
            <v>0</v>
          </cell>
          <cell r="H1563">
            <v>0</v>
          </cell>
          <cell r="J1563" t="e">
            <v>#N/A</v>
          </cell>
          <cell r="P1563" t="e">
            <v>#N/A</v>
          </cell>
          <cell r="R1563" t="e">
            <v>#N/A</v>
          </cell>
          <cell r="S1563" t="e">
            <v>#N/A</v>
          </cell>
          <cell r="Y1563" t="e">
            <v>#N/A</v>
          </cell>
          <cell r="AA1563" t="e">
            <v>#N/A</v>
          </cell>
        </row>
        <row r="1564">
          <cell r="B1564">
            <v>0</v>
          </cell>
          <cell r="C1564">
            <v>0</v>
          </cell>
          <cell r="E1564">
            <v>0</v>
          </cell>
          <cell r="F1564">
            <v>0</v>
          </cell>
          <cell r="G1564">
            <v>0</v>
          </cell>
          <cell r="H1564">
            <v>0</v>
          </cell>
          <cell r="J1564" t="e">
            <v>#N/A</v>
          </cell>
          <cell r="P1564" t="e">
            <v>#N/A</v>
          </cell>
          <cell r="R1564" t="e">
            <v>#N/A</v>
          </cell>
          <cell r="S1564" t="e">
            <v>#N/A</v>
          </cell>
          <cell r="Y1564" t="e">
            <v>#N/A</v>
          </cell>
          <cell r="AA1564" t="e">
            <v>#N/A</v>
          </cell>
        </row>
        <row r="1565">
          <cell r="B1565">
            <v>0</v>
          </cell>
          <cell r="C1565">
            <v>0</v>
          </cell>
          <cell r="E1565">
            <v>0</v>
          </cell>
          <cell r="F1565">
            <v>0</v>
          </cell>
          <cell r="G1565">
            <v>0</v>
          </cell>
          <cell r="H1565">
            <v>0</v>
          </cell>
          <cell r="J1565" t="e">
            <v>#N/A</v>
          </cell>
          <cell r="P1565" t="e">
            <v>#N/A</v>
          </cell>
          <cell r="R1565" t="e">
            <v>#N/A</v>
          </cell>
          <cell r="S1565" t="e">
            <v>#N/A</v>
          </cell>
          <cell r="Y1565" t="e">
            <v>#N/A</v>
          </cell>
          <cell r="AA1565" t="e">
            <v>#N/A</v>
          </cell>
        </row>
        <row r="1566">
          <cell r="B1566">
            <v>0</v>
          </cell>
          <cell r="C1566">
            <v>0</v>
          </cell>
          <cell r="E1566">
            <v>0</v>
          </cell>
          <cell r="F1566">
            <v>0</v>
          </cell>
          <cell r="G1566">
            <v>0</v>
          </cell>
          <cell r="H1566">
            <v>0</v>
          </cell>
          <cell r="J1566" t="e">
            <v>#N/A</v>
          </cell>
          <cell r="P1566" t="e">
            <v>#N/A</v>
          </cell>
          <cell r="R1566" t="e">
            <v>#N/A</v>
          </cell>
          <cell r="S1566" t="e">
            <v>#N/A</v>
          </cell>
          <cell r="Y1566" t="e">
            <v>#N/A</v>
          </cell>
          <cell r="AA1566" t="e">
            <v>#N/A</v>
          </cell>
        </row>
        <row r="1567">
          <cell r="B1567">
            <v>0</v>
          </cell>
          <cell r="C1567">
            <v>0</v>
          </cell>
          <cell r="E1567">
            <v>0</v>
          </cell>
          <cell r="F1567">
            <v>0</v>
          </cell>
          <cell r="G1567">
            <v>0</v>
          </cell>
          <cell r="H1567">
            <v>0</v>
          </cell>
          <cell r="J1567" t="e">
            <v>#N/A</v>
          </cell>
          <cell r="P1567" t="e">
            <v>#N/A</v>
          </cell>
          <cell r="R1567" t="e">
            <v>#N/A</v>
          </cell>
          <cell r="S1567" t="e">
            <v>#N/A</v>
          </cell>
          <cell r="Y1567" t="e">
            <v>#N/A</v>
          </cell>
          <cell r="AA1567" t="e">
            <v>#N/A</v>
          </cell>
        </row>
        <row r="1568">
          <cell r="B1568">
            <v>0</v>
          </cell>
          <cell r="C1568">
            <v>0</v>
          </cell>
          <cell r="E1568">
            <v>0</v>
          </cell>
          <cell r="F1568">
            <v>0</v>
          </cell>
          <cell r="G1568">
            <v>0</v>
          </cell>
          <cell r="H1568">
            <v>0</v>
          </cell>
          <cell r="J1568" t="e">
            <v>#N/A</v>
          </cell>
          <cell r="P1568" t="e">
            <v>#N/A</v>
          </cell>
          <cell r="R1568" t="e">
            <v>#N/A</v>
          </cell>
          <cell r="S1568" t="e">
            <v>#N/A</v>
          </cell>
          <cell r="Y1568" t="e">
            <v>#N/A</v>
          </cell>
          <cell r="AA1568" t="e">
            <v>#N/A</v>
          </cell>
        </row>
        <row r="1569">
          <cell r="B1569">
            <v>0</v>
          </cell>
          <cell r="C1569">
            <v>0</v>
          </cell>
          <cell r="E1569">
            <v>0</v>
          </cell>
          <cell r="F1569">
            <v>0</v>
          </cell>
          <cell r="G1569">
            <v>0</v>
          </cell>
          <cell r="H1569">
            <v>0</v>
          </cell>
          <cell r="J1569" t="e">
            <v>#N/A</v>
          </cell>
          <cell r="P1569" t="e">
            <v>#N/A</v>
          </cell>
          <cell r="R1569" t="e">
            <v>#N/A</v>
          </cell>
          <cell r="S1569" t="e">
            <v>#N/A</v>
          </cell>
          <cell r="Y1569" t="e">
            <v>#N/A</v>
          </cell>
          <cell r="AA1569" t="e">
            <v>#N/A</v>
          </cell>
        </row>
        <row r="1570">
          <cell r="B1570">
            <v>0</v>
          </cell>
          <cell r="C1570">
            <v>0</v>
          </cell>
          <cell r="E1570">
            <v>0</v>
          </cell>
          <cell r="F1570">
            <v>0</v>
          </cell>
          <cell r="G1570">
            <v>0</v>
          </cell>
          <cell r="H1570">
            <v>0</v>
          </cell>
          <cell r="J1570" t="e">
            <v>#N/A</v>
          </cell>
          <cell r="P1570" t="e">
            <v>#N/A</v>
          </cell>
          <cell r="R1570" t="e">
            <v>#N/A</v>
          </cell>
          <cell r="S1570" t="e">
            <v>#N/A</v>
          </cell>
          <cell r="Y1570" t="e">
            <v>#N/A</v>
          </cell>
          <cell r="AA1570" t="e">
            <v>#N/A</v>
          </cell>
        </row>
        <row r="1571">
          <cell r="B1571">
            <v>0</v>
          </cell>
          <cell r="C1571">
            <v>0</v>
          </cell>
          <cell r="E1571">
            <v>0</v>
          </cell>
          <cell r="F1571">
            <v>0</v>
          </cell>
          <cell r="G1571">
            <v>0</v>
          </cell>
          <cell r="H1571">
            <v>0</v>
          </cell>
          <cell r="J1571" t="e">
            <v>#N/A</v>
          </cell>
          <cell r="P1571" t="e">
            <v>#N/A</v>
          </cell>
          <cell r="R1571" t="e">
            <v>#N/A</v>
          </cell>
          <cell r="S1571" t="e">
            <v>#N/A</v>
          </cell>
          <cell r="Y1571" t="e">
            <v>#N/A</v>
          </cell>
          <cell r="AA1571" t="e">
            <v>#N/A</v>
          </cell>
        </row>
        <row r="1572">
          <cell r="B1572">
            <v>0</v>
          </cell>
          <cell r="C1572">
            <v>0</v>
          </cell>
          <cell r="E1572">
            <v>0</v>
          </cell>
          <cell r="F1572">
            <v>0</v>
          </cell>
          <cell r="G1572">
            <v>0</v>
          </cell>
          <cell r="H1572">
            <v>0</v>
          </cell>
          <cell r="J1572" t="e">
            <v>#N/A</v>
          </cell>
          <cell r="P1572" t="e">
            <v>#N/A</v>
          </cell>
          <cell r="R1572" t="e">
            <v>#N/A</v>
          </cell>
          <cell r="S1572" t="e">
            <v>#N/A</v>
          </cell>
          <cell r="Y1572" t="e">
            <v>#N/A</v>
          </cell>
          <cell r="AA1572" t="e">
            <v>#N/A</v>
          </cell>
        </row>
        <row r="1573">
          <cell r="B1573">
            <v>0</v>
          </cell>
          <cell r="C1573">
            <v>0</v>
          </cell>
          <cell r="E1573">
            <v>0</v>
          </cell>
          <cell r="F1573">
            <v>0</v>
          </cell>
          <cell r="G1573">
            <v>0</v>
          </cell>
          <cell r="H1573">
            <v>0</v>
          </cell>
          <cell r="J1573" t="e">
            <v>#N/A</v>
          </cell>
          <cell r="P1573" t="e">
            <v>#N/A</v>
          </cell>
          <cell r="R1573" t="e">
            <v>#N/A</v>
          </cell>
          <cell r="S1573" t="e">
            <v>#N/A</v>
          </cell>
          <cell r="Y1573" t="e">
            <v>#N/A</v>
          </cell>
          <cell r="AA1573" t="e">
            <v>#N/A</v>
          </cell>
        </row>
        <row r="1574">
          <cell r="B1574">
            <v>0</v>
          </cell>
          <cell r="C1574">
            <v>0</v>
          </cell>
          <cell r="E1574">
            <v>0</v>
          </cell>
          <cell r="F1574">
            <v>0</v>
          </cell>
          <cell r="G1574">
            <v>0</v>
          </cell>
          <cell r="H1574">
            <v>0</v>
          </cell>
          <cell r="J1574" t="e">
            <v>#N/A</v>
          </cell>
          <cell r="P1574" t="e">
            <v>#N/A</v>
          </cell>
          <cell r="R1574" t="e">
            <v>#N/A</v>
          </cell>
          <cell r="S1574" t="e">
            <v>#N/A</v>
          </cell>
          <cell r="Y1574" t="e">
            <v>#N/A</v>
          </cell>
          <cell r="AA1574" t="e">
            <v>#N/A</v>
          </cell>
        </row>
        <row r="1575">
          <cell r="B1575">
            <v>0</v>
          </cell>
          <cell r="C1575">
            <v>0</v>
          </cell>
          <cell r="E1575">
            <v>0</v>
          </cell>
          <cell r="F1575">
            <v>0</v>
          </cell>
          <cell r="G1575">
            <v>0</v>
          </cell>
          <cell r="H1575">
            <v>0</v>
          </cell>
          <cell r="J1575" t="e">
            <v>#N/A</v>
          </cell>
          <cell r="P1575" t="e">
            <v>#N/A</v>
          </cell>
          <cell r="R1575" t="e">
            <v>#N/A</v>
          </cell>
          <cell r="S1575" t="e">
            <v>#N/A</v>
          </cell>
          <cell r="Y1575" t="e">
            <v>#N/A</v>
          </cell>
          <cell r="AA1575" t="e">
            <v>#N/A</v>
          </cell>
        </row>
        <row r="1576">
          <cell r="B1576">
            <v>0</v>
          </cell>
          <cell r="C1576">
            <v>0</v>
          </cell>
          <cell r="E1576">
            <v>0</v>
          </cell>
          <cell r="F1576">
            <v>0</v>
          </cell>
          <cell r="G1576">
            <v>0</v>
          </cell>
          <cell r="H1576">
            <v>0</v>
          </cell>
          <cell r="J1576" t="e">
            <v>#N/A</v>
          </cell>
          <cell r="P1576" t="e">
            <v>#N/A</v>
          </cell>
          <cell r="R1576" t="e">
            <v>#N/A</v>
          </cell>
          <cell r="S1576" t="e">
            <v>#N/A</v>
          </cell>
          <cell r="Y1576" t="e">
            <v>#N/A</v>
          </cell>
          <cell r="AA1576" t="e">
            <v>#N/A</v>
          </cell>
        </row>
        <row r="1577">
          <cell r="B1577">
            <v>0</v>
          </cell>
          <cell r="C1577">
            <v>0</v>
          </cell>
          <cell r="E1577">
            <v>0</v>
          </cell>
          <cell r="F1577">
            <v>0</v>
          </cell>
          <cell r="G1577">
            <v>0</v>
          </cell>
          <cell r="H1577">
            <v>0</v>
          </cell>
          <cell r="J1577" t="e">
            <v>#N/A</v>
          </cell>
          <cell r="P1577" t="e">
            <v>#N/A</v>
          </cell>
          <cell r="R1577" t="e">
            <v>#N/A</v>
          </cell>
          <cell r="S1577" t="e">
            <v>#N/A</v>
          </cell>
          <cell r="Y1577" t="e">
            <v>#N/A</v>
          </cell>
          <cell r="AA1577" t="e">
            <v>#N/A</v>
          </cell>
        </row>
        <row r="1578">
          <cell r="B1578">
            <v>0</v>
          </cell>
          <cell r="C1578">
            <v>0</v>
          </cell>
          <cell r="E1578">
            <v>0</v>
          </cell>
          <cell r="F1578">
            <v>0</v>
          </cell>
          <cell r="G1578">
            <v>0</v>
          </cell>
          <cell r="H1578">
            <v>0</v>
          </cell>
          <cell r="J1578" t="e">
            <v>#N/A</v>
          </cell>
          <cell r="P1578" t="e">
            <v>#N/A</v>
          </cell>
          <cell r="R1578" t="e">
            <v>#N/A</v>
          </cell>
          <cell r="S1578" t="e">
            <v>#N/A</v>
          </cell>
          <cell r="Y1578" t="e">
            <v>#N/A</v>
          </cell>
          <cell r="AA1578" t="e">
            <v>#N/A</v>
          </cell>
        </row>
        <row r="1579">
          <cell r="B1579">
            <v>0</v>
          </cell>
          <cell r="C1579">
            <v>0</v>
          </cell>
          <cell r="E1579">
            <v>0</v>
          </cell>
          <cell r="F1579">
            <v>0</v>
          </cell>
          <cell r="G1579">
            <v>0</v>
          </cell>
          <cell r="H1579">
            <v>0</v>
          </cell>
          <cell r="J1579" t="e">
            <v>#N/A</v>
          </cell>
          <cell r="P1579" t="e">
            <v>#N/A</v>
          </cell>
          <cell r="R1579" t="e">
            <v>#N/A</v>
          </cell>
          <cell r="S1579" t="e">
            <v>#N/A</v>
          </cell>
          <cell r="Y1579" t="e">
            <v>#N/A</v>
          </cell>
          <cell r="AA1579" t="e">
            <v>#N/A</v>
          </cell>
        </row>
        <row r="1580">
          <cell r="B1580">
            <v>0</v>
          </cell>
          <cell r="C1580">
            <v>0</v>
          </cell>
          <cell r="E1580">
            <v>0</v>
          </cell>
          <cell r="F1580">
            <v>0</v>
          </cell>
          <cell r="G1580">
            <v>0</v>
          </cell>
          <cell r="H1580">
            <v>0</v>
          </cell>
          <cell r="J1580" t="e">
            <v>#N/A</v>
          </cell>
          <cell r="P1580" t="e">
            <v>#N/A</v>
          </cell>
          <cell r="R1580" t="e">
            <v>#N/A</v>
          </cell>
          <cell r="S1580" t="e">
            <v>#N/A</v>
          </cell>
          <cell r="Y1580" t="e">
            <v>#N/A</v>
          </cell>
          <cell r="AA1580" t="e">
            <v>#N/A</v>
          </cell>
        </row>
        <row r="1581">
          <cell r="B1581">
            <v>0</v>
          </cell>
          <cell r="C1581">
            <v>0</v>
          </cell>
          <cell r="E1581">
            <v>0</v>
          </cell>
          <cell r="F1581">
            <v>0</v>
          </cell>
          <cell r="G1581">
            <v>0</v>
          </cell>
          <cell r="H1581">
            <v>0</v>
          </cell>
          <cell r="J1581" t="e">
            <v>#N/A</v>
          </cell>
          <cell r="P1581" t="e">
            <v>#N/A</v>
          </cell>
          <cell r="R1581" t="e">
            <v>#N/A</v>
          </cell>
          <cell r="S1581" t="e">
            <v>#N/A</v>
          </cell>
          <cell r="Y1581" t="e">
            <v>#N/A</v>
          </cell>
          <cell r="AA1581" t="e">
            <v>#N/A</v>
          </cell>
        </row>
        <row r="1582">
          <cell r="B1582">
            <v>0</v>
          </cell>
          <cell r="C1582">
            <v>0</v>
          </cell>
          <cell r="E1582">
            <v>0</v>
          </cell>
          <cell r="F1582">
            <v>0</v>
          </cell>
          <cell r="G1582">
            <v>0</v>
          </cell>
          <cell r="H1582">
            <v>0</v>
          </cell>
          <cell r="J1582" t="e">
            <v>#N/A</v>
          </cell>
          <cell r="P1582" t="e">
            <v>#N/A</v>
          </cell>
          <cell r="R1582" t="e">
            <v>#N/A</v>
          </cell>
          <cell r="S1582" t="e">
            <v>#N/A</v>
          </cell>
          <cell r="Y1582" t="e">
            <v>#N/A</v>
          </cell>
          <cell r="AA1582" t="e">
            <v>#N/A</v>
          </cell>
        </row>
        <row r="1583">
          <cell r="B1583">
            <v>0</v>
          </cell>
          <cell r="C1583">
            <v>0</v>
          </cell>
          <cell r="E1583">
            <v>0</v>
          </cell>
          <cell r="F1583">
            <v>0</v>
          </cell>
          <cell r="G1583">
            <v>0</v>
          </cell>
          <cell r="H1583">
            <v>0</v>
          </cell>
          <cell r="J1583" t="e">
            <v>#N/A</v>
          </cell>
          <cell r="P1583" t="e">
            <v>#N/A</v>
          </cell>
          <cell r="R1583" t="e">
            <v>#N/A</v>
          </cell>
          <cell r="S1583" t="e">
            <v>#N/A</v>
          </cell>
          <cell r="Y1583" t="e">
            <v>#N/A</v>
          </cell>
          <cell r="AA1583" t="e">
            <v>#N/A</v>
          </cell>
        </row>
        <row r="1584">
          <cell r="B1584">
            <v>0</v>
          </cell>
          <cell r="C1584">
            <v>0</v>
          </cell>
          <cell r="E1584">
            <v>0</v>
          </cell>
          <cell r="F1584">
            <v>0</v>
          </cell>
          <cell r="G1584">
            <v>0</v>
          </cell>
          <cell r="H1584">
            <v>0</v>
          </cell>
          <cell r="J1584" t="e">
            <v>#N/A</v>
          </cell>
          <cell r="P1584" t="e">
            <v>#N/A</v>
          </cell>
          <cell r="R1584" t="e">
            <v>#N/A</v>
          </cell>
          <cell r="S1584" t="e">
            <v>#N/A</v>
          </cell>
          <cell r="Y1584" t="e">
            <v>#N/A</v>
          </cell>
          <cell r="AA1584" t="e">
            <v>#N/A</v>
          </cell>
        </row>
        <row r="1585">
          <cell r="B1585">
            <v>0</v>
          </cell>
          <cell r="C1585">
            <v>0</v>
          </cell>
          <cell r="E1585">
            <v>0</v>
          </cell>
          <cell r="F1585">
            <v>0</v>
          </cell>
          <cell r="G1585">
            <v>0</v>
          </cell>
          <cell r="H1585">
            <v>0</v>
          </cell>
          <cell r="J1585" t="e">
            <v>#N/A</v>
          </cell>
          <cell r="P1585" t="e">
            <v>#N/A</v>
          </cell>
          <cell r="R1585" t="e">
            <v>#N/A</v>
          </cell>
          <cell r="S1585" t="e">
            <v>#N/A</v>
          </cell>
          <cell r="Y1585" t="e">
            <v>#N/A</v>
          </cell>
          <cell r="AA1585" t="e">
            <v>#N/A</v>
          </cell>
        </row>
        <row r="1586">
          <cell r="B1586">
            <v>0</v>
          </cell>
          <cell r="C1586">
            <v>0</v>
          </cell>
          <cell r="E1586">
            <v>0</v>
          </cell>
          <cell r="F1586">
            <v>0</v>
          </cell>
          <cell r="G1586">
            <v>0</v>
          </cell>
          <cell r="H1586">
            <v>0</v>
          </cell>
          <cell r="J1586" t="e">
            <v>#N/A</v>
          </cell>
          <cell r="P1586" t="e">
            <v>#N/A</v>
          </cell>
          <cell r="R1586" t="e">
            <v>#N/A</v>
          </cell>
          <cell r="S1586" t="e">
            <v>#N/A</v>
          </cell>
          <cell r="Y1586" t="e">
            <v>#N/A</v>
          </cell>
          <cell r="AA1586" t="e">
            <v>#N/A</v>
          </cell>
        </row>
        <row r="1587">
          <cell r="B1587">
            <v>0</v>
          </cell>
          <cell r="C1587">
            <v>0</v>
          </cell>
          <cell r="E1587">
            <v>0</v>
          </cell>
          <cell r="F1587">
            <v>0</v>
          </cell>
          <cell r="G1587">
            <v>0</v>
          </cell>
          <cell r="H1587">
            <v>0</v>
          </cell>
          <cell r="J1587" t="e">
            <v>#N/A</v>
          </cell>
          <cell r="P1587" t="e">
            <v>#N/A</v>
          </cell>
          <cell r="R1587" t="e">
            <v>#N/A</v>
          </cell>
          <cell r="S1587" t="e">
            <v>#N/A</v>
          </cell>
          <cell r="Y1587" t="e">
            <v>#N/A</v>
          </cell>
          <cell r="AA1587" t="e">
            <v>#N/A</v>
          </cell>
        </row>
        <row r="1588">
          <cell r="B1588">
            <v>0</v>
          </cell>
          <cell r="C1588">
            <v>0</v>
          </cell>
          <cell r="E1588">
            <v>0</v>
          </cell>
          <cell r="F1588">
            <v>0</v>
          </cell>
          <cell r="G1588">
            <v>0</v>
          </cell>
          <cell r="H1588">
            <v>0</v>
          </cell>
          <cell r="J1588" t="e">
            <v>#N/A</v>
          </cell>
          <cell r="P1588" t="e">
            <v>#N/A</v>
          </cell>
          <cell r="R1588" t="e">
            <v>#N/A</v>
          </cell>
          <cell r="S1588" t="e">
            <v>#N/A</v>
          </cell>
          <cell r="Y1588" t="e">
            <v>#N/A</v>
          </cell>
          <cell r="AA1588" t="e">
            <v>#N/A</v>
          </cell>
        </row>
        <row r="1589">
          <cell r="B1589">
            <v>0</v>
          </cell>
          <cell r="C1589">
            <v>0</v>
          </cell>
          <cell r="E1589">
            <v>0</v>
          </cell>
          <cell r="F1589">
            <v>0</v>
          </cell>
          <cell r="G1589">
            <v>0</v>
          </cell>
          <cell r="H1589">
            <v>0</v>
          </cell>
          <cell r="J1589" t="e">
            <v>#N/A</v>
          </cell>
          <cell r="P1589" t="e">
            <v>#N/A</v>
          </cell>
          <cell r="R1589" t="e">
            <v>#N/A</v>
          </cell>
          <cell r="S1589" t="e">
            <v>#N/A</v>
          </cell>
          <cell r="Y1589" t="e">
            <v>#N/A</v>
          </cell>
          <cell r="AA1589" t="e">
            <v>#N/A</v>
          </cell>
        </row>
        <row r="1590">
          <cell r="B1590">
            <v>0</v>
          </cell>
          <cell r="C1590">
            <v>0</v>
          </cell>
          <cell r="E1590">
            <v>0</v>
          </cell>
          <cell r="F1590">
            <v>0</v>
          </cell>
          <cell r="G1590">
            <v>0</v>
          </cell>
          <cell r="H1590">
            <v>0</v>
          </cell>
          <cell r="J1590" t="e">
            <v>#N/A</v>
          </cell>
          <cell r="P1590" t="e">
            <v>#N/A</v>
          </cell>
          <cell r="R1590" t="e">
            <v>#N/A</v>
          </cell>
          <cell r="S1590" t="e">
            <v>#N/A</v>
          </cell>
          <cell r="Y1590" t="e">
            <v>#N/A</v>
          </cell>
          <cell r="AA1590" t="e">
            <v>#N/A</v>
          </cell>
        </row>
        <row r="1591">
          <cell r="B1591">
            <v>0</v>
          </cell>
          <cell r="C1591">
            <v>0</v>
          </cell>
          <cell r="E1591">
            <v>0</v>
          </cell>
          <cell r="F1591">
            <v>0</v>
          </cell>
          <cell r="G1591">
            <v>0</v>
          </cell>
          <cell r="H1591">
            <v>0</v>
          </cell>
          <cell r="J1591" t="e">
            <v>#N/A</v>
          </cell>
          <cell r="P1591" t="e">
            <v>#N/A</v>
          </cell>
          <cell r="R1591" t="e">
            <v>#N/A</v>
          </cell>
          <cell r="S1591" t="e">
            <v>#N/A</v>
          </cell>
          <cell r="Y1591" t="e">
            <v>#N/A</v>
          </cell>
          <cell r="AA1591" t="e">
            <v>#N/A</v>
          </cell>
        </row>
        <row r="1592">
          <cell r="B1592">
            <v>0</v>
          </cell>
          <cell r="C1592">
            <v>0</v>
          </cell>
          <cell r="E1592">
            <v>0</v>
          </cell>
          <cell r="F1592">
            <v>0</v>
          </cell>
          <cell r="G1592">
            <v>0</v>
          </cell>
          <cell r="H1592">
            <v>0</v>
          </cell>
          <cell r="J1592" t="e">
            <v>#N/A</v>
          </cell>
          <cell r="P1592" t="e">
            <v>#N/A</v>
          </cell>
          <cell r="R1592" t="e">
            <v>#N/A</v>
          </cell>
          <cell r="S1592" t="e">
            <v>#N/A</v>
          </cell>
          <cell r="Y1592" t="e">
            <v>#N/A</v>
          </cell>
          <cell r="AA1592" t="e">
            <v>#N/A</v>
          </cell>
        </row>
        <row r="1593">
          <cell r="B1593">
            <v>0</v>
          </cell>
          <cell r="C1593">
            <v>0</v>
          </cell>
          <cell r="E1593">
            <v>0</v>
          </cell>
          <cell r="F1593">
            <v>0</v>
          </cell>
          <cell r="G1593">
            <v>0</v>
          </cell>
          <cell r="H1593">
            <v>0</v>
          </cell>
          <cell r="J1593" t="e">
            <v>#N/A</v>
          </cell>
          <cell r="P1593" t="e">
            <v>#N/A</v>
          </cell>
          <cell r="R1593" t="e">
            <v>#N/A</v>
          </cell>
          <cell r="S1593" t="e">
            <v>#N/A</v>
          </cell>
          <cell r="Y1593" t="e">
            <v>#N/A</v>
          </cell>
          <cell r="AA1593" t="e">
            <v>#N/A</v>
          </cell>
        </row>
        <row r="1594">
          <cell r="B1594">
            <v>0</v>
          </cell>
          <cell r="C1594">
            <v>0</v>
          </cell>
          <cell r="E1594">
            <v>0</v>
          </cell>
          <cell r="F1594">
            <v>0</v>
          </cell>
          <cell r="G1594">
            <v>0</v>
          </cell>
          <cell r="H1594">
            <v>0</v>
          </cell>
          <cell r="J1594" t="e">
            <v>#N/A</v>
          </cell>
          <cell r="P1594" t="e">
            <v>#N/A</v>
          </cell>
          <cell r="R1594" t="e">
            <v>#N/A</v>
          </cell>
          <cell r="S1594" t="e">
            <v>#N/A</v>
          </cell>
          <cell r="Y1594" t="e">
            <v>#N/A</v>
          </cell>
          <cell r="AA1594" t="e">
            <v>#N/A</v>
          </cell>
        </row>
        <row r="1595">
          <cell r="B1595">
            <v>0</v>
          </cell>
          <cell r="C1595">
            <v>0</v>
          </cell>
          <cell r="E1595">
            <v>0</v>
          </cell>
          <cell r="F1595">
            <v>0</v>
          </cell>
          <cell r="G1595">
            <v>0</v>
          </cell>
          <cell r="H1595">
            <v>0</v>
          </cell>
          <cell r="J1595" t="e">
            <v>#N/A</v>
          </cell>
          <cell r="P1595" t="e">
            <v>#N/A</v>
          </cell>
          <cell r="R1595" t="e">
            <v>#N/A</v>
          </cell>
          <cell r="S1595" t="e">
            <v>#N/A</v>
          </cell>
          <cell r="Y1595" t="e">
            <v>#N/A</v>
          </cell>
          <cell r="AA1595" t="e">
            <v>#N/A</v>
          </cell>
        </row>
        <row r="1596">
          <cell r="B1596">
            <v>0</v>
          </cell>
          <cell r="C1596">
            <v>0</v>
          </cell>
          <cell r="E1596">
            <v>0</v>
          </cell>
          <cell r="F1596">
            <v>0</v>
          </cell>
          <cell r="G1596">
            <v>0</v>
          </cell>
          <cell r="H1596">
            <v>0</v>
          </cell>
          <cell r="J1596" t="e">
            <v>#N/A</v>
          </cell>
          <cell r="P1596" t="e">
            <v>#N/A</v>
          </cell>
          <cell r="R1596" t="e">
            <v>#N/A</v>
          </cell>
          <cell r="S1596" t="e">
            <v>#N/A</v>
          </cell>
          <cell r="Y1596" t="e">
            <v>#N/A</v>
          </cell>
          <cell r="AA1596" t="e">
            <v>#N/A</v>
          </cell>
        </row>
        <row r="1597">
          <cell r="B1597">
            <v>0</v>
          </cell>
          <cell r="C1597">
            <v>0</v>
          </cell>
          <cell r="E1597">
            <v>0</v>
          </cell>
          <cell r="F1597">
            <v>0</v>
          </cell>
          <cell r="G1597">
            <v>0</v>
          </cell>
          <cell r="H1597">
            <v>0</v>
          </cell>
          <cell r="J1597" t="e">
            <v>#N/A</v>
          </cell>
          <cell r="P1597" t="e">
            <v>#N/A</v>
          </cell>
          <cell r="R1597" t="e">
            <v>#N/A</v>
          </cell>
          <cell r="S1597" t="e">
            <v>#N/A</v>
          </cell>
          <cell r="Y1597" t="e">
            <v>#N/A</v>
          </cell>
          <cell r="AA1597" t="e">
            <v>#N/A</v>
          </cell>
        </row>
        <row r="1598">
          <cell r="B1598">
            <v>0</v>
          </cell>
          <cell r="C1598">
            <v>0</v>
          </cell>
          <cell r="E1598">
            <v>0</v>
          </cell>
          <cell r="F1598">
            <v>0</v>
          </cell>
          <cell r="G1598">
            <v>0</v>
          </cell>
          <cell r="H1598">
            <v>0</v>
          </cell>
          <cell r="J1598" t="e">
            <v>#N/A</v>
          </cell>
          <cell r="P1598" t="e">
            <v>#N/A</v>
          </cell>
          <cell r="R1598" t="e">
            <v>#N/A</v>
          </cell>
          <cell r="S1598" t="e">
            <v>#N/A</v>
          </cell>
          <cell r="Y1598" t="e">
            <v>#N/A</v>
          </cell>
          <cell r="AA1598" t="e">
            <v>#N/A</v>
          </cell>
        </row>
        <row r="1599">
          <cell r="B1599">
            <v>0</v>
          </cell>
          <cell r="C1599">
            <v>0</v>
          </cell>
          <cell r="E1599">
            <v>0</v>
          </cell>
          <cell r="F1599">
            <v>0</v>
          </cell>
          <cell r="G1599">
            <v>0</v>
          </cell>
          <cell r="H1599">
            <v>0</v>
          </cell>
          <cell r="J1599" t="e">
            <v>#N/A</v>
          </cell>
          <cell r="P1599" t="e">
            <v>#N/A</v>
          </cell>
          <cell r="R1599" t="e">
            <v>#N/A</v>
          </cell>
          <cell r="S1599" t="e">
            <v>#N/A</v>
          </cell>
          <cell r="Y1599" t="e">
            <v>#N/A</v>
          </cell>
          <cell r="AA1599" t="e">
            <v>#N/A</v>
          </cell>
        </row>
        <row r="1600">
          <cell r="B1600">
            <v>0</v>
          </cell>
          <cell r="C1600">
            <v>0</v>
          </cell>
          <cell r="E1600">
            <v>0</v>
          </cell>
          <cell r="F1600">
            <v>0</v>
          </cell>
          <cell r="G1600">
            <v>0</v>
          </cell>
          <cell r="H1600">
            <v>0</v>
          </cell>
          <cell r="J1600" t="e">
            <v>#N/A</v>
          </cell>
          <cell r="P1600" t="e">
            <v>#N/A</v>
          </cell>
          <cell r="R1600" t="e">
            <v>#N/A</v>
          </cell>
          <cell r="S1600" t="e">
            <v>#N/A</v>
          </cell>
          <cell r="Y1600" t="e">
            <v>#N/A</v>
          </cell>
          <cell r="AA1600" t="e">
            <v>#N/A</v>
          </cell>
        </row>
        <row r="1601">
          <cell r="B1601">
            <v>0</v>
          </cell>
          <cell r="C1601">
            <v>0</v>
          </cell>
          <cell r="E1601">
            <v>0</v>
          </cell>
          <cell r="F1601">
            <v>0</v>
          </cell>
          <cell r="G1601">
            <v>0</v>
          </cell>
          <cell r="H1601">
            <v>0</v>
          </cell>
          <cell r="J1601" t="e">
            <v>#N/A</v>
          </cell>
          <cell r="P1601" t="e">
            <v>#N/A</v>
          </cell>
          <cell r="R1601" t="e">
            <v>#N/A</v>
          </cell>
          <cell r="S1601" t="e">
            <v>#N/A</v>
          </cell>
          <cell r="Y1601" t="e">
            <v>#N/A</v>
          </cell>
          <cell r="AA1601" t="e">
            <v>#N/A</v>
          </cell>
        </row>
        <row r="1602">
          <cell r="B1602">
            <v>0</v>
          </cell>
          <cell r="C1602">
            <v>0</v>
          </cell>
          <cell r="E1602">
            <v>0</v>
          </cell>
          <cell r="F1602">
            <v>0</v>
          </cell>
          <cell r="G1602">
            <v>0</v>
          </cell>
          <cell r="H1602">
            <v>0</v>
          </cell>
          <cell r="J1602" t="e">
            <v>#N/A</v>
          </cell>
          <cell r="P1602" t="e">
            <v>#N/A</v>
          </cell>
          <cell r="R1602" t="e">
            <v>#N/A</v>
          </cell>
          <cell r="S1602" t="e">
            <v>#N/A</v>
          </cell>
          <cell r="Y1602" t="e">
            <v>#N/A</v>
          </cell>
          <cell r="AA1602" t="e">
            <v>#N/A</v>
          </cell>
        </row>
        <row r="1603">
          <cell r="B1603">
            <v>0</v>
          </cell>
          <cell r="C1603">
            <v>0</v>
          </cell>
          <cell r="E1603">
            <v>0</v>
          </cell>
          <cell r="F1603">
            <v>0</v>
          </cell>
          <cell r="G1603">
            <v>0</v>
          </cell>
          <cell r="H1603">
            <v>0</v>
          </cell>
          <cell r="J1603" t="e">
            <v>#N/A</v>
          </cell>
          <cell r="P1603" t="e">
            <v>#N/A</v>
          </cell>
          <cell r="R1603" t="e">
            <v>#N/A</v>
          </cell>
          <cell r="S1603" t="e">
            <v>#N/A</v>
          </cell>
          <cell r="Y1603" t="e">
            <v>#N/A</v>
          </cell>
          <cell r="AA1603" t="e">
            <v>#N/A</v>
          </cell>
        </row>
        <row r="1604">
          <cell r="B1604">
            <v>0</v>
          </cell>
          <cell r="C1604">
            <v>0</v>
          </cell>
          <cell r="E1604">
            <v>0</v>
          </cell>
          <cell r="F1604">
            <v>0</v>
          </cell>
          <cell r="G1604">
            <v>0</v>
          </cell>
          <cell r="H1604">
            <v>0</v>
          </cell>
          <cell r="J1604" t="e">
            <v>#N/A</v>
          </cell>
          <cell r="P1604" t="e">
            <v>#N/A</v>
          </cell>
          <cell r="R1604" t="e">
            <v>#N/A</v>
          </cell>
          <cell r="S1604" t="e">
            <v>#N/A</v>
          </cell>
          <cell r="Y1604" t="e">
            <v>#N/A</v>
          </cell>
          <cell r="AA1604" t="e">
            <v>#N/A</v>
          </cell>
        </row>
        <row r="1605">
          <cell r="B1605">
            <v>0</v>
          </cell>
          <cell r="C1605">
            <v>0</v>
          </cell>
          <cell r="E1605">
            <v>0</v>
          </cell>
          <cell r="F1605">
            <v>0</v>
          </cell>
          <cell r="G1605">
            <v>0</v>
          </cell>
          <cell r="H1605">
            <v>0</v>
          </cell>
          <cell r="J1605" t="e">
            <v>#N/A</v>
          </cell>
          <cell r="P1605" t="e">
            <v>#N/A</v>
          </cell>
          <cell r="R1605" t="e">
            <v>#N/A</v>
          </cell>
          <cell r="S1605" t="e">
            <v>#N/A</v>
          </cell>
          <cell r="Y1605" t="e">
            <v>#N/A</v>
          </cell>
          <cell r="AA1605" t="e">
            <v>#N/A</v>
          </cell>
        </row>
        <row r="1606">
          <cell r="B1606">
            <v>0</v>
          </cell>
          <cell r="C1606">
            <v>0</v>
          </cell>
          <cell r="E1606">
            <v>0</v>
          </cell>
          <cell r="F1606">
            <v>0</v>
          </cell>
          <cell r="G1606">
            <v>0</v>
          </cell>
          <cell r="H1606">
            <v>0</v>
          </cell>
          <cell r="J1606" t="e">
            <v>#N/A</v>
          </cell>
          <cell r="P1606" t="e">
            <v>#N/A</v>
          </cell>
          <cell r="R1606" t="e">
            <v>#N/A</v>
          </cell>
          <cell r="S1606" t="e">
            <v>#N/A</v>
          </cell>
          <cell r="Y1606" t="e">
            <v>#N/A</v>
          </cell>
          <cell r="AA1606" t="e">
            <v>#N/A</v>
          </cell>
        </row>
        <row r="1607">
          <cell r="B1607">
            <v>0</v>
          </cell>
          <cell r="C1607">
            <v>0</v>
          </cell>
          <cell r="E1607">
            <v>0</v>
          </cell>
          <cell r="F1607">
            <v>0</v>
          </cell>
          <cell r="G1607">
            <v>0</v>
          </cell>
          <cell r="H1607">
            <v>0</v>
          </cell>
          <cell r="J1607" t="e">
            <v>#N/A</v>
          </cell>
          <cell r="P1607" t="e">
            <v>#N/A</v>
          </cell>
          <cell r="R1607" t="e">
            <v>#N/A</v>
          </cell>
          <cell r="S1607" t="e">
            <v>#N/A</v>
          </cell>
          <cell r="Y1607" t="e">
            <v>#N/A</v>
          </cell>
          <cell r="AA1607" t="e">
            <v>#N/A</v>
          </cell>
        </row>
        <row r="1608">
          <cell r="B1608">
            <v>0</v>
          </cell>
          <cell r="C1608">
            <v>0</v>
          </cell>
          <cell r="E1608">
            <v>0</v>
          </cell>
          <cell r="F1608">
            <v>0</v>
          </cell>
          <cell r="G1608">
            <v>0</v>
          </cell>
          <cell r="H1608">
            <v>0</v>
          </cell>
          <cell r="J1608" t="e">
            <v>#N/A</v>
          </cell>
          <cell r="P1608" t="e">
            <v>#N/A</v>
          </cell>
          <cell r="R1608" t="e">
            <v>#N/A</v>
          </cell>
          <cell r="S1608" t="e">
            <v>#N/A</v>
          </cell>
          <cell r="Y1608" t="e">
            <v>#N/A</v>
          </cell>
          <cell r="AA1608" t="e">
            <v>#N/A</v>
          </cell>
        </row>
        <row r="1609">
          <cell r="B1609">
            <v>0</v>
          </cell>
          <cell r="C1609">
            <v>0</v>
          </cell>
          <cell r="E1609">
            <v>0</v>
          </cell>
          <cell r="F1609">
            <v>0</v>
          </cell>
          <cell r="G1609">
            <v>0</v>
          </cell>
          <cell r="H1609">
            <v>0</v>
          </cell>
          <cell r="J1609" t="e">
            <v>#N/A</v>
          </cell>
          <cell r="P1609" t="e">
            <v>#N/A</v>
          </cell>
          <cell r="R1609" t="e">
            <v>#N/A</v>
          </cell>
          <cell r="S1609" t="e">
            <v>#N/A</v>
          </cell>
          <cell r="Y1609" t="e">
            <v>#N/A</v>
          </cell>
          <cell r="AA1609" t="e">
            <v>#N/A</v>
          </cell>
        </row>
        <row r="1610">
          <cell r="B1610">
            <v>0</v>
          </cell>
          <cell r="C1610">
            <v>0</v>
          </cell>
          <cell r="E1610">
            <v>0</v>
          </cell>
          <cell r="F1610">
            <v>0</v>
          </cell>
          <cell r="G1610">
            <v>0</v>
          </cell>
          <cell r="H1610">
            <v>0</v>
          </cell>
          <cell r="J1610" t="e">
            <v>#N/A</v>
          </cell>
          <cell r="P1610" t="e">
            <v>#N/A</v>
          </cell>
          <cell r="R1610" t="e">
            <v>#N/A</v>
          </cell>
          <cell r="S1610" t="e">
            <v>#N/A</v>
          </cell>
          <cell r="Y1610" t="e">
            <v>#N/A</v>
          </cell>
          <cell r="AA1610" t="e">
            <v>#N/A</v>
          </cell>
        </row>
        <row r="1611">
          <cell r="B1611">
            <v>0</v>
          </cell>
          <cell r="C1611">
            <v>0</v>
          </cell>
          <cell r="E1611">
            <v>0</v>
          </cell>
          <cell r="F1611">
            <v>0</v>
          </cell>
          <cell r="G1611">
            <v>0</v>
          </cell>
          <cell r="H1611">
            <v>0</v>
          </cell>
          <cell r="J1611" t="e">
            <v>#N/A</v>
          </cell>
          <cell r="P1611" t="e">
            <v>#N/A</v>
          </cell>
          <cell r="R1611" t="e">
            <v>#N/A</v>
          </cell>
          <cell r="S1611" t="e">
            <v>#N/A</v>
          </cell>
          <cell r="Y1611" t="e">
            <v>#N/A</v>
          </cell>
          <cell r="AA1611" t="e">
            <v>#N/A</v>
          </cell>
        </row>
        <row r="1612">
          <cell r="B1612">
            <v>0</v>
          </cell>
          <cell r="C1612">
            <v>0</v>
          </cell>
          <cell r="E1612">
            <v>0</v>
          </cell>
          <cell r="F1612">
            <v>0</v>
          </cell>
          <cell r="G1612">
            <v>0</v>
          </cell>
          <cell r="H1612">
            <v>0</v>
          </cell>
          <cell r="J1612" t="e">
            <v>#N/A</v>
          </cell>
          <cell r="P1612" t="e">
            <v>#N/A</v>
          </cell>
          <cell r="R1612" t="e">
            <v>#N/A</v>
          </cell>
          <cell r="S1612" t="e">
            <v>#N/A</v>
          </cell>
          <cell r="Y1612" t="e">
            <v>#N/A</v>
          </cell>
          <cell r="AA1612" t="e">
            <v>#N/A</v>
          </cell>
        </row>
        <row r="1613">
          <cell r="B1613">
            <v>0</v>
          </cell>
          <cell r="C1613">
            <v>0</v>
          </cell>
          <cell r="E1613">
            <v>0</v>
          </cell>
          <cell r="F1613">
            <v>0</v>
          </cell>
          <cell r="G1613">
            <v>0</v>
          </cell>
          <cell r="H1613">
            <v>0</v>
          </cell>
          <cell r="J1613" t="e">
            <v>#N/A</v>
          </cell>
          <cell r="P1613" t="e">
            <v>#N/A</v>
          </cell>
          <cell r="R1613" t="e">
            <v>#N/A</v>
          </cell>
          <cell r="S1613" t="e">
            <v>#N/A</v>
          </cell>
          <cell r="Y1613" t="e">
            <v>#N/A</v>
          </cell>
          <cell r="AA1613" t="e">
            <v>#N/A</v>
          </cell>
        </row>
        <row r="1614">
          <cell r="B1614">
            <v>0</v>
          </cell>
          <cell r="C1614">
            <v>0</v>
          </cell>
          <cell r="E1614">
            <v>0</v>
          </cell>
          <cell r="F1614">
            <v>0</v>
          </cell>
          <cell r="G1614">
            <v>0</v>
          </cell>
          <cell r="H1614">
            <v>0</v>
          </cell>
          <cell r="J1614" t="e">
            <v>#N/A</v>
          </cell>
          <cell r="P1614" t="e">
            <v>#N/A</v>
          </cell>
          <cell r="R1614" t="e">
            <v>#N/A</v>
          </cell>
          <cell r="S1614" t="e">
            <v>#N/A</v>
          </cell>
          <cell r="Y1614" t="e">
            <v>#N/A</v>
          </cell>
          <cell r="AA1614" t="e">
            <v>#N/A</v>
          </cell>
        </row>
        <row r="1615">
          <cell r="B1615">
            <v>0</v>
          </cell>
          <cell r="C1615">
            <v>0</v>
          </cell>
          <cell r="E1615">
            <v>0</v>
          </cell>
          <cell r="F1615">
            <v>0</v>
          </cell>
          <cell r="G1615">
            <v>0</v>
          </cell>
          <cell r="H1615">
            <v>0</v>
          </cell>
          <cell r="J1615" t="e">
            <v>#N/A</v>
          </cell>
          <cell r="P1615" t="e">
            <v>#N/A</v>
          </cell>
          <cell r="R1615" t="e">
            <v>#N/A</v>
          </cell>
          <cell r="S1615" t="e">
            <v>#N/A</v>
          </cell>
          <cell r="Y1615" t="e">
            <v>#N/A</v>
          </cell>
          <cell r="AA1615" t="e">
            <v>#N/A</v>
          </cell>
        </row>
        <row r="1616">
          <cell r="B1616">
            <v>0</v>
          </cell>
          <cell r="C1616">
            <v>0</v>
          </cell>
          <cell r="E1616">
            <v>0</v>
          </cell>
          <cell r="F1616">
            <v>0</v>
          </cell>
          <cell r="G1616">
            <v>0</v>
          </cell>
          <cell r="H1616">
            <v>0</v>
          </cell>
          <cell r="J1616" t="e">
            <v>#N/A</v>
          </cell>
          <cell r="P1616" t="e">
            <v>#N/A</v>
          </cell>
          <cell r="R1616" t="e">
            <v>#N/A</v>
          </cell>
          <cell r="S1616" t="e">
            <v>#N/A</v>
          </cell>
          <cell r="Y1616" t="e">
            <v>#N/A</v>
          </cell>
          <cell r="AA1616" t="e">
            <v>#N/A</v>
          </cell>
        </row>
        <row r="1617">
          <cell r="B1617">
            <v>0</v>
          </cell>
          <cell r="C1617">
            <v>0</v>
          </cell>
          <cell r="E1617">
            <v>0</v>
          </cell>
          <cell r="F1617">
            <v>0</v>
          </cell>
          <cell r="G1617">
            <v>0</v>
          </cell>
          <cell r="H1617">
            <v>0</v>
          </cell>
          <cell r="J1617" t="e">
            <v>#N/A</v>
          </cell>
          <cell r="P1617" t="e">
            <v>#N/A</v>
          </cell>
          <cell r="R1617" t="e">
            <v>#N/A</v>
          </cell>
          <cell r="S1617" t="e">
            <v>#N/A</v>
          </cell>
          <cell r="Y1617" t="e">
            <v>#N/A</v>
          </cell>
          <cell r="AA1617" t="e">
            <v>#N/A</v>
          </cell>
        </row>
        <row r="1618">
          <cell r="B1618">
            <v>0</v>
          </cell>
          <cell r="C1618">
            <v>0</v>
          </cell>
          <cell r="E1618">
            <v>0</v>
          </cell>
          <cell r="F1618">
            <v>0</v>
          </cell>
          <cell r="G1618">
            <v>0</v>
          </cell>
          <cell r="H1618">
            <v>0</v>
          </cell>
          <cell r="J1618" t="e">
            <v>#N/A</v>
          </cell>
          <cell r="P1618" t="e">
            <v>#N/A</v>
          </cell>
          <cell r="R1618" t="e">
            <v>#N/A</v>
          </cell>
          <cell r="S1618" t="e">
            <v>#N/A</v>
          </cell>
          <cell r="Y1618" t="e">
            <v>#N/A</v>
          </cell>
          <cell r="AA1618" t="e">
            <v>#N/A</v>
          </cell>
        </row>
        <row r="1619">
          <cell r="B1619">
            <v>0</v>
          </cell>
          <cell r="C1619">
            <v>0</v>
          </cell>
          <cell r="E1619">
            <v>0</v>
          </cell>
          <cell r="F1619">
            <v>0</v>
          </cell>
          <cell r="G1619">
            <v>0</v>
          </cell>
          <cell r="H1619">
            <v>0</v>
          </cell>
          <cell r="J1619" t="e">
            <v>#N/A</v>
          </cell>
          <cell r="P1619" t="e">
            <v>#N/A</v>
          </cell>
          <cell r="R1619" t="e">
            <v>#N/A</v>
          </cell>
          <cell r="S1619" t="e">
            <v>#N/A</v>
          </cell>
          <cell r="Y1619" t="e">
            <v>#N/A</v>
          </cell>
          <cell r="AA1619" t="e">
            <v>#N/A</v>
          </cell>
        </row>
        <row r="1620">
          <cell r="B1620">
            <v>0</v>
          </cell>
          <cell r="C1620">
            <v>0</v>
          </cell>
          <cell r="E1620">
            <v>0</v>
          </cell>
          <cell r="F1620">
            <v>0</v>
          </cell>
          <cell r="G1620">
            <v>0</v>
          </cell>
          <cell r="H1620">
            <v>0</v>
          </cell>
          <cell r="J1620" t="e">
            <v>#N/A</v>
          </cell>
          <cell r="P1620" t="e">
            <v>#N/A</v>
          </cell>
          <cell r="R1620" t="e">
            <v>#N/A</v>
          </cell>
          <cell r="S1620" t="e">
            <v>#N/A</v>
          </cell>
          <cell r="Y1620" t="e">
            <v>#N/A</v>
          </cell>
          <cell r="AA1620" t="e">
            <v>#N/A</v>
          </cell>
        </row>
        <row r="1621">
          <cell r="B1621">
            <v>0</v>
          </cell>
          <cell r="C1621">
            <v>0</v>
          </cell>
          <cell r="E1621">
            <v>0</v>
          </cell>
          <cell r="F1621">
            <v>0</v>
          </cell>
          <cell r="G1621">
            <v>0</v>
          </cell>
          <cell r="H1621">
            <v>0</v>
          </cell>
          <cell r="J1621" t="e">
            <v>#N/A</v>
          </cell>
          <cell r="P1621" t="e">
            <v>#N/A</v>
          </cell>
          <cell r="R1621" t="e">
            <v>#N/A</v>
          </cell>
          <cell r="S1621" t="e">
            <v>#N/A</v>
          </cell>
          <cell r="Y1621" t="e">
            <v>#N/A</v>
          </cell>
          <cell r="AA1621" t="e">
            <v>#N/A</v>
          </cell>
        </row>
        <row r="1622">
          <cell r="B1622">
            <v>0</v>
          </cell>
          <cell r="C1622">
            <v>0</v>
          </cell>
          <cell r="E1622">
            <v>0</v>
          </cell>
          <cell r="F1622">
            <v>0</v>
          </cell>
          <cell r="G1622">
            <v>0</v>
          </cell>
          <cell r="H1622">
            <v>0</v>
          </cell>
          <cell r="J1622" t="e">
            <v>#N/A</v>
          </cell>
          <cell r="P1622" t="e">
            <v>#N/A</v>
          </cell>
          <cell r="R1622" t="e">
            <v>#N/A</v>
          </cell>
          <cell r="S1622" t="e">
            <v>#N/A</v>
          </cell>
          <cell r="Y1622" t="e">
            <v>#N/A</v>
          </cell>
          <cell r="AA1622" t="e">
            <v>#N/A</v>
          </cell>
        </row>
        <row r="1623">
          <cell r="B1623">
            <v>0</v>
          </cell>
          <cell r="C1623">
            <v>0</v>
          </cell>
          <cell r="E1623">
            <v>0</v>
          </cell>
          <cell r="F1623">
            <v>0</v>
          </cell>
          <cell r="G1623">
            <v>0</v>
          </cell>
          <cell r="H1623">
            <v>0</v>
          </cell>
          <cell r="J1623" t="e">
            <v>#N/A</v>
          </cell>
          <cell r="P1623" t="e">
            <v>#N/A</v>
          </cell>
          <cell r="R1623" t="e">
            <v>#N/A</v>
          </cell>
          <cell r="S1623" t="e">
            <v>#N/A</v>
          </cell>
          <cell r="Y1623" t="e">
            <v>#N/A</v>
          </cell>
          <cell r="AA1623" t="e">
            <v>#N/A</v>
          </cell>
        </row>
        <row r="1624">
          <cell r="B1624">
            <v>0</v>
          </cell>
          <cell r="C1624">
            <v>0</v>
          </cell>
          <cell r="E1624">
            <v>0</v>
          </cell>
          <cell r="F1624">
            <v>0</v>
          </cell>
          <cell r="G1624">
            <v>0</v>
          </cell>
          <cell r="H1624">
            <v>0</v>
          </cell>
          <cell r="J1624" t="e">
            <v>#N/A</v>
          </cell>
          <cell r="P1624" t="e">
            <v>#N/A</v>
          </cell>
          <cell r="R1624" t="e">
            <v>#N/A</v>
          </cell>
          <cell r="S1624" t="e">
            <v>#N/A</v>
          </cell>
          <cell r="Y1624" t="e">
            <v>#N/A</v>
          </cell>
          <cell r="AA1624" t="e">
            <v>#N/A</v>
          </cell>
        </row>
        <row r="1625">
          <cell r="B1625">
            <v>0</v>
          </cell>
          <cell r="C1625">
            <v>0</v>
          </cell>
          <cell r="E1625">
            <v>0</v>
          </cell>
          <cell r="F1625">
            <v>0</v>
          </cell>
          <cell r="G1625">
            <v>0</v>
          </cell>
          <cell r="H1625">
            <v>0</v>
          </cell>
          <cell r="J1625" t="e">
            <v>#N/A</v>
          </cell>
          <cell r="P1625" t="e">
            <v>#N/A</v>
          </cell>
          <cell r="R1625" t="e">
            <v>#N/A</v>
          </cell>
          <cell r="S1625" t="e">
            <v>#N/A</v>
          </cell>
          <cell r="Y1625" t="e">
            <v>#N/A</v>
          </cell>
          <cell r="AA1625" t="e">
            <v>#N/A</v>
          </cell>
        </row>
        <row r="1626">
          <cell r="B1626">
            <v>0</v>
          </cell>
          <cell r="C1626">
            <v>0</v>
          </cell>
          <cell r="E1626">
            <v>0</v>
          </cell>
          <cell r="F1626">
            <v>0</v>
          </cell>
          <cell r="G1626">
            <v>0</v>
          </cell>
          <cell r="H1626">
            <v>0</v>
          </cell>
          <cell r="J1626" t="e">
            <v>#N/A</v>
          </cell>
          <cell r="P1626" t="e">
            <v>#N/A</v>
          </cell>
          <cell r="R1626" t="e">
            <v>#N/A</v>
          </cell>
          <cell r="S1626" t="e">
            <v>#N/A</v>
          </cell>
          <cell r="Y1626" t="e">
            <v>#N/A</v>
          </cell>
          <cell r="AA1626" t="e">
            <v>#N/A</v>
          </cell>
        </row>
        <row r="1627">
          <cell r="B1627">
            <v>0</v>
          </cell>
          <cell r="C1627">
            <v>0</v>
          </cell>
          <cell r="E1627">
            <v>0</v>
          </cell>
          <cell r="F1627">
            <v>0</v>
          </cell>
          <cell r="G1627">
            <v>0</v>
          </cell>
          <cell r="H1627">
            <v>0</v>
          </cell>
          <cell r="J1627" t="e">
            <v>#N/A</v>
          </cell>
          <cell r="P1627" t="e">
            <v>#N/A</v>
          </cell>
          <cell r="R1627" t="e">
            <v>#N/A</v>
          </cell>
          <cell r="S1627" t="e">
            <v>#N/A</v>
          </cell>
          <cell r="Y1627" t="e">
            <v>#N/A</v>
          </cell>
          <cell r="AA1627" t="e">
            <v>#N/A</v>
          </cell>
        </row>
        <row r="1628">
          <cell r="B1628">
            <v>0</v>
          </cell>
          <cell r="C1628">
            <v>0</v>
          </cell>
          <cell r="E1628">
            <v>0</v>
          </cell>
          <cell r="F1628">
            <v>0</v>
          </cell>
          <cell r="G1628">
            <v>0</v>
          </cell>
          <cell r="H1628">
            <v>0</v>
          </cell>
          <cell r="J1628" t="e">
            <v>#N/A</v>
          </cell>
          <cell r="P1628" t="e">
            <v>#N/A</v>
          </cell>
          <cell r="R1628" t="e">
            <v>#N/A</v>
          </cell>
          <cell r="S1628" t="e">
            <v>#N/A</v>
          </cell>
          <cell r="Y1628" t="e">
            <v>#N/A</v>
          </cell>
          <cell r="AA1628" t="e">
            <v>#N/A</v>
          </cell>
        </row>
        <row r="1629">
          <cell r="B1629">
            <v>0</v>
          </cell>
          <cell r="C1629">
            <v>0</v>
          </cell>
          <cell r="E1629">
            <v>0</v>
          </cell>
          <cell r="F1629">
            <v>0</v>
          </cell>
          <cell r="G1629">
            <v>0</v>
          </cell>
          <cell r="H1629">
            <v>0</v>
          </cell>
          <cell r="J1629" t="e">
            <v>#N/A</v>
          </cell>
          <cell r="P1629" t="e">
            <v>#N/A</v>
          </cell>
          <cell r="R1629" t="e">
            <v>#N/A</v>
          </cell>
          <cell r="S1629" t="e">
            <v>#N/A</v>
          </cell>
          <cell r="Y1629" t="e">
            <v>#N/A</v>
          </cell>
          <cell r="AA1629" t="e">
            <v>#N/A</v>
          </cell>
        </row>
        <row r="1630">
          <cell r="B1630">
            <v>0</v>
          </cell>
          <cell r="C1630">
            <v>0</v>
          </cell>
          <cell r="E1630">
            <v>0</v>
          </cell>
          <cell r="F1630">
            <v>0</v>
          </cell>
          <cell r="G1630">
            <v>0</v>
          </cell>
          <cell r="H1630">
            <v>0</v>
          </cell>
          <cell r="J1630" t="e">
            <v>#N/A</v>
          </cell>
          <cell r="P1630" t="e">
            <v>#N/A</v>
          </cell>
          <cell r="R1630" t="e">
            <v>#N/A</v>
          </cell>
          <cell r="S1630" t="e">
            <v>#N/A</v>
          </cell>
          <cell r="Y1630" t="e">
            <v>#N/A</v>
          </cell>
          <cell r="AA1630" t="e">
            <v>#N/A</v>
          </cell>
        </row>
        <row r="1631">
          <cell r="B1631">
            <v>0</v>
          </cell>
          <cell r="C1631">
            <v>0</v>
          </cell>
          <cell r="E1631">
            <v>0</v>
          </cell>
          <cell r="F1631">
            <v>0</v>
          </cell>
          <cell r="G1631">
            <v>0</v>
          </cell>
          <cell r="H1631">
            <v>0</v>
          </cell>
          <cell r="J1631" t="e">
            <v>#N/A</v>
          </cell>
          <cell r="P1631" t="e">
            <v>#N/A</v>
          </cell>
          <cell r="R1631" t="e">
            <v>#N/A</v>
          </cell>
          <cell r="S1631" t="e">
            <v>#N/A</v>
          </cell>
          <cell r="Y1631" t="e">
            <v>#N/A</v>
          </cell>
          <cell r="AA1631" t="e">
            <v>#N/A</v>
          </cell>
        </row>
        <row r="1632">
          <cell r="B1632">
            <v>0</v>
          </cell>
          <cell r="C1632">
            <v>0</v>
          </cell>
          <cell r="E1632">
            <v>0</v>
          </cell>
          <cell r="F1632">
            <v>0</v>
          </cell>
          <cell r="G1632">
            <v>0</v>
          </cell>
          <cell r="H1632">
            <v>0</v>
          </cell>
          <cell r="J1632" t="e">
            <v>#N/A</v>
          </cell>
          <cell r="P1632" t="e">
            <v>#N/A</v>
          </cell>
          <cell r="R1632" t="e">
            <v>#N/A</v>
          </cell>
          <cell r="S1632" t="e">
            <v>#N/A</v>
          </cell>
          <cell r="Y1632" t="e">
            <v>#N/A</v>
          </cell>
          <cell r="AA1632" t="e">
            <v>#N/A</v>
          </cell>
        </row>
        <row r="1633">
          <cell r="B1633">
            <v>0</v>
          </cell>
          <cell r="C1633">
            <v>0</v>
          </cell>
          <cell r="E1633">
            <v>0</v>
          </cell>
          <cell r="F1633">
            <v>0</v>
          </cell>
          <cell r="G1633">
            <v>0</v>
          </cell>
          <cell r="H1633">
            <v>0</v>
          </cell>
          <cell r="J1633" t="e">
            <v>#N/A</v>
          </cell>
          <cell r="P1633" t="e">
            <v>#N/A</v>
          </cell>
          <cell r="R1633" t="e">
            <v>#N/A</v>
          </cell>
          <cell r="S1633" t="e">
            <v>#N/A</v>
          </cell>
          <cell r="Y1633" t="e">
            <v>#N/A</v>
          </cell>
          <cell r="AA1633" t="e">
            <v>#N/A</v>
          </cell>
        </row>
        <row r="1634">
          <cell r="B1634">
            <v>0</v>
          </cell>
          <cell r="C1634">
            <v>0</v>
          </cell>
          <cell r="E1634">
            <v>0</v>
          </cell>
          <cell r="F1634">
            <v>0</v>
          </cell>
          <cell r="G1634">
            <v>0</v>
          </cell>
          <cell r="H1634">
            <v>0</v>
          </cell>
          <cell r="J1634" t="e">
            <v>#N/A</v>
          </cell>
          <cell r="P1634" t="e">
            <v>#N/A</v>
          </cell>
          <cell r="R1634" t="e">
            <v>#N/A</v>
          </cell>
          <cell r="S1634" t="e">
            <v>#N/A</v>
          </cell>
          <cell r="Y1634" t="e">
            <v>#N/A</v>
          </cell>
          <cell r="AA1634" t="e">
            <v>#N/A</v>
          </cell>
        </row>
        <row r="1635">
          <cell r="B1635">
            <v>0</v>
          </cell>
          <cell r="C1635">
            <v>0</v>
          </cell>
          <cell r="E1635">
            <v>0</v>
          </cell>
          <cell r="F1635">
            <v>0</v>
          </cell>
          <cell r="G1635">
            <v>0</v>
          </cell>
          <cell r="H1635">
            <v>0</v>
          </cell>
          <cell r="J1635" t="e">
            <v>#N/A</v>
          </cell>
          <cell r="P1635" t="e">
            <v>#N/A</v>
          </cell>
          <cell r="R1635" t="e">
            <v>#N/A</v>
          </cell>
          <cell r="S1635" t="e">
            <v>#N/A</v>
          </cell>
          <cell r="Y1635" t="e">
            <v>#N/A</v>
          </cell>
          <cell r="AA1635" t="e">
            <v>#N/A</v>
          </cell>
        </row>
        <row r="1636">
          <cell r="B1636">
            <v>0</v>
          </cell>
          <cell r="C1636">
            <v>0</v>
          </cell>
          <cell r="E1636">
            <v>0</v>
          </cell>
          <cell r="F1636">
            <v>0</v>
          </cell>
          <cell r="G1636">
            <v>0</v>
          </cell>
          <cell r="H1636">
            <v>0</v>
          </cell>
          <cell r="J1636" t="e">
            <v>#N/A</v>
          </cell>
          <cell r="P1636" t="e">
            <v>#N/A</v>
          </cell>
          <cell r="R1636" t="e">
            <v>#N/A</v>
          </cell>
          <cell r="S1636" t="e">
            <v>#N/A</v>
          </cell>
          <cell r="Y1636" t="e">
            <v>#N/A</v>
          </cell>
          <cell r="AA1636" t="e">
            <v>#N/A</v>
          </cell>
        </row>
        <row r="1637">
          <cell r="B1637">
            <v>0</v>
          </cell>
          <cell r="C1637">
            <v>0</v>
          </cell>
          <cell r="E1637">
            <v>0</v>
          </cell>
          <cell r="F1637">
            <v>0</v>
          </cell>
          <cell r="G1637">
            <v>0</v>
          </cell>
          <cell r="H1637">
            <v>0</v>
          </cell>
          <cell r="J1637" t="e">
            <v>#N/A</v>
          </cell>
          <cell r="P1637" t="e">
            <v>#N/A</v>
          </cell>
          <cell r="R1637" t="e">
            <v>#N/A</v>
          </cell>
          <cell r="S1637" t="e">
            <v>#N/A</v>
          </cell>
          <cell r="Y1637" t="e">
            <v>#N/A</v>
          </cell>
          <cell r="AA1637" t="e">
            <v>#N/A</v>
          </cell>
        </row>
        <row r="1638">
          <cell r="B1638">
            <v>0</v>
          </cell>
          <cell r="C1638">
            <v>0</v>
          </cell>
          <cell r="E1638">
            <v>0</v>
          </cell>
          <cell r="F1638">
            <v>0</v>
          </cell>
          <cell r="G1638">
            <v>0</v>
          </cell>
          <cell r="H1638">
            <v>0</v>
          </cell>
          <cell r="J1638" t="e">
            <v>#N/A</v>
          </cell>
          <cell r="P1638" t="e">
            <v>#N/A</v>
          </cell>
          <cell r="R1638" t="e">
            <v>#N/A</v>
          </cell>
          <cell r="S1638" t="e">
            <v>#N/A</v>
          </cell>
          <cell r="Y1638" t="e">
            <v>#N/A</v>
          </cell>
          <cell r="AA1638" t="e">
            <v>#N/A</v>
          </cell>
        </row>
        <row r="1639">
          <cell r="B1639">
            <v>0</v>
          </cell>
          <cell r="C1639">
            <v>0</v>
          </cell>
          <cell r="E1639">
            <v>0</v>
          </cell>
          <cell r="F1639">
            <v>0</v>
          </cell>
          <cell r="G1639">
            <v>0</v>
          </cell>
          <cell r="H1639">
            <v>0</v>
          </cell>
          <cell r="J1639" t="e">
            <v>#N/A</v>
          </cell>
          <cell r="P1639" t="e">
            <v>#N/A</v>
          </cell>
          <cell r="R1639" t="e">
            <v>#N/A</v>
          </cell>
          <cell r="S1639" t="e">
            <v>#N/A</v>
          </cell>
          <cell r="Y1639" t="e">
            <v>#N/A</v>
          </cell>
          <cell r="AA1639" t="e">
            <v>#N/A</v>
          </cell>
        </row>
        <row r="1640">
          <cell r="B1640">
            <v>0</v>
          </cell>
          <cell r="C1640">
            <v>0</v>
          </cell>
          <cell r="E1640">
            <v>0</v>
          </cell>
          <cell r="F1640">
            <v>0</v>
          </cell>
          <cell r="G1640">
            <v>0</v>
          </cell>
          <cell r="H1640">
            <v>0</v>
          </cell>
          <cell r="J1640" t="e">
            <v>#N/A</v>
          </cell>
          <cell r="P1640" t="e">
            <v>#N/A</v>
          </cell>
          <cell r="R1640" t="e">
            <v>#N/A</v>
          </cell>
          <cell r="S1640" t="e">
            <v>#N/A</v>
          </cell>
          <cell r="Y1640" t="e">
            <v>#N/A</v>
          </cell>
          <cell r="AA1640" t="e">
            <v>#N/A</v>
          </cell>
        </row>
        <row r="1641">
          <cell r="B1641">
            <v>0</v>
          </cell>
          <cell r="C1641">
            <v>0</v>
          </cell>
          <cell r="E1641">
            <v>0</v>
          </cell>
          <cell r="F1641">
            <v>0</v>
          </cell>
          <cell r="G1641">
            <v>0</v>
          </cell>
          <cell r="H1641">
            <v>0</v>
          </cell>
          <cell r="J1641" t="e">
            <v>#N/A</v>
          </cell>
          <cell r="P1641" t="e">
            <v>#N/A</v>
          </cell>
          <cell r="R1641" t="e">
            <v>#N/A</v>
          </cell>
          <cell r="S1641" t="e">
            <v>#N/A</v>
          </cell>
          <cell r="Y1641" t="e">
            <v>#N/A</v>
          </cell>
          <cell r="AA1641" t="e">
            <v>#N/A</v>
          </cell>
        </row>
        <row r="1642">
          <cell r="B1642">
            <v>0</v>
          </cell>
          <cell r="C1642">
            <v>0</v>
          </cell>
          <cell r="E1642">
            <v>0</v>
          </cell>
          <cell r="F1642">
            <v>0</v>
          </cell>
          <cell r="G1642">
            <v>0</v>
          </cell>
          <cell r="H1642">
            <v>0</v>
          </cell>
          <cell r="J1642" t="e">
            <v>#N/A</v>
          </cell>
          <cell r="P1642" t="e">
            <v>#N/A</v>
          </cell>
          <cell r="R1642" t="e">
            <v>#N/A</v>
          </cell>
          <cell r="S1642" t="e">
            <v>#N/A</v>
          </cell>
          <cell r="Y1642" t="e">
            <v>#N/A</v>
          </cell>
          <cell r="AA1642" t="e">
            <v>#N/A</v>
          </cell>
        </row>
        <row r="1643">
          <cell r="B1643">
            <v>0</v>
          </cell>
          <cell r="C1643">
            <v>0</v>
          </cell>
          <cell r="E1643">
            <v>0</v>
          </cell>
          <cell r="F1643">
            <v>0</v>
          </cell>
          <cell r="G1643">
            <v>0</v>
          </cell>
          <cell r="H1643">
            <v>0</v>
          </cell>
          <cell r="J1643" t="e">
            <v>#N/A</v>
          </cell>
          <cell r="P1643" t="e">
            <v>#N/A</v>
          </cell>
          <cell r="R1643" t="e">
            <v>#N/A</v>
          </cell>
          <cell r="S1643" t="e">
            <v>#N/A</v>
          </cell>
          <cell r="Y1643" t="e">
            <v>#N/A</v>
          </cell>
          <cell r="AA1643" t="e">
            <v>#N/A</v>
          </cell>
        </row>
        <row r="1644">
          <cell r="B1644">
            <v>0</v>
          </cell>
          <cell r="C1644">
            <v>0</v>
          </cell>
          <cell r="E1644">
            <v>0</v>
          </cell>
          <cell r="F1644">
            <v>0</v>
          </cell>
          <cell r="G1644">
            <v>0</v>
          </cell>
          <cell r="H1644">
            <v>0</v>
          </cell>
          <cell r="J1644" t="e">
            <v>#N/A</v>
          </cell>
          <cell r="P1644" t="e">
            <v>#N/A</v>
          </cell>
          <cell r="R1644" t="e">
            <v>#N/A</v>
          </cell>
          <cell r="S1644" t="e">
            <v>#N/A</v>
          </cell>
          <cell r="Y1644" t="e">
            <v>#N/A</v>
          </cell>
          <cell r="AA1644" t="e">
            <v>#N/A</v>
          </cell>
        </row>
        <row r="1645">
          <cell r="B1645">
            <v>0</v>
          </cell>
          <cell r="C1645">
            <v>0</v>
          </cell>
          <cell r="E1645">
            <v>0</v>
          </cell>
          <cell r="F1645">
            <v>0</v>
          </cell>
          <cell r="G1645">
            <v>0</v>
          </cell>
          <cell r="H1645">
            <v>0</v>
          </cell>
          <cell r="J1645" t="e">
            <v>#N/A</v>
          </cell>
          <cell r="P1645" t="e">
            <v>#N/A</v>
          </cell>
          <cell r="R1645" t="e">
            <v>#N/A</v>
          </cell>
          <cell r="S1645" t="e">
            <v>#N/A</v>
          </cell>
          <cell r="Y1645" t="e">
            <v>#N/A</v>
          </cell>
          <cell r="AA1645" t="e">
            <v>#N/A</v>
          </cell>
        </row>
        <row r="1646">
          <cell r="B1646">
            <v>0</v>
          </cell>
          <cell r="C1646">
            <v>0</v>
          </cell>
          <cell r="E1646">
            <v>0</v>
          </cell>
          <cell r="F1646">
            <v>0</v>
          </cell>
          <cell r="G1646">
            <v>0</v>
          </cell>
          <cell r="H1646">
            <v>0</v>
          </cell>
          <cell r="J1646" t="e">
            <v>#N/A</v>
          </cell>
          <cell r="P1646" t="e">
            <v>#N/A</v>
          </cell>
          <cell r="R1646" t="e">
            <v>#N/A</v>
          </cell>
          <cell r="S1646" t="e">
            <v>#N/A</v>
          </cell>
          <cell r="Y1646" t="e">
            <v>#N/A</v>
          </cell>
          <cell r="AA1646" t="e">
            <v>#N/A</v>
          </cell>
        </row>
        <row r="1647">
          <cell r="B1647">
            <v>0</v>
          </cell>
          <cell r="C1647">
            <v>0</v>
          </cell>
          <cell r="E1647">
            <v>0</v>
          </cell>
          <cell r="F1647">
            <v>0</v>
          </cell>
          <cell r="G1647">
            <v>0</v>
          </cell>
          <cell r="H1647">
            <v>0</v>
          </cell>
          <cell r="J1647" t="e">
            <v>#N/A</v>
          </cell>
          <cell r="P1647" t="e">
            <v>#N/A</v>
          </cell>
          <cell r="R1647" t="e">
            <v>#N/A</v>
          </cell>
          <cell r="S1647" t="e">
            <v>#N/A</v>
          </cell>
          <cell r="Y1647" t="e">
            <v>#N/A</v>
          </cell>
          <cell r="AA1647" t="e">
            <v>#N/A</v>
          </cell>
        </row>
        <row r="1648">
          <cell r="B1648">
            <v>0</v>
          </cell>
          <cell r="C1648">
            <v>0</v>
          </cell>
          <cell r="E1648">
            <v>0</v>
          </cell>
          <cell r="F1648">
            <v>0</v>
          </cell>
          <cell r="G1648">
            <v>0</v>
          </cell>
          <cell r="H1648">
            <v>0</v>
          </cell>
          <cell r="J1648" t="e">
            <v>#N/A</v>
          </cell>
          <cell r="P1648" t="e">
            <v>#N/A</v>
          </cell>
          <cell r="R1648" t="e">
            <v>#N/A</v>
          </cell>
          <cell r="S1648" t="e">
            <v>#N/A</v>
          </cell>
          <cell r="Y1648" t="e">
            <v>#N/A</v>
          </cell>
          <cell r="AA1648" t="e">
            <v>#N/A</v>
          </cell>
        </row>
        <row r="1649">
          <cell r="B1649">
            <v>0</v>
          </cell>
          <cell r="C1649">
            <v>0</v>
          </cell>
          <cell r="E1649">
            <v>0</v>
          </cell>
          <cell r="F1649">
            <v>0</v>
          </cell>
          <cell r="G1649">
            <v>0</v>
          </cell>
          <cell r="H1649">
            <v>0</v>
          </cell>
          <cell r="J1649" t="e">
            <v>#N/A</v>
          </cell>
          <cell r="P1649" t="e">
            <v>#N/A</v>
          </cell>
          <cell r="R1649" t="e">
            <v>#N/A</v>
          </cell>
          <cell r="S1649" t="e">
            <v>#N/A</v>
          </cell>
          <cell r="Y1649" t="e">
            <v>#N/A</v>
          </cell>
          <cell r="AA1649" t="e">
            <v>#N/A</v>
          </cell>
        </row>
        <row r="1650">
          <cell r="B1650">
            <v>0</v>
          </cell>
          <cell r="C1650">
            <v>0</v>
          </cell>
          <cell r="E1650">
            <v>0</v>
          </cell>
          <cell r="F1650">
            <v>0</v>
          </cell>
          <cell r="G1650">
            <v>0</v>
          </cell>
          <cell r="H1650">
            <v>0</v>
          </cell>
          <cell r="J1650" t="e">
            <v>#N/A</v>
          </cell>
          <cell r="P1650" t="e">
            <v>#N/A</v>
          </cell>
          <cell r="R1650" t="e">
            <v>#N/A</v>
          </cell>
          <cell r="S1650" t="e">
            <v>#N/A</v>
          </cell>
          <cell r="Y1650" t="e">
            <v>#N/A</v>
          </cell>
          <cell r="AA1650" t="e">
            <v>#N/A</v>
          </cell>
        </row>
        <row r="1651">
          <cell r="B1651">
            <v>0</v>
          </cell>
          <cell r="C1651">
            <v>0</v>
          </cell>
          <cell r="E1651">
            <v>0</v>
          </cell>
          <cell r="F1651">
            <v>0</v>
          </cell>
          <cell r="G1651">
            <v>0</v>
          </cell>
          <cell r="H1651">
            <v>0</v>
          </cell>
          <cell r="J1651" t="e">
            <v>#N/A</v>
          </cell>
          <cell r="P1651" t="e">
            <v>#N/A</v>
          </cell>
          <cell r="R1651" t="e">
            <v>#N/A</v>
          </cell>
          <cell r="S1651" t="e">
            <v>#N/A</v>
          </cell>
          <cell r="Y1651" t="e">
            <v>#N/A</v>
          </cell>
          <cell r="AA1651" t="e">
            <v>#N/A</v>
          </cell>
        </row>
        <row r="1652">
          <cell r="B1652">
            <v>0</v>
          </cell>
          <cell r="C1652">
            <v>0</v>
          </cell>
          <cell r="E1652">
            <v>0</v>
          </cell>
          <cell r="F1652">
            <v>0</v>
          </cell>
          <cell r="G1652">
            <v>0</v>
          </cell>
          <cell r="H1652">
            <v>0</v>
          </cell>
          <cell r="J1652" t="e">
            <v>#N/A</v>
          </cell>
          <cell r="P1652" t="e">
            <v>#N/A</v>
          </cell>
          <cell r="R1652" t="e">
            <v>#N/A</v>
          </cell>
          <cell r="S1652" t="e">
            <v>#N/A</v>
          </cell>
          <cell r="Y1652" t="e">
            <v>#N/A</v>
          </cell>
          <cell r="AA1652" t="e">
            <v>#N/A</v>
          </cell>
        </row>
        <row r="1653">
          <cell r="B1653">
            <v>0</v>
          </cell>
          <cell r="C1653">
            <v>0</v>
          </cell>
          <cell r="E1653">
            <v>0</v>
          </cell>
          <cell r="F1653">
            <v>0</v>
          </cell>
          <cell r="G1653">
            <v>0</v>
          </cell>
          <cell r="H1653">
            <v>0</v>
          </cell>
          <cell r="J1653" t="e">
            <v>#N/A</v>
          </cell>
          <cell r="P1653" t="e">
            <v>#N/A</v>
          </cell>
          <cell r="R1653" t="e">
            <v>#N/A</v>
          </cell>
          <cell r="S1653" t="e">
            <v>#N/A</v>
          </cell>
          <cell r="Y1653" t="e">
            <v>#N/A</v>
          </cell>
          <cell r="AA1653" t="e">
            <v>#N/A</v>
          </cell>
        </row>
        <row r="1654">
          <cell r="B1654">
            <v>0</v>
          </cell>
          <cell r="C1654">
            <v>0</v>
          </cell>
          <cell r="E1654">
            <v>0</v>
          </cell>
          <cell r="F1654">
            <v>0</v>
          </cell>
          <cell r="G1654">
            <v>0</v>
          </cell>
          <cell r="H1654">
            <v>0</v>
          </cell>
          <cell r="J1654" t="e">
            <v>#N/A</v>
          </cell>
          <cell r="P1654" t="e">
            <v>#N/A</v>
          </cell>
          <cell r="R1654" t="e">
            <v>#N/A</v>
          </cell>
          <cell r="S1654" t="e">
            <v>#N/A</v>
          </cell>
          <cell r="Y1654" t="e">
            <v>#N/A</v>
          </cell>
          <cell r="AA1654" t="e">
            <v>#N/A</v>
          </cell>
        </row>
        <row r="1655">
          <cell r="B1655">
            <v>0</v>
          </cell>
          <cell r="C1655">
            <v>0</v>
          </cell>
          <cell r="E1655">
            <v>0</v>
          </cell>
          <cell r="F1655">
            <v>0</v>
          </cell>
          <cell r="G1655">
            <v>0</v>
          </cell>
          <cell r="H1655">
            <v>0</v>
          </cell>
          <cell r="J1655" t="e">
            <v>#N/A</v>
          </cell>
          <cell r="P1655" t="e">
            <v>#N/A</v>
          </cell>
          <cell r="R1655" t="e">
            <v>#N/A</v>
          </cell>
          <cell r="S1655" t="e">
            <v>#N/A</v>
          </cell>
          <cell r="Y1655" t="e">
            <v>#N/A</v>
          </cell>
          <cell r="AA1655" t="e">
            <v>#N/A</v>
          </cell>
        </row>
        <row r="1656">
          <cell r="B1656">
            <v>0</v>
          </cell>
          <cell r="C1656">
            <v>0</v>
          </cell>
          <cell r="E1656">
            <v>0</v>
          </cell>
          <cell r="F1656">
            <v>0</v>
          </cell>
          <cell r="G1656">
            <v>0</v>
          </cell>
          <cell r="H1656">
            <v>0</v>
          </cell>
          <cell r="J1656" t="e">
            <v>#N/A</v>
          </cell>
          <cell r="P1656" t="e">
            <v>#N/A</v>
          </cell>
          <cell r="R1656" t="e">
            <v>#N/A</v>
          </cell>
          <cell r="S1656" t="e">
            <v>#N/A</v>
          </cell>
          <cell r="Y1656" t="e">
            <v>#N/A</v>
          </cell>
          <cell r="AA1656" t="e">
            <v>#N/A</v>
          </cell>
        </row>
        <row r="1657">
          <cell r="B1657">
            <v>0</v>
          </cell>
          <cell r="C1657">
            <v>0</v>
          </cell>
          <cell r="E1657">
            <v>0</v>
          </cell>
          <cell r="F1657">
            <v>0</v>
          </cell>
          <cell r="G1657">
            <v>0</v>
          </cell>
          <cell r="H1657">
            <v>0</v>
          </cell>
          <cell r="J1657" t="e">
            <v>#N/A</v>
          </cell>
          <cell r="P1657" t="e">
            <v>#N/A</v>
          </cell>
          <cell r="R1657" t="e">
            <v>#N/A</v>
          </cell>
          <cell r="S1657" t="e">
            <v>#N/A</v>
          </cell>
          <cell r="Y1657" t="e">
            <v>#N/A</v>
          </cell>
          <cell r="AA1657" t="e">
            <v>#N/A</v>
          </cell>
        </row>
        <row r="1658">
          <cell r="B1658">
            <v>0</v>
          </cell>
          <cell r="C1658">
            <v>0</v>
          </cell>
          <cell r="E1658">
            <v>0</v>
          </cell>
          <cell r="F1658">
            <v>0</v>
          </cell>
          <cell r="G1658">
            <v>0</v>
          </cell>
          <cell r="H1658">
            <v>0</v>
          </cell>
          <cell r="J1658" t="e">
            <v>#N/A</v>
          </cell>
          <cell r="P1658" t="e">
            <v>#N/A</v>
          </cell>
          <cell r="R1658" t="e">
            <v>#N/A</v>
          </cell>
          <cell r="S1658" t="e">
            <v>#N/A</v>
          </cell>
          <cell r="Y1658" t="e">
            <v>#N/A</v>
          </cell>
          <cell r="AA1658" t="e">
            <v>#N/A</v>
          </cell>
        </row>
        <row r="1659">
          <cell r="B1659">
            <v>0</v>
          </cell>
          <cell r="C1659">
            <v>0</v>
          </cell>
          <cell r="E1659">
            <v>0</v>
          </cell>
          <cell r="F1659">
            <v>0</v>
          </cell>
          <cell r="G1659">
            <v>0</v>
          </cell>
          <cell r="H1659">
            <v>0</v>
          </cell>
          <cell r="J1659" t="e">
            <v>#N/A</v>
          </cell>
          <cell r="P1659" t="e">
            <v>#N/A</v>
          </cell>
          <cell r="R1659" t="e">
            <v>#N/A</v>
          </cell>
          <cell r="S1659" t="e">
            <v>#N/A</v>
          </cell>
          <cell r="Y1659" t="e">
            <v>#N/A</v>
          </cell>
          <cell r="AA1659" t="e">
            <v>#N/A</v>
          </cell>
        </row>
        <row r="1660">
          <cell r="B1660">
            <v>0</v>
          </cell>
          <cell r="C1660">
            <v>0</v>
          </cell>
          <cell r="E1660">
            <v>0</v>
          </cell>
          <cell r="F1660">
            <v>0</v>
          </cell>
          <cell r="G1660">
            <v>0</v>
          </cell>
          <cell r="H1660">
            <v>0</v>
          </cell>
          <cell r="J1660" t="e">
            <v>#N/A</v>
          </cell>
          <cell r="P1660" t="e">
            <v>#N/A</v>
          </cell>
          <cell r="R1660" t="e">
            <v>#N/A</v>
          </cell>
          <cell r="S1660" t="e">
            <v>#N/A</v>
          </cell>
          <cell r="Y1660" t="e">
            <v>#N/A</v>
          </cell>
          <cell r="AA1660" t="e">
            <v>#N/A</v>
          </cell>
        </row>
        <row r="1661">
          <cell r="B1661">
            <v>0</v>
          </cell>
          <cell r="C1661">
            <v>0</v>
          </cell>
          <cell r="E1661">
            <v>0</v>
          </cell>
          <cell r="F1661">
            <v>0</v>
          </cell>
          <cell r="G1661">
            <v>0</v>
          </cell>
          <cell r="H1661">
            <v>0</v>
          </cell>
          <cell r="J1661" t="e">
            <v>#N/A</v>
          </cell>
          <cell r="P1661" t="e">
            <v>#N/A</v>
          </cell>
          <cell r="R1661" t="e">
            <v>#N/A</v>
          </cell>
          <cell r="S1661" t="e">
            <v>#N/A</v>
          </cell>
          <cell r="Y1661" t="e">
            <v>#N/A</v>
          </cell>
          <cell r="AA1661" t="e">
            <v>#N/A</v>
          </cell>
        </row>
        <row r="1662">
          <cell r="B1662">
            <v>0</v>
          </cell>
          <cell r="C1662">
            <v>0</v>
          </cell>
          <cell r="E1662">
            <v>0</v>
          </cell>
          <cell r="F1662">
            <v>0</v>
          </cell>
          <cell r="G1662">
            <v>0</v>
          </cell>
          <cell r="H1662">
            <v>0</v>
          </cell>
          <cell r="J1662" t="e">
            <v>#N/A</v>
          </cell>
          <cell r="P1662" t="e">
            <v>#N/A</v>
          </cell>
          <cell r="R1662" t="e">
            <v>#N/A</v>
          </cell>
          <cell r="S1662" t="e">
            <v>#N/A</v>
          </cell>
          <cell r="Y1662" t="e">
            <v>#N/A</v>
          </cell>
          <cell r="AA1662" t="e">
            <v>#N/A</v>
          </cell>
        </row>
        <row r="1663">
          <cell r="B1663">
            <v>0</v>
          </cell>
          <cell r="C1663">
            <v>0</v>
          </cell>
          <cell r="E1663">
            <v>0</v>
          </cell>
          <cell r="F1663">
            <v>0</v>
          </cell>
          <cell r="G1663">
            <v>0</v>
          </cell>
          <cell r="H1663">
            <v>0</v>
          </cell>
          <cell r="J1663" t="e">
            <v>#N/A</v>
          </cell>
          <cell r="P1663" t="e">
            <v>#N/A</v>
          </cell>
          <cell r="R1663" t="e">
            <v>#N/A</v>
          </cell>
          <cell r="S1663" t="e">
            <v>#N/A</v>
          </cell>
          <cell r="Y1663" t="e">
            <v>#N/A</v>
          </cell>
          <cell r="AA1663" t="e">
            <v>#N/A</v>
          </cell>
        </row>
        <row r="1664">
          <cell r="B1664">
            <v>0</v>
          </cell>
          <cell r="C1664">
            <v>0</v>
          </cell>
          <cell r="E1664">
            <v>0</v>
          </cell>
          <cell r="F1664">
            <v>0</v>
          </cell>
          <cell r="G1664">
            <v>0</v>
          </cell>
          <cell r="H1664">
            <v>0</v>
          </cell>
          <cell r="J1664" t="e">
            <v>#N/A</v>
          </cell>
          <cell r="P1664" t="e">
            <v>#N/A</v>
          </cell>
          <cell r="R1664" t="e">
            <v>#N/A</v>
          </cell>
          <cell r="S1664" t="e">
            <v>#N/A</v>
          </cell>
          <cell r="Y1664" t="e">
            <v>#N/A</v>
          </cell>
          <cell r="AA1664" t="e">
            <v>#N/A</v>
          </cell>
        </row>
        <row r="1665">
          <cell r="B1665">
            <v>0</v>
          </cell>
          <cell r="C1665">
            <v>0</v>
          </cell>
          <cell r="E1665">
            <v>0</v>
          </cell>
          <cell r="F1665">
            <v>0</v>
          </cell>
          <cell r="G1665">
            <v>0</v>
          </cell>
          <cell r="H1665">
            <v>0</v>
          </cell>
          <cell r="J1665" t="e">
            <v>#N/A</v>
          </cell>
          <cell r="P1665" t="e">
            <v>#N/A</v>
          </cell>
          <cell r="R1665" t="e">
            <v>#N/A</v>
          </cell>
          <cell r="S1665" t="e">
            <v>#N/A</v>
          </cell>
          <cell r="Y1665" t="e">
            <v>#N/A</v>
          </cell>
          <cell r="AA1665" t="e">
            <v>#N/A</v>
          </cell>
        </row>
        <row r="1666">
          <cell r="B1666">
            <v>0</v>
          </cell>
          <cell r="C1666">
            <v>0</v>
          </cell>
          <cell r="E1666">
            <v>0</v>
          </cell>
          <cell r="F1666">
            <v>0</v>
          </cell>
          <cell r="G1666">
            <v>0</v>
          </cell>
          <cell r="H1666">
            <v>0</v>
          </cell>
          <cell r="J1666" t="e">
            <v>#N/A</v>
          </cell>
          <cell r="P1666" t="e">
            <v>#N/A</v>
          </cell>
          <cell r="R1666" t="e">
            <v>#N/A</v>
          </cell>
          <cell r="S1666" t="e">
            <v>#N/A</v>
          </cell>
          <cell r="Y1666" t="e">
            <v>#N/A</v>
          </cell>
          <cell r="AA1666" t="e">
            <v>#N/A</v>
          </cell>
        </row>
        <row r="1667">
          <cell r="B1667">
            <v>0</v>
          </cell>
          <cell r="C1667">
            <v>0</v>
          </cell>
          <cell r="E1667">
            <v>0</v>
          </cell>
          <cell r="F1667">
            <v>0</v>
          </cell>
          <cell r="G1667">
            <v>0</v>
          </cell>
          <cell r="H1667">
            <v>0</v>
          </cell>
          <cell r="J1667" t="e">
            <v>#N/A</v>
          </cell>
          <cell r="P1667" t="e">
            <v>#N/A</v>
          </cell>
          <cell r="R1667" t="e">
            <v>#N/A</v>
          </cell>
          <cell r="S1667" t="e">
            <v>#N/A</v>
          </cell>
          <cell r="Y1667" t="e">
            <v>#N/A</v>
          </cell>
          <cell r="AA1667" t="e">
            <v>#N/A</v>
          </cell>
        </row>
        <row r="1668">
          <cell r="B1668">
            <v>0</v>
          </cell>
          <cell r="C1668">
            <v>0</v>
          </cell>
          <cell r="E1668">
            <v>0</v>
          </cell>
          <cell r="F1668">
            <v>0</v>
          </cell>
          <cell r="G1668">
            <v>0</v>
          </cell>
          <cell r="H1668">
            <v>0</v>
          </cell>
          <cell r="J1668" t="e">
            <v>#N/A</v>
          </cell>
          <cell r="P1668" t="e">
            <v>#N/A</v>
          </cell>
          <cell r="R1668" t="e">
            <v>#N/A</v>
          </cell>
          <cell r="S1668" t="e">
            <v>#N/A</v>
          </cell>
          <cell r="Y1668" t="e">
            <v>#N/A</v>
          </cell>
          <cell r="AA1668" t="e">
            <v>#N/A</v>
          </cell>
        </row>
        <row r="1669">
          <cell r="B1669">
            <v>0</v>
          </cell>
          <cell r="C1669">
            <v>0</v>
          </cell>
          <cell r="E1669">
            <v>0</v>
          </cell>
          <cell r="F1669">
            <v>0</v>
          </cell>
          <cell r="G1669">
            <v>0</v>
          </cell>
          <cell r="H1669">
            <v>0</v>
          </cell>
          <cell r="J1669" t="e">
            <v>#N/A</v>
          </cell>
          <cell r="P1669" t="e">
            <v>#N/A</v>
          </cell>
          <cell r="R1669" t="e">
            <v>#N/A</v>
          </cell>
          <cell r="S1669" t="e">
            <v>#N/A</v>
          </cell>
          <cell r="Y1669" t="e">
            <v>#N/A</v>
          </cell>
          <cell r="AA1669" t="e">
            <v>#N/A</v>
          </cell>
        </row>
        <row r="1670">
          <cell r="B1670">
            <v>0</v>
          </cell>
          <cell r="C1670">
            <v>0</v>
          </cell>
          <cell r="E1670">
            <v>0</v>
          </cell>
          <cell r="F1670">
            <v>0</v>
          </cell>
          <cell r="G1670">
            <v>0</v>
          </cell>
          <cell r="H1670">
            <v>0</v>
          </cell>
          <cell r="J1670" t="e">
            <v>#N/A</v>
          </cell>
          <cell r="P1670" t="e">
            <v>#N/A</v>
          </cell>
          <cell r="R1670" t="e">
            <v>#N/A</v>
          </cell>
          <cell r="S1670" t="e">
            <v>#N/A</v>
          </cell>
          <cell r="Y1670" t="e">
            <v>#N/A</v>
          </cell>
          <cell r="AA1670" t="e">
            <v>#N/A</v>
          </cell>
        </row>
        <row r="1671">
          <cell r="B1671">
            <v>0</v>
          </cell>
          <cell r="C1671">
            <v>0</v>
          </cell>
          <cell r="E1671">
            <v>0</v>
          </cell>
          <cell r="F1671">
            <v>0</v>
          </cell>
          <cell r="G1671">
            <v>0</v>
          </cell>
          <cell r="H1671">
            <v>0</v>
          </cell>
          <cell r="J1671" t="e">
            <v>#N/A</v>
          </cell>
          <cell r="P1671" t="e">
            <v>#N/A</v>
          </cell>
          <cell r="R1671" t="e">
            <v>#N/A</v>
          </cell>
          <cell r="S1671" t="e">
            <v>#N/A</v>
          </cell>
          <cell r="Y1671" t="e">
            <v>#N/A</v>
          </cell>
          <cell r="AA1671" t="e">
            <v>#N/A</v>
          </cell>
        </row>
        <row r="1672">
          <cell r="B1672">
            <v>0</v>
          </cell>
          <cell r="C1672">
            <v>0</v>
          </cell>
          <cell r="E1672">
            <v>0</v>
          </cell>
          <cell r="F1672">
            <v>0</v>
          </cell>
          <cell r="G1672">
            <v>0</v>
          </cell>
          <cell r="H1672">
            <v>0</v>
          </cell>
          <cell r="J1672" t="e">
            <v>#N/A</v>
          </cell>
          <cell r="P1672" t="e">
            <v>#N/A</v>
          </cell>
          <cell r="R1672" t="e">
            <v>#N/A</v>
          </cell>
          <cell r="S1672" t="e">
            <v>#N/A</v>
          </cell>
          <cell r="Y1672" t="e">
            <v>#N/A</v>
          </cell>
          <cell r="AA1672" t="e">
            <v>#N/A</v>
          </cell>
        </row>
        <row r="1673">
          <cell r="B1673">
            <v>0</v>
          </cell>
          <cell r="C1673">
            <v>0</v>
          </cell>
          <cell r="E1673">
            <v>0</v>
          </cell>
          <cell r="F1673">
            <v>0</v>
          </cell>
          <cell r="G1673">
            <v>0</v>
          </cell>
          <cell r="H1673">
            <v>0</v>
          </cell>
          <cell r="J1673" t="e">
            <v>#N/A</v>
          </cell>
          <cell r="P1673" t="e">
            <v>#N/A</v>
          </cell>
          <cell r="R1673" t="e">
            <v>#N/A</v>
          </cell>
          <cell r="S1673" t="e">
            <v>#N/A</v>
          </cell>
          <cell r="Y1673" t="e">
            <v>#N/A</v>
          </cell>
          <cell r="AA1673" t="e">
            <v>#N/A</v>
          </cell>
        </row>
        <row r="1674">
          <cell r="B1674">
            <v>0</v>
          </cell>
          <cell r="C1674">
            <v>0</v>
          </cell>
          <cell r="E1674">
            <v>0</v>
          </cell>
          <cell r="F1674">
            <v>0</v>
          </cell>
          <cell r="G1674">
            <v>0</v>
          </cell>
          <cell r="H1674">
            <v>0</v>
          </cell>
          <cell r="J1674" t="e">
            <v>#N/A</v>
          </cell>
          <cell r="P1674" t="e">
            <v>#N/A</v>
          </cell>
          <cell r="R1674" t="e">
            <v>#N/A</v>
          </cell>
          <cell r="S1674" t="e">
            <v>#N/A</v>
          </cell>
          <cell r="Y1674" t="e">
            <v>#N/A</v>
          </cell>
          <cell r="AA1674" t="e">
            <v>#N/A</v>
          </cell>
        </row>
        <row r="1675">
          <cell r="B1675">
            <v>0</v>
          </cell>
          <cell r="C1675">
            <v>0</v>
          </cell>
          <cell r="E1675">
            <v>0</v>
          </cell>
          <cell r="F1675">
            <v>0</v>
          </cell>
          <cell r="G1675">
            <v>0</v>
          </cell>
          <cell r="H1675">
            <v>0</v>
          </cell>
          <cell r="J1675" t="e">
            <v>#N/A</v>
          </cell>
          <cell r="P1675" t="e">
            <v>#N/A</v>
          </cell>
          <cell r="R1675" t="e">
            <v>#N/A</v>
          </cell>
          <cell r="S1675" t="e">
            <v>#N/A</v>
          </cell>
          <cell r="Y1675" t="e">
            <v>#N/A</v>
          </cell>
          <cell r="AA1675" t="e">
            <v>#N/A</v>
          </cell>
        </row>
        <row r="1676">
          <cell r="B1676">
            <v>0</v>
          </cell>
          <cell r="C1676">
            <v>0</v>
          </cell>
          <cell r="E1676">
            <v>0</v>
          </cell>
          <cell r="F1676">
            <v>0</v>
          </cell>
          <cell r="G1676">
            <v>0</v>
          </cell>
          <cell r="H1676">
            <v>0</v>
          </cell>
          <cell r="J1676" t="e">
            <v>#N/A</v>
          </cell>
          <cell r="P1676" t="e">
            <v>#N/A</v>
          </cell>
          <cell r="R1676" t="e">
            <v>#N/A</v>
          </cell>
          <cell r="S1676" t="e">
            <v>#N/A</v>
          </cell>
          <cell r="Y1676" t="e">
            <v>#N/A</v>
          </cell>
          <cell r="AA1676" t="e">
            <v>#N/A</v>
          </cell>
        </row>
        <row r="1677">
          <cell r="B1677">
            <v>0</v>
          </cell>
          <cell r="C1677">
            <v>0</v>
          </cell>
          <cell r="E1677">
            <v>0</v>
          </cell>
          <cell r="F1677">
            <v>0</v>
          </cell>
          <cell r="G1677">
            <v>0</v>
          </cell>
          <cell r="H1677">
            <v>0</v>
          </cell>
          <cell r="J1677" t="e">
            <v>#N/A</v>
          </cell>
          <cell r="P1677" t="e">
            <v>#N/A</v>
          </cell>
          <cell r="R1677" t="e">
            <v>#N/A</v>
          </cell>
          <cell r="S1677" t="e">
            <v>#N/A</v>
          </cell>
          <cell r="Y1677" t="e">
            <v>#N/A</v>
          </cell>
          <cell r="AA1677" t="e">
            <v>#N/A</v>
          </cell>
        </row>
        <row r="1678">
          <cell r="B1678">
            <v>0</v>
          </cell>
          <cell r="C1678">
            <v>0</v>
          </cell>
          <cell r="E1678">
            <v>0</v>
          </cell>
          <cell r="F1678">
            <v>0</v>
          </cell>
          <cell r="G1678">
            <v>0</v>
          </cell>
          <cell r="H1678">
            <v>0</v>
          </cell>
          <cell r="J1678" t="e">
            <v>#N/A</v>
          </cell>
          <cell r="P1678" t="e">
            <v>#N/A</v>
          </cell>
          <cell r="R1678" t="e">
            <v>#N/A</v>
          </cell>
          <cell r="S1678" t="e">
            <v>#N/A</v>
          </cell>
          <cell r="Y1678" t="e">
            <v>#N/A</v>
          </cell>
          <cell r="AA1678" t="e">
            <v>#N/A</v>
          </cell>
        </row>
        <row r="1679">
          <cell r="B1679">
            <v>0</v>
          </cell>
          <cell r="C1679">
            <v>0</v>
          </cell>
          <cell r="E1679">
            <v>0</v>
          </cell>
          <cell r="F1679">
            <v>0</v>
          </cell>
          <cell r="G1679">
            <v>0</v>
          </cell>
          <cell r="H1679">
            <v>0</v>
          </cell>
          <cell r="J1679" t="e">
            <v>#N/A</v>
          </cell>
          <cell r="P1679" t="e">
            <v>#N/A</v>
          </cell>
          <cell r="R1679" t="e">
            <v>#N/A</v>
          </cell>
          <cell r="S1679" t="e">
            <v>#N/A</v>
          </cell>
          <cell r="Y1679" t="e">
            <v>#N/A</v>
          </cell>
          <cell r="AA1679" t="e">
            <v>#N/A</v>
          </cell>
        </row>
        <row r="1680">
          <cell r="B1680">
            <v>0</v>
          </cell>
          <cell r="C1680">
            <v>0</v>
          </cell>
          <cell r="E1680">
            <v>0</v>
          </cell>
          <cell r="F1680">
            <v>0</v>
          </cell>
          <cell r="G1680">
            <v>0</v>
          </cell>
          <cell r="H1680">
            <v>0</v>
          </cell>
          <cell r="J1680" t="e">
            <v>#N/A</v>
          </cell>
          <cell r="P1680" t="e">
            <v>#N/A</v>
          </cell>
          <cell r="R1680" t="e">
            <v>#N/A</v>
          </cell>
          <cell r="S1680" t="e">
            <v>#N/A</v>
          </cell>
          <cell r="Y1680" t="e">
            <v>#N/A</v>
          </cell>
          <cell r="AA1680" t="e">
            <v>#N/A</v>
          </cell>
        </row>
        <row r="1681">
          <cell r="B1681">
            <v>0</v>
          </cell>
          <cell r="C1681">
            <v>0</v>
          </cell>
          <cell r="E1681">
            <v>0</v>
          </cell>
          <cell r="F1681">
            <v>0</v>
          </cell>
          <cell r="G1681">
            <v>0</v>
          </cell>
          <cell r="H1681">
            <v>0</v>
          </cell>
          <cell r="J1681" t="e">
            <v>#N/A</v>
          </cell>
          <cell r="P1681" t="e">
            <v>#N/A</v>
          </cell>
          <cell r="R1681" t="e">
            <v>#N/A</v>
          </cell>
          <cell r="S1681" t="e">
            <v>#N/A</v>
          </cell>
          <cell r="Y1681" t="e">
            <v>#N/A</v>
          </cell>
          <cell r="AA1681" t="e">
            <v>#N/A</v>
          </cell>
        </row>
        <row r="1682">
          <cell r="B1682">
            <v>0</v>
          </cell>
          <cell r="C1682">
            <v>0</v>
          </cell>
          <cell r="E1682">
            <v>0</v>
          </cell>
          <cell r="F1682">
            <v>0</v>
          </cell>
          <cell r="G1682">
            <v>0</v>
          </cell>
          <cell r="H1682">
            <v>0</v>
          </cell>
          <cell r="J1682" t="e">
            <v>#N/A</v>
          </cell>
          <cell r="P1682" t="e">
            <v>#N/A</v>
          </cell>
          <cell r="R1682" t="e">
            <v>#N/A</v>
          </cell>
          <cell r="S1682" t="e">
            <v>#N/A</v>
          </cell>
          <cell r="Y1682" t="e">
            <v>#N/A</v>
          </cell>
          <cell r="AA1682" t="e">
            <v>#N/A</v>
          </cell>
        </row>
        <row r="1683">
          <cell r="B1683">
            <v>0</v>
          </cell>
          <cell r="C1683">
            <v>0</v>
          </cell>
          <cell r="E1683">
            <v>0</v>
          </cell>
          <cell r="F1683">
            <v>0</v>
          </cell>
          <cell r="G1683">
            <v>0</v>
          </cell>
          <cell r="H1683">
            <v>0</v>
          </cell>
          <cell r="J1683" t="e">
            <v>#N/A</v>
          </cell>
          <cell r="P1683" t="e">
            <v>#N/A</v>
          </cell>
          <cell r="R1683" t="e">
            <v>#N/A</v>
          </cell>
          <cell r="S1683" t="e">
            <v>#N/A</v>
          </cell>
          <cell r="Y1683" t="e">
            <v>#N/A</v>
          </cell>
          <cell r="AA1683" t="e">
            <v>#N/A</v>
          </cell>
        </row>
        <row r="1684">
          <cell r="B1684">
            <v>0</v>
          </cell>
          <cell r="C1684">
            <v>0</v>
          </cell>
          <cell r="E1684">
            <v>0</v>
          </cell>
          <cell r="F1684">
            <v>0</v>
          </cell>
          <cell r="G1684">
            <v>0</v>
          </cell>
          <cell r="H1684">
            <v>0</v>
          </cell>
          <cell r="J1684" t="e">
            <v>#N/A</v>
          </cell>
          <cell r="P1684" t="e">
            <v>#N/A</v>
          </cell>
          <cell r="R1684" t="e">
            <v>#N/A</v>
          </cell>
          <cell r="S1684" t="e">
            <v>#N/A</v>
          </cell>
          <cell r="Y1684" t="e">
            <v>#N/A</v>
          </cell>
          <cell r="AA1684" t="e">
            <v>#N/A</v>
          </cell>
        </row>
        <row r="1685">
          <cell r="B1685">
            <v>0</v>
          </cell>
          <cell r="C1685">
            <v>0</v>
          </cell>
          <cell r="E1685">
            <v>0</v>
          </cell>
          <cell r="F1685">
            <v>0</v>
          </cell>
          <cell r="G1685">
            <v>0</v>
          </cell>
          <cell r="H1685">
            <v>0</v>
          </cell>
          <cell r="J1685" t="e">
            <v>#N/A</v>
          </cell>
          <cell r="P1685" t="e">
            <v>#N/A</v>
          </cell>
          <cell r="R1685" t="e">
            <v>#N/A</v>
          </cell>
          <cell r="S1685" t="e">
            <v>#N/A</v>
          </cell>
          <cell r="Y1685" t="e">
            <v>#N/A</v>
          </cell>
          <cell r="AA1685" t="e">
            <v>#N/A</v>
          </cell>
        </row>
        <row r="1686">
          <cell r="B1686">
            <v>0</v>
          </cell>
          <cell r="C1686">
            <v>0</v>
          </cell>
          <cell r="E1686">
            <v>0</v>
          </cell>
          <cell r="F1686">
            <v>0</v>
          </cell>
          <cell r="G1686">
            <v>0</v>
          </cell>
          <cell r="H1686">
            <v>0</v>
          </cell>
          <cell r="J1686" t="e">
            <v>#N/A</v>
          </cell>
          <cell r="P1686" t="e">
            <v>#N/A</v>
          </cell>
          <cell r="R1686" t="e">
            <v>#N/A</v>
          </cell>
          <cell r="S1686" t="e">
            <v>#N/A</v>
          </cell>
          <cell r="Y1686" t="e">
            <v>#N/A</v>
          </cell>
          <cell r="AA1686" t="e">
            <v>#N/A</v>
          </cell>
        </row>
        <row r="1687">
          <cell r="B1687">
            <v>0</v>
          </cell>
          <cell r="C1687">
            <v>0</v>
          </cell>
          <cell r="E1687">
            <v>0</v>
          </cell>
          <cell r="F1687">
            <v>0</v>
          </cell>
          <cell r="G1687">
            <v>0</v>
          </cell>
          <cell r="H1687">
            <v>0</v>
          </cell>
          <cell r="J1687" t="e">
            <v>#N/A</v>
          </cell>
          <cell r="P1687" t="e">
            <v>#N/A</v>
          </cell>
          <cell r="R1687" t="e">
            <v>#N/A</v>
          </cell>
          <cell r="S1687" t="e">
            <v>#N/A</v>
          </cell>
          <cell r="Y1687" t="e">
            <v>#N/A</v>
          </cell>
          <cell r="AA1687" t="e">
            <v>#N/A</v>
          </cell>
        </row>
        <row r="1688">
          <cell r="B1688">
            <v>0</v>
          </cell>
          <cell r="C1688">
            <v>0</v>
          </cell>
          <cell r="E1688">
            <v>0</v>
          </cell>
          <cell r="F1688">
            <v>0</v>
          </cell>
          <cell r="G1688">
            <v>0</v>
          </cell>
          <cell r="H1688">
            <v>0</v>
          </cell>
          <cell r="J1688" t="e">
            <v>#N/A</v>
          </cell>
          <cell r="P1688" t="e">
            <v>#N/A</v>
          </cell>
          <cell r="R1688" t="e">
            <v>#N/A</v>
          </cell>
          <cell r="S1688" t="e">
            <v>#N/A</v>
          </cell>
          <cell r="Y1688" t="e">
            <v>#N/A</v>
          </cell>
          <cell r="AA1688" t="e">
            <v>#N/A</v>
          </cell>
        </row>
        <row r="1689">
          <cell r="B1689">
            <v>0</v>
          </cell>
          <cell r="C1689">
            <v>0</v>
          </cell>
          <cell r="E1689">
            <v>0</v>
          </cell>
          <cell r="F1689">
            <v>0</v>
          </cell>
          <cell r="G1689">
            <v>0</v>
          </cell>
          <cell r="H1689">
            <v>0</v>
          </cell>
          <cell r="J1689" t="e">
            <v>#N/A</v>
          </cell>
          <cell r="P1689" t="e">
            <v>#N/A</v>
          </cell>
          <cell r="R1689" t="e">
            <v>#N/A</v>
          </cell>
          <cell r="S1689" t="e">
            <v>#N/A</v>
          </cell>
          <cell r="Y1689" t="e">
            <v>#N/A</v>
          </cell>
          <cell r="AA1689" t="e">
            <v>#N/A</v>
          </cell>
        </row>
        <row r="1690">
          <cell r="B1690">
            <v>0</v>
          </cell>
          <cell r="C1690">
            <v>0</v>
          </cell>
          <cell r="E1690">
            <v>0</v>
          </cell>
          <cell r="F1690">
            <v>0</v>
          </cell>
          <cell r="G1690">
            <v>0</v>
          </cell>
          <cell r="H1690">
            <v>0</v>
          </cell>
          <cell r="J1690" t="e">
            <v>#N/A</v>
          </cell>
          <cell r="P1690" t="e">
            <v>#N/A</v>
          </cell>
          <cell r="R1690" t="e">
            <v>#N/A</v>
          </cell>
          <cell r="S1690" t="e">
            <v>#N/A</v>
          </cell>
          <cell r="Y1690" t="e">
            <v>#N/A</v>
          </cell>
          <cell r="AA1690" t="e">
            <v>#N/A</v>
          </cell>
        </row>
        <row r="1691">
          <cell r="B1691">
            <v>0</v>
          </cell>
          <cell r="C1691">
            <v>0</v>
          </cell>
          <cell r="E1691">
            <v>0</v>
          </cell>
          <cell r="F1691">
            <v>0</v>
          </cell>
          <cell r="G1691">
            <v>0</v>
          </cell>
          <cell r="H1691">
            <v>0</v>
          </cell>
          <cell r="J1691" t="e">
            <v>#N/A</v>
          </cell>
          <cell r="P1691" t="e">
            <v>#N/A</v>
          </cell>
          <cell r="R1691" t="e">
            <v>#N/A</v>
          </cell>
          <cell r="S1691" t="e">
            <v>#N/A</v>
          </cell>
          <cell r="Y1691" t="e">
            <v>#N/A</v>
          </cell>
          <cell r="AA1691" t="e">
            <v>#N/A</v>
          </cell>
        </row>
        <row r="1692">
          <cell r="B1692">
            <v>0</v>
          </cell>
          <cell r="C1692">
            <v>0</v>
          </cell>
          <cell r="E1692">
            <v>0</v>
          </cell>
          <cell r="F1692">
            <v>0</v>
          </cell>
          <cell r="G1692">
            <v>0</v>
          </cell>
          <cell r="H1692">
            <v>0</v>
          </cell>
          <cell r="J1692" t="e">
            <v>#N/A</v>
          </cell>
          <cell r="P1692" t="e">
            <v>#N/A</v>
          </cell>
          <cell r="R1692" t="e">
            <v>#N/A</v>
          </cell>
          <cell r="S1692" t="e">
            <v>#N/A</v>
          </cell>
          <cell r="Y1692" t="e">
            <v>#N/A</v>
          </cell>
          <cell r="AA1692" t="e">
            <v>#N/A</v>
          </cell>
        </row>
        <row r="1693">
          <cell r="B1693">
            <v>0</v>
          </cell>
          <cell r="C1693">
            <v>0</v>
          </cell>
          <cell r="E1693">
            <v>0</v>
          </cell>
          <cell r="F1693">
            <v>0</v>
          </cell>
          <cell r="G1693">
            <v>0</v>
          </cell>
          <cell r="H1693">
            <v>0</v>
          </cell>
          <cell r="J1693" t="e">
            <v>#N/A</v>
          </cell>
          <cell r="P1693" t="e">
            <v>#N/A</v>
          </cell>
          <cell r="R1693" t="e">
            <v>#N/A</v>
          </cell>
          <cell r="S1693" t="e">
            <v>#N/A</v>
          </cell>
          <cell r="Y1693" t="e">
            <v>#N/A</v>
          </cell>
          <cell r="AA1693" t="e">
            <v>#N/A</v>
          </cell>
        </row>
        <row r="1694">
          <cell r="B1694">
            <v>0</v>
          </cell>
          <cell r="C1694">
            <v>0</v>
          </cell>
          <cell r="E1694">
            <v>0</v>
          </cell>
          <cell r="F1694">
            <v>0</v>
          </cell>
          <cell r="G1694">
            <v>0</v>
          </cell>
          <cell r="H1694">
            <v>0</v>
          </cell>
          <cell r="J1694" t="e">
            <v>#N/A</v>
          </cell>
          <cell r="P1694" t="e">
            <v>#N/A</v>
          </cell>
          <cell r="R1694" t="e">
            <v>#N/A</v>
          </cell>
          <cell r="S1694" t="e">
            <v>#N/A</v>
          </cell>
          <cell r="Y1694" t="e">
            <v>#N/A</v>
          </cell>
          <cell r="AA1694" t="e">
            <v>#N/A</v>
          </cell>
        </row>
        <row r="1695">
          <cell r="B1695">
            <v>0</v>
          </cell>
          <cell r="C1695">
            <v>0</v>
          </cell>
          <cell r="E1695">
            <v>0</v>
          </cell>
          <cell r="F1695">
            <v>0</v>
          </cell>
          <cell r="G1695">
            <v>0</v>
          </cell>
          <cell r="H1695">
            <v>0</v>
          </cell>
          <cell r="J1695" t="e">
            <v>#N/A</v>
          </cell>
          <cell r="P1695" t="e">
            <v>#N/A</v>
          </cell>
          <cell r="R1695" t="e">
            <v>#N/A</v>
          </cell>
          <cell r="S1695" t="e">
            <v>#N/A</v>
          </cell>
          <cell r="Y1695" t="e">
            <v>#N/A</v>
          </cell>
          <cell r="AA1695" t="e">
            <v>#N/A</v>
          </cell>
        </row>
        <row r="1696">
          <cell r="B1696">
            <v>0</v>
          </cell>
          <cell r="C1696">
            <v>0</v>
          </cell>
          <cell r="E1696">
            <v>0</v>
          </cell>
          <cell r="F1696">
            <v>0</v>
          </cell>
          <cell r="G1696">
            <v>0</v>
          </cell>
          <cell r="H1696">
            <v>0</v>
          </cell>
          <cell r="J1696" t="e">
            <v>#N/A</v>
          </cell>
          <cell r="P1696" t="e">
            <v>#N/A</v>
          </cell>
          <cell r="R1696" t="e">
            <v>#N/A</v>
          </cell>
          <cell r="S1696" t="e">
            <v>#N/A</v>
          </cell>
          <cell r="Y1696" t="e">
            <v>#N/A</v>
          </cell>
          <cell r="AA1696" t="e">
            <v>#N/A</v>
          </cell>
        </row>
        <row r="1697">
          <cell r="B1697">
            <v>0</v>
          </cell>
          <cell r="C1697">
            <v>0</v>
          </cell>
          <cell r="E1697">
            <v>0</v>
          </cell>
          <cell r="F1697">
            <v>0</v>
          </cell>
          <cell r="G1697">
            <v>0</v>
          </cell>
          <cell r="H1697">
            <v>0</v>
          </cell>
          <cell r="J1697" t="e">
            <v>#N/A</v>
          </cell>
          <cell r="P1697" t="e">
            <v>#N/A</v>
          </cell>
          <cell r="R1697" t="e">
            <v>#N/A</v>
          </cell>
          <cell r="S1697" t="e">
            <v>#N/A</v>
          </cell>
          <cell r="Y1697" t="e">
            <v>#N/A</v>
          </cell>
          <cell r="AA1697" t="e">
            <v>#N/A</v>
          </cell>
        </row>
        <row r="1698">
          <cell r="B1698">
            <v>0</v>
          </cell>
          <cell r="C1698">
            <v>0</v>
          </cell>
          <cell r="E1698">
            <v>0</v>
          </cell>
          <cell r="F1698">
            <v>0</v>
          </cell>
          <cell r="G1698">
            <v>0</v>
          </cell>
          <cell r="H1698">
            <v>0</v>
          </cell>
          <cell r="J1698" t="e">
            <v>#N/A</v>
          </cell>
          <cell r="P1698" t="e">
            <v>#N/A</v>
          </cell>
          <cell r="R1698" t="e">
            <v>#N/A</v>
          </cell>
          <cell r="S1698" t="e">
            <v>#N/A</v>
          </cell>
          <cell r="Y1698" t="e">
            <v>#N/A</v>
          </cell>
          <cell r="AA1698" t="e">
            <v>#N/A</v>
          </cell>
        </row>
        <row r="1699">
          <cell r="B1699">
            <v>0</v>
          </cell>
          <cell r="C1699">
            <v>0</v>
          </cell>
          <cell r="E1699">
            <v>0</v>
          </cell>
          <cell r="F1699">
            <v>0</v>
          </cell>
          <cell r="G1699">
            <v>0</v>
          </cell>
          <cell r="H1699">
            <v>0</v>
          </cell>
          <cell r="J1699" t="e">
            <v>#N/A</v>
          </cell>
          <cell r="P1699" t="e">
            <v>#N/A</v>
          </cell>
          <cell r="R1699" t="e">
            <v>#N/A</v>
          </cell>
          <cell r="S1699" t="e">
            <v>#N/A</v>
          </cell>
          <cell r="Y1699" t="e">
            <v>#N/A</v>
          </cell>
          <cell r="AA1699" t="e">
            <v>#N/A</v>
          </cell>
        </row>
        <row r="1700">
          <cell r="B1700">
            <v>0</v>
          </cell>
          <cell r="C1700">
            <v>0</v>
          </cell>
          <cell r="E1700">
            <v>0</v>
          </cell>
          <cell r="F1700">
            <v>0</v>
          </cell>
          <cell r="G1700">
            <v>0</v>
          </cell>
          <cell r="H1700">
            <v>0</v>
          </cell>
          <cell r="J1700" t="e">
            <v>#N/A</v>
          </cell>
          <cell r="P1700" t="e">
            <v>#N/A</v>
          </cell>
          <cell r="R1700" t="e">
            <v>#N/A</v>
          </cell>
          <cell r="S1700" t="e">
            <v>#N/A</v>
          </cell>
          <cell r="Y1700" t="e">
            <v>#N/A</v>
          </cell>
          <cell r="AA1700" t="e">
            <v>#N/A</v>
          </cell>
        </row>
        <row r="1701">
          <cell r="B1701">
            <v>0</v>
          </cell>
          <cell r="C1701">
            <v>0</v>
          </cell>
          <cell r="E1701">
            <v>0</v>
          </cell>
          <cell r="F1701">
            <v>0</v>
          </cell>
          <cell r="G1701">
            <v>0</v>
          </cell>
          <cell r="H1701">
            <v>0</v>
          </cell>
          <cell r="J1701" t="e">
            <v>#N/A</v>
          </cell>
          <cell r="P1701" t="e">
            <v>#N/A</v>
          </cell>
          <cell r="R1701" t="e">
            <v>#N/A</v>
          </cell>
          <cell r="S1701" t="e">
            <v>#N/A</v>
          </cell>
          <cell r="Y1701" t="e">
            <v>#N/A</v>
          </cell>
          <cell r="AA1701" t="e">
            <v>#N/A</v>
          </cell>
        </row>
        <row r="1702">
          <cell r="B1702">
            <v>0</v>
          </cell>
          <cell r="C1702">
            <v>0</v>
          </cell>
          <cell r="E1702">
            <v>0</v>
          </cell>
          <cell r="F1702">
            <v>0</v>
          </cell>
          <cell r="G1702">
            <v>0</v>
          </cell>
          <cell r="H1702">
            <v>0</v>
          </cell>
          <cell r="J1702" t="e">
            <v>#N/A</v>
          </cell>
          <cell r="P1702" t="e">
            <v>#N/A</v>
          </cell>
          <cell r="R1702" t="e">
            <v>#N/A</v>
          </cell>
          <cell r="S1702" t="e">
            <v>#N/A</v>
          </cell>
          <cell r="Y1702" t="e">
            <v>#N/A</v>
          </cell>
          <cell r="AA1702" t="e">
            <v>#N/A</v>
          </cell>
        </row>
        <row r="1703">
          <cell r="B1703">
            <v>0</v>
          </cell>
          <cell r="C1703">
            <v>0</v>
          </cell>
          <cell r="E1703">
            <v>0</v>
          </cell>
          <cell r="F1703">
            <v>0</v>
          </cell>
          <cell r="G1703">
            <v>0</v>
          </cell>
          <cell r="H1703">
            <v>0</v>
          </cell>
          <cell r="J1703" t="e">
            <v>#N/A</v>
          </cell>
          <cell r="P1703" t="e">
            <v>#N/A</v>
          </cell>
          <cell r="R1703" t="e">
            <v>#N/A</v>
          </cell>
          <cell r="S1703" t="e">
            <v>#N/A</v>
          </cell>
          <cell r="Y1703" t="e">
            <v>#N/A</v>
          </cell>
          <cell r="AA1703" t="e">
            <v>#N/A</v>
          </cell>
        </row>
        <row r="1704">
          <cell r="B1704">
            <v>0</v>
          </cell>
          <cell r="C1704">
            <v>0</v>
          </cell>
          <cell r="E1704">
            <v>0</v>
          </cell>
          <cell r="F1704">
            <v>0</v>
          </cell>
          <cell r="G1704">
            <v>0</v>
          </cell>
          <cell r="H1704">
            <v>0</v>
          </cell>
          <cell r="J1704" t="e">
            <v>#N/A</v>
          </cell>
          <cell r="P1704" t="e">
            <v>#N/A</v>
          </cell>
          <cell r="R1704" t="e">
            <v>#N/A</v>
          </cell>
          <cell r="S1704" t="e">
            <v>#N/A</v>
          </cell>
          <cell r="Y1704" t="e">
            <v>#N/A</v>
          </cell>
          <cell r="AA1704" t="e">
            <v>#N/A</v>
          </cell>
        </row>
        <row r="1705">
          <cell r="B1705">
            <v>0</v>
          </cell>
          <cell r="C1705">
            <v>0</v>
          </cell>
          <cell r="E1705">
            <v>0</v>
          </cell>
          <cell r="F1705">
            <v>0</v>
          </cell>
          <cell r="G1705">
            <v>0</v>
          </cell>
          <cell r="H1705">
            <v>0</v>
          </cell>
          <cell r="J1705" t="e">
            <v>#N/A</v>
          </cell>
          <cell r="P1705" t="e">
            <v>#N/A</v>
          </cell>
          <cell r="R1705" t="e">
            <v>#N/A</v>
          </cell>
          <cell r="S1705" t="e">
            <v>#N/A</v>
          </cell>
          <cell r="Y1705" t="e">
            <v>#N/A</v>
          </cell>
          <cell r="AA1705" t="e">
            <v>#N/A</v>
          </cell>
        </row>
        <row r="1706">
          <cell r="B1706">
            <v>0</v>
          </cell>
          <cell r="C1706">
            <v>0</v>
          </cell>
          <cell r="E1706">
            <v>0</v>
          </cell>
          <cell r="F1706">
            <v>0</v>
          </cell>
          <cell r="G1706">
            <v>0</v>
          </cell>
          <cell r="H1706">
            <v>0</v>
          </cell>
          <cell r="J1706" t="e">
            <v>#N/A</v>
          </cell>
          <cell r="P1706" t="e">
            <v>#N/A</v>
          </cell>
          <cell r="R1706" t="e">
            <v>#N/A</v>
          </cell>
          <cell r="S1706" t="e">
            <v>#N/A</v>
          </cell>
          <cell r="Y1706" t="e">
            <v>#N/A</v>
          </cell>
          <cell r="AA1706" t="e">
            <v>#N/A</v>
          </cell>
        </row>
        <row r="1707">
          <cell r="B1707">
            <v>0</v>
          </cell>
          <cell r="C1707">
            <v>0</v>
          </cell>
          <cell r="E1707">
            <v>0</v>
          </cell>
          <cell r="F1707">
            <v>0</v>
          </cell>
          <cell r="G1707">
            <v>0</v>
          </cell>
          <cell r="H1707">
            <v>0</v>
          </cell>
          <cell r="J1707" t="e">
            <v>#N/A</v>
          </cell>
          <cell r="P1707" t="e">
            <v>#N/A</v>
          </cell>
          <cell r="R1707" t="e">
            <v>#N/A</v>
          </cell>
          <cell r="S1707" t="e">
            <v>#N/A</v>
          </cell>
          <cell r="Y1707" t="e">
            <v>#N/A</v>
          </cell>
          <cell r="AA1707" t="e">
            <v>#N/A</v>
          </cell>
        </row>
        <row r="1708">
          <cell r="B1708">
            <v>0</v>
          </cell>
          <cell r="C1708">
            <v>0</v>
          </cell>
          <cell r="E1708">
            <v>0</v>
          </cell>
          <cell r="F1708">
            <v>0</v>
          </cell>
          <cell r="G1708">
            <v>0</v>
          </cell>
          <cell r="H1708">
            <v>0</v>
          </cell>
          <cell r="J1708" t="e">
            <v>#N/A</v>
          </cell>
          <cell r="P1708" t="e">
            <v>#N/A</v>
          </cell>
          <cell r="R1708" t="e">
            <v>#N/A</v>
          </cell>
          <cell r="S1708" t="e">
            <v>#N/A</v>
          </cell>
          <cell r="Y1708" t="e">
            <v>#N/A</v>
          </cell>
          <cell r="AA1708" t="e">
            <v>#N/A</v>
          </cell>
        </row>
        <row r="1709">
          <cell r="B1709">
            <v>0</v>
          </cell>
          <cell r="C1709">
            <v>0</v>
          </cell>
          <cell r="E1709">
            <v>0</v>
          </cell>
          <cell r="F1709">
            <v>0</v>
          </cell>
          <cell r="G1709">
            <v>0</v>
          </cell>
          <cell r="H1709">
            <v>0</v>
          </cell>
          <cell r="J1709" t="e">
            <v>#N/A</v>
          </cell>
          <cell r="P1709" t="e">
            <v>#N/A</v>
          </cell>
          <cell r="R1709" t="e">
            <v>#N/A</v>
          </cell>
          <cell r="S1709" t="e">
            <v>#N/A</v>
          </cell>
          <cell r="Y1709" t="e">
            <v>#N/A</v>
          </cell>
          <cell r="AA1709" t="e">
            <v>#N/A</v>
          </cell>
        </row>
        <row r="1710">
          <cell r="B1710">
            <v>0</v>
          </cell>
          <cell r="C1710">
            <v>0</v>
          </cell>
          <cell r="E1710">
            <v>0</v>
          </cell>
          <cell r="F1710">
            <v>0</v>
          </cell>
          <cell r="G1710">
            <v>0</v>
          </cell>
          <cell r="H1710">
            <v>0</v>
          </cell>
          <cell r="J1710" t="e">
            <v>#N/A</v>
          </cell>
          <cell r="P1710" t="e">
            <v>#N/A</v>
          </cell>
          <cell r="R1710" t="e">
            <v>#N/A</v>
          </cell>
          <cell r="S1710" t="e">
            <v>#N/A</v>
          </cell>
          <cell r="Y1710" t="e">
            <v>#N/A</v>
          </cell>
          <cell r="AA1710" t="e">
            <v>#N/A</v>
          </cell>
        </row>
        <row r="1711">
          <cell r="B1711">
            <v>0</v>
          </cell>
          <cell r="C1711">
            <v>0</v>
          </cell>
          <cell r="E1711">
            <v>0</v>
          </cell>
          <cell r="F1711">
            <v>0</v>
          </cell>
          <cell r="G1711">
            <v>0</v>
          </cell>
          <cell r="H1711">
            <v>0</v>
          </cell>
          <cell r="J1711" t="e">
            <v>#N/A</v>
          </cell>
          <cell r="P1711" t="e">
            <v>#N/A</v>
          </cell>
          <cell r="R1711" t="e">
            <v>#N/A</v>
          </cell>
          <cell r="S1711" t="e">
            <v>#N/A</v>
          </cell>
          <cell r="Y1711" t="e">
            <v>#N/A</v>
          </cell>
          <cell r="AA1711" t="e">
            <v>#N/A</v>
          </cell>
        </row>
        <row r="1712">
          <cell r="B1712">
            <v>0</v>
          </cell>
          <cell r="C1712">
            <v>0</v>
          </cell>
          <cell r="E1712">
            <v>0</v>
          </cell>
          <cell r="F1712">
            <v>0</v>
          </cell>
          <cell r="G1712">
            <v>0</v>
          </cell>
          <cell r="H1712">
            <v>0</v>
          </cell>
          <cell r="J1712" t="e">
            <v>#N/A</v>
          </cell>
          <cell r="P1712" t="e">
            <v>#N/A</v>
          </cell>
          <cell r="R1712" t="e">
            <v>#N/A</v>
          </cell>
          <cell r="S1712" t="e">
            <v>#N/A</v>
          </cell>
          <cell r="Y1712" t="e">
            <v>#N/A</v>
          </cell>
          <cell r="AA1712" t="e">
            <v>#N/A</v>
          </cell>
        </row>
        <row r="1713">
          <cell r="B1713">
            <v>0</v>
          </cell>
          <cell r="C1713">
            <v>0</v>
          </cell>
          <cell r="E1713">
            <v>0</v>
          </cell>
          <cell r="F1713">
            <v>0</v>
          </cell>
          <cell r="G1713">
            <v>0</v>
          </cell>
          <cell r="H1713">
            <v>0</v>
          </cell>
          <cell r="J1713" t="e">
            <v>#N/A</v>
          </cell>
          <cell r="P1713" t="e">
            <v>#N/A</v>
          </cell>
          <cell r="R1713" t="e">
            <v>#N/A</v>
          </cell>
          <cell r="S1713" t="e">
            <v>#N/A</v>
          </cell>
          <cell r="Y1713" t="e">
            <v>#N/A</v>
          </cell>
          <cell r="AA1713" t="e">
            <v>#N/A</v>
          </cell>
        </row>
        <row r="1714">
          <cell r="B1714">
            <v>0</v>
          </cell>
          <cell r="C1714">
            <v>0</v>
          </cell>
          <cell r="E1714">
            <v>0</v>
          </cell>
          <cell r="F1714">
            <v>0</v>
          </cell>
          <cell r="G1714">
            <v>0</v>
          </cell>
          <cell r="H1714">
            <v>0</v>
          </cell>
          <cell r="J1714" t="e">
            <v>#N/A</v>
          </cell>
          <cell r="P1714" t="e">
            <v>#N/A</v>
          </cell>
          <cell r="R1714" t="e">
            <v>#N/A</v>
          </cell>
          <cell r="S1714" t="e">
            <v>#N/A</v>
          </cell>
          <cell r="Y1714" t="e">
            <v>#N/A</v>
          </cell>
          <cell r="AA1714" t="e">
            <v>#N/A</v>
          </cell>
        </row>
        <row r="1715">
          <cell r="B1715">
            <v>0</v>
          </cell>
          <cell r="C1715">
            <v>0</v>
          </cell>
          <cell r="E1715">
            <v>0</v>
          </cell>
          <cell r="F1715">
            <v>0</v>
          </cell>
          <cell r="G1715">
            <v>0</v>
          </cell>
          <cell r="H1715">
            <v>0</v>
          </cell>
          <cell r="J1715" t="e">
            <v>#N/A</v>
          </cell>
          <cell r="P1715" t="e">
            <v>#N/A</v>
          </cell>
          <cell r="R1715" t="e">
            <v>#N/A</v>
          </cell>
          <cell r="S1715" t="e">
            <v>#N/A</v>
          </cell>
          <cell r="Y1715" t="e">
            <v>#N/A</v>
          </cell>
          <cell r="AA1715" t="e">
            <v>#N/A</v>
          </cell>
        </row>
        <row r="1716">
          <cell r="B1716">
            <v>0</v>
          </cell>
          <cell r="C1716">
            <v>0</v>
          </cell>
          <cell r="E1716">
            <v>0</v>
          </cell>
          <cell r="F1716">
            <v>0</v>
          </cell>
          <cell r="G1716">
            <v>0</v>
          </cell>
          <cell r="H1716">
            <v>0</v>
          </cell>
          <cell r="J1716" t="e">
            <v>#N/A</v>
          </cell>
          <cell r="P1716" t="e">
            <v>#N/A</v>
          </cell>
          <cell r="R1716" t="e">
            <v>#N/A</v>
          </cell>
          <cell r="S1716" t="e">
            <v>#N/A</v>
          </cell>
          <cell r="Y1716" t="e">
            <v>#N/A</v>
          </cell>
          <cell r="AA1716" t="e">
            <v>#N/A</v>
          </cell>
        </row>
        <row r="1717">
          <cell r="B1717">
            <v>0</v>
          </cell>
          <cell r="C1717">
            <v>0</v>
          </cell>
          <cell r="E1717">
            <v>0</v>
          </cell>
          <cell r="F1717">
            <v>0</v>
          </cell>
          <cell r="G1717">
            <v>0</v>
          </cell>
          <cell r="H1717">
            <v>0</v>
          </cell>
          <cell r="J1717" t="e">
            <v>#N/A</v>
          </cell>
          <cell r="P1717" t="e">
            <v>#N/A</v>
          </cell>
          <cell r="R1717" t="e">
            <v>#N/A</v>
          </cell>
          <cell r="S1717" t="e">
            <v>#N/A</v>
          </cell>
          <cell r="Y1717" t="e">
            <v>#N/A</v>
          </cell>
          <cell r="AA1717" t="e">
            <v>#N/A</v>
          </cell>
        </row>
        <row r="1718">
          <cell r="B1718">
            <v>0</v>
          </cell>
          <cell r="C1718">
            <v>0</v>
          </cell>
          <cell r="E1718">
            <v>0</v>
          </cell>
          <cell r="F1718">
            <v>0</v>
          </cell>
          <cell r="G1718">
            <v>0</v>
          </cell>
          <cell r="H1718">
            <v>0</v>
          </cell>
          <cell r="J1718" t="e">
            <v>#N/A</v>
          </cell>
          <cell r="P1718" t="e">
            <v>#N/A</v>
          </cell>
          <cell r="R1718" t="e">
            <v>#N/A</v>
          </cell>
          <cell r="S1718" t="e">
            <v>#N/A</v>
          </cell>
          <cell r="Y1718" t="e">
            <v>#N/A</v>
          </cell>
          <cell r="AA1718" t="e">
            <v>#N/A</v>
          </cell>
        </row>
        <row r="1719">
          <cell r="B1719">
            <v>0</v>
          </cell>
          <cell r="C1719">
            <v>0</v>
          </cell>
          <cell r="E1719">
            <v>0</v>
          </cell>
          <cell r="F1719">
            <v>0</v>
          </cell>
          <cell r="G1719">
            <v>0</v>
          </cell>
          <cell r="H1719">
            <v>0</v>
          </cell>
          <cell r="J1719" t="e">
            <v>#N/A</v>
          </cell>
          <cell r="P1719" t="e">
            <v>#N/A</v>
          </cell>
          <cell r="R1719" t="e">
            <v>#N/A</v>
          </cell>
          <cell r="S1719" t="e">
            <v>#N/A</v>
          </cell>
          <cell r="Y1719" t="e">
            <v>#N/A</v>
          </cell>
          <cell r="AA1719" t="e">
            <v>#N/A</v>
          </cell>
        </row>
        <row r="1720">
          <cell r="B1720">
            <v>0</v>
          </cell>
          <cell r="C1720">
            <v>0</v>
          </cell>
          <cell r="E1720">
            <v>0</v>
          </cell>
          <cell r="F1720">
            <v>0</v>
          </cell>
          <cell r="G1720">
            <v>0</v>
          </cell>
          <cell r="H1720">
            <v>0</v>
          </cell>
          <cell r="J1720" t="e">
            <v>#N/A</v>
          </cell>
          <cell r="P1720" t="e">
            <v>#N/A</v>
          </cell>
          <cell r="R1720" t="e">
            <v>#N/A</v>
          </cell>
          <cell r="S1720" t="e">
            <v>#N/A</v>
          </cell>
          <cell r="Y1720" t="e">
            <v>#N/A</v>
          </cell>
          <cell r="AA1720" t="e">
            <v>#N/A</v>
          </cell>
        </row>
        <row r="1721">
          <cell r="B1721">
            <v>0</v>
          </cell>
          <cell r="C1721">
            <v>0</v>
          </cell>
          <cell r="E1721">
            <v>0</v>
          </cell>
          <cell r="F1721">
            <v>0</v>
          </cell>
          <cell r="G1721">
            <v>0</v>
          </cell>
          <cell r="H1721">
            <v>0</v>
          </cell>
          <cell r="J1721" t="e">
            <v>#N/A</v>
          </cell>
          <cell r="P1721" t="e">
            <v>#N/A</v>
          </cell>
          <cell r="R1721" t="e">
            <v>#N/A</v>
          </cell>
          <cell r="S1721" t="e">
            <v>#N/A</v>
          </cell>
          <cell r="Y1721" t="e">
            <v>#N/A</v>
          </cell>
          <cell r="AA1721" t="e">
            <v>#N/A</v>
          </cell>
        </row>
        <row r="1722">
          <cell r="B1722">
            <v>0</v>
          </cell>
          <cell r="C1722">
            <v>0</v>
          </cell>
          <cell r="E1722">
            <v>0</v>
          </cell>
          <cell r="F1722">
            <v>0</v>
          </cell>
          <cell r="G1722">
            <v>0</v>
          </cell>
          <cell r="H1722">
            <v>0</v>
          </cell>
          <cell r="J1722" t="e">
            <v>#N/A</v>
          </cell>
          <cell r="P1722" t="e">
            <v>#N/A</v>
          </cell>
          <cell r="R1722" t="e">
            <v>#N/A</v>
          </cell>
          <cell r="S1722" t="e">
            <v>#N/A</v>
          </cell>
          <cell r="Y1722" t="e">
            <v>#N/A</v>
          </cell>
          <cell r="AA1722" t="e">
            <v>#N/A</v>
          </cell>
        </row>
        <row r="1723">
          <cell r="B1723">
            <v>0</v>
          </cell>
          <cell r="C1723">
            <v>0</v>
          </cell>
          <cell r="E1723">
            <v>0</v>
          </cell>
          <cell r="F1723">
            <v>0</v>
          </cell>
          <cell r="G1723">
            <v>0</v>
          </cell>
          <cell r="H1723">
            <v>0</v>
          </cell>
          <cell r="J1723" t="e">
            <v>#N/A</v>
          </cell>
          <cell r="P1723" t="e">
            <v>#N/A</v>
          </cell>
          <cell r="R1723" t="e">
            <v>#N/A</v>
          </cell>
          <cell r="S1723" t="e">
            <v>#N/A</v>
          </cell>
          <cell r="Y1723" t="e">
            <v>#N/A</v>
          </cell>
          <cell r="AA1723" t="e">
            <v>#N/A</v>
          </cell>
        </row>
        <row r="1724">
          <cell r="B1724">
            <v>0</v>
          </cell>
          <cell r="C1724">
            <v>0</v>
          </cell>
          <cell r="E1724">
            <v>0</v>
          </cell>
          <cell r="F1724">
            <v>0</v>
          </cell>
          <cell r="G1724">
            <v>0</v>
          </cell>
          <cell r="H1724">
            <v>0</v>
          </cell>
          <cell r="J1724" t="e">
            <v>#N/A</v>
          </cell>
          <cell r="P1724" t="e">
            <v>#N/A</v>
          </cell>
          <cell r="R1724" t="e">
            <v>#N/A</v>
          </cell>
          <cell r="S1724" t="e">
            <v>#N/A</v>
          </cell>
          <cell r="Y1724" t="e">
            <v>#N/A</v>
          </cell>
          <cell r="AA1724" t="e">
            <v>#N/A</v>
          </cell>
        </row>
        <row r="1725">
          <cell r="B1725">
            <v>0</v>
          </cell>
          <cell r="C1725">
            <v>0</v>
          </cell>
          <cell r="E1725">
            <v>0</v>
          </cell>
          <cell r="F1725">
            <v>0</v>
          </cell>
          <cell r="G1725">
            <v>0</v>
          </cell>
          <cell r="H1725">
            <v>0</v>
          </cell>
          <cell r="J1725" t="e">
            <v>#N/A</v>
          </cell>
          <cell r="P1725" t="e">
            <v>#N/A</v>
          </cell>
          <cell r="R1725" t="e">
            <v>#N/A</v>
          </cell>
          <cell r="S1725" t="e">
            <v>#N/A</v>
          </cell>
          <cell r="Y1725" t="e">
            <v>#N/A</v>
          </cell>
          <cell r="AA1725" t="e">
            <v>#N/A</v>
          </cell>
        </row>
        <row r="1726">
          <cell r="B1726">
            <v>0</v>
          </cell>
          <cell r="C1726">
            <v>0</v>
          </cell>
          <cell r="E1726">
            <v>0</v>
          </cell>
          <cell r="F1726">
            <v>0</v>
          </cell>
          <cell r="G1726">
            <v>0</v>
          </cell>
          <cell r="H1726">
            <v>0</v>
          </cell>
          <cell r="J1726" t="e">
            <v>#N/A</v>
          </cell>
          <cell r="P1726" t="e">
            <v>#N/A</v>
          </cell>
          <cell r="R1726" t="e">
            <v>#N/A</v>
          </cell>
          <cell r="S1726" t="e">
            <v>#N/A</v>
          </cell>
          <cell r="Y1726" t="e">
            <v>#N/A</v>
          </cell>
          <cell r="AA1726" t="e">
            <v>#N/A</v>
          </cell>
        </row>
        <row r="1727">
          <cell r="B1727">
            <v>0</v>
          </cell>
          <cell r="C1727">
            <v>0</v>
          </cell>
          <cell r="E1727">
            <v>0</v>
          </cell>
          <cell r="F1727">
            <v>0</v>
          </cell>
          <cell r="G1727">
            <v>0</v>
          </cell>
          <cell r="H1727">
            <v>0</v>
          </cell>
          <cell r="J1727" t="e">
            <v>#N/A</v>
          </cell>
          <cell r="P1727" t="e">
            <v>#N/A</v>
          </cell>
          <cell r="R1727" t="e">
            <v>#N/A</v>
          </cell>
          <cell r="S1727" t="e">
            <v>#N/A</v>
          </cell>
          <cell r="Y1727" t="e">
            <v>#N/A</v>
          </cell>
          <cell r="AA1727" t="e">
            <v>#N/A</v>
          </cell>
        </row>
        <row r="1728">
          <cell r="B1728">
            <v>0</v>
          </cell>
          <cell r="C1728">
            <v>0</v>
          </cell>
          <cell r="E1728">
            <v>0</v>
          </cell>
          <cell r="F1728">
            <v>0</v>
          </cell>
          <cell r="G1728">
            <v>0</v>
          </cell>
          <cell r="H1728">
            <v>0</v>
          </cell>
          <cell r="J1728" t="e">
            <v>#N/A</v>
          </cell>
          <cell r="P1728" t="e">
            <v>#N/A</v>
          </cell>
          <cell r="R1728" t="e">
            <v>#N/A</v>
          </cell>
          <cell r="S1728" t="e">
            <v>#N/A</v>
          </cell>
          <cell r="Y1728" t="e">
            <v>#N/A</v>
          </cell>
          <cell r="AA1728" t="e">
            <v>#N/A</v>
          </cell>
        </row>
        <row r="1729">
          <cell r="B1729">
            <v>0</v>
          </cell>
          <cell r="C1729">
            <v>0</v>
          </cell>
          <cell r="E1729">
            <v>0</v>
          </cell>
          <cell r="F1729">
            <v>0</v>
          </cell>
          <cell r="G1729">
            <v>0</v>
          </cell>
          <cell r="H1729">
            <v>0</v>
          </cell>
          <cell r="J1729" t="e">
            <v>#N/A</v>
          </cell>
          <cell r="P1729" t="e">
            <v>#N/A</v>
          </cell>
          <cell r="R1729" t="e">
            <v>#N/A</v>
          </cell>
          <cell r="S1729" t="e">
            <v>#N/A</v>
          </cell>
          <cell r="Y1729" t="e">
            <v>#N/A</v>
          </cell>
          <cell r="AA1729" t="e">
            <v>#N/A</v>
          </cell>
        </row>
        <row r="1730">
          <cell r="B1730">
            <v>0</v>
          </cell>
          <cell r="C1730">
            <v>0</v>
          </cell>
          <cell r="E1730">
            <v>0</v>
          </cell>
          <cell r="F1730">
            <v>0</v>
          </cell>
          <cell r="G1730">
            <v>0</v>
          </cell>
          <cell r="H1730">
            <v>0</v>
          </cell>
          <cell r="J1730" t="e">
            <v>#N/A</v>
          </cell>
          <cell r="P1730" t="e">
            <v>#N/A</v>
          </cell>
          <cell r="R1730" t="e">
            <v>#N/A</v>
          </cell>
          <cell r="S1730" t="e">
            <v>#N/A</v>
          </cell>
          <cell r="Y1730" t="e">
            <v>#N/A</v>
          </cell>
          <cell r="AA1730" t="e">
            <v>#N/A</v>
          </cell>
        </row>
        <row r="1731">
          <cell r="B1731">
            <v>0</v>
          </cell>
          <cell r="C1731">
            <v>0</v>
          </cell>
          <cell r="E1731">
            <v>0</v>
          </cell>
          <cell r="F1731">
            <v>0</v>
          </cell>
          <cell r="G1731">
            <v>0</v>
          </cell>
          <cell r="H1731">
            <v>0</v>
          </cell>
          <cell r="J1731" t="e">
            <v>#N/A</v>
          </cell>
          <cell r="P1731" t="e">
            <v>#N/A</v>
          </cell>
          <cell r="R1731" t="e">
            <v>#N/A</v>
          </cell>
          <cell r="S1731" t="e">
            <v>#N/A</v>
          </cell>
          <cell r="Y1731" t="e">
            <v>#N/A</v>
          </cell>
          <cell r="AA1731" t="e">
            <v>#N/A</v>
          </cell>
        </row>
        <row r="1732">
          <cell r="B1732">
            <v>0</v>
          </cell>
          <cell r="C1732">
            <v>0</v>
          </cell>
          <cell r="E1732">
            <v>0</v>
          </cell>
          <cell r="F1732">
            <v>0</v>
          </cell>
          <cell r="G1732">
            <v>0</v>
          </cell>
          <cell r="H1732">
            <v>0</v>
          </cell>
          <cell r="J1732" t="e">
            <v>#N/A</v>
          </cell>
          <cell r="P1732" t="e">
            <v>#N/A</v>
          </cell>
          <cell r="R1732" t="e">
            <v>#N/A</v>
          </cell>
          <cell r="S1732" t="e">
            <v>#N/A</v>
          </cell>
          <cell r="Y1732" t="e">
            <v>#N/A</v>
          </cell>
          <cell r="AA1732" t="e">
            <v>#N/A</v>
          </cell>
        </row>
        <row r="1733">
          <cell r="B1733">
            <v>0</v>
          </cell>
          <cell r="C1733">
            <v>0</v>
          </cell>
          <cell r="E1733">
            <v>0</v>
          </cell>
          <cell r="F1733">
            <v>0</v>
          </cell>
          <cell r="G1733">
            <v>0</v>
          </cell>
          <cell r="H1733">
            <v>0</v>
          </cell>
          <cell r="J1733" t="e">
            <v>#N/A</v>
          </cell>
          <cell r="P1733" t="e">
            <v>#N/A</v>
          </cell>
          <cell r="R1733" t="e">
            <v>#N/A</v>
          </cell>
          <cell r="S1733" t="e">
            <v>#N/A</v>
          </cell>
          <cell r="Y1733" t="e">
            <v>#N/A</v>
          </cell>
          <cell r="AA1733" t="e">
            <v>#N/A</v>
          </cell>
        </row>
        <row r="1734">
          <cell r="B1734">
            <v>0</v>
          </cell>
          <cell r="C1734">
            <v>0</v>
          </cell>
          <cell r="E1734">
            <v>0</v>
          </cell>
          <cell r="F1734">
            <v>0</v>
          </cell>
          <cell r="G1734">
            <v>0</v>
          </cell>
          <cell r="H1734">
            <v>0</v>
          </cell>
          <cell r="J1734" t="e">
            <v>#N/A</v>
          </cell>
          <cell r="P1734" t="e">
            <v>#N/A</v>
          </cell>
          <cell r="R1734" t="e">
            <v>#N/A</v>
          </cell>
          <cell r="S1734" t="e">
            <v>#N/A</v>
          </cell>
          <cell r="Y1734" t="e">
            <v>#N/A</v>
          </cell>
          <cell r="AA1734" t="e">
            <v>#N/A</v>
          </cell>
        </row>
        <row r="1735">
          <cell r="B1735">
            <v>0</v>
          </cell>
          <cell r="C1735">
            <v>0</v>
          </cell>
          <cell r="E1735">
            <v>0</v>
          </cell>
          <cell r="F1735">
            <v>0</v>
          </cell>
          <cell r="G1735">
            <v>0</v>
          </cell>
          <cell r="H1735">
            <v>0</v>
          </cell>
          <cell r="J1735" t="e">
            <v>#N/A</v>
          </cell>
          <cell r="P1735" t="e">
            <v>#N/A</v>
          </cell>
          <cell r="R1735" t="e">
            <v>#N/A</v>
          </cell>
          <cell r="S1735" t="e">
            <v>#N/A</v>
          </cell>
          <cell r="Y1735" t="e">
            <v>#N/A</v>
          </cell>
          <cell r="AA1735" t="e">
            <v>#N/A</v>
          </cell>
        </row>
        <row r="1736">
          <cell r="B1736">
            <v>0</v>
          </cell>
          <cell r="C1736">
            <v>0</v>
          </cell>
          <cell r="E1736">
            <v>0</v>
          </cell>
          <cell r="F1736">
            <v>0</v>
          </cell>
          <cell r="G1736">
            <v>0</v>
          </cell>
          <cell r="H1736">
            <v>0</v>
          </cell>
          <cell r="J1736" t="e">
            <v>#N/A</v>
          </cell>
          <cell r="P1736" t="e">
            <v>#N/A</v>
          </cell>
          <cell r="R1736" t="e">
            <v>#N/A</v>
          </cell>
          <cell r="S1736" t="e">
            <v>#N/A</v>
          </cell>
          <cell r="Y1736" t="e">
            <v>#N/A</v>
          </cell>
          <cell r="AA1736" t="e">
            <v>#N/A</v>
          </cell>
        </row>
        <row r="1737">
          <cell r="B1737">
            <v>0</v>
          </cell>
          <cell r="C1737">
            <v>0</v>
          </cell>
          <cell r="E1737">
            <v>0</v>
          </cell>
          <cell r="F1737">
            <v>0</v>
          </cell>
          <cell r="G1737">
            <v>0</v>
          </cell>
          <cell r="H1737">
            <v>0</v>
          </cell>
          <cell r="J1737" t="e">
            <v>#N/A</v>
          </cell>
          <cell r="P1737" t="e">
            <v>#N/A</v>
          </cell>
          <cell r="R1737" t="e">
            <v>#N/A</v>
          </cell>
          <cell r="S1737" t="e">
            <v>#N/A</v>
          </cell>
          <cell r="Y1737" t="e">
            <v>#N/A</v>
          </cell>
          <cell r="AA1737" t="e">
            <v>#N/A</v>
          </cell>
        </row>
        <row r="1738">
          <cell r="B1738">
            <v>0</v>
          </cell>
          <cell r="C1738">
            <v>0</v>
          </cell>
          <cell r="E1738">
            <v>0</v>
          </cell>
          <cell r="F1738">
            <v>0</v>
          </cell>
          <cell r="G1738">
            <v>0</v>
          </cell>
          <cell r="H1738">
            <v>0</v>
          </cell>
          <cell r="J1738" t="e">
            <v>#N/A</v>
          </cell>
          <cell r="P1738" t="e">
            <v>#N/A</v>
          </cell>
          <cell r="R1738" t="e">
            <v>#N/A</v>
          </cell>
          <cell r="S1738" t="e">
            <v>#N/A</v>
          </cell>
          <cell r="Y1738" t="e">
            <v>#N/A</v>
          </cell>
          <cell r="AA1738" t="e">
            <v>#N/A</v>
          </cell>
        </row>
        <row r="1739">
          <cell r="B1739">
            <v>0</v>
          </cell>
          <cell r="C1739">
            <v>0</v>
          </cell>
          <cell r="E1739">
            <v>0</v>
          </cell>
          <cell r="F1739">
            <v>0</v>
          </cell>
          <cell r="G1739">
            <v>0</v>
          </cell>
          <cell r="H1739">
            <v>0</v>
          </cell>
          <cell r="J1739" t="e">
            <v>#N/A</v>
          </cell>
          <cell r="P1739" t="e">
            <v>#N/A</v>
          </cell>
          <cell r="R1739" t="e">
            <v>#N/A</v>
          </cell>
          <cell r="S1739" t="e">
            <v>#N/A</v>
          </cell>
          <cell r="Y1739" t="e">
            <v>#N/A</v>
          </cell>
          <cell r="AA1739" t="e">
            <v>#N/A</v>
          </cell>
        </row>
        <row r="1740">
          <cell r="B1740">
            <v>0</v>
          </cell>
          <cell r="C1740">
            <v>0</v>
          </cell>
          <cell r="E1740">
            <v>0</v>
          </cell>
          <cell r="F1740">
            <v>0</v>
          </cell>
          <cell r="G1740">
            <v>0</v>
          </cell>
          <cell r="H1740">
            <v>0</v>
          </cell>
          <cell r="J1740" t="e">
            <v>#N/A</v>
          </cell>
          <cell r="P1740" t="e">
            <v>#N/A</v>
          </cell>
          <cell r="R1740" t="e">
            <v>#N/A</v>
          </cell>
          <cell r="S1740" t="e">
            <v>#N/A</v>
          </cell>
          <cell r="Y1740" t="e">
            <v>#N/A</v>
          </cell>
          <cell r="AA1740" t="e">
            <v>#N/A</v>
          </cell>
        </row>
        <row r="1741">
          <cell r="B1741">
            <v>0</v>
          </cell>
          <cell r="C1741">
            <v>0</v>
          </cell>
          <cell r="E1741">
            <v>0</v>
          </cell>
          <cell r="F1741">
            <v>0</v>
          </cell>
          <cell r="G1741">
            <v>0</v>
          </cell>
          <cell r="H1741">
            <v>0</v>
          </cell>
          <cell r="J1741" t="e">
            <v>#N/A</v>
          </cell>
          <cell r="P1741" t="e">
            <v>#N/A</v>
          </cell>
          <cell r="R1741" t="e">
            <v>#N/A</v>
          </cell>
          <cell r="S1741" t="e">
            <v>#N/A</v>
          </cell>
          <cell r="Y1741" t="e">
            <v>#N/A</v>
          </cell>
          <cell r="AA1741" t="e">
            <v>#N/A</v>
          </cell>
        </row>
        <row r="1742">
          <cell r="B1742">
            <v>0</v>
          </cell>
          <cell r="C1742">
            <v>0</v>
          </cell>
          <cell r="E1742">
            <v>0</v>
          </cell>
          <cell r="F1742">
            <v>0</v>
          </cell>
          <cell r="G1742">
            <v>0</v>
          </cell>
          <cell r="H1742">
            <v>0</v>
          </cell>
          <cell r="J1742" t="e">
            <v>#N/A</v>
          </cell>
          <cell r="P1742" t="e">
            <v>#N/A</v>
          </cell>
          <cell r="R1742" t="e">
            <v>#N/A</v>
          </cell>
          <cell r="S1742" t="e">
            <v>#N/A</v>
          </cell>
          <cell r="Y1742" t="e">
            <v>#N/A</v>
          </cell>
          <cell r="AA1742" t="e">
            <v>#N/A</v>
          </cell>
        </row>
        <row r="1743">
          <cell r="B1743">
            <v>0</v>
          </cell>
          <cell r="C1743">
            <v>0</v>
          </cell>
          <cell r="E1743">
            <v>0</v>
          </cell>
          <cell r="F1743">
            <v>0</v>
          </cell>
          <cell r="G1743">
            <v>0</v>
          </cell>
          <cell r="H1743">
            <v>0</v>
          </cell>
          <cell r="J1743" t="e">
            <v>#N/A</v>
          </cell>
          <cell r="P1743" t="e">
            <v>#N/A</v>
          </cell>
          <cell r="R1743" t="e">
            <v>#N/A</v>
          </cell>
          <cell r="S1743" t="e">
            <v>#N/A</v>
          </cell>
          <cell r="Y1743" t="e">
            <v>#N/A</v>
          </cell>
          <cell r="AA1743" t="e">
            <v>#N/A</v>
          </cell>
        </row>
        <row r="1744">
          <cell r="B1744">
            <v>0</v>
          </cell>
          <cell r="C1744">
            <v>0</v>
          </cell>
          <cell r="E1744">
            <v>0</v>
          </cell>
          <cell r="F1744">
            <v>0</v>
          </cell>
          <cell r="G1744">
            <v>0</v>
          </cell>
          <cell r="H1744">
            <v>0</v>
          </cell>
          <cell r="J1744" t="e">
            <v>#N/A</v>
          </cell>
          <cell r="P1744" t="e">
            <v>#N/A</v>
          </cell>
          <cell r="R1744" t="e">
            <v>#N/A</v>
          </cell>
          <cell r="S1744" t="e">
            <v>#N/A</v>
          </cell>
          <cell r="Y1744" t="e">
            <v>#N/A</v>
          </cell>
          <cell r="AA1744" t="e">
            <v>#N/A</v>
          </cell>
        </row>
        <row r="1745">
          <cell r="B1745">
            <v>0</v>
          </cell>
          <cell r="C1745">
            <v>0</v>
          </cell>
          <cell r="E1745">
            <v>0</v>
          </cell>
          <cell r="F1745">
            <v>0</v>
          </cell>
          <cell r="G1745">
            <v>0</v>
          </cell>
          <cell r="H1745">
            <v>0</v>
          </cell>
          <cell r="J1745" t="e">
            <v>#N/A</v>
          </cell>
          <cell r="P1745" t="e">
            <v>#N/A</v>
          </cell>
          <cell r="R1745" t="e">
            <v>#N/A</v>
          </cell>
          <cell r="S1745" t="e">
            <v>#N/A</v>
          </cell>
          <cell r="Y1745" t="e">
            <v>#N/A</v>
          </cell>
          <cell r="AA1745" t="e">
            <v>#N/A</v>
          </cell>
        </row>
        <row r="1746">
          <cell r="B1746">
            <v>0</v>
          </cell>
          <cell r="C1746">
            <v>0</v>
          </cell>
          <cell r="E1746">
            <v>0</v>
          </cell>
          <cell r="F1746">
            <v>0</v>
          </cell>
          <cell r="G1746">
            <v>0</v>
          </cell>
          <cell r="H1746">
            <v>0</v>
          </cell>
          <cell r="J1746" t="e">
            <v>#N/A</v>
          </cell>
          <cell r="P1746" t="e">
            <v>#N/A</v>
          </cell>
          <cell r="R1746" t="e">
            <v>#N/A</v>
          </cell>
          <cell r="S1746" t="e">
            <v>#N/A</v>
          </cell>
          <cell r="Y1746" t="e">
            <v>#N/A</v>
          </cell>
          <cell r="AA1746" t="e">
            <v>#N/A</v>
          </cell>
        </row>
        <row r="1747">
          <cell r="B1747">
            <v>0</v>
          </cell>
          <cell r="C1747">
            <v>0</v>
          </cell>
          <cell r="E1747">
            <v>0</v>
          </cell>
          <cell r="F1747">
            <v>0</v>
          </cell>
          <cell r="G1747">
            <v>0</v>
          </cell>
          <cell r="H1747">
            <v>0</v>
          </cell>
          <cell r="J1747" t="e">
            <v>#N/A</v>
          </cell>
          <cell r="P1747" t="e">
            <v>#N/A</v>
          </cell>
          <cell r="R1747" t="e">
            <v>#N/A</v>
          </cell>
          <cell r="S1747" t="e">
            <v>#N/A</v>
          </cell>
          <cell r="Y1747" t="e">
            <v>#N/A</v>
          </cell>
          <cell r="AA1747" t="e">
            <v>#N/A</v>
          </cell>
        </row>
        <row r="1748">
          <cell r="B1748">
            <v>0</v>
          </cell>
          <cell r="C1748">
            <v>0</v>
          </cell>
          <cell r="E1748">
            <v>0</v>
          </cell>
          <cell r="F1748">
            <v>0</v>
          </cell>
          <cell r="G1748">
            <v>0</v>
          </cell>
          <cell r="H1748">
            <v>0</v>
          </cell>
          <cell r="J1748" t="e">
            <v>#N/A</v>
          </cell>
          <cell r="P1748" t="e">
            <v>#N/A</v>
          </cell>
          <cell r="R1748" t="e">
            <v>#N/A</v>
          </cell>
          <cell r="S1748" t="e">
            <v>#N/A</v>
          </cell>
          <cell r="Y1748" t="e">
            <v>#N/A</v>
          </cell>
          <cell r="AA1748" t="e">
            <v>#N/A</v>
          </cell>
        </row>
        <row r="1749">
          <cell r="B1749">
            <v>0</v>
          </cell>
          <cell r="C1749">
            <v>0</v>
          </cell>
          <cell r="E1749">
            <v>0</v>
          </cell>
          <cell r="F1749">
            <v>0</v>
          </cell>
          <cell r="G1749">
            <v>0</v>
          </cell>
          <cell r="H1749">
            <v>0</v>
          </cell>
          <cell r="J1749" t="e">
            <v>#N/A</v>
          </cell>
          <cell r="P1749" t="e">
            <v>#N/A</v>
          </cell>
          <cell r="R1749" t="e">
            <v>#N/A</v>
          </cell>
          <cell r="S1749" t="e">
            <v>#N/A</v>
          </cell>
          <cell r="Y1749" t="e">
            <v>#N/A</v>
          </cell>
          <cell r="AA1749" t="e">
            <v>#N/A</v>
          </cell>
        </row>
        <row r="1750">
          <cell r="B1750">
            <v>0</v>
          </cell>
          <cell r="C1750">
            <v>0</v>
          </cell>
          <cell r="E1750">
            <v>0</v>
          </cell>
          <cell r="F1750">
            <v>0</v>
          </cell>
          <cell r="G1750">
            <v>0</v>
          </cell>
          <cell r="H1750">
            <v>0</v>
          </cell>
          <cell r="J1750" t="e">
            <v>#N/A</v>
          </cell>
          <cell r="P1750" t="e">
            <v>#N/A</v>
          </cell>
          <cell r="R1750" t="e">
            <v>#N/A</v>
          </cell>
          <cell r="S1750" t="e">
            <v>#N/A</v>
          </cell>
          <cell r="Y1750" t="e">
            <v>#N/A</v>
          </cell>
          <cell r="AA1750" t="e">
            <v>#N/A</v>
          </cell>
        </row>
        <row r="1751">
          <cell r="B1751">
            <v>0</v>
          </cell>
          <cell r="C1751">
            <v>0</v>
          </cell>
          <cell r="E1751">
            <v>0</v>
          </cell>
          <cell r="F1751">
            <v>0</v>
          </cell>
          <cell r="G1751">
            <v>0</v>
          </cell>
          <cell r="H1751">
            <v>0</v>
          </cell>
          <cell r="J1751" t="e">
            <v>#N/A</v>
          </cell>
          <cell r="P1751" t="e">
            <v>#N/A</v>
          </cell>
          <cell r="R1751" t="e">
            <v>#N/A</v>
          </cell>
          <cell r="S1751" t="e">
            <v>#N/A</v>
          </cell>
          <cell r="Y1751" t="e">
            <v>#N/A</v>
          </cell>
          <cell r="AA1751" t="e">
            <v>#N/A</v>
          </cell>
        </row>
        <row r="1752">
          <cell r="B1752">
            <v>0</v>
          </cell>
          <cell r="C1752">
            <v>0</v>
          </cell>
          <cell r="E1752">
            <v>0</v>
          </cell>
          <cell r="F1752">
            <v>0</v>
          </cell>
          <cell r="G1752">
            <v>0</v>
          </cell>
          <cell r="H1752">
            <v>0</v>
          </cell>
          <cell r="J1752" t="e">
            <v>#N/A</v>
          </cell>
          <cell r="P1752" t="e">
            <v>#N/A</v>
          </cell>
          <cell r="R1752" t="e">
            <v>#N/A</v>
          </cell>
          <cell r="S1752" t="e">
            <v>#N/A</v>
          </cell>
          <cell r="Y1752" t="e">
            <v>#N/A</v>
          </cell>
          <cell r="AA1752" t="e">
            <v>#N/A</v>
          </cell>
        </row>
        <row r="1753">
          <cell r="B1753">
            <v>0</v>
          </cell>
          <cell r="C1753">
            <v>0</v>
          </cell>
          <cell r="E1753">
            <v>0</v>
          </cell>
          <cell r="F1753">
            <v>0</v>
          </cell>
          <cell r="G1753">
            <v>0</v>
          </cell>
          <cell r="H1753">
            <v>0</v>
          </cell>
          <cell r="J1753" t="e">
            <v>#N/A</v>
          </cell>
          <cell r="P1753" t="e">
            <v>#N/A</v>
          </cell>
          <cell r="R1753" t="e">
            <v>#N/A</v>
          </cell>
          <cell r="S1753" t="e">
            <v>#N/A</v>
          </cell>
          <cell r="Y1753" t="e">
            <v>#N/A</v>
          </cell>
          <cell r="AA1753" t="e">
            <v>#N/A</v>
          </cell>
        </row>
        <row r="1754">
          <cell r="B1754">
            <v>0</v>
          </cell>
          <cell r="C1754">
            <v>0</v>
          </cell>
          <cell r="E1754">
            <v>0</v>
          </cell>
          <cell r="F1754">
            <v>0</v>
          </cell>
          <cell r="G1754">
            <v>0</v>
          </cell>
          <cell r="H1754">
            <v>0</v>
          </cell>
          <cell r="J1754" t="e">
            <v>#N/A</v>
          </cell>
          <cell r="P1754" t="e">
            <v>#N/A</v>
          </cell>
          <cell r="R1754" t="e">
            <v>#N/A</v>
          </cell>
          <cell r="S1754" t="e">
            <v>#N/A</v>
          </cell>
          <cell r="Y1754" t="e">
            <v>#N/A</v>
          </cell>
          <cell r="AA1754" t="e">
            <v>#N/A</v>
          </cell>
        </row>
        <row r="1755">
          <cell r="B1755">
            <v>0</v>
          </cell>
          <cell r="C1755">
            <v>0</v>
          </cell>
          <cell r="E1755">
            <v>0</v>
          </cell>
          <cell r="F1755">
            <v>0</v>
          </cell>
          <cell r="G1755">
            <v>0</v>
          </cell>
          <cell r="H1755">
            <v>0</v>
          </cell>
          <cell r="J1755" t="e">
            <v>#N/A</v>
          </cell>
          <cell r="P1755" t="e">
            <v>#N/A</v>
          </cell>
          <cell r="R1755" t="e">
            <v>#N/A</v>
          </cell>
          <cell r="S1755" t="e">
            <v>#N/A</v>
          </cell>
          <cell r="Y1755" t="e">
            <v>#N/A</v>
          </cell>
          <cell r="AA1755" t="e">
            <v>#N/A</v>
          </cell>
        </row>
        <row r="1756">
          <cell r="B1756">
            <v>0</v>
          </cell>
          <cell r="C1756">
            <v>0</v>
          </cell>
          <cell r="E1756">
            <v>0</v>
          </cell>
          <cell r="F1756">
            <v>0</v>
          </cell>
          <cell r="G1756">
            <v>0</v>
          </cell>
          <cell r="H1756">
            <v>0</v>
          </cell>
          <cell r="J1756" t="e">
            <v>#N/A</v>
          </cell>
          <cell r="P1756" t="e">
            <v>#N/A</v>
          </cell>
          <cell r="R1756" t="e">
            <v>#N/A</v>
          </cell>
          <cell r="S1756" t="e">
            <v>#N/A</v>
          </cell>
          <cell r="Y1756" t="e">
            <v>#N/A</v>
          </cell>
          <cell r="AA1756" t="e">
            <v>#N/A</v>
          </cell>
        </row>
        <row r="1757">
          <cell r="B1757">
            <v>0</v>
          </cell>
          <cell r="C1757">
            <v>0</v>
          </cell>
          <cell r="E1757">
            <v>0</v>
          </cell>
          <cell r="F1757">
            <v>0</v>
          </cell>
          <cell r="G1757">
            <v>0</v>
          </cell>
          <cell r="H1757">
            <v>0</v>
          </cell>
          <cell r="J1757" t="e">
            <v>#N/A</v>
          </cell>
          <cell r="P1757" t="e">
            <v>#N/A</v>
          </cell>
          <cell r="R1757" t="e">
            <v>#N/A</v>
          </cell>
          <cell r="S1757" t="e">
            <v>#N/A</v>
          </cell>
          <cell r="Y1757" t="e">
            <v>#N/A</v>
          </cell>
          <cell r="AA1757" t="e">
            <v>#N/A</v>
          </cell>
        </row>
        <row r="1758">
          <cell r="B1758">
            <v>0</v>
          </cell>
          <cell r="C1758">
            <v>0</v>
          </cell>
          <cell r="E1758">
            <v>0</v>
          </cell>
          <cell r="F1758">
            <v>0</v>
          </cell>
          <cell r="G1758">
            <v>0</v>
          </cell>
          <cell r="H1758">
            <v>0</v>
          </cell>
          <cell r="J1758" t="e">
            <v>#N/A</v>
          </cell>
          <cell r="P1758" t="e">
            <v>#N/A</v>
          </cell>
          <cell r="R1758" t="e">
            <v>#N/A</v>
          </cell>
          <cell r="S1758" t="e">
            <v>#N/A</v>
          </cell>
          <cell r="Y1758" t="e">
            <v>#N/A</v>
          </cell>
          <cell r="AA1758" t="e">
            <v>#N/A</v>
          </cell>
        </row>
        <row r="1759">
          <cell r="B1759">
            <v>0</v>
          </cell>
          <cell r="C1759">
            <v>0</v>
          </cell>
          <cell r="E1759">
            <v>0</v>
          </cell>
          <cell r="F1759">
            <v>0</v>
          </cell>
          <cell r="G1759">
            <v>0</v>
          </cell>
          <cell r="H1759">
            <v>0</v>
          </cell>
          <cell r="J1759" t="e">
            <v>#N/A</v>
          </cell>
          <cell r="P1759" t="e">
            <v>#N/A</v>
          </cell>
          <cell r="R1759" t="e">
            <v>#N/A</v>
          </cell>
          <cell r="S1759" t="e">
            <v>#N/A</v>
          </cell>
          <cell r="Y1759" t="e">
            <v>#N/A</v>
          </cell>
          <cell r="AA1759" t="e">
            <v>#N/A</v>
          </cell>
        </row>
        <row r="1760">
          <cell r="B1760">
            <v>0</v>
          </cell>
          <cell r="C1760">
            <v>0</v>
          </cell>
          <cell r="E1760">
            <v>0</v>
          </cell>
          <cell r="F1760">
            <v>0</v>
          </cell>
          <cell r="G1760">
            <v>0</v>
          </cell>
          <cell r="H1760">
            <v>0</v>
          </cell>
          <cell r="J1760" t="e">
            <v>#N/A</v>
          </cell>
          <cell r="P1760" t="e">
            <v>#N/A</v>
          </cell>
          <cell r="R1760" t="e">
            <v>#N/A</v>
          </cell>
          <cell r="S1760" t="e">
            <v>#N/A</v>
          </cell>
          <cell r="Y1760" t="e">
            <v>#N/A</v>
          </cell>
          <cell r="AA1760" t="e">
            <v>#N/A</v>
          </cell>
        </row>
        <row r="1761">
          <cell r="B1761">
            <v>0</v>
          </cell>
          <cell r="C1761">
            <v>0</v>
          </cell>
          <cell r="E1761">
            <v>0</v>
          </cell>
          <cell r="F1761">
            <v>0</v>
          </cell>
          <cell r="G1761">
            <v>0</v>
          </cell>
          <cell r="H1761">
            <v>0</v>
          </cell>
          <cell r="J1761" t="e">
            <v>#N/A</v>
          </cell>
          <cell r="P1761" t="e">
            <v>#N/A</v>
          </cell>
          <cell r="R1761" t="e">
            <v>#N/A</v>
          </cell>
          <cell r="S1761" t="e">
            <v>#N/A</v>
          </cell>
          <cell r="Y1761" t="e">
            <v>#N/A</v>
          </cell>
          <cell r="AA1761" t="e">
            <v>#N/A</v>
          </cell>
        </row>
        <row r="1762">
          <cell r="B1762">
            <v>0</v>
          </cell>
          <cell r="C1762">
            <v>0</v>
          </cell>
          <cell r="E1762">
            <v>0</v>
          </cell>
          <cell r="F1762">
            <v>0</v>
          </cell>
          <cell r="G1762">
            <v>0</v>
          </cell>
          <cell r="H1762">
            <v>0</v>
          </cell>
          <cell r="J1762" t="e">
            <v>#N/A</v>
          </cell>
          <cell r="P1762" t="e">
            <v>#N/A</v>
          </cell>
          <cell r="R1762" t="e">
            <v>#N/A</v>
          </cell>
          <cell r="S1762" t="e">
            <v>#N/A</v>
          </cell>
          <cell r="Y1762" t="e">
            <v>#N/A</v>
          </cell>
          <cell r="AA1762" t="e">
            <v>#N/A</v>
          </cell>
        </row>
        <row r="1763">
          <cell r="B1763">
            <v>0</v>
          </cell>
          <cell r="C1763">
            <v>0</v>
          </cell>
          <cell r="E1763">
            <v>0</v>
          </cell>
          <cell r="F1763">
            <v>0</v>
          </cell>
          <cell r="G1763">
            <v>0</v>
          </cell>
          <cell r="H1763">
            <v>0</v>
          </cell>
          <cell r="J1763" t="e">
            <v>#N/A</v>
          </cell>
          <cell r="P1763" t="e">
            <v>#N/A</v>
          </cell>
          <cell r="R1763" t="e">
            <v>#N/A</v>
          </cell>
          <cell r="S1763" t="e">
            <v>#N/A</v>
          </cell>
          <cell r="Y1763" t="e">
            <v>#N/A</v>
          </cell>
          <cell r="AA1763" t="e">
            <v>#N/A</v>
          </cell>
        </row>
        <row r="1764">
          <cell r="B1764">
            <v>0</v>
          </cell>
          <cell r="C1764">
            <v>0</v>
          </cell>
          <cell r="E1764">
            <v>0</v>
          </cell>
          <cell r="F1764">
            <v>0</v>
          </cell>
          <cell r="G1764">
            <v>0</v>
          </cell>
          <cell r="H1764">
            <v>0</v>
          </cell>
          <cell r="J1764" t="e">
            <v>#N/A</v>
          </cell>
          <cell r="P1764" t="e">
            <v>#N/A</v>
          </cell>
          <cell r="R1764" t="e">
            <v>#N/A</v>
          </cell>
          <cell r="S1764" t="e">
            <v>#N/A</v>
          </cell>
          <cell r="Y1764" t="e">
            <v>#N/A</v>
          </cell>
          <cell r="AA1764" t="e">
            <v>#N/A</v>
          </cell>
        </row>
        <row r="1765">
          <cell r="B1765">
            <v>0</v>
          </cell>
          <cell r="C1765">
            <v>0</v>
          </cell>
          <cell r="E1765">
            <v>0</v>
          </cell>
          <cell r="F1765">
            <v>0</v>
          </cell>
          <cell r="G1765">
            <v>0</v>
          </cell>
          <cell r="H1765">
            <v>0</v>
          </cell>
          <cell r="J1765" t="e">
            <v>#N/A</v>
          </cell>
          <cell r="P1765" t="e">
            <v>#N/A</v>
          </cell>
          <cell r="R1765" t="e">
            <v>#N/A</v>
          </cell>
          <cell r="S1765" t="e">
            <v>#N/A</v>
          </cell>
          <cell r="Y1765" t="e">
            <v>#N/A</v>
          </cell>
          <cell r="AA1765" t="e">
            <v>#N/A</v>
          </cell>
        </row>
        <row r="1766">
          <cell r="B1766">
            <v>0</v>
          </cell>
          <cell r="C1766">
            <v>0</v>
          </cell>
          <cell r="E1766">
            <v>0</v>
          </cell>
          <cell r="F1766">
            <v>0</v>
          </cell>
          <cell r="G1766">
            <v>0</v>
          </cell>
          <cell r="H1766">
            <v>0</v>
          </cell>
          <cell r="J1766" t="e">
            <v>#N/A</v>
          </cell>
          <cell r="P1766" t="e">
            <v>#N/A</v>
          </cell>
          <cell r="R1766" t="e">
            <v>#N/A</v>
          </cell>
          <cell r="S1766" t="e">
            <v>#N/A</v>
          </cell>
          <cell r="Y1766" t="e">
            <v>#N/A</v>
          </cell>
          <cell r="AA1766" t="e">
            <v>#N/A</v>
          </cell>
        </row>
        <row r="1767">
          <cell r="B1767">
            <v>0</v>
          </cell>
          <cell r="C1767">
            <v>0</v>
          </cell>
          <cell r="E1767">
            <v>0</v>
          </cell>
          <cell r="F1767">
            <v>0</v>
          </cell>
          <cell r="G1767">
            <v>0</v>
          </cell>
          <cell r="H1767">
            <v>0</v>
          </cell>
          <cell r="J1767" t="e">
            <v>#N/A</v>
          </cell>
          <cell r="P1767" t="e">
            <v>#N/A</v>
          </cell>
          <cell r="R1767" t="e">
            <v>#N/A</v>
          </cell>
          <cell r="S1767" t="e">
            <v>#N/A</v>
          </cell>
          <cell r="Y1767" t="e">
            <v>#N/A</v>
          </cell>
          <cell r="AA1767" t="e">
            <v>#N/A</v>
          </cell>
        </row>
        <row r="1768">
          <cell r="B1768">
            <v>0</v>
          </cell>
          <cell r="C1768">
            <v>0</v>
          </cell>
          <cell r="E1768">
            <v>0</v>
          </cell>
          <cell r="F1768">
            <v>0</v>
          </cell>
          <cell r="G1768">
            <v>0</v>
          </cell>
          <cell r="H1768">
            <v>0</v>
          </cell>
          <cell r="J1768" t="e">
            <v>#N/A</v>
          </cell>
          <cell r="P1768" t="e">
            <v>#N/A</v>
          </cell>
          <cell r="R1768" t="e">
            <v>#N/A</v>
          </cell>
          <cell r="S1768" t="e">
            <v>#N/A</v>
          </cell>
          <cell r="Y1768" t="e">
            <v>#N/A</v>
          </cell>
          <cell r="AA1768" t="e">
            <v>#N/A</v>
          </cell>
        </row>
        <row r="1769">
          <cell r="B1769">
            <v>0</v>
          </cell>
          <cell r="C1769">
            <v>0</v>
          </cell>
          <cell r="E1769">
            <v>0</v>
          </cell>
          <cell r="F1769">
            <v>0</v>
          </cell>
          <cell r="G1769">
            <v>0</v>
          </cell>
          <cell r="H1769">
            <v>0</v>
          </cell>
          <cell r="J1769" t="e">
            <v>#N/A</v>
          </cell>
          <cell r="P1769" t="e">
            <v>#N/A</v>
          </cell>
          <cell r="R1769" t="e">
            <v>#N/A</v>
          </cell>
          <cell r="S1769" t="e">
            <v>#N/A</v>
          </cell>
          <cell r="Y1769" t="e">
            <v>#N/A</v>
          </cell>
          <cell r="AA1769" t="e">
            <v>#N/A</v>
          </cell>
        </row>
        <row r="1770">
          <cell r="B1770">
            <v>0</v>
          </cell>
          <cell r="C1770">
            <v>0</v>
          </cell>
          <cell r="E1770">
            <v>0</v>
          </cell>
          <cell r="F1770">
            <v>0</v>
          </cell>
          <cell r="G1770">
            <v>0</v>
          </cell>
          <cell r="H1770">
            <v>0</v>
          </cell>
          <cell r="J1770" t="e">
            <v>#N/A</v>
          </cell>
          <cell r="P1770" t="e">
            <v>#N/A</v>
          </cell>
          <cell r="R1770" t="e">
            <v>#N/A</v>
          </cell>
          <cell r="S1770" t="e">
            <v>#N/A</v>
          </cell>
          <cell r="Y1770" t="e">
            <v>#N/A</v>
          </cell>
          <cell r="AA1770" t="e">
            <v>#N/A</v>
          </cell>
        </row>
        <row r="1771">
          <cell r="B1771">
            <v>0</v>
          </cell>
          <cell r="C1771">
            <v>0</v>
          </cell>
          <cell r="E1771">
            <v>0</v>
          </cell>
          <cell r="F1771">
            <v>0</v>
          </cell>
          <cell r="G1771">
            <v>0</v>
          </cell>
          <cell r="H1771">
            <v>0</v>
          </cell>
          <cell r="J1771" t="e">
            <v>#N/A</v>
          </cell>
          <cell r="P1771" t="e">
            <v>#N/A</v>
          </cell>
          <cell r="R1771" t="e">
            <v>#N/A</v>
          </cell>
          <cell r="S1771" t="e">
            <v>#N/A</v>
          </cell>
          <cell r="Y1771" t="e">
            <v>#N/A</v>
          </cell>
          <cell r="AA1771" t="e">
            <v>#N/A</v>
          </cell>
        </row>
        <row r="1772">
          <cell r="B1772">
            <v>0</v>
          </cell>
          <cell r="C1772">
            <v>0</v>
          </cell>
          <cell r="E1772">
            <v>0</v>
          </cell>
          <cell r="F1772">
            <v>0</v>
          </cell>
          <cell r="G1772">
            <v>0</v>
          </cell>
          <cell r="H1772">
            <v>0</v>
          </cell>
          <cell r="J1772" t="e">
            <v>#N/A</v>
          </cell>
          <cell r="P1772" t="e">
            <v>#N/A</v>
          </cell>
          <cell r="R1772" t="e">
            <v>#N/A</v>
          </cell>
          <cell r="S1772" t="e">
            <v>#N/A</v>
          </cell>
          <cell r="Y1772" t="e">
            <v>#N/A</v>
          </cell>
          <cell r="AA1772" t="e">
            <v>#N/A</v>
          </cell>
        </row>
        <row r="1773">
          <cell r="B1773">
            <v>0</v>
          </cell>
          <cell r="C1773">
            <v>0</v>
          </cell>
          <cell r="E1773">
            <v>0</v>
          </cell>
          <cell r="F1773">
            <v>0</v>
          </cell>
          <cell r="G1773">
            <v>0</v>
          </cell>
          <cell r="H1773">
            <v>0</v>
          </cell>
          <cell r="J1773" t="e">
            <v>#N/A</v>
          </cell>
          <cell r="P1773" t="e">
            <v>#N/A</v>
          </cell>
          <cell r="R1773" t="e">
            <v>#N/A</v>
          </cell>
          <cell r="S1773" t="e">
            <v>#N/A</v>
          </cell>
          <cell r="Y1773" t="e">
            <v>#N/A</v>
          </cell>
          <cell r="AA1773" t="e">
            <v>#N/A</v>
          </cell>
        </row>
        <row r="1774">
          <cell r="B1774">
            <v>0</v>
          </cell>
          <cell r="C1774">
            <v>0</v>
          </cell>
          <cell r="E1774">
            <v>0</v>
          </cell>
          <cell r="F1774">
            <v>0</v>
          </cell>
          <cell r="G1774">
            <v>0</v>
          </cell>
          <cell r="H1774">
            <v>0</v>
          </cell>
          <cell r="J1774" t="e">
            <v>#N/A</v>
          </cell>
          <cell r="P1774" t="e">
            <v>#N/A</v>
          </cell>
          <cell r="R1774" t="e">
            <v>#N/A</v>
          </cell>
          <cell r="S1774" t="e">
            <v>#N/A</v>
          </cell>
          <cell r="Y1774" t="e">
            <v>#N/A</v>
          </cell>
          <cell r="AA1774" t="e">
            <v>#N/A</v>
          </cell>
        </row>
        <row r="1775">
          <cell r="B1775">
            <v>0</v>
          </cell>
          <cell r="C1775">
            <v>0</v>
          </cell>
          <cell r="E1775">
            <v>0</v>
          </cell>
          <cell r="F1775">
            <v>0</v>
          </cell>
          <cell r="G1775">
            <v>0</v>
          </cell>
          <cell r="H1775">
            <v>0</v>
          </cell>
          <cell r="J1775" t="e">
            <v>#N/A</v>
          </cell>
          <cell r="P1775" t="e">
            <v>#N/A</v>
          </cell>
          <cell r="R1775" t="e">
            <v>#N/A</v>
          </cell>
          <cell r="S1775" t="e">
            <v>#N/A</v>
          </cell>
          <cell r="Y1775" t="e">
            <v>#N/A</v>
          </cell>
          <cell r="AA1775" t="e">
            <v>#N/A</v>
          </cell>
        </row>
        <row r="1776">
          <cell r="B1776">
            <v>0</v>
          </cell>
          <cell r="C1776">
            <v>0</v>
          </cell>
          <cell r="E1776">
            <v>0</v>
          </cell>
          <cell r="F1776">
            <v>0</v>
          </cell>
          <cell r="G1776">
            <v>0</v>
          </cell>
          <cell r="H1776">
            <v>0</v>
          </cell>
          <cell r="J1776" t="e">
            <v>#N/A</v>
          </cell>
          <cell r="P1776" t="e">
            <v>#N/A</v>
          </cell>
          <cell r="R1776" t="e">
            <v>#N/A</v>
          </cell>
          <cell r="S1776" t="e">
            <v>#N/A</v>
          </cell>
          <cell r="Y1776" t="e">
            <v>#N/A</v>
          </cell>
          <cell r="AA1776" t="e">
            <v>#N/A</v>
          </cell>
        </row>
        <row r="1777">
          <cell r="B1777">
            <v>0</v>
          </cell>
          <cell r="C1777">
            <v>0</v>
          </cell>
          <cell r="E1777">
            <v>0</v>
          </cell>
          <cell r="F1777">
            <v>0</v>
          </cell>
          <cell r="G1777">
            <v>0</v>
          </cell>
          <cell r="H1777">
            <v>0</v>
          </cell>
          <cell r="J1777" t="e">
            <v>#N/A</v>
          </cell>
          <cell r="P1777" t="e">
            <v>#N/A</v>
          </cell>
          <cell r="R1777" t="e">
            <v>#N/A</v>
          </cell>
          <cell r="S1777" t="e">
            <v>#N/A</v>
          </cell>
          <cell r="Y1777" t="e">
            <v>#N/A</v>
          </cell>
          <cell r="AA1777" t="e">
            <v>#N/A</v>
          </cell>
        </row>
        <row r="1778">
          <cell r="B1778">
            <v>0</v>
          </cell>
          <cell r="C1778">
            <v>0</v>
          </cell>
          <cell r="E1778">
            <v>0</v>
          </cell>
          <cell r="F1778">
            <v>0</v>
          </cell>
          <cell r="G1778">
            <v>0</v>
          </cell>
          <cell r="H1778">
            <v>0</v>
          </cell>
          <cell r="J1778" t="e">
            <v>#N/A</v>
          </cell>
          <cell r="P1778" t="e">
            <v>#N/A</v>
          </cell>
          <cell r="R1778" t="e">
            <v>#N/A</v>
          </cell>
          <cell r="S1778" t="e">
            <v>#N/A</v>
          </cell>
          <cell r="Y1778" t="e">
            <v>#N/A</v>
          </cell>
          <cell r="AA1778" t="e">
            <v>#N/A</v>
          </cell>
        </row>
        <row r="1779">
          <cell r="B1779">
            <v>0</v>
          </cell>
          <cell r="C1779">
            <v>0</v>
          </cell>
          <cell r="E1779">
            <v>0</v>
          </cell>
          <cell r="F1779">
            <v>0</v>
          </cell>
          <cell r="G1779">
            <v>0</v>
          </cell>
          <cell r="H1779">
            <v>0</v>
          </cell>
          <cell r="J1779" t="e">
            <v>#N/A</v>
          </cell>
          <cell r="P1779" t="e">
            <v>#N/A</v>
          </cell>
          <cell r="R1779" t="e">
            <v>#N/A</v>
          </cell>
          <cell r="S1779" t="e">
            <v>#N/A</v>
          </cell>
          <cell r="Y1779" t="e">
            <v>#N/A</v>
          </cell>
          <cell r="AA1779" t="e">
            <v>#N/A</v>
          </cell>
        </row>
        <row r="1780">
          <cell r="B1780">
            <v>0</v>
          </cell>
          <cell r="C1780">
            <v>0</v>
          </cell>
          <cell r="E1780">
            <v>0</v>
          </cell>
          <cell r="F1780">
            <v>0</v>
          </cell>
          <cell r="G1780">
            <v>0</v>
          </cell>
          <cell r="H1780">
            <v>0</v>
          </cell>
          <cell r="J1780" t="e">
            <v>#N/A</v>
          </cell>
          <cell r="P1780" t="e">
            <v>#N/A</v>
          </cell>
          <cell r="R1780" t="e">
            <v>#N/A</v>
          </cell>
          <cell r="S1780" t="e">
            <v>#N/A</v>
          </cell>
          <cell r="Y1780" t="e">
            <v>#N/A</v>
          </cell>
          <cell r="AA1780" t="e">
            <v>#N/A</v>
          </cell>
        </row>
        <row r="1781">
          <cell r="B1781">
            <v>0</v>
          </cell>
          <cell r="C1781">
            <v>0</v>
          </cell>
          <cell r="E1781">
            <v>0</v>
          </cell>
          <cell r="F1781">
            <v>0</v>
          </cell>
          <cell r="G1781">
            <v>0</v>
          </cell>
          <cell r="H1781">
            <v>0</v>
          </cell>
          <cell r="J1781" t="e">
            <v>#N/A</v>
          </cell>
          <cell r="P1781" t="e">
            <v>#N/A</v>
          </cell>
          <cell r="R1781" t="e">
            <v>#N/A</v>
          </cell>
          <cell r="S1781" t="e">
            <v>#N/A</v>
          </cell>
          <cell r="Y1781" t="e">
            <v>#N/A</v>
          </cell>
          <cell r="AA1781" t="e">
            <v>#N/A</v>
          </cell>
        </row>
        <row r="1782">
          <cell r="B1782">
            <v>0</v>
          </cell>
          <cell r="C1782">
            <v>0</v>
          </cell>
          <cell r="E1782">
            <v>0</v>
          </cell>
          <cell r="F1782">
            <v>0</v>
          </cell>
          <cell r="G1782">
            <v>0</v>
          </cell>
          <cell r="H1782">
            <v>0</v>
          </cell>
          <cell r="J1782" t="e">
            <v>#N/A</v>
          </cell>
          <cell r="P1782" t="e">
            <v>#N/A</v>
          </cell>
          <cell r="R1782" t="e">
            <v>#N/A</v>
          </cell>
          <cell r="S1782" t="e">
            <v>#N/A</v>
          </cell>
          <cell r="Y1782" t="e">
            <v>#N/A</v>
          </cell>
          <cell r="AA1782" t="e">
            <v>#N/A</v>
          </cell>
        </row>
        <row r="1783">
          <cell r="B1783">
            <v>0</v>
          </cell>
          <cell r="C1783">
            <v>0</v>
          </cell>
          <cell r="E1783">
            <v>0</v>
          </cell>
          <cell r="F1783">
            <v>0</v>
          </cell>
          <cell r="G1783">
            <v>0</v>
          </cell>
          <cell r="H1783">
            <v>0</v>
          </cell>
          <cell r="J1783" t="e">
            <v>#N/A</v>
          </cell>
          <cell r="P1783" t="e">
            <v>#N/A</v>
          </cell>
          <cell r="R1783" t="e">
            <v>#N/A</v>
          </cell>
          <cell r="S1783" t="e">
            <v>#N/A</v>
          </cell>
          <cell r="Y1783" t="e">
            <v>#N/A</v>
          </cell>
          <cell r="AA1783" t="e">
            <v>#N/A</v>
          </cell>
        </row>
        <row r="1784">
          <cell r="B1784">
            <v>0</v>
          </cell>
          <cell r="C1784">
            <v>0</v>
          </cell>
          <cell r="E1784">
            <v>0</v>
          </cell>
          <cell r="F1784">
            <v>0</v>
          </cell>
          <cell r="G1784">
            <v>0</v>
          </cell>
          <cell r="H1784">
            <v>0</v>
          </cell>
          <cell r="J1784" t="e">
            <v>#N/A</v>
          </cell>
          <cell r="P1784" t="e">
            <v>#N/A</v>
          </cell>
          <cell r="R1784" t="e">
            <v>#N/A</v>
          </cell>
          <cell r="S1784" t="e">
            <v>#N/A</v>
          </cell>
          <cell r="Y1784" t="e">
            <v>#N/A</v>
          </cell>
          <cell r="AA1784" t="e">
            <v>#N/A</v>
          </cell>
        </row>
        <row r="1785">
          <cell r="B1785">
            <v>0</v>
          </cell>
          <cell r="C1785">
            <v>0</v>
          </cell>
          <cell r="E1785">
            <v>0</v>
          </cell>
          <cell r="F1785">
            <v>0</v>
          </cell>
          <cell r="G1785">
            <v>0</v>
          </cell>
          <cell r="H1785">
            <v>0</v>
          </cell>
          <cell r="J1785" t="e">
            <v>#N/A</v>
          </cell>
          <cell r="P1785" t="e">
            <v>#N/A</v>
          </cell>
          <cell r="R1785" t="e">
            <v>#N/A</v>
          </cell>
          <cell r="S1785" t="e">
            <v>#N/A</v>
          </cell>
          <cell r="Y1785" t="e">
            <v>#N/A</v>
          </cell>
          <cell r="AA1785" t="e">
            <v>#N/A</v>
          </cell>
        </row>
        <row r="1786">
          <cell r="B1786">
            <v>0</v>
          </cell>
          <cell r="C1786">
            <v>0</v>
          </cell>
          <cell r="E1786">
            <v>0</v>
          </cell>
          <cell r="F1786">
            <v>0</v>
          </cell>
          <cell r="G1786">
            <v>0</v>
          </cell>
          <cell r="H1786">
            <v>0</v>
          </cell>
          <cell r="J1786" t="e">
            <v>#N/A</v>
          </cell>
          <cell r="P1786" t="e">
            <v>#N/A</v>
          </cell>
          <cell r="R1786" t="e">
            <v>#N/A</v>
          </cell>
          <cell r="S1786" t="e">
            <v>#N/A</v>
          </cell>
          <cell r="Y1786" t="e">
            <v>#N/A</v>
          </cell>
          <cell r="AA1786" t="e">
            <v>#N/A</v>
          </cell>
        </row>
        <row r="1787">
          <cell r="B1787">
            <v>0</v>
          </cell>
          <cell r="C1787">
            <v>0</v>
          </cell>
          <cell r="E1787">
            <v>0</v>
          </cell>
          <cell r="F1787">
            <v>0</v>
          </cell>
          <cell r="G1787">
            <v>0</v>
          </cell>
          <cell r="H1787">
            <v>0</v>
          </cell>
          <cell r="J1787" t="e">
            <v>#N/A</v>
          </cell>
          <cell r="P1787" t="e">
            <v>#N/A</v>
          </cell>
          <cell r="R1787" t="e">
            <v>#N/A</v>
          </cell>
          <cell r="S1787" t="e">
            <v>#N/A</v>
          </cell>
          <cell r="Y1787" t="e">
            <v>#N/A</v>
          </cell>
          <cell r="AA1787" t="e">
            <v>#N/A</v>
          </cell>
        </row>
        <row r="1788">
          <cell r="B1788">
            <v>0</v>
          </cell>
          <cell r="C1788">
            <v>0</v>
          </cell>
          <cell r="E1788">
            <v>0</v>
          </cell>
          <cell r="F1788">
            <v>0</v>
          </cell>
          <cell r="G1788">
            <v>0</v>
          </cell>
          <cell r="H1788">
            <v>0</v>
          </cell>
          <cell r="J1788" t="e">
            <v>#N/A</v>
          </cell>
          <cell r="P1788" t="e">
            <v>#N/A</v>
          </cell>
          <cell r="R1788" t="e">
            <v>#N/A</v>
          </cell>
          <cell r="S1788" t="e">
            <v>#N/A</v>
          </cell>
          <cell r="Y1788" t="e">
            <v>#N/A</v>
          </cell>
          <cell r="AA1788" t="e">
            <v>#N/A</v>
          </cell>
        </row>
        <row r="1789">
          <cell r="B1789">
            <v>0</v>
          </cell>
          <cell r="C1789">
            <v>0</v>
          </cell>
          <cell r="E1789">
            <v>0</v>
          </cell>
          <cell r="F1789">
            <v>0</v>
          </cell>
          <cell r="G1789">
            <v>0</v>
          </cell>
          <cell r="H1789">
            <v>0</v>
          </cell>
          <cell r="J1789" t="e">
            <v>#N/A</v>
          </cell>
          <cell r="P1789" t="e">
            <v>#N/A</v>
          </cell>
          <cell r="R1789" t="e">
            <v>#N/A</v>
          </cell>
          <cell r="S1789" t="e">
            <v>#N/A</v>
          </cell>
          <cell r="Y1789" t="e">
            <v>#N/A</v>
          </cell>
          <cell r="AA1789" t="e">
            <v>#N/A</v>
          </cell>
        </row>
        <row r="1790">
          <cell r="B1790">
            <v>0</v>
          </cell>
          <cell r="C1790">
            <v>0</v>
          </cell>
          <cell r="E1790">
            <v>0</v>
          </cell>
          <cell r="F1790">
            <v>0</v>
          </cell>
          <cell r="G1790">
            <v>0</v>
          </cell>
          <cell r="H1790">
            <v>0</v>
          </cell>
          <cell r="J1790" t="e">
            <v>#N/A</v>
          </cell>
          <cell r="P1790" t="e">
            <v>#N/A</v>
          </cell>
          <cell r="R1790" t="e">
            <v>#N/A</v>
          </cell>
          <cell r="S1790" t="e">
            <v>#N/A</v>
          </cell>
          <cell r="Y1790" t="e">
            <v>#N/A</v>
          </cell>
          <cell r="AA1790" t="e">
            <v>#N/A</v>
          </cell>
        </row>
        <row r="1791">
          <cell r="B1791">
            <v>0</v>
          </cell>
          <cell r="C1791">
            <v>0</v>
          </cell>
          <cell r="E1791">
            <v>0</v>
          </cell>
          <cell r="F1791">
            <v>0</v>
          </cell>
          <cell r="G1791">
            <v>0</v>
          </cell>
          <cell r="H1791">
            <v>0</v>
          </cell>
          <cell r="J1791" t="e">
            <v>#N/A</v>
          </cell>
          <cell r="P1791" t="e">
            <v>#N/A</v>
          </cell>
          <cell r="R1791" t="e">
            <v>#N/A</v>
          </cell>
          <cell r="S1791" t="e">
            <v>#N/A</v>
          </cell>
          <cell r="Y1791" t="e">
            <v>#N/A</v>
          </cell>
          <cell r="AA1791" t="e">
            <v>#N/A</v>
          </cell>
        </row>
        <row r="1792">
          <cell r="B1792">
            <v>0</v>
          </cell>
          <cell r="C1792">
            <v>0</v>
          </cell>
          <cell r="E1792">
            <v>0</v>
          </cell>
          <cell r="F1792">
            <v>0</v>
          </cell>
          <cell r="G1792">
            <v>0</v>
          </cell>
          <cell r="H1792">
            <v>0</v>
          </cell>
          <cell r="J1792" t="e">
            <v>#N/A</v>
          </cell>
          <cell r="P1792" t="e">
            <v>#N/A</v>
          </cell>
          <cell r="R1792" t="e">
            <v>#N/A</v>
          </cell>
          <cell r="S1792" t="e">
            <v>#N/A</v>
          </cell>
          <cell r="Y1792" t="e">
            <v>#N/A</v>
          </cell>
          <cell r="AA1792" t="e">
            <v>#N/A</v>
          </cell>
        </row>
        <row r="1793">
          <cell r="B1793">
            <v>0</v>
          </cell>
          <cell r="C1793">
            <v>0</v>
          </cell>
          <cell r="E1793">
            <v>0</v>
          </cell>
          <cell r="F1793">
            <v>0</v>
          </cell>
          <cell r="G1793">
            <v>0</v>
          </cell>
          <cell r="H1793">
            <v>0</v>
          </cell>
          <cell r="J1793" t="e">
            <v>#N/A</v>
          </cell>
          <cell r="P1793" t="e">
            <v>#N/A</v>
          </cell>
          <cell r="R1793" t="e">
            <v>#N/A</v>
          </cell>
          <cell r="S1793" t="e">
            <v>#N/A</v>
          </cell>
          <cell r="Y1793" t="e">
            <v>#N/A</v>
          </cell>
          <cell r="AA1793" t="e">
            <v>#N/A</v>
          </cell>
        </row>
        <row r="1794">
          <cell r="B1794">
            <v>0</v>
          </cell>
          <cell r="C1794">
            <v>0</v>
          </cell>
          <cell r="E1794">
            <v>0</v>
          </cell>
          <cell r="F1794">
            <v>0</v>
          </cell>
          <cell r="G1794">
            <v>0</v>
          </cell>
          <cell r="H1794">
            <v>0</v>
          </cell>
          <cell r="J1794" t="e">
            <v>#N/A</v>
          </cell>
          <cell r="P1794" t="e">
            <v>#N/A</v>
          </cell>
          <cell r="R1794" t="e">
            <v>#N/A</v>
          </cell>
          <cell r="S1794" t="e">
            <v>#N/A</v>
          </cell>
          <cell r="Y1794" t="e">
            <v>#N/A</v>
          </cell>
          <cell r="AA1794" t="e">
            <v>#N/A</v>
          </cell>
        </row>
        <row r="1795">
          <cell r="B1795">
            <v>0</v>
          </cell>
          <cell r="C1795">
            <v>0</v>
          </cell>
          <cell r="E1795">
            <v>0</v>
          </cell>
          <cell r="F1795">
            <v>0</v>
          </cell>
          <cell r="G1795">
            <v>0</v>
          </cell>
          <cell r="H1795">
            <v>0</v>
          </cell>
          <cell r="J1795" t="e">
            <v>#N/A</v>
          </cell>
          <cell r="P1795" t="e">
            <v>#N/A</v>
          </cell>
          <cell r="R1795" t="e">
            <v>#N/A</v>
          </cell>
          <cell r="S1795" t="e">
            <v>#N/A</v>
          </cell>
          <cell r="Y1795" t="e">
            <v>#N/A</v>
          </cell>
          <cell r="AA1795" t="e">
            <v>#N/A</v>
          </cell>
        </row>
        <row r="1796">
          <cell r="B1796">
            <v>0</v>
          </cell>
          <cell r="C1796">
            <v>0</v>
          </cell>
          <cell r="E1796">
            <v>0</v>
          </cell>
          <cell r="F1796">
            <v>0</v>
          </cell>
          <cell r="G1796">
            <v>0</v>
          </cell>
          <cell r="H1796">
            <v>0</v>
          </cell>
          <cell r="J1796" t="e">
            <v>#N/A</v>
          </cell>
          <cell r="P1796" t="e">
            <v>#N/A</v>
          </cell>
          <cell r="R1796" t="e">
            <v>#N/A</v>
          </cell>
          <cell r="S1796" t="e">
            <v>#N/A</v>
          </cell>
          <cell r="Y1796" t="e">
            <v>#N/A</v>
          </cell>
          <cell r="AA1796" t="e">
            <v>#N/A</v>
          </cell>
        </row>
        <row r="1797">
          <cell r="B1797">
            <v>0</v>
          </cell>
          <cell r="C1797">
            <v>0</v>
          </cell>
          <cell r="E1797">
            <v>0</v>
          </cell>
          <cell r="F1797">
            <v>0</v>
          </cell>
          <cell r="G1797">
            <v>0</v>
          </cell>
          <cell r="H1797">
            <v>0</v>
          </cell>
          <cell r="J1797" t="e">
            <v>#N/A</v>
          </cell>
          <cell r="P1797" t="e">
            <v>#N/A</v>
          </cell>
          <cell r="R1797" t="e">
            <v>#N/A</v>
          </cell>
          <cell r="S1797" t="e">
            <v>#N/A</v>
          </cell>
          <cell r="Y1797" t="e">
            <v>#N/A</v>
          </cell>
          <cell r="AA1797" t="e">
            <v>#N/A</v>
          </cell>
        </row>
        <row r="1798">
          <cell r="B1798">
            <v>0</v>
          </cell>
          <cell r="C1798">
            <v>0</v>
          </cell>
          <cell r="E1798">
            <v>0</v>
          </cell>
          <cell r="F1798">
            <v>0</v>
          </cell>
          <cell r="G1798">
            <v>0</v>
          </cell>
          <cell r="H1798">
            <v>0</v>
          </cell>
          <cell r="J1798" t="e">
            <v>#N/A</v>
          </cell>
          <cell r="P1798" t="e">
            <v>#N/A</v>
          </cell>
          <cell r="R1798" t="e">
            <v>#N/A</v>
          </cell>
          <cell r="S1798" t="e">
            <v>#N/A</v>
          </cell>
          <cell r="Y1798" t="e">
            <v>#N/A</v>
          </cell>
          <cell r="AA1798" t="e">
            <v>#N/A</v>
          </cell>
        </row>
        <row r="1799">
          <cell r="B1799">
            <v>0</v>
          </cell>
          <cell r="C1799">
            <v>0</v>
          </cell>
          <cell r="E1799">
            <v>0</v>
          </cell>
          <cell r="F1799">
            <v>0</v>
          </cell>
          <cell r="G1799">
            <v>0</v>
          </cell>
          <cell r="H1799">
            <v>0</v>
          </cell>
          <cell r="J1799" t="e">
            <v>#N/A</v>
          </cell>
          <cell r="P1799" t="e">
            <v>#N/A</v>
          </cell>
          <cell r="R1799" t="e">
            <v>#N/A</v>
          </cell>
          <cell r="S1799" t="e">
            <v>#N/A</v>
          </cell>
          <cell r="Y1799" t="e">
            <v>#N/A</v>
          </cell>
          <cell r="AA1799" t="e">
            <v>#N/A</v>
          </cell>
        </row>
        <row r="1800">
          <cell r="B1800">
            <v>0</v>
          </cell>
          <cell r="C1800">
            <v>0</v>
          </cell>
          <cell r="E1800">
            <v>0</v>
          </cell>
          <cell r="F1800">
            <v>0</v>
          </cell>
          <cell r="G1800">
            <v>0</v>
          </cell>
          <cell r="H1800">
            <v>0</v>
          </cell>
          <cell r="J1800" t="e">
            <v>#N/A</v>
          </cell>
          <cell r="P1800" t="e">
            <v>#N/A</v>
          </cell>
          <cell r="R1800" t="e">
            <v>#N/A</v>
          </cell>
          <cell r="S1800" t="e">
            <v>#N/A</v>
          </cell>
          <cell r="Y1800" t="e">
            <v>#N/A</v>
          </cell>
          <cell r="AA1800" t="e">
            <v>#N/A</v>
          </cell>
        </row>
        <row r="1801">
          <cell r="B1801">
            <v>0</v>
          </cell>
          <cell r="C1801">
            <v>0</v>
          </cell>
          <cell r="E1801">
            <v>0</v>
          </cell>
          <cell r="F1801">
            <v>0</v>
          </cell>
          <cell r="G1801">
            <v>0</v>
          </cell>
          <cell r="H1801">
            <v>0</v>
          </cell>
          <cell r="J1801" t="e">
            <v>#N/A</v>
          </cell>
          <cell r="P1801" t="e">
            <v>#N/A</v>
          </cell>
          <cell r="R1801" t="e">
            <v>#N/A</v>
          </cell>
          <cell r="S1801" t="e">
            <v>#N/A</v>
          </cell>
          <cell r="Y1801" t="e">
            <v>#N/A</v>
          </cell>
          <cell r="AA1801" t="e">
            <v>#N/A</v>
          </cell>
        </row>
        <row r="1802">
          <cell r="B1802">
            <v>0</v>
          </cell>
          <cell r="C1802">
            <v>0</v>
          </cell>
          <cell r="E1802">
            <v>0</v>
          </cell>
          <cell r="F1802">
            <v>0</v>
          </cell>
          <cell r="G1802">
            <v>0</v>
          </cell>
          <cell r="H1802">
            <v>0</v>
          </cell>
          <cell r="J1802" t="e">
            <v>#N/A</v>
          </cell>
          <cell r="P1802" t="e">
            <v>#N/A</v>
          </cell>
          <cell r="R1802" t="e">
            <v>#N/A</v>
          </cell>
          <cell r="S1802" t="e">
            <v>#N/A</v>
          </cell>
          <cell r="Y1802" t="e">
            <v>#N/A</v>
          </cell>
          <cell r="AA1802" t="e">
            <v>#N/A</v>
          </cell>
        </row>
        <row r="1803">
          <cell r="B1803">
            <v>0</v>
          </cell>
          <cell r="C1803">
            <v>0</v>
          </cell>
          <cell r="E1803">
            <v>0</v>
          </cell>
          <cell r="F1803">
            <v>0</v>
          </cell>
          <cell r="G1803">
            <v>0</v>
          </cell>
          <cell r="H1803">
            <v>0</v>
          </cell>
          <cell r="J1803" t="e">
            <v>#N/A</v>
          </cell>
          <cell r="P1803" t="e">
            <v>#N/A</v>
          </cell>
          <cell r="R1803" t="e">
            <v>#N/A</v>
          </cell>
          <cell r="S1803" t="e">
            <v>#N/A</v>
          </cell>
          <cell r="Y1803" t="e">
            <v>#N/A</v>
          </cell>
          <cell r="AA1803" t="e">
            <v>#N/A</v>
          </cell>
        </row>
        <row r="1804">
          <cell r="B1804">
            <v>0</v>
          </cell>
          <cell r="C1804">
            <v>0</v>
          </cell>
          <cell r="E1804">
            <v>0</v>
          </cell>
          <cell r="F1804">
            <v>0</v>
          </cell>
          <cell r="G1804">
            <v>0</v>
          </cell>
          <cell r="H1804">
            <v>0</v>
          </cell>
          <cell r="J1804" t="e">
            <v>#N/A</v>
          </cell>
          <cell r="P1804" t="e">
            <v>#N/A</v>
          </cell>
          <cell r="R1804" t="e">
            <v>#N/A</v>
          </cell>
          <cell r="S1804" t="e">
            <v>#N/A</v>
          </cell>
          <cell r="Y1804" t="e">
            <v>#N/A</v>
          </cell>
          <cell r="AA1804" t="e">
            <v>#N/A</v>
          </cell>
        </row>
        <row r="1805">
          <cell r="B1805">
            <v>0</v>
          </cell>
          <cell r="C1805">
            <v>0</v>
          </cell>
          <cell r="E1805">
            <v>0</v>
          </cell>
          <cell r="F1805">
            <v>0</v>
          </cell>
          <cell r="G1805">
            <v>0</v>
          </cell>
          <cell r="H1805">
            <v>0</v>
          </cell>
          <cell r="J1805" t="e">
            <v>#N/A</v>
          </cell>
          <cell r="P1805" t="e">
            <v>#N/A</v>
          </cell>
          <cell r="R1805" t="e">
            <v>#N/A</v>
          </cell>
          <cell r="S1805" t="e">
            <v>#N/A</v>
          </cell>
          <cell r="Y1805" t="e">
            <v>#N/A</v>
          </cell>
          <cell r="AA1805" t="e">
            <v>#N/A</v>
          </cell>
        </row>
        <row r="1806">
          <cell r="B1806">
            <v>0</v>
          </cell>
          <cell r="C1806">
            <v>0</v>
          </cell>
          <cell r="E1806">
            <v>0</v>
          </cell>
          <cell r="F1806">
            <v>0</v>
          </cell>
          <cell r="G1806">
            <v>0</v>
          </cell>
          <cell r="H1806">
            <v>0</v>
          </cell>
          <cell r="J1806" t="e">
            <v>#N/A</v>
          </cell>
          <cell r="P1806" t="e">
            <v>#N/A</v>
          </cell>
          <cell r="R1806" t="e">
            <v>#N/A</v>
          </cell>
          <cell r="S1806" t="e">
            <v>#N/A</v>
          </cell>
          <cell r="Y1806" t="e">
            <v>#N/A</v>
          </cell>
          <cell r="AA1806" t="e">
            <v>#N/A</v>
          </cell>
        </row>
        <row r="1807">
          <cell r="B1807">
            <v>0</v>
          </cell>
          <cell r="C1807">
            <v>0</v>
          </cell>
          <cell r="E1807">
            <v>0</v>
          </cell>
          <cell r="F1807">
            <v>0</v>
          </cell>
          <cell r="G1807">
            <v>0</v>
          </cell>
          <cell r="H1807">
            <v>0</v>
          </cell>
          <cell r="J1807" t="e">
            <v>#N/A</v>
          </cell>
          <cell r="P1807" t="e">
            <v>#N/A</v>
          </cell>
          <cell r="R1807" t="e">
            <v>#N/A</v>
          </cell>
          <cell r="S1807" t="e">
            <v>#N/A</v>
          </cell>
          <cell r="Y1807" t="e">
            <v>#N/A</v>
          </cell>
          <cell r="AA1807" t="e">
            <v>#N/A</v>
          </cell>
        </row>
        <row r="1808">
          <cell r="B1808">
            <v>0</v>
          </cell>
          <cell r="C1808">
            <v>0</v>
          </cell>
          <cell r="E1808">
            <v>0</v>
          </cell>
          <cell r="F1808">
            <v>0</v>
          </cell>
          <cell r="G1808">
            <v>0</v>
          </cell>
          <cell r="H1808">
            <v>0</v>
          </cell>
          <cell r="J1808" t="e">
            <v>#N/A</v>
          </cell>
          <cell r="P1808" t="e">
            <v>#N/A</v>
          </cell>
          <cell r="R1808" t="e">
            <v>#N/A</v>
          </cell>
          <cell r="S1808" t="e">
            <v>#N/A</v>
          </cell>
          <cell r="Y1808" t="e">
            <v>#N/A</v>
          </cell>
          <cell r="AA1808" t="e">
            <v>#N/A</v>
          </cell>
        </row>
        <row r="1809">
          <cell r="B1809">
            <v>0</v>
          </cell>
          <cell r="C1809">
            <v>0</v>
          </cell>
          <cell r="E1809">
            <v>0</v>
          </cell>
          <cell r="F1809">
            <v>0</v>
          </cell>
          <cell r="G1809">
            <v>0</v>
          </cell>
          <cell r="H1809">
            <v>0</v>
          </cell>
          <cell r="J1809" t="e">
            <v>#N/A</v>
          </cell>
          <cell r="P1809" t="e">
            <v>#N/A</v>
          </cell>
          <cell r="R1809" t="e">
            <v>#N/A</v>
          </cell>
          <cell r="S1809" t="e">
            <v>#N/A</v>
          </cell>
          <cell r="Y1809" t="e">
            <v>#N/A</v>
          </cell>
          <cell r="AA1809" t="e">
            <v>#N/A</v>
          </cell>
        </row>
        <row r="1810">
          <cell r="B1810">
            <v>0</v>
          </cell>
          <cell r="C1810">
            <v>0</v>
          </cell>
          <cell r="E1810">
            <v>0</v>
          </cell>
          <cell r="F1810">
            <v>0</v>
          </cell>
          <cell r="G1810">
            <v>0</v>
          </cell>
          <cell r="H1810">
            <v>0</v>
          </cell>
          <cell r="J1810" t="e">
            <v>#N/A</v>
          </cell>
          <cell r="P1810" t="e">
            <v>#N/A</v>
          </cell>
          <cell r="R1810" t="e">
            <v>#N/A</v>
          </cell>
          <cell r="S1810" t="e">
            <v>#N/A</v>
          </cell>
          <cell r="Y1810" t="e">
            <v>#N/A</v>
          </cell>
          <cell r="AA1810" t="e">
            <v>#N/A</v>
          </cell>
        </row>
        <row r="1811">
          <cell r="B1811">
            <v>0</v>
          </cell>
          <cell r="C1811">
            <v>0</v>
          </cell>
          <cell r="E1811">
            <v>0</v>
          </cell>
          <cell r="F1811">
            <v>0</v>
          </cell>
          <cell r="G1811">
            <v>0</v>
          </cell>
          <cell r="H1811">
            <v>0</v>
          </cell>
          <cell r="J1811" t="e">
            <v>#N/A</v>
          </cell>
          <cell r="P1811" t="e">
            <v>#N/A</v>
          </cell>
          <cell r="R1811" t="e">
            <v>#N/A</v>
          </cell>
          <cell r="S1811" t="e">
            <v>#N/A</v>
          </cell>
          <cell r="Y1811" t="e">
            <v>#N/A</v>
          </cell>
          <cell r="AA1811" t="e">
            <v>#N/A</v>
          </cell>
        </row>
        <row r="1812">
          <cell r="B1812">
            <v>0</v>
          </cell>
          <cell r="C1812">
            <v>0</v>
          </cell>
          <cell r="E1812">
            <v>0</v>
          </cell>
          <cell r="F1812">
            <v>0</v>
          </cell>
          <cell r="G1812">
            <v>0</v>
          </cell>
          <cell r="H1812">
            <v>0</v>
          </cell>
          <cell r="J1812" t="e">
            <v>#N/A</v>
          </cell>
          <cell r="P1812" t="e">
            <v>#N/A</v>
          </cell>
          <cell r="R1812" t="e">
            <v>#N/A</v>
          </cell>
          <cell r="S1812" t="e">
            <v>#N/A</v>
          </cell>
          <cell r="Y1812" t="e">
            <v>#N/A</v>
          </cell>
          <cell r="AA1812" t="e">
            <v>#N/A</v>
          </cell>
        </row>
        <row r="1813">
          <cell r="B1813">
            <v>0</v>
          </cell>
          <cell r="C1813">
            <v>0</v>
          </cell>
          <cell r="E1813">
            <v>0</v>
          </cell>
          <cell r="F1813">
            <v>0</v>
          </cell>
          <cell r="G1813">
            <v>0</v>
          </cell>
          <cell r="H1813">
            <v>0</v>
          </cell>
          <cell r="J1813" t="e">
            <v>#N/A</v>
          </cell>
          <cell r="P1813" t="e">
            <v>#N/A</v>
          </cell>
          <cell r="R1813" t="e">
            <v>#N/A</v>
          </cell>
          <cell r="S1813" t="e">
            <v>#N/A</v>
          </cell>
          <cell r="Y1813" t="e">
            <v>#N/A</v>
          </cell>
          <cell r="AA1813" t="e">
            <v>#N/A</v>
          </cell>
        </row>
        <row r="1814">
          <cell r="B1814">
            <v>0</v>
          </cell>
          <cell r="C1814">
            <v>0</v>
          </cell>
          <cell r="E1814">
            <v>0</v>
          </cell>
          <cell r="F1814">
            <v>0</v>
          </cell>
          <cell r="G1814">
            <v>0</v>
          </cell>
          <cell r="H1814">
            <v>0</v>
          </cell>
          <cell r="J1814" t="e">
            <v>#N/A</v>
          </cell>
          <cell r="P1814" t="e">
            <v>#N/A</v>
          </cell>
          <cell r="R1814" t="e">
            <v>#N/A</v>
          </cell>
          <cell r="S1814" t="e">
            <v>#N/A</v>
          </cell>
          <cell r="Y1814" t="e">
            <v>#N/A</v>
          </cell>
          <cell r="AA1814" t="e">
            <v>#N/A</v>
          </cell>
        </row>
        <row r="1815">
          <cell r="B1815">
            <v>0</v>
          </cell>
          <cell r="C1815">
            <v>0</v>
          </cell>
          <cell r="E1815">
            <v>0</v>
          </cell>
          <cell r="F1815">
            <v>0</v>
          </cell>
          <cell r="G1815">
            <v>0</v>
          </cell>
          <cell r="H1815">
            <v>0</v>
          </cell>
          <cell r="J1815" t="e">
            <v>#N/A</v>
          </cell>
          <cell r="P1815" t="e">
            <v>#N/A</v>
          </cell>
          <cell r="R1815" t="e">
            <v>#N/A</v>
          </cell>
          <cell r="S1815" t="e">
            <v>#N/A</v>
          </cell>
          <cell r="Y1815" t="e">
            <v>#N/A</v>
          </cell>
          <cell r="AA1815" t="e">
            <v>#N/A</v>
          </cell>
        </row>
        <row r="1816">
          <cell r="B1816">
            <v>0</v>
          </cell>
          <cell r="C1816">
            <v>0</v>
          </cell>
          <cell r="E1816">
            <v>0</v>
          </cell>
          <cell r="F1816">
            <v>0</v>
          </cell>
          <cell r="G1816">
            <v>0</v>
          </cell>
          <cell r="H1816">
            <v>0</v>
          </cell>
          <cell r="J1816" t="e">
            <v>#N/A</v>
          </cell>
          <cell r="P1816" t="e">
            <v>#N/A</v>
          </cell>
          <cell r="R1816" t="e">
            <v>#N/A</v>
          </cell>
          <cell r="S1816" t="e">
            <v>#N/A</v>
          </cell>
          <cell r="Y1816" t="e">
            <v>#N/A</v>
          </cell>
          <cell r="AA1816" t="e">
            <v>#N/A</v>
          </cell>
        </row>
        <row r="1817">
          <cell r="B1817">
            <v>0</v>
          </cell>
          <cell r="C1817">
            <v>0</v>
          </cell>
          <cell r="E1817">
            <v>0</v>
          </cell>
          <cell r="F1817">
            <v>0</v>
          </cell>
          <cell r="G1817">
            <v>0</v>
          </cell>
          <cell r="H1817">
            <v>0</v>
          </cell>
          <cell r="J1817" t="e">
            <v>#N/A</v>
          </cell>
          <cell r="P1817" t="e">
            <v>#N/A</v>
          </cell>
          <cell r="R1817" t="e">
            <v>#N/A</v>
          </cell>
          <cell r="S1817" t="e">
            <v>#N/A</v>
          </cell>
          <cell r="Y1817" t="e">
            <v>#N/A</v>
          </cell>
          <cell r="AA1817" t="e">
            <v>#N/A</v>
          </cell>
        </row>
        <row r="1818">
          <cell r="B1818">
            <v>0</v>
          </cell>
          <cell r="C1818">
            <v>0</v>
          </cell>
          <cell r="E1818">
            <v>0</v>
          </cell>
          <cell r="F1818">
            <v>0</v>
          </cell>
          <cell r="G1818">
            <v>0</v>
          </cell>
          <cell r="H1818">
            <v>0</v>
          </cell>
          <cell r="J1818" t="e">
            <v>#N/A</v>
          </cell>
          <cell r="P1818" t="e">
            <v>#N/A</v>
          </cell>
          <cell r="R1818" t="e">
            <v>#N/A</v>
          </cell>
          <cell r="S1818" t="e">
            <v>#N/A</v>
          </cell>
          <cell r="Y1818" t="e">
            <v>#N/A</v>
          </cell>
          <cell r="AA1818" t="e">
            <v>#N/A</v>
          </cell>
        </row>
        <row r="1819">
          <cell r="B1819">
            <v>0</v>
          </cell>
          <cell r="C1819">
            <v>0</v>
          </cell>
          <cell r="E1819">
            <v>0</v>
          </cell>
          <cell r="F1819">
            <v>0</v>
          </cell>
          <cell r="G1819">
            <v>0</v>
          </cell>
          <cell r="H1819">
            <v>0</v>
          </cell>
          <cell r="J1819" t="e">
            <v>#N/A</v>
          </cell>
          <cell r="P1819" t="e">
            <v>#N/A</v>
          </cell>
          <cell r="R1819" t="e">
            <v>#N/A</v>
          </cell>
          <cell r="S1819" t="e">
            <v>#N/A</v>
          </cell>
          <cell r="Y1819" t="e">
            <v>#N/A</v>
          </cell>
          <cell r="AA1819" t="e">
            <v>#N/A</v>
          </cell>
        </row>
        <row r="1820">
          <cell r="B1820">
            <v>0</v>
          </cell>
          <cell r="C1820">
            <v>0</v>
          </cell>
          <cell r="E1820">
            <v>0</v>
          </cell>
          <cell r="F1820">
            <v>0</v>
          </cell>
          <cell r="G1820">
            <v>0</v>
          </cell>
          <cell r="H1820">
            <v>0</v>
          </cell>
          <cell r="J1820" t="e">
            <v>#N/A</v>
          </cell>
          <cell r="P1820" t="e">
            <v>#N/A</v>
          </cell>
          <cell r="R1820" t="e">
            <v>#N/A</v>
          </cell>
          <cell r="S1820" t="e">
            <v>#N/A</v>
          </cell>
          <cell r="Y1820" t="e">
            <v>#N/A</v>
          </cell>
          <cell r="AA1820" t="e">
            <v>#N/A</v>
          </cell>
        </row>
        <row r="1821">
          <cell r="B1821">
            <v>0</v>
          </cell>
          <cell r="C1821">
            <v>0</v>
          </cell>
          <cell r="E1821">
            <v>0</v>
          </cell>
          <cell r="F1821">
            <v>0</v>
          </cell>
          <cell r="G1821">
            <v>0</v>
          </cell>
          <cell r="H1821">
            <v>0</v>
          </cell>
          <cell r="J1821" t="e">
            <v>#N/A</v>
          </cell>
          <cell r="P1821" t="e">
            <v>#N/A</v>
          </cell>
          <cell r="R1821" t="e">
            <v>#N/A</v>
          </cell>
          <cell r="S1821" t="e">
            <v>#N/A</v>
          </cell>
          <cell r="Y1821" t="e">
            <v>#N/A</v>
          </cell>
          <cell r="AA1821" t="e">
            <v>#N/A</v>
          </cell>
        </row>
        <row r="1822">
          <cell r="B1822">
            <v>0</v>
          </cell>
          <cell r="C1822">
            <v>0</v>
          </cell>
          <cell r="E1822">
            <v>0</v>
          </cell>
          <cell r="F1822">
            <v>0</v>
          </cell>
          <cell r="G1822">
            <v>0</v>
          </cell>
          <cell r="H1822">
            <v>0</v>
          </cell>
          <cell r="J1822" t="e">
            <v>#N/A</v>
          </cell>
          <cell r="P1822" t="e">
            <v>#N/A</v>
          </cell>
          <cell r="R1822" t="e">
            <v>#N/A</v>
          </cell>
          <cell r="S1822" t="e">
            <v>#N/A</v>
          </cell>
          <cell r="Y1822" t="e">
            <v>#N/A</v>
          </cell>
          <cell r="AA1822" t="e">
            <v>#N/A</v>
          </cell>
        </row>
        <row r="1823">
          <cell r="B1823">
            <v>0</v>
          </cell>
          <cell r="C1823">
            <v>0</v>
          </cell>
          <cell r="E1823">
            <v>0</v>
          </cell>
          <cell r="F1823">
            <v>0</v>
          </cell>
          <cell r="G1823">
            <v>0</v>
          </cell>
          <cell r="H1823">
            <v>0</v>
          </cell>
          <cell r="J1823" t="e">
            <v>#N/A</v>
          </cell>
          <cell r="P1823" t="e">
            <v>#N/A</v>
          </cell>
          <cell r="R1823" t="e">
            <v>#N/A</v>
          </cell>
          <cell r="S1823" t="e">
            <v>#N/A</v>
          </cell>
          <cell r="Y1823" t="e">
            <v>#N/A</v>
          </cell>
          <cell r="AA1823" t="e">
            <v>#N/A</v>
          </cell>
        </row>
        <row r="1824">
          <cell r="B1824">
            <v>0</v>
          </cell>
          <cell r="C1824">
            <v>0</v>
          </cell>
          <cell r="E1824">
            <v>0</v>
          </cell>
          <cell r="F1824">
            <v>0</v>
          </cell>
          <cell r="G1824">
            <v>0</v>
          </cell>
          <cell r="H1824">
            <v>0</v>
          </cell>
          <cell r="J1824" t="e">
            <v>#N/A</v>
          </cell>
          <cell r="P1824" t="e">
            <v>#N/A</v>
          </cell>
          <cell r="R1824" t="e">
            <v>#N/A</v>
          </cell>
          <cell r="S1824" t="e">
            <v>#N/A</v>
          </cell>
          <cell r="Y1824" t="e">
            <v>#N/A</v>
          </cell>
          <cell r="AA1824" t="e">
            <v>#N/A</v>
          </cell>
        </row>
        <row r="1825">
          <cell r="B1825">
            <v>0</v>
          </cell>
          <cell r="C1825">
            <v>0</v>
          </cell>
          <cell r="E1825">
            <v>0</v>
          </cell>
          <cell r="F1825">
            <v>0</v>
          </cell>
          <cell r="G1825">
            <v>0</v>
          </cell>
          <cell r="H1825">
            <v>0</v>
          </cell>
          <cell r="J1825" t="e">
            <v>#N/A</v>
          </cell>
          <cell r="P1825" t="e">
            <v>#N/A</v>
          </cell>
          <cell r="R1825" t="e">
            <v>#N/A</v>
          </cell>
          <cell r="S1825" t="e">
            <v>#N/A</v>
          </cell>
          <cell r="Y1825" t="e">
            <v>#N/A</v>
          </cell>
          <cell r="AA1825" t="e">
            <v>#N/A</v>
          </cell>
        </row>
        <row r="1826">
          <cell r="B1826">
            <v>0</v>
          </cell>
          <cell r="C1826">
            <v>0</v>
          </cell>
          <cell r="E1826">
            <v>0</v>
          </cell>
          <cell r="F1826">
            <v>0</v>
          </cell>
          <cell r="G1826">
            <v>0</v>
          </cell>
          <cell r="H1826">
            <v>0</v>
          </cell>
          <cell r="J1826" t="e">
            <v>#N/A</v>
          </cell>
          <cell r="P1826" t="e">
            <v>#N/A</v>
          </cell>
          <cell r="R1826" t="e">
            <v>#N/A</v>
          </cell>
          <cell r="S1826" t="e">
            <v>#N/A</v>
          </cell>
          <cell r="Y1826" t="e">
            <v>#N/A</v>
          </cell>
          <cell r="AA1826" t="e">
            <v>#N/A</v>
          </cell>
        </row>
        <row r="1827">
          <cell r="B1827">
            <v>0</v>
          </cell>
          <cell r="C1827">
            <v>0</v>
          </cell>
          <cell r="E1827">
            <v>0</v>
          </cell>
          <cell r="F1827">
            <v>0</v>
          </cell>
          <cell r="G1827">
            <v>0</v>
          </cell>
          <cell r="H1827">
            <v>0</v>
          </cell>
          <cell r="J1827" t="e">
            <v>#N/A</v>
          </cell>
          <cell r="P1827" t="e">
            <v>#N/A</v>
          </cell>
          <cell r="R1827" t="e">
            <v>#N/A</v>
          </cell>
          <cell r="S1827" t="e">
            <v>#N/A</v>
          </cell>
          <cell r="Y1827" t="e">
            <v>#N/A</v>
          </cell>
          <cell r="AA1827" t="e">
            <v>#N/A</v>
          </cell>
        </row>
        <row r="1828">
          <cell r="B1828">
            <v>0</v>
          </cell>
          <cell r="C1828">
            <v>0</v>
          </cell>
          <cell r="E1828">
            <v>0</v>
          </cell>
          <cell r="F1828">
            <v>0</v>
          </cell>
          <cell r="G1828">
            <v>0</v>
          </cell>
          <cell r="H1828">
            <v>0</v>
          </cell>
          <cell r="J1828" t="e">
            <v>#N/A</v>
          </cell>
          <cell r="P1828" t="e">
            <v>#N/A</v>
          </cell>
          <cell r="R1828" t="e">
            <v>#N/A</v>
          </cell>
          <cell r="S1828" t="e">
            <v>#N/A</v>
          </cell>
          <cell r="Y1828" t="e">
            <v>#N/A</v>
          </cell>
          <cell r="AA1828" t="e">
            <v>#N/A</v>
          </cell>
        </row>
        <row r="1829">
          <cell r="B1829">
            <v>0</v>
          </cell>
          <cell r="C1829">
            <v>0</v>
          </cell>
          <cell r="E1829">
            <v>0</v>
          </cell>
          <cell r="F1829">
            <v>0</v>
          </cell>
          <cell r="G1829">
            <v>0</v>
          </cell>
          <cell r="H1829">
            <v>0</v>
          </cell>
          <cell r="J1829" t="e">
            <v>#N/A</v>
          </cell>
          <cell r="P1829" t="e">
            <v>#N/A</v>
          </cell>
          <cell r="R1829" t="e">
            <v>#N/A</v>
          </cell>
          <cell r="S1829" t="e">
            <v>#N/A</v>
          </cell>
          <cell r="Y1829" t="e">
            <v>#N/A</v>
          </cell>
          <cell r="AA1829" t="e">
            <v>#N/A</v>
          </cell>
        </row>
        <row r="1830">
          <cell r="B1830">
            <v>0</v>
          </cell>
          <cell r="C1830">
            <v>0</v>
          </cell>
          <cell r="E1830">
            <v>0</v>
          </cell>
          <cell r="F1830">
            <v>0</v>
          </cell>
          <cell r="G1830">
            <v>0</v>
          </cell>
          <cell r="H1830">
            <v>0</v>
          </cell>
          <cell r="J1830" t="e">
            <v>#N/A</v>
          </cell>
          <cell r="P1830" t="e">
            <v>#N/A</v>
          </cell>
          <cell r="R1830" t="e">
            <v>#N/A</v>
          </cell>
          <cell r="S1830" t="e">
            <v>#N/A</v>
          </cell>
          <cell r="Y1830" t="e">
            <v>#N/A</v>
          </cell>
          <cell r="AA1830" t="e">
            <v>#N/A</v>
          </cell>
        </row>
        <row r="1831">
          <cell r="B1831">
            <v>0</v>
          </cell>
          <cell r="C1831">
            <v>0</v>
          </cell>
          <cell r="E1831">
            <v>0</v>
          </cell>
          <cell r="F1831">
            <v>0</v>
          </cell>
          <cell r="G1831">
            <v>0</v>
          </cell>
          <cell r="H1831">
            <v>0</v>
          </cell>
          <cell r="J1831" t="e">
            <v>#N/A</v>
          </cell>
          <cell r="P1831" t="e">
            <v>#N/A</v>
          </cell>
          <cell r="R1831" t="e">
            <v>#N/A</v>
          </cell>
          <cell r="S1831" t="e">
            <v>#N/A</v>
          </cell>
          <cell r="Y1831" t="e">
            <v>#N/A</v>
          </cell>
          <cell r="AA1831" t="e">
            <v>#N/A</v>
          </cell>
        </row>
        <row r="1832">
          <cell r="B1832">
            <v>0</v>
          </cell>
          <cell r="C1832">
            <v>0</v>
          </cell>
          <cell r="E1832">
            <v>0</v>
          </cell>
          <cell r="F1832">
            <v>0</v>
          </cell>
          <cell r="G1832">
            <v>0</v>
          </cell>
          <cell r="H1832">
            <v>0</v>
          </cell>
          <cell r="J1832" t="e">
            <v>#N/A</v>
          </cell>
          <cell r="P1832" t="e">
            <v>#N/A</v>
          </cell>
          <cell r="R1832" t="e">
            <v>#N/A</v>
          </cell>
          <cell r="S1832" t="e">
            <v>#N/A</v>
          </cell>
          <cell r="Y1832" t="e">
            <v>#N/A</v>
          </cell>
          <cell r="AA1832" t="e">
            <v>#N/A</v>
          </cell>
        </row>
        <row r="1833">
          <cell r="B1833">
            <v>0</v>
          </cell>
          <cell r="C1833">
            <v>0</v>
          </cell>
          <cell r="E1833">
            <v>0</v>
          </cell>
          <cell r="F1833">
            <v>0</v>
          </cell>
          <cell r="G1833">
            <v>0</v>
          </cell>
          <cell r="H1833">
            <v>0</v>
          </cell>
          <cell r="J1833" t="e">
            <v>#N/A</v>
          </cell>
          <cell r="P1833" t="e">
            <v>#N/A</v>
          </cell>
          <cell r="R1833" t="e">
            <v>#N/A</v>
          </cell>
          <cell r="S1833" t="e">
            <v>#N/A</v>
          </cell>
          <cell r="Y1833" t="e">
            <v>#N/A</v>
          </cell>
          <cell r="AA1833" t="e">
            <v>#N/A</v>
          </cell>
        </row>
        <row r="1834">
          <cell r="B1834">
            <v>0</v>
          </cell>
          <cell r="C1834">
            <v>0</v>
          </cell>
          <cell r="E1834">
            <v>0</v>
          </cell>
          <cell r="F1834">
            <v>0</v>
          </cell>
          <cell r="G1834">
            <v>0</v>
          </cell>
          <cell r="H1834">
            <v>0</v>
          </cell>
          <cell r="J1834" t="e">
            <v>#N/A</v>
          </cell>
          <cell r="P1834" t="e">
            <v>#N/A</v>
          </cell>
          <cell r="R1834" t="e">
            <v>#N/A</v>
          </cell>
          <cell r="S1834" t="e">
            <v>#N/A</v>
          </cell>
          <cell r="Y1834" t="e">
            <v>#N/A</v>
          </cell>
          <cell r="AA1834" t="e">
            <v>#N/A</v>
          </cell>
        </row>
        <row r="1835">
          <cell r="B1835">
            <v>0</v>
          </cell>
          <cell r="C1835">
            <v>0</v>
          </cell>
          <cell r="E1835">
            <v>0</v>
          </cell>
          <cell r="F1835">
            <v>0</v>
          </cell>
          <cell r="G1835">
            <v>0</v>
          </cell>
          <cell r="H1835">
            <v>0</v>
          </cell>
          <cell r="J1835" t="e">
            <v>#N/A</v>
          </cell>
          <cell r="P1835" t="e">
            <v>#N/A</v>
          </cell>
          <cell r="R1835" t="e">
            <v>#N/A</v>
          </cell>
          <cell r="S1835" t="e">
            <v>#N/A</v>
          </cell>
          <cell r="Y1835" t="e">
            <v>#N/A</v>
          </cell>
          <cell r="AA1835" t="e">
            <v>#N/A</v>
          </cell>
        </row>
        <row r="1836">
          <cell r="B1836">
            <v>0</v>
          </cell>
          <cell r="C1836">
            <v>0</v>
          </cell>
          <cell r="E1836">
            <v>0</v>
          </cell>
          <cell r="F1836">
            <v>0</v>
          </cell>
          <cell r="G1836">
            <v>0</v>
          </cell>
          <cell r="H1836">
            <v>0</v>
          </cell>
          <cell r="J1836" t="e">
            <v>#N/A</v>
          </cell>
          <cell r="P1836" t="e">
            <v>#N/A</v>
          </cell>
          <cell r="R1836" t="e">
            <v>#N/A</v>
          </cell>
          <cell r="S1836" t="e">
            <v>#N/A</v>
          </cell>
          <cell r="Y1836" t="e">
            <v>#N/A</v>
          </cell>
          <cell r="AA1836" t="e">
            <v>#N/A</v>
          </cell>
        </row>
        <row r="1837">
          <cell r="B1837">
            <v>0</v>
          </cell>
          <cell r="C1837">
            <v>0</v>
          </cell>
          <cell r="E1837">
            <v>0</v>
          </cell>
          <cell r="F1837">
            <v>0</v>
          </cell>
          <cell r="G1837">
            <v>0</v>
          </cell>
          <cell r="H1837">
            <v>0</v>
          </cell>
          <cell r="J1837" t="e">
            <v>#N/A</v>
          </cell>
          <cell r="P1837" t="e">
            <v>#N/A</v>
          </cell>
          <cell r="R1837" t="e">
            <v>#N/A</v>
          </cell>
          <cell r="S1837" t="e">
            <v>#N/A</v>
          </cell>
          <cell r="Y1837" t="e">
            <v>#N/A</v>
          </cell>
          <cell r="AA1837" t="e">
            <v>#N/A</v>
          </cell>
        </row>
        <row r="1838">
          <cell r="B1838">
            <v>0</v>
          </cell>
          <cell r="C1838">
            <v>0</v>
          </cell>
          <cell r="E1838">
            <v>0</v>
          </cell>
          <cell r="F1838">
            <v>0</v>
          </cell>
          <cell r="G1838">
            <v>0</v>
          </cell>
          <cell r="H1838">
            <v>0</v>
          </cell>
          <cell r="J1838" t="e">
            <v>#N/A</v>
          </cell>
          <cell r="P1838" t="e">
            <v>#N/A</v>
          </cell>
          <cell r="R1838" t="e">
            <v>#N/A</v>
          </cell>
          <cell r="S1838" t="e">
            <v>#N/A</v>
          </cell>
          <cell r="Y1838" t="e">
            <v>#N/A</v>
          </cell>
          <cell r="AA1838" t="e">
            <v>#N/A</v>
          </cell>
        </row>
        <row r="1839">
          <cell r="B1839">
            <v>0</v>
          </cell>
          <cell r="C1839">
            <v>0</v>
          </cell>
          <cell r="E1839">
            <v>0</v>
          </cell>
          <cell r="F1839">
            <v>0</v>
          </cell>
          <cell r="G1839">
            <v>0</v>
          </cell>
          <cell r="H1839">
            <v>0</v>
          </cell>
          <cell r="J1839" t="e">
            <v>#N/A</v>
          </cell>
          <cell r="P1839" t="e">
            <v>#N/A</v>
          </cell>
          <cell r="R1839" t="e">
            <v>#N/A</v>
          </cell>
          <cell r="S1839" t="e">
            <v>#N/A</v>
          </cell>
          <cell r="Y1839" t="e">
            <v>#N/A</v>
          </cell>
          <cell r="AA1839" t="e">
            <v>#N/A</v>
          </cell>
        </row>
        <row r="1840">
          <cell r="B1840">
            <v>0</v>
          </cell>
          <cell r="C1840">
            <v>0</v>
          </cell>
          <cell r="E1840">
            <v>0</v>
          </cell>
          <cell r="F1840">
            <v>0</v>
          </cell>
          <cell r="G1840">
            <v>0</v>
          </cell>
          <cell r="H1840">
            <v>0</v>
          </cell>
          <cell r="J1840" t="e">
            <v>#N/A</v>
          </cell>
          <cell r="P1840" t="e">
            <v>#N/A</v>
          </cell>
          <cell r="R1840" t="e">
            <v>#N/A</v>
          </cell>
          <cell r="S1840" t="e">
            <v>#N/A</v>
          </cell>
          <cell r="Y1840" t="e">
            <v>#N/A</v>
          </cell>
          <cell r="AA1840" t="e">
            <v>#N/A</v>
          </cell>
        </row>
        <row r="1841">
          <cell r="B1841">
            <v>0</v>
          </cell>
          <cell r="C1841">
            <v>0</v>
          </cell>
          <cell r="E1841">
            <v>0</v>
          </cell>
          <cell r="F1841">
            <v>0</v>
          </cell>
          <cell r="G1841">
            <v>0</v>
          </cell>
          <cell r="H1841">
            <v>0</v>
          </cell>
          <cell r="J1841" t="e">
            <v>#N/A</v>
          </cell>
          <cell r="P1841" t="e">
            <v>#N/A</v>
          </cell>
          <cell r="R1841" t="e">
            <v>#N/A</v>
          </cell>
          <cell r="S1841" t="e">
            <v>#N/A</v>
          </cell>
          <cell r="Y1841" t="e">
            <v>#N/A</v>
          </cell>
          <cell r="AA1841" t="e">
            <v>#N/A</v>
          </cell>
        </row>
        <row r="1842">
          <cell r="B1842">
            <v>0</v>
          </cell>
          <cell r="C1842">
            <v>0</v>
          </cell>
          <cell r="E1842">
            <v>0</v>
          </cell>
          <cell r="F1842">
            <v>0</v>
          </cell>
          <cell r="G1842">
            <v>0</v>
          </cell>
          <cell r="H1842">
            <v>0</v>
          </cell>
          <cell r="J1842" t="e">
            <v>#N/A</v>
          </cell>
          <cell r="P1842" t="e">
            <v>#N/A</v>
          </cell>
          <cell r="R1842" t="e">
            <v>#N/A</v>
          </cell>
          <cell r="S1842" t="e">
            <v>#N/A</v>
          </cell>
          <cell r="Y1842" t="e">
            <v>#N/A</v>
          </cell>
          <cell r="AA1842" t="e">
            <v>#N/A</v>
          </cell>
        </row>
        <row r="1843">
          <cell r="B1843">
            <v>0</v>
          </cell>
          <cell r="C1843">
            <v>0</v>
          </cell>
          <cell r="E1843">
            <v>0</v>
          </cell>
          <cell r="F1843">
            <v>0</v>
          </cell>
          <cell r="G1843">
            <v>0</v>
          </cell>
          <cell r="H1843">
            <v>0</v>
          </cell>
          <cell r="J1843" t="e">
            <v>#N/A</v>
          </cell>
          <cell r="P1843" t="e">
            <v>#N/A</v>
          </cell>
          <cell r="R1843" t="e">
            <v>#N/A</v>
          </cell>
          <cell r="S1843" t="e">
            <v>#N/A</v>
          </cell>
          <cell r="Y1843" t="e">
            <v>#N/A</v>
          </cell>
          <cell r="AA1843" t="e">
            <v>#N/A</v>
          </cell>
        </row>
        <row r="1844">
          <cell r="B1844">
            <v>0</v>
          </cell>
          <cell r="C1844">
            <v>0</v>
          </cell>
          <cell r="E1844">
            <v>0</v>
          </cell>
          <cell r="F1844">
            <v>0</v>
          </cell>
          <cell r="G1844">
            <v>0</v>
          </cell>
          <cell r="H1844">
            <v>0</v>
          </cell>
          <cell r="J1844" t="e">
            <v>#N/A</v>
          </cell>
          <cell r="P1844" t="e">
            <v>#N/A</v>
          </cell>
          <cell r="R1844" t="e">
            <v>#N/A</v>
          </cell>
          <cell r="S1844" t="e">
            <v>#N/A</v>
          </cell>
          <cell r="Y1844" t="e">
            <v>#N/A</v>
          </cell>
          <cell r="AA1844" t="e">
            <v>#N/A</v>
          </cell>
        </row>
        <row r="1845">
          <cell r="B1845">
            <v>0</v>
          </cell>
          <cell r="C1845">
            <v>0</v>
          </cell>
          <cell r="E1845">
            <v>0</v>
          </cell>
          <cell r="F1845">
            <v>0</v>
          </cell>
          <cell r="G1845">
            <v>0</v>
          </cell>
          <cell r="H1845">
            <v>0</v>
          </cell>
          <cell r="J1845" t="e">
            <v>#N/A</v>
          </cell>
          <cell r="P1845" t="e">
            <v>#N/A</v>
          </cell>
          <cell r="R1845" t="e">
            <v>#N/A</v>
          </cell>
          <cell r="S1845" t="e">
            <v>#N/A</v>
          </cell>
          <cell r="Y1845" t="e">
            <v>#N/A</v>
          </cell>
          <cell r="AA1845" t="e">
            <v>#N/A</v>
          </cell>
        </row>
        <row r="1846">
          <cell r="B1846">
            <v>0</v>
          </cell>
          <cell r="C1846">
            <v>0</v>
          </cell>
          <cell r="E1846">
            <v>0</v>
          </cell>
          <cell r="F1846">
            <v>0</v>
          </cell>
          <cell r="G1846">
            <v>0</v>
          </cell>
          <cell r="H1846">
            <v>0</v>
          </cell>
          <cell r="J1846" t="e">
            <v>#N/A</v>
          </cell>
          <cell r="P1846" t="e">
            <v>#N/A</v>
          </cell>
          <cell r="R1846" t="e">
            <v>#N/A</v>
          </cell>
          <cell r="S1846" t="e">
            <v>#N/A</v>
          </cell>
          <cell r="Y1846" t="e">
            <v>#N/A</v>
          </cell>
          <cell r="AA1846" t="e">
            <v>#N/A</v>
          </cell>
        </row>
        <row r="1847">
          <cell r="B1847">
            <v>0</v>
          </cell>
          <cell r="C1847">
            <v>0</v>
          </cell>
          <cell r="E1847">
            <v>0</v>
          </cell>
          <cell r="F1847">
            <v>0</v>
          </cell>
          <cell r="G1847">
            <v>0</v>
          </cell>
          <cell r="H1847">
            <v>0</v>
          </cell>
          <cell r="J1847" t="e">
            <v>#N/A</v>
          </cell>
          <cell r="P1847" t="e">
            <v>#N/A</v>
          </cell>
          <cell r="R1847" t="e">
            <v>#N/A</v>
          </cell>
          <cell r="S1847" t="e">
            <v>#N/A</v>
          </cell>
          <cell r="Y1847" t="e">
            <v>#N/A</v>
          </cell>
          <cell r="AA1847" t="e">
            <v>#N/A</v>
          </cell>
        </row>
        <row r="1848">
          <cell r="B1848">
            <v>0</v>
          </cell>
          <cell r="C1848">
            <v>0</v>
          </cell>
          <cell r="E1848">
            <v>0</v>
          </cell>
          <cell r="F1848">
            <v>0</v>
          </cell>
          <cell r="G1848">
            <v>0</v>
          </cell>
          <cell r="H1848">
            <v>0</v>
          </cell>
          <cell r="J1848" t="e">
            <v>#N/A</v>
          </cell>
          <cell r="P1848" t="e">
            <v>#N/A</v>
          </cell>
          <cell r="R1848" t="e">
            <v>#N/A</v>
          </cell>
          <cell r="S1848" t="e">
            <v>#N/A</v>
          </cell>
          <cell r="Y1848" t="e">
            <v>#N/A</v>
          </cell>
          <cell r="AA1848" t="e">
            <v>#N/A</v>
          </cell>
        </row>
        <row r="1849">
          <cell r="B1849">
            <v>0</v>
          </cell>
          <cell r="C1849">
            <v>0</v>
          </cell>
          <cell r="E1849">
            <v>0</v>
          </cell>
          <cell r="F1849">
            <v>0</v>
          </cell>
          <cell r="G1849">
            <v>0</v>
          </cell>
          <cell r="H1849">
            <v>0</v>
          </cell>
          <cell r="J1849" t="e">
            <v>#N/A</v>
          </cell>
          <cell r="P1849" t="e">
            <v>#N/A</v>
          </cell>
          <cell r="R1849" t="e">
            <v>#N/A</v>
          </cell>
          <cell r="S1849" t="e">
            <v>#N/A</v>
          </cell>
          <cell r="Y1849" t="e">
            <v>#N/A</v>
          </cell>
          <cell r="AA1849" t="e">
            <v>#N/A</v>
          </cell>
        </row>
        <row r="1850">
          <cell r="B1850">
            <v>0</v>
          </cell>
          <cell r="C1850">
            <v>0</v>
          </cell>
          <cell r="E1850">
            <v>0</v>
          </cell>
          <cell r="F1850">
            <v>0</v>
          </cell>
          <cell r="G1850">
            <v>0</v>
          </cell>
          <cell r="H1850">
            <v>0</v>
          </cell>
          <cell r="J1850" t="e">
            <v>#N/A</v>
          </cell>
          <cell r="P1850" t="e">
            <v>#N/A</v>
          </cell>
          <cell r="R1850" t="e">
            <v>#N/A</v>
          </cell>
          <cell r="S1850" t="e">
            <v>#N/A</v>
          </cell>
          <cell r="Y1850" t="e">
            <v>#N/A</v>
          </cell>
          <cell r="AA1850" t="e">
            <v>#N/A</v>
          </cell>
        </row>
        <row r="1851">
          <cell r="B1851">
            <v>0</v>
          </cell>
          <cell r="C1851">
            <v>0</v>
          </cell>
          <cell r="E1851">
            <v>0</v>
          </cell>
          <cell r="F1851">
            <v>0</v>
          </cell>
          <cell r="G1851">
            <v>0</v>
          </cell>
          <cell r="H1851">
            <v>0</v>
          </cell>
          <cell r="J1851" t="e">
            <v>#N/A</v>
          </cell>
          <cell r="P1851" t="e">
            <v>#N/A</v>
          </cell>
          <cell r="R1851" t="e">
            <v>#N/A</v>
          </cell>
          <cell r="S1851" t="e">
            <v>#N/A</v>
          </cell>
          <cell r="Y1851" t="e">
            <v>#N/A</v>
          </cell>
          <cell r="AA1851" t="e">
            <v>#N/A</v>
          </cell>
        </row>
        <row r="1852">
          <cell r="B1852">
            <v>0</v>
          </cell>
          <cell r="C1852">
            <v>0</v>
          </cell>
          <cell r="E1852">
            <v>0</v>
          </cell>
          <cell r="F1852">
            <v>0</v>
          </cell>
          <cell r="G1852">
            <v>0</v>
          </cell>
          <cell r="H1852">
            <v>0</v>
          </cell>
          <cell r="J1852" t="e">
            <v>#N/A</v>
          </cell>
          <cell r="P1852" t="e">
            <v>#N/A</v>
          </cell>
          <cell r="R1852" t="e">
            <v>#N/A</v>
          </cell>
          <cell r="S1852" t="e">
            <v>#N/A</v>
          </cell>
          <cell r="Y1852" t="e">
            <v>#N/A</v>
          </cell>
          <cell r="AA1852" t="e">
            <v>#N/A</v>
          </cell>
        </row>
        <row r="1853">
          <cell r="B1853">
            <v>0</v>
          </cell>
          <cell r="C1853">
            <v>0</v>
          </cell>
          <cell r="E1853">
            <v>0</v>
          </cell>
          <cell r="F1853">
            <v>0</v>
          </cell>
          <cell r="G1853">
            <v>0</v>
          </cell>
          <cell r="H1853">
            <v>0</v>
          </cell>
          <cell r="J1853" t="e">
            <v>#N/A</v>
          </cell>
          <cell r="P1853" t="e">
            <v>#N/A</v>
          </cell>
          <cell r="R1853" t="e">
            <v>#N/A</v>
          </cell>
          <cell r="S1853" t="e">
            <v>#N/A</v>
          </cell>
          <cell r="Y1853" t="e">
            <v>#N/A</v>
          </cell>
          <cell r="AA1853" t="e">
            <v>#N/A</v>
          </cell>
        </row>
        <row r="1854">
          <cell r="B1854">
            <v>0</v>
          </cell>
          <cell r="C1854">
            <v>0</v>
          </cell>
          <cell r="E1854">
            <v>0</v>
          </cell>
          <cell r="F1854">
            <v>0</v>
          </cell>
          <cell r="G1854">
            <v>0</v>
          </cell>
          <cell r="H1854">
            <v>0</v>
          </cell>
          <cell r="J1854" t="e">
            <v>#N/A</v>
          </cell>
          <cell r="P1854" t="e">
            <v>#N/A</v>
          </cell>
          <cell r="R1854" t="e">
            <v>#N/A</v>
          </cell>
          <cell r="S1854" t="e">
            <v>#N/A</v>
          </cell>
          <cell r="Y1854" t="e">
            <v>#N/A</v>
          </cell>
          <cell r="AA1854" t="e">
            <v>#N/A</v>
          </cell>
        </row>
        <row r="1855">
          <cell r="B1855">
            <v>0</v>
          </cell>
          <cell r="C1855">
            <v>0</v>
          </cell>
          <cell r="E1855">
            <v>0</v>
          </cell>
          <cell r="F1855">
            <v>0</v>
          </cell>
          <cell r="G1855">
            <v>0</v>
          </cell>
          <cell r="H1855">
            <v>0</v>
          </cell>
          <cell r="J1855" t="e">
            <v>#N/A</v>
          </cell>
          <cell r="P1855" t="e">
            <v>#N/A</v>
          </cell>
          <cell r="R1855" t="e">
            <v>#N/A</v>
          </cell>
          <cell r="S1855" t="e">
            <v>#N/A</v>
          </cell>
          <cell r="Y1855" t="e">
            <v>#N/A</v>
          </cell>
          <cell r="AA1855" t="e">
            <v>#N/A</v>
          </cell>
        </row>
        <row r="1856">
          <cell r="B1856">
            <v>0</v>
          </cell>
          <cell r="C1856">
            <v>0</v>
          </cell>
          <cell r="E1856">
            <v>0</v>
          </cell>
          <cell r="F1856">
            <v>0</v>
          </cell>
          <cell r="G1856">
            <v>0</v>
          </cell>
          <cell r="H1856">
            <v>0</v>
          </cell>
          <cell r="J1856" t="e">
            <v>#N/A</v>
          </cell>
          <cell r="P1856" t="e">
            <v>#N/A</v>
          </cell>
          <cell r="R1856" t="e">
            <v>#N/A</v>
          </cell>
          <cell r="S1856" t="e">
            <v>#N/A</v>
          </cell>
          <cell r="Y1856" t="e">
            <v>#N/A</v>
          </cell>
          <cell r="AA1856" t="e">
            <v>#N/A</v>
          </cell>
        </row>
        <row r="1857">
          <cell r="B1857">
            <v>0</v>
          </cell>
          <cell r="C1857">
            <v>0</v>
          </cell>
          <cell r="E1857">
            <v>0</v>
          </cell>
          <cell r="F1857">
            <v>0</v>
          </cell>
          <cell r="G1857">
            <v>0</v>
          </cell>
          <cell r="H1857">
            <v>0</v>
          </cell>
          <cell r="J1857" t="e">
            <v>#N/A</v>
          </cell>
          <cell r="P1857" t="e">
            <v>#N/A</v>
          </cell>
          <cell r="R1857" t="e">
            <v>#N/A</v>
          </cell>
          <cell r="S1857" t="e">
            <v>#N/A</v>
          </cell>
          <cell r="Y1857" t="e">
            <v>#N/A</v>
          </cell>
          <cell r="AA1857" t="e">
            <v>#N/A</v>
          </cell>
        </row>
        <row r="1858">
          <cell r="B1858">
            <v>0</v>
          </cell>
          <cell r="C1858">
            <v>0</v>
          </cell>
          <cell r="E1858">
            <v>0</v>
          </cell>
          <cell r="F1858">
            <v>0</v>
          </cell>
          <cell r="G1858">
            <v>0</v>
          </cell>
          <cell r="H1858">
            <v>0</v>
          </cell>
          <cell r="J1858" t="e">
            <v>#N/A</v>
          </cell>
          <cell r="P1858" t="e">
            <v>#N/A</v>
          </cell>
          <cell r="R1858" t="e">
            <v>#N/A</v>
          </cell>
          <cell r="S1858" t="e">
            <v>#N/A</v>
          </cell>
          <cell r="Y1858" t="e">
            <v>#N/A</v>
          </cell>
          <cell r="AA1858" t="e">
            <v>#N/A</v>
          </cell>
        </row>
        <row r="1859">
          <cell r="B1859">
            <v>0</v>
          </cell>
          <cell r="C1859">
            <v>0</v>
          </cell>
          <cell r="E1859">
            <v>0</v>
          </cell>
          <cell r="F1859">
            <v>0</v>
          </cell>
          <cell r="G1859">
            <v>0</v>
          </cell>
          <cell r="H1859">
            <v>0</v>
          </cell>
          <cell r="J1859" t="e">
            <v>#N/A</v>
          </cell>
          <cell r="P1859" t="e">
            <v>#N/A</v>
          </cell>
          <cell r="R1859" t="e">
            <v>#N/A</v>
          </cell>
          <cell r="S1859" t="e">
            <v>#N/A</v>
          </cell>
          <cell r="Y1859" t="e">
            <v>#N/A</v>
          </cell>
          <cell r="AA1859" t="e">
            <v>#N/A</v>
          </cell>
        </row>
        <row r="1860">
          <cell r="B1860">
            <v>0</v>
          </cell>
          <cell r="C1860">
            <v>0</v>
          </cell>
          <cell r="E1860">
            <v>0</v>
          </cell>
          <cell r="F1860">
            <v>0</v>
          </cell>
          <cell r="G1860">
            <v>0</v>
          </cell>
          <cell r="H1860">
            <v>0</v>
          </cell>
          <cell r="J1860" t="e">
            <v>#N/A</v>
          </cell>
          <cell r="P1860" t="e">
            <v>#N/A</v>
          </cell>
          <cell r="R1860" t="e">
            <v>#N/A</v>
          </cell>
          <cell r="S1860" t="e">
            <v>#N/A</v>
          </cell>
          <cell r="Y1860" t="e">
            <v>#N/A</v>
          </cell>
          <cell r="AA1860" t="e">
            <v>#N/A</v>
          </cell>
        </row>
        <row r="1861">
          <cell r="B1861">
            <v>0</v>
          </cell>
          <cell r="C1861">
            <v>0</v>
          </cell>
          <cell r="E1861">
            <v>0</v>
          </cell>
          <cell r="F1861">
            <v>0</v>
          </cell>
          <cell r="G1861">
            <v>0</v>
          </cell>
          <cell r="H1861">
            <v>0</v>
          </cell>
          <cell r="J1861" t="e">
            <v>#N/A</v>
          </cell>
          <cell r="P1861" t="e">
            <v>#N/A</v>
          </cell>
          <cell r="R1861" t="e">
            <v>#N/A</v>
          </cell>
          <cell r="S1861" t="e">
            <v>#N/A</v>
          </cell>
          <cell r="Y1861" t="e">
            <v>#N/A</v>
          </cell>
          <cell r="AA1861" t="e">
            <v>#N/A</v>
          </cell>
        </row>
        <row r="1862">
          <cell r="B1862">
            <v>0</v>
          </cell>
          <cell r="C1862">
            <v>0</v>
          </cell>
          <cell r="E1862">
            <v>0</v>
          </cell>
          <cell r="F1862">
            <v>0</v>
          </cell>
          <cell r="G1862">
            <v>0</v>
          </cell>
          <cell r="H1862">
            <v>0</v>
          </cell>
          <cell r="J1862" t="e">
            <v>#N/A</v>
          </cell>
          <cell r="P1862" t="e">
            <v>#N/A</v>
          </cell>
          <cell r="R1862" t="e">
            <v>#N/A</v>
          </cell>
          <cell r="S1862" t="e">
            <v>#N/A</v>
          </cell>
          <cell r="Y1862" t="e">
            <v>#N/A</v>
          </cell>
          <cell r="AA1862" t="e">
            <v>#N/A</v>
          </cell>
        </row>
        <row r="1863">
          <cell r="B1863">
            <v>0</v>
          </cell>
          <cell r="C1863">
            <v>0</v>
          </cell>
          <cell r="E1863">
            <v>0</v>
          </cell>
          <cell r="F1863">
            <v>0</v>
          </cell>
          <cell r="G1863">
            <v>0</v>
          </cell>
          <cell r="H1863">
            <v>0</v>
          </cell>
          <cell r="J1863" t="e">
            <v>#N/A</v>
          </cell>
          <cell r="P1863" t="e">
            <v>#N/A</v>
          </cell>
          <cell r="R1863" t="e">
            <v>#N/A</v>
          </cell>
          <cell r="S1863" t="e">
            <v>#N/A</v>
          </cell>
          <cell r="Y1863" t="e">
            <v>#N/A</v>
          </cell>
          <cell r="AA1863" t="e">
            <v>#N/A</v>
          </cell>
        </row>
        <row r="1864">
          <cell r="B1864">
            <v>0</v>
          </cell>
          <cell r="C1864">
            <v>0</v>
          </cell>
          <cell r="E1864">
            <v>0</v>
          </cell>
          <cell r="F1864">
            <v>0</v>
          </cell>
          <cell r="G1864">
            <v>0</v>
          </cell>
          <cell r="H1864">
            <v>0</v>
          </cell>
          <cell r="J1864" t="e">
            <v>#N/A</v>
          </cell>
          <cell r="P1864" t="e">
            <v>#N/A</v>
          </cell>
          <cell r="R1864" t="e">
            <v>#N/A</v>
          </cell>
          <cell r="S1864" t="e">
            <v>#N/A</v>
          </cell>
          <cell r="Y1864" t="e">
            <v>#N/A</v>
          </cell>
          <cell r="AA1864" t="e">
            <v>#N/A</v>
          </cell>
        </row>
        <row r="1865">
          <cell r="B1865">
            <v>0</v>
          </cell>
          <cell r="C1865">
            <v>0</v>
          </cell>
          <cell r="E1865">
            <v>0</v>
          </cell>
          <cell r="F1865">
            <v>0</v>
          </cell>
          <cell r="G1865">
            <v>0</v>
          </cell>
          <cell r="H1865">
            <v>0</v>
          </cell>
          <cell r="J1865" t="e">
            <v>#N/A</v>
          </cell>
          <cell r="P1865" t="e">
            <v>#N/A</v>
          </cell>
          <cell r="R1865" t="e">
            <v>#N/A</v>
          </cell>
          <cell r="S1865" t="e">
            <v>#N/A</v>
          </cell>
          <cell r="Y1865" t="e">
            <v>#N/A</v>
          </cell>
          <cell r="AA1865" t="e">
            <v>#N/A</v>
          </cell>
        </row>
        <row r="1866">
          <cell r="B1866">
            <v>0</v>
          </cell>
          <cell r="C1866">
            <v>0</v>
          </cell>
          <cell r="E1866">
            <v>0</v>
          </cell>
          <cell r="F1866">
            <v>0</v>
          </cell>
          <cell r="G1866">
            <v>0</v>
          </cell>
          <cell r="H1866">
            <v>0</v>
          </cell>
          <cell r="J1866" t="e">
            <v>#N/A</v>
          </cell>
          <cell r="P1866" t="e">
            <v>#N/A</v>
          </cell>
          <cell r="R1866" t="e">
            <v>#N/A</v>
          </cell>
          <cell r="S1866" t="e">
            <v>#N/A</v>
          </cell>
          <cell r="Y1866" t="e">
            <v>#N/A</v>
          </cell>
          <cell r="AA1866" t="e">
            <v>#N/A</v>
          </cell>
        </row>
        <row r="1867">
          <cell r="B1867">
            <v>0</v>
          </cell>
          <cell r="C1867">
            <v>0</v>
          </cell>
          <cell r="E1867">
            <v>0</v>
          </cell>
          <cell r="F1867">
            <v>0</v>
          </cell>
          <cell r="G1867">
            <v>0</v>
          </cell>
          <cell r="H1867">
            <v>0</v>
          </cell>
          <cell r="J1867" t="e">
            <v>#N/A</v>
          </cell>
          <cell r="P1867" t="e">
            <v>#N/A</v>
          </cell>
          <cell r="R1867" t="e">
            <v>#N/A</v>
          </cell>
          <cell r="S1867" t="e">
            <v>#N/A</v>
          </cell>
          <cell r="Y1867" t="e">
            <v>#N/A</v>
          </cell>
          <cell r="AA1867" t="e">
            <v>#N/A</v>
          </cell>
        </row>
        <row r="1868">
          <cell r="B1868">
            <v>0</v>
          </cell>
          <cell r="C1868">
            <v>0</v>
          </cell>
          <cell r="E1868">
            <v>0</v>
          </cell>
          <cell r="F1868">
            <v>0</v>
          </cell>
          <cell r="G1868">
            <v>0</v>
          </cell>
          <cell r="H1868">
            <v>0</v>
          </cell>
          <cell r="J1868" t="e">
            <v>#N/A</v>
          </cell>
          <cell r="P1868" t="e">
            <v>#N/A</v>
          </cell>
          <cell r="R1868" t="e">
            <v>#N/A</v>
          </cell>
          <cell r="S1868" t="e">
            <v>#N/A</v>
          </cell>
          <cell r="Y1868" t="e">
            <v>#N/A</v>
          </cell>
          <cell r="AA1868" t="e">
            <v>#N/A</v>
          </cell>
        </row>
        <row r="1869">
          <cell r="B1869">
            <v>0</v>
          </cell>
          <cell r="C1869">
            <v>0</v>
          </cell>
          <cell r="E1869">
            <v>0</v>
          </cell>
          <cell r="F1869">
            <v>0</v>
          </cell>
          <cell r="G1869">
            <v>0</v>
          </cell>
          <cell r="H1869">
            <v>0</v>
          </cell>
          <cell r="J1869" t="e">
            <v>#N/A</v>
          </cell>
          <cell r="P1869" t="e">
            <v>#N/A</v>
          </cell>
          <cell r="R1869" t="e">
            <v>#N/A</v>
          </cell>
          <cell r="S1869" t="e">
            <v>#N/A</v>
          </cell>
          <cell r="Y1869" t="e">
            <v>#N/A</v>
          </cell>
          <cell r="AA1869" t="e">
            <v>#N/A</v>
          </cell>
        </row>
        <row r="1870">
          <cell r="B1870">
            <v>0</v>
          </cell>
          <cell r="C1870">
            <v>0</v>
          </cell>
          <cell r="E1870">
            <v>0</v>
          </cell>
          <cell r="F1870">
            <v>0</v>
          </cell>
          <cell r="G1870">
            <v>0</v>
          </cell>
          <cell r="H1870">
            <v>0</v>
          </cell>
          <cell r="J1870" t="e">
            <v>#N/A</v>
          </cell>
          <cell r="P1870" t="e">
            <v>#N/A</v>
          </cell>
          <cell r="R1870" t="e">
            <v>#N/A</v>
          </cell>
          <cell r="S1870" t="e">
            <v>#N/A</v>
          </cell>
          <cell r="Y1870" t="e">
            <v>#N/A</v>
          </cell>
          <cell r="AA1870" t="e">
            <v>#N/A</v>
          </cell>
        </row>
        <row r="1871">
          <cell r="B1871">
            <v>0</v>
          </cell>
          <cell r="C1871">
            <v>0</v>
          </cell>
          <cell r="E1871">
            <v>0</v>
          </cell>
          <cell r="F1871">
            <v>0</v>
          </cell>
          <cell r="G1871">
            <v>0</v>
          </cell>
          <cell r="H1871">
            <v>0</v>
          </cell>
          <cell r="J1871" t="e">
            <v>#N/A</v>
          </cell>
          <cell r="P1871" t="e">
            <v>#N/A</v>
          </cell>
          <cell r="R1871" t="e">
            <v>#N/A</v>
          </cell>
          <cell r="S1871" t="e">
            <v>#N/A</v>
          </cell>
          <cell r="Y1871" t="e">
            <v>#N/A</v>
          </cell>
          <cell r="AA1871" t="e">
            <v>#N/A</v>
          </cell>
        </row>
        <row r="1872">
          <cell r="B1872">
            <v>0</v>
          </cell>
          <cell r="C1872">
            <v>0</v>
          </cell>
          <cell r="E1872">
            <v>0</v>
          </cell>
          <cell r="F1872">
            <v>0</v>
          </cell>
          <cell r="G1872">
            <v>0</v>
          </cell>
          <cell r="H1872">
            <v>0</v>
          </cell>
          <cell r="J1872" t="e">
            <v>#N/A</v>
          </cell>
          <cell r="P1872" t="e">
            <v>#N/A</v>
          </cell>
          <cell r="R1872" t="e">
            <v>#N/A</v>
          </cell>
          <cell r="S1872" t="e">
            <v>#N/A</v>
          </cell>
          <cell r="Y1872" t="e">
            <v>#N/A</v>
          </cell>
          <cell r="AA1872" t="e">
            <v>#N/A</v>
          </cell>
        </row>
        <row r="1873">
          <cell r="B1873">
            <v>0</v>
          </cell>
          <cell r="C1873">
            <v>0</v>
          </cell>
          <cell r="E1873">
            <v>0</v>
          </cell>
          <cell r="F1873">
            <v>0</v>
          </cell>
          <cell r="G1873">
            <v>0</v>
          </cell>
          <cell r="H1873">
            <v>0</v>
          </cell>
          <cell r="J1873" t="e">
            <v>#N/A</v>
          </cell>
          <cell r="P1873" t="e">
            <v>#N/A</v>
          </cell>
          <cell r="R1873" t="e">
            <v>#N/A</v>
          </cell>
          <cell r="S1873" t="e">
            <v>#N/A</v>
          </cell>
          <cell r="Y1873" t="e">
            <v>#N/A</v>
          </cell>
          <cell r="AA1873" t="e">
            <v>#N/A</v>
          </cell>
        </row>
        <row r="1874">
          <cell r="B1874">
            <v>0</v>
          </cell>
          <cell r="C1874">
            <v>0</v>
          </cell>
          <cell r="E1874">
            <v>0</v>
          </cell>
          <cell r="F1874">
            <v>0</v>
          </cell>
          <cell r="G1874">
            <v>0</v>
          </cell>
          <cell r="H1874">
            <v>0</v>
          </cell>
          <cell r="J1874" t="e">
            <v>#N/A</v>
          </cell>
          <cell r="P1874" t="e">
            <v>#N/A</v>
          </cell>
          <cell r="R1874" t="e">
            <v>#N/A</v>
          </cell>
          <cell r="S1874" t="e">
            <v>#N/A</v>
          </cell>
          <cell r="Y1874" t="e">
            <v>#N/A</v>
          </cell>
          <cell r="AA1874" t="e">
            <v>#N/A</v>
          </cell>
        </row>
        <row r="1875">
          <cell r="B1875">
            <v>0</v>
          </cell>
          <cell r="C1875">
            <v>0</v>
          </cell>
          <cell r="E1875">
            <v>0</v>
          </cell>
          <cell r="F1875">
            <v>0</v>
          </cell>
          <cell r="G1875">
            <v>0</v>
          </cell>
          <cell r="H1875">
            <v>0</v>
          </cell>
          <cell r="J1875" t="e">
            <v>#N/A</v>
          </cell>
          <cell r="P1875" t="e">
            <v>#N/A</v>
          </cell>
          <cell r="R1875" t="e">
            <v>#N/A</v>
          </cell>
          <cell r="S1875" t="e">
            <v>#N/A</v>
          </cell>
          <cell r="Y1875" t="e">
            <v>#N/A</v>
          </cell>
          <cell r="AA1875" t="e">
            <v>#N/A</v>
          </cell>
        </row>
        <row r="1876">
          <cell r="B1876">
            <v>0</v>
          </cell>
          <cell r="C1876">
            <v>0</v>
          </cell>
          <cell r="E1876">
            <v>0</v>
          </cell>
          <cell r="F1876">
            <v>0</v>
          </cell>
          <cell r="G1876">
            <v>0</v>
          </cell>
          <cell r="H1876">
            <v>0</v>
          </cell>
          <cell r="J1876" t="e">
            <v>#N/A</v>
          </cell>
          <cell r="P1876" t="e">
            <v>#N/A</v>
          </cell>
          <cell r="R1876" t="e">
            <v>#N/A</v>
          </cell>
          <cell r="S1876" t="e">
            <v>#N/A</v>
          </cell>
          <cell r="Y1876" t="e">
            <v>#N/A</v>
          </cell>
          <cell r="AA1876" t="e">
            <v>#N/A</v>
          </cell>
        </row>
        <row r="1877">
          <cell r="B1877">
            <v>0</v>
          </cell>
          <cell r="C1877">
            <v>0</v>
          </cell>
          <cell r="E1877">
            <v>0</v>
          </cell>
          <cell r="F1877">
            <v>0</v>
          </cell>
          <cell r="G1877">
            <v>0</v>
          </cell>
          <cell r="H1877">
            <v>0</v>
          </cell>
          <cell r="J1877" t="e">
            <v>#N/A</v>
          </cell>
          <cell r="P1877" t="e">
            <v>#N/A</v>
          </cell>
          <cell r="R1877" t="e">
            <v>#N/A</v>
          </cell>
          <cell r="S1877" t="e">
            <v>#N/A</v>
          </cell>
          <cell r="Y1877" t="e">
            <v>#N/A</v>
          </cell>
          <cell r="AA1877" t="e">
            <v>#N/A</v>
          </cell>
        </row>
        <row r="1878">
          <cell r="B1878">
            <v>0</v>
          </cell>
          <cell r="C1878">
            <v>0</v>
          </cell>
          <cell r="E1878">
            <v>0</v>
          </cell>
          <cell r="F1878">
            <v>0</v>
          </cell>
          <cell r="G1878">
            <v>0</v>
          </cell>
          <cell r="H1878">
            <v>0</v>
          </cell>
          <cell r="J1878" t="e">
            <v>#N/A</v>
          </cell>
          <cell r="P1878" t="e">
            <v>#N/A</v>
          </cell>
          <cell r="R1878" t="e">
            <v>#N/A</v>
          </cell>
          <cell r="S1878" t="e">
            <v>#N/A</v>
          </cell>
          <cell r="Y1878" t="e">
            <v>#N/A</v>
          </cell>
          <cell r="AA1878" t="e">
            <v>#N/A</v>
          </cell>
        </row>
        <row r="1879">
          <cell r="B1879">
            <v>0</v>
          </cell>
          <cell r="C1879">
            <v>0</v>
          </cell>
          <cell r="E1879">
            <v>0</v>
          </cell>
          <cell r="F1879">
            <v>0</v>
          </cell>
          <cell r="G1879">
            <v>0</v>
          </cell>
          <cell r="H1879">
            <v>0</v>
          </cell>
          <cell r="J1879" t="e">
            <v>#N/A</v>
          </cell>
          <cell r="P1879" t="e">
            <v>#N/A</v>
          </cell>
          <cell r="R1879" t="e">
            <v>#N/A</v>
          </cell>
          <cell r="S1879" t="e">
            <v>#N/A</v>
          </cell>
          <cell r="Y1879" t="e">
            <v>#N/A</v>
          </cell>
          <cell r="AA1879" t="e">
            <v>#N/A</v>
          </cell>
        </row>
        <row r="1880">
          <cell r="B1880">
            <v>0</v>
          </cell>
          <cell r="C1880">
            <v>0</v>
          </cell>
          <cell r="E1880">
            <v>0</v>
          </cell>
          <cell r="F1880">
            <v>0</v>
          </cell>
          <cell r="G1880">
            <v>0</v>
          </cell>
          <cell r="H1880">
            <v>0</v>
          </cell>
          <cell r="J1880" t="e">
            <v>#N/A</v>
          </cell>
          <cell r="P1880" t="e">
            <v>#N/A</v>
          </cell>
          <cell r="R1880" t="e">
            <v>#N/A</v>
          </cell>
          <cell r="S1880" t="e">
            <v>#N/A</v>
          </cell>
          <cell r="Y1880" t="e">
            <v>#N/A</v>
          </cell>
          <cell r="AA1880" t="e">
            <v>#N/A</v>
          </cell>
        </row>
        <row r="1881">
          <cell r="B1881">
            <v>0</v>
          </cell>
          <cell r="C1881">
            <v>0</v>
          </cell>
          <cell r="E1881">
            <v>0</v>
          </cell>
          <cell r="F1881">
            <v>0</v>
          </cell>
          <cell r="G1881">
            <v>0</v>
          </cell>
          <cell r="H1881">
            <v>0</v>
          </cell>
          <cell r="J1881" t="e">
            <v>#N/A</v>
          </cell>
          <cell r="P1881" t="e">
            <v>#N/A</v>
          </cell>
          <cell r="R1881" t="e">
            <v>#N/A</v>
          </cell>
          <cell r="S1881" t="e">
            <v>#N/A</v>
          </cell>
          <cell r="Y1881" t="e">
            <v>#N/A</v>
          </cell>
          <cell r="AA1881" t="e">
            <v>#N/A</v>
          </cell>
        </row>
        <row r="1882">
          <cell r="B1882">
            <v>0</v>
          </cell>
          <cell r="C1882">
            <v>0</v>
          </cell>
          <cell r="E1882">
            <v>0</v>
          </cell>
          <cell r="F1882">
            <v>0</v>
          </cell>
          <cell r="G1882">
            <v>0</v>
          </cell>
          <cell r="H1882">
            <v>0</v>
          </cell>
          <cell r="J1882" t="e">
            <v>#N/A</v>
          </cell>
          <cell r="P1882" t="e">
            <v>#N/A</v>
          </cell>
          <cell r="R1882" t="e">
            <v>#N/A</v>
          </cell>
          <cell r="S1882" t="e">
            <v>#N/A</v>
          </cell>
          <cell r="Y1882" t="e">
            <v>#N/A</v>
          </cell>
          <cell r="AA1882" t="e">
            <v>#N/A</v>
          </cell>
        </row>
        <row r="1883">
          <cell r="B1883">
            <v>0</v>
          </cell>
          <cell r="C1883">
            <v>0</v>
          </cell>
          <cell r="E1883">
            <v>0</v>
          </cell>
          <cell r="F1883">
            <v>0</v>
          </cell>
          <cell r="G1883">
            <v>0</v>
          </cell>
          <cell r="H1883">
            <v>0</v>
          </cell>
          <cell r="J1883" t="e">
            <v>#N/A</v>
          </cell>
          <cell r="P1883" t="e">
            <v>#N/A</v>
          </cell>
          <cell r="R1883" t="e">
            <v>#N/A</v>
          </cell>
          <cell r="S1883" t="e">
            <v>#N/A</v>
          </cell>
          <cell r="Y1883" t="e">
            <v>#N/A</v>
          </cell>
          <cell r="AA1883" t="e">
            <v>#N/A</v>
          </cell>
        </row>
        <row r="1884">
          <cell r="B1884">
            <v>0</v>
          </cell>
          <cell r="C1884">
            <v>0</v>
          </cell>
          <cell r="E1884">
            <v>0</v>
          </cell>
          <cell r="F1884">
            <v>0</v>
          </cell>
          <cell r="G1884">
            <v>0</v>
          </cell>
          <cell r="H1884">
            <v>0</v>
          </cell>
          <cell r="J1884" t="e">
            <v>#N/A</v>
          </cell>
          <cell r="P1884" t="e">
            <v>#N/A</v>
          </cell>
          <cell r="R1884" t="e">
            <v>#N/A</v>
          </cell>
          <cell r="S1884" t="e">
            <v>#N/A</v>
          </cell>
          <cell r="Y1884" t="e">
            <v>#N/A</v>
          </cell>
          <cell r="AA1884" t="e">
            <v>#N/A</v>
          </cell>
        </row>
        <row r="1885">
          <cell r="B1885">
            <v>0</v>
          </cell>
          <cell r="C1885">
            <v>0</v>
          </cell>
          <cell r="E1885">
            <v>0</v>
          </cell>
          <cell r="F1885">
            <v>0</v>
          </cell>
          <cell r="G1885">
            <v>0</v>
          </cell>
          <cell r="H1885">
            <v>0</v>
          </cell>
          <cell r="J1885" t="e">
            <v>#N/A</v>
          </cell>
          <cell r="P1885" t="e">
            <v>#N/A</v>
          </cell>
          <cell r="R1885" t="e">
            <v>#N/A</v>
          </cell>
          <cell r="S1885" t="e">
            <v>#N/A</v>
          </cell>
          <cell r="Y1885" t="e">
            <v>#N/A</v>
          </cell>
          <cell r="AA1885" t="e">
            <v>#N/A</v>
          </cell>
        </row>
        <row r="1886">
          <cell r="B1886">
            <v>0</v>
          </cell>
          <cell r="C1886">
            <v>0</v>
          </cell>
          <cell r="E1886">
            <v>0</v>
          </cell>
          <cell r="F1886">
            <v>0</v>
          </cell>
          <cell r="G1886">
            <v>0</v>
          </cell>
          <cell r="H1886">
            <v>0</v>
          </cell>
          <cell r="J1886" t="e">
            <v>#N/A</v>
          </cell>
          <cell r="P1886" t="e">
            <v>#N/A</v>
          </cell>
          <cell r="R1886" t="e">
            <v>#N/A</v>
          </cell>
          <cell r="S1886" t="e">
            <v>#N/A</v>
          </cell>
          <cell r="Y1886" t="e">
            <v>#N/A</v>
          </cell>
          <cell r="AA1886" t="e">
            <v>#N/A</v>
          </cell>
        </row>
        <row r="1887">
          <cell r="B1887">
            <v>0</v>
          </cell>
          <cell r="C1887">
            <v>0</v>
          </cell>
          <cell r="E1887">
            <v>0</v>
          </cell>
          <cell r="F1887">
            <v>0</v>
          </cell>
          <cell r="G1887">
            <v>0</v>
          </cell>
          <cell r="H1887">
            <v>0</v>
          </cell>
          <cell r="J1887" t="e">
            <v>#N/A</v>
          </cell>
          <cell r="P1887" t="e">
            <v>#N/A</v>
          </cell>
          <cell r="R1887" t="e">
            <v>#N/A</v>
          </cell>
          <cell r="S1887" t="e">
            <v>#N/A</v>
          </cell>
          <cell r="Y1887" t="e">
            <v>#N/A</v>
          </cell>
          <cell r="AA1887" t="e">
            <v>#N/A</v>
          </cell>
        </row>
        <row r="1888">
          <cell r="B1888">
            <v>0</v>
          </cell>
          <cell r="C1888">
            <v>0</v>
          </cell>
          <cell r="E1888">
            <v>0</v>
          </cell>
          <cell r="F1888">
            <v>0</v>
          </cell>
          <cell r="G1888">
            <v>0</v>
          </cell>
          <cell r="H1888">
            <v>0</v>
          </cell>
          <cell r="J1888" t="e">
            <v>#N/A</v>
          </cell>
          <cell r="P1888" t="e">
            <v>#N/A</v>
          </cell>
          <cell r="R1888" t="e">
            <v>#N/A</v>
          </cell>
          <cell r="S1888" t="e">
            <v>#N/A</v>
          </cell>
          <cell r="Y1888" t="e">
            <v>#N/A</v>
          </cell>
          <cell r="AA1888" t="e">
            <v>#N/A</v>
          </cell>
        </row>
        <row r="1889">
          <cell r="B1889">
            <v>0</v>
          </cell>
          <cell r="C1889">
            <v>0</v>
          </cell>
          <cell r="E1889">
            <v>0</v>
          </cell>
          <cell r="F1889">
            <v>0</v>
          </cell>
          <cell r="G1889">
            <v>0</v>
          </cell>
          <cell r="H1889">
            <v>0</v>
          </cell>
          <cell r="J1889" t="e">
            <v>#N/A</v>
          </cell>
          <cell r="P1889" t="e">
            <v>#N/A</v>
          </cell>
          <cell r="R1889" t="e">
            <v>#N/A</v>
          </cell>
          <cell r="S1889" t="e">
            <v>#N/A</v>
          </cell>
          <cell r="Y1889" t="e">
            <v>#N/A</v>
          </cell>
          <cell r="AA1889" t="e">
            <v>#N/A</v>
          </cell>
        </row>
        <row r="1890">
          <cell r="B1890">
            <v>0</v>
          </cell>
          <cell r="C1890">
            <v>0</v>
          </cell>
          <cell r="E1890">
            <v>0</v>
          </cell>
          <cell r="F1890">
            <v>0</v>
          </cell>
          <cell r="G1890">
            <v>0</v>
          </cell>
          <cell r="H1890">
            <v>0</v>
          </cell>
          <cell r="J1890" t="e">
            <v>#N/A</v>
          </cell>
          <cell r="P1890" t="e">
            <v>#N/A</v>
          </cell>
          <cell r="R1890" t="e">
            <v>#N/A</v>
          </cell>
          <cell r="S1890" t="e">
            <v>#N/A</v>
          </cell>
          <cell r="Y1890" t="e">
            <v>#N/A</v>
          </cell>
          <cell r="AA1890" t="e">
            <v>#N/A</v>
          </cell>
        </row>
        <row r="1891">
          <cell r="B1891">
            <v>0</v>
          </cell>
          <cell r="C1891">
            <v>0</v>
          </cell>
          <cell r="E1891">
            <v>0</v>
          </cell>
          <cell r="F1891">
            <v>0</v>
          </cell>
          <cell r="G1891">
            <v>0</v>
          </cell>
          <cell r="H1891">
            <v>0</v>
          </cell>
          <cell r="J1891" t="e">
            <v>#N/A</v>
          </cell>
          <cell r="P1891" t="e">
            <v>#N/A</v>
          </cell>
          <cell r="R1891" t="e">
            <v>#N/A</v>
          </cell>
          <cell r="S1891" t="e">
            <v>#N/A</v>
          </cell>
          <cell r="Y1891" t="e">
            <v>#N/A</v>
          </cell>
          <cell r="AA1891" t="e">
            <v>#N/A</v>
          </cell>
        </row>
        <row r="1892">
          <cell r="B1892">
            <v>0</v>
          </cell>
          <cell r="C1892">
            <v>0</v>
          </cell>
          <cell r="E1892">
            <v>0</v>
          </cell>
          <cell r="F1892">
            <v>0</v>
          </cell>
          <cell r="G1892">
            <v>0</v>
          </cell>
          <cell r="H1892">
            <v>0</v>
          </cell>
          <cell r="J1892" t="e">
            <v>#N/A</v>
          </cell>
          <cell r="P1892" t="e">
            <v>#N/A</v>
          </cell>
          <cell r="R1892" t="e">
            <v>#N/A</v>
          </cell>
          <cell r="S1892" t="e">
            <v>#N/A</v>
          </cell>
          <cell r="Y1892" t="e">
            <v>#N/A</v>
          </cell>
          <cell r="AA1892" t="e">
            <v>#N/A</v>
          </cell>
        </row>
        <row r="1893">
          <cell r="B1893">
            <v>0</v>
          </cell>
          <cell r="C1893">
            <v>0</v>
          </cell>
          <cell r="E1893">
            <v>0</v>
          </cell>
          <cell r="F1893">
            <v>0</v>
          </cell>
          <cell r="G1893">
            <v>0</v>
          </cell>
          <cell r="H1893">
            <v>0</v>
          </cell>
          <cell r="J1893" t="e">
            <v>#N/A</v>
          </cell>
          <cell r="P1893" t="e">
            <v>#N/A</v>
          </cell>
          <cell r="R1893" t="e">
            <v>#N/A</v>
          </cell>
          <cell r="S1893" t="e">
            <v>#N/A</v>
          </cell>
          <cell r="Y1893" t="e">
            <v>#N/A</v>
          </cell>
          <cell r="AA1893" t="e">
            <v>#N/A</v>
          </cell>
        </row>
        <row r="1894">
          <cell r="B1894">
            <v>0</v>
          </cell>
          <cell r="C1894">
            <v>0</v>
          </cell>
          <cell r="E1894">
            <v>0</v>
          </cell>
          <cell r="F1894">
            <v>0</v>
          </cell>
          <cell r="G1894">
            <v>0</v>
          </cell>
          <cell r="H1894">
            <v>0</v>
          </cell>
          <cell r="J1894" t="e">
            <v>#N/A</v>
          </cell>
          <cell r="P1894" t="e">
            <v>#N/A</v>
          </cell>
          <cell r="R1894" t="e">
            <v>#N/A</v>
          </cell>
          <cell r="S1894" t="e">
            <v>#N/A</v>
          </cell>
          <cell r="Y1894" t="e">
            <v>#N/A</v>
          </cell>
          <cell r="AA1894" t="e">
            <v>#N/A</v>
          </cell>
        </row>
        <row r="1895">
          <cell r="B1895">
            <v>0</v>
          </cell>
          <cell r="C1895">
            <v>0</v>
          </cell>
          <cell r="E1895">
            <v>0</v>
          </cell>
          <cell r="F1895">
            <v>0</v>
          </cell>
          <cell r="G1895">
            <v>0</v>
          </cell>
          <cell r="H1895">
            <v>0</v>
          </cell>
          <cell r="J1895" t="e">
            <v>#N/A</v>
          </cell>
          <cell r="P1895" t="e">
            <v>#N/A</v>
          </cell>
          <cell r="R1895" t="e">
            <v>#N/A</v>
          </cell>
          <cell r="S1895" t="e">
            <v>#N/A</v>
          </cell>
          <cell r="Y1895" t="e">
            <v>#N/A</v>
          </cell>
          <cell r="AA1895" t="e">
            <v>#N/A</v>
          </cell>
        </row>
        <row r="1896">
          <cell r="B1896">
            <v>0</v>
          </cell>
          <cell r="C1896">
            <v>0</v>
          </cell>
          <cell r="E1896">
            <v>0</v>
          </cell>
          <cell r="F1896">
            <v>0</v>
          </cell>
          <cell r="G1896">
            <v>0</v>
          </cell>
          <cell r="H1896">
            <v>0</v>
          </cell>
          <cell r="J1896" t="e">
            <v>#N/A</v>
          </cell>
          <cell r="P1896" t="e">
            <v>#N/A</v>
          </cell>
          <cell r="R1896" t="e">
            <v>#N/A</v>
          </cell>
          <cell r="S1896" t="e">
            <v>#N/A</v>
          </cell>
          <cell r="Y1896" t="e">
            <v>#N/A</v>
          </cell>
          <cell r="AA1896" t="e">
            <v>#N/A</v>
          </cell>
        </row>
        <row r="1897">
          <cell r="B1897">
            <v>0</v>
          </cell>
          <cell r="C1897">
            <v>0</v>
          </cell>
          <cell r="E1897">
            <v>0</v>
          </cell>
          <cell r="F1897">
            <v>0</v>
          </cell>
          <cell r="G1897">
            <v>0</v>
          </cell>
          <cell r="H1897">
            <v>0</v>
          </cell>
          <cell r="J1897" t="e">
            <v>#N/A</v>
          </cell>
          <cell r="P1897" t="e">
            <v>#N/A</v>
          </cell>
          <cell r="R1897" t="e">
            <v>#N/A</v>
          </cell>
          <cell r="S1897" t="e">
            <v>#N/A</v>
          </cell>
          <cell r="Y1897" t="e">
            <v>#N/A</v>
          </cell>
          <cell r="AA1897" t="e">
            <v>#N/A</v>
          </cell>
        </row>
        <row r="1898">
          <cell r="B1898">
            <v>0</v>
          </cell>
          <cell r="C1898">
            <v>0</v>
          </cell>
          <cell r="E1898">
            <v>0</v>
          </cell>
          <cell r="F1898">
            <v>0</v>
          </cell>
          <cell r="G1898">
            <v>0</v>
          </cell>
          <cell r="H1898">
            <v>0</v>
          </cell>
          <cell r="J1898" t="e">
            <v>#N/A</v>
          </cell>
          <cell r="P1898" t="e">
            <v>#N/A</v>
          </cell>
          <cell r="R1898" t="e">
            <v>#N/A</v>
          </cell>
          <cell r="S1898" t="e">
            <v>#N/A</v>
          </cell>
          <cell r="Y1898" t="e">
            <v>#N/A</v>
          </cell>
          <cell r="AA1898" t="e">
            <v>#N/A</v>
          </cell>
        </row>
        <row r="1899">
          <cell r="B1899">
            <v>0</v>
          </cell>
          <cell r="C1899">
            <v>0</v>
          </cell>
          <cell r="E1899">
            <v>0</v>
          </cell>
          <cell r="F1899">
            <v>0</v>
          </cell>
          <cell r="G1899">
            <v>0</v>
          </cell>
          <cell r="H1899">
            <v>0</v>
          </cell>
          <cell r="J1899" t="e">
            <v>#N/A</v>
          </cell>
          <cell r="P1899" t="e">
            <v>#N/A</v>
          </cell>
          <cell r="R1899" t="e">
            <v>#N/A</v>
          </cell>
          <cell r="S1899" t="e">
            <v>#N/A</v>
          </cell>
          <cell r="Y1899" t="e">
            <v>#N/A</v>
          </cell>
          <cell r="AA1899" t="e">
            <v>#N/A</v>
          </cell>
        </row>
        <row r="1900">
          <cell r="B1900">
            <v>0</v>
          </cell>
          <cell r="C1900">
            <v>0</v>
          </cell>
          <cell r="E1900">
            <v>0</v>
          </cell>
          <cell r="F1900">
            <v>0</v>
          </cell>
          <cell r="G1900">
            <v>0</v>
          </cell>
          <cell r="H1900">
            <v>0</v>
          </cell>
          <cell r="J1900" t="e">
            <v>#N/A</v>
          </cell>
          <cell r="P1900" t="e">
            <v>#N/A</v>
          </cell>
          <cell r="R1900" t="e">
            <v>#N/A</v>
          </cell>
          <cell r="S1900" t="e">
            <v>#N/A</v>
          </cell>
          <cell r="Y1900" t="e">
            <v>#N/A</v>
          </cell>
          <cell r="AA1900" t="e">
            <v>#N/A</v>
          </cell>
        </row>
        <row r="1901">
          <cell r="B1901">
            <v>0</v>
          </cell>
          <cell r="C1901">
            <v>0</v>
          </cell>
          <cell r="E1901">
            <v>0</v>
          </cell>
          <cell r="F1901">
            <v>0</v>
          </cell>
          <cell r="G1901">
            <v>0</v>
          </cell>
          <cell r="H1901">
            <v>0</v>
          </cell>
          <cell r="J1901" t="e">
            <v>#N/A</v>
          </cell>
          <cell r="P1901" t="e">
            <v>#N/A</v>
          </cell>
          <cell r="R1901" t="e">
            <v>#N/A</v>
          </cell>
          <cell r="S1901" t="e">
            <v>#N/A</v>
          </cell>
          <cell r="Y1901" t="e">
            <v>#N/A</v>
          </cell>
          <cell r="AA1901" t="e">
            <v>#N/A</v>
          </cell>
        </row>
        <row r="1902">
          <cell r="B1902">
            <v>0</v>
          </cell>
          <cell r="C1902">
            <v>0</v>
          </cell>
          <cell r="E1902">
            <v>0</v>
          </cell>
          <cell r="F1902">
            <v>0</v>
          </cell>
          <cell r="G1902">
            <v>0</v>
          </cell>
          <cell r="H1902">
            <v>0</v>
          </cell>
          <cell r="J1902" t="e">
            <v>#N/A</v>
          </cell>
          <cell r="P1902" t="e">
            <v>#N/A</v>
          </cell>
          <cell r="R1902" t="e">
            <v>#N/A</v>
          </cell>
          <cell r="S1902" t="e">
            <v>#N/A</v>
          </cell>
          <cell r="Y1902" t="e">
            <v>#N/A</v>
          </cell>
          <cell r="AA1902" t="e">
            <v>#N/A</v>
          </cell>
        </row>
        <row r="1903">
          <cell r="B1903">
            <v>0</v>
          </cell>
          <cell r="C1903">
            <v>0</v>
          </cell>
          <cell r="E1903">
            <v>0</v>
          </cell>
          <cell r="F1903">
            <v>0</v>
          </cell>
          <cell r="G1903">
            <v>0</v>
          </cell>
          <cell r="H1903">
            <v>0</v>
          </cell>
          <cell r="J1903" t="e">
            <v>#N/A</v>
          </cell>
          <cell r="P1903" t="e">
            <v>#N/A</v>
          </cell>
          <cell r="R1903" t="e">
            <v>#N/A</v>
          </cell>
          <cell r="S1903" t="e">
            <v>#N/A</v>
          </cell>
          <cell r="Y1903" t="e">
            <v>#N/A</v>
          </cell>
          <cell r="AA1903" t="e">
            <v>#N/A</v>
          </cell>
        </row>
        <row r="1904">
          <cell r="B1904">
            <v>0</v>
          </cell>
          <cell r="C1904">
            <v>0</v>
          </cell>
          <cell r="E1904">
            <v>0</v>
          </cell>
          <cell r="F1904">
            <v>0</v>
          </cell>
          <cell r="G1904">
            <v>0</v>
          </cell>
          <cell r="H1904">
            <v>0</v>
          </cell>
          <cell r="J1904" t="e">
            <v>#N/A</v>
          </cell>
          <cell r="P1904" t="e">
            <v>#N/A</v>
          </cell>
          <cell r="R1904" t="e">
            <v>#N/A</v>
          </cell>
          <cell r="S1904" t="e">
            <v>#N/A</v>
          </cell>
          <cell r="Y1904" t="e">
            <v>#N/A</v>
          </cell>
          <cell r="AA1904" t="e">
            <v>#N/A</v>
          </cell>
        </row>
        <row r="1905">
          <cell r="B1905">
            <v>0</v>
          </cell>
          <cell r="C1905">
            <v>0</v>
          </cell>
          <cell r="E1905">
            <v>0</v>
          </cell>
          <cell r="F1905">
            <v>0</v>
          </cell>
          <cell r="G1905">
            <v>0</v>
          </cell>
          <cell r="H1905">
            <v>0</v>
          </cell>
          <cell r="J1905" t="e">
            <v>#N/A</v>
          </cell>
          <cell r="P1905" t="e">
            <v>#N/A</v>
          </cell>
          <cell r="R1905" t="e">
            <v>#N/A</v>
          </cell>
          <cell r="S1905" t="e">
            <v>#N/A</v>
          </cell>
          <cell r="Y1905" t="e">
            <v>#N/A</v>
          </cell>
          <cell r="AA1905" t="e">
            <v>#N/A</v>
          </cell>
        </row>
        <row r="1906">
          <cell r="B1906">
            <v>0</v>
          </cell>
          <cell r="C1906">
            <v>0</v>
          </cell>
          <cell r="E1906">
            <v>0</v>
          </cell>
          <cell r="F1906">
            <v>0</v>
          </cell>
          <cell r="G1906">
            <v>0</v>
          </cell>
          <cell r="H1906">
            <v>0</v>
          </cell>
          <cell r="J1906" t="e">
            <v>#N/A</v>
          </cell>
          <cell r="P1906" t="e">
            <v>#N/A</v>
          </cell>
          <cell r="R1906" t="e">
            <v>#N/A</v>
          </cell>
          <cell r="S1906" t="e">
            <v>#N/A</v>
          </cell>
          <cell r="Y1906" t="e">
            <v>#N/A</v>
          </cell>
          <cell r="AA1906" t="e">
            <v>#N/A</v>
          </cell>
        </row>
        <row r="1907">
          <cell r="B1907">
            <v>0</v>
          </cell>
          <cell r="C1907">
            <v>0</v>
          </cell>
          <cell r="E1907">
            <v>0</v>
          </cell>
          <cell r="F1907">
            <v>0</v>
          </cell>
          <cell r="G1907">
            <v>0</v>
          </cell>
          <cell r="H1907">
            <v>0</v>
          </cell>
          <cell r="J1907" t="e">
            <v>#N/A</v>
          </cell>
          <cell r="P1907" t="e">
            <v>#N/A</v>
          </cell>
          <cell r="R1907" t="e">
            <v>#N/A</v>
          </cell>
          <cell r="S1907" t="e">
            <v>#N/A</v>
          </cell>
          <cell r="Y1907" t="e">
            <v>#N/A</v>
          </cell>
          <cell r="AA1907" t="e">
            <v>#N/A</v>
          </cell>
        </row>
        <row r="1908">
          <cell r="B1908">
            <v>0</v>
          </cell>
          <cell r="C1908">
            <v>0</v>
          </cell>
          <cell r="E1908">
            <v>0</v>
          </cell>
          <cell r="F1908">
            <v>0</v>
          </cell>
          <cell r="G1908">
            <v>0</v>
          </cell>
          <cell r="H1908">
            <v>0</v>
          </cell>
          <cell r="J1908" t="e">
            <v>#N/A</v>
          </cell>
          <cell r="P1908" t="e">
            <v>#N/A</v>
          </cell>
          <cell r="R1908" t="e">
            <v>#N/A</v>
          </cell>
          <cell r="S1908" t="e">
            <v>#N/A</v>
          </cell>
          <cell r="Y1908" t="e">
            <v>#N/A</v>
          </cell>
          <cell r="AA1908" t="e">
            <v>#N/A</v>
          </cell>
        </row>
        <row r="1909">
          <cell r="B1909">
            <v>0</v>
          </cell>
          <cell r="C1909">
            <v>0</v>
          </cell>
          <cell r="E1909">
            <v>0</v>
          </cell>
          <cell r="F1909">
            <v>0</v>
          </cell>
          <cell r="G1909">
            <v>0</v>
          </cell>
          <cell r="H1909">
            <v>0</v>
          </cell>
          <cell r="J1909" t="e">
            <v>#N/A</v>
          </cell>
          <cell r="P1909" t="e">
            <v>#N/A</v>
          </cell>
          <cell r="R1909" t="e">
            <v>#N/A</v>
          </cell>
          <cell r="S1909" t="e">
            <v>#N/A</v>
          </cell>
          <cell r="Y1909" t="e">
            <v>#N/A</v>
          </cell>
          <cell r="AA1909" t="e">
            <v>#N/A</v>
          </cell>
        </row>
        <row r="1910">
          <cell r="B1910">
            <v>0</v>
          </cell>
          <cell r="C1910">
            <v>0</v>
          </cell>
          <cell r="E1910">
            <v>0</v>
          </cell>
          <cell r="F1910">
            <v>0</v>
          </cell>
          <cell r="G1910">
            <v>0</v>
          </cell>
          <cell r="H1910">
            <v>0</v>
          </cell>
          <cell r="J1910" t="e">
            <v>#N/A</v>
          </cell>
          <cell r="P1910" t="e">
            <v>#N/A</v>
          </cell>
          <cell r="R1910" t="e">
            <v>#N/A</v>
          </cell>
          <cell r="S1910" t="e">
            <v>#N/A</v>
          </cell>
          <cell r="Y1910" t="e">
            <v>#N/A</v>
          </cell>
          <cell r="AA1910" t="e">
            <v>#N/A</v>
          </cell>
        </row>
        <row r="1911">
          <cell r="B1911">
            <v>0</v>
          </cell>
          <cell r="C1911">
            <v>0</v>
          </cell>
          <cell r="E1911">
            <v>0</v>
          </cell>
          <cell r="F1911">
            <v>0</v>
          </cell>
          <cell r="G1911">
            <v>0</v>
          </cell>
          <cell r="H1911">
            <v>0</v>
          </cell>
          <cell r="J1911" t="e">
            <v>#N/A</v>
          </cell>
          <cell r="P1911" t="e">
            <v>#N/A</v>
          </cell>
          <cell r="R1911" t="e">
            <v>#N/A</v>
          </cell>
          <cell r="S1911" t="e">
            <v>#N/A</v>
          </cell>
          <cell r="Y1911" t="e">
            <v>#N/A</v>
          </cell>
          <cell r="AA1911" t="e">
            <v>#N/A</v>
          </cell>
        </row>
        <row r="1912">
          <cell r="B1912">
            <v>0</v>
          </cell>
          <cell r="C1912">
            <v>0</v>
          </cell>
          <cell r="E1912">
            <v>0</v>
          </cell>
          <cell r="F1912">
            <v>0</v>
          </cell>
          <cell r="G1912">
            <v>0</v>
          </cell>
          <cell r="H1912">
            <v>0</v>
          </cell>
          <cell r="J1912" t="e">
            <v>#N/A</v>
          </cell>
          <cell r="P1912" t="e">
            <v>#N/A</v>
          </cell>
          <cell r="R1912" t="e">
            <v>#N/A</v>
          </cell>
          <cell r="S1912" t="e">
            <v>#N/A</v>
          </cell>
          <cell r="Y1912" t="e">
            <v>#N/A</v>
          </cell>
          <cell r="AA1912" t="e">
            <v>#N/A</v>
          </cell>
        </row>
        <row r="1913">
          <cell r="B1913">
            <v>0</v>
          </cell>
          <cell r="C1913">
            <v>0</v>
          </cell>
          <cell r="E1913">
            <v>0</v>
          </cell>
          <cell r="F1913">
            <v>0</v>
          </cell>
          <cell r="G1913">
            <v>0</v>
          </cell>
          <cell r="H1913">
            <v>0</v>
          </cell>
          <cell r="J1913" t="e">
            <v>#N/A</v>
          </cell>
          <cell r="P1913" t="e">
            <v>#N/A</v>
          </cell>
          <cell r="R1913" t="e">
            <v>#N/A</v>
          </cell>
          <cell r="S1913" t="e">
            <v>#N/A</v>
          </cell>
          <cell r="Y1913" t="e">
            <v>#N/A</v>
          </cell>
          <cell r="AA1913" t="e">
            <v>#N/A</v>
          </cell>
        </row>
        <row r="1914">
          <cell r="B1914">
            <v>0</v>
          </cell>
          <cell r="C1914">
            <v>0</v>
          </cell>
          <cell r="E1914">
            <v>0</v>
          </cell>
          <cell r="F1914">
            <v>0</v>
          </cell>
          <cell r="G1914">
            <v>0</v>
          </cell>
          <cell r="H1914">
            <v>0</v>
          </cell>
          <cell r="J1914" t="e">
            <v>#N/A</v>
          </cell>
          <cell r="P1914" t="e">
            <v>#N/A</v>
          </cell>
          <cell r="R1914" t="e">
            <v>#N/A</v>
          </cell>
          <cell r="S1914" t="e">
            <v>#N/A</v>
          </cell>
          <cell r="Y1914" t="e">
            <v>#N/A</v>
          </cell>
          <cell r="AA1914" t="e">
            <v>#N/A</v>
          </cell>
        </row>
        <row r="1915">
          <cell r="B1915">
            <v>0</v>
          </cell>
          <cell r="C1915">
            <v>0</v>
          </cell>
          <cell r="E1915">
            <v>0</v>
          </cell>
          <cell r="F1915">
            <v>0</v>
          </cell>
          <cell r="G1915">
            <v>0</v>
          </cell>
          <cell r="H1915">
            <v>0</v>
          </cell>
          <cell r="J1915" t="e">
            <v>#N/A</v>
          </cell>
          <cell r="P1915" t="e">
            <v>#N/A</v>
          </cell>
          <cell r="R1915" t="e">
            <v>#N/A</v>
          </cell>
          <cell r="S1915" t="e">
            <v>#N/A</v>
          </cell>
          <cell r="Y1915" t="e">
            <v>#N/A</v>
          </cell>
          <cell r="AA1915" t="e">
            <v>#N/A</v>
          </cell>
        </row>
        <row r="1916">
          <cell r="B1916">
            <v>0</v>
          </cell>
          <cell r="C1916">
            <v>0</v>
          </cell>
          <cell r="E1916">
            <v>0</v>
          </cell>
          <cell r="F1916">
            <v>0</v>
          </cell>
          <cell r="G1916">
            <v>0</v>
          </cell>
          <cell r="H1916">
            <v>0</v>
          </cell>
          <cell r="J1916" t="e">
            <v>#N/A</v>
          </cell>
          <cell r="P1916" t="e">
            <v>#N/A</v>
          </cell>
          <cell r="R1916" t="e">
            <v>#N/A</v>
          </cell>
          <cell r="S1916" t="e">
            <v>#N/A</v>
          </cell>
          <cell r="Y1916" t="e">
            <v>#N/A</v>
          </cell>
          <cell r="AA1916" t="e">
            <v>#N/A</v>
          </cell>
        </row>
        <row r="1917">
          <cell r="B1917">
            <v>0</v>
          </cell>
          <cell r="C1917">
            <v>0</v>
          </cell>
          <cell r="E1917">
            <v>0</v>
          </cell>
          <cell r="F1917">
            <v>0</v>
          </cell>
          <cell r="G1917">
            <v>0</v>
          </cell>
          <cell r="H1917">
            <v>0</v>
          </cell>
          <cell r="J1917" t="e">
            <v>#N/A</v>
          </cell>
          <cell r="P1917" t="e">
            <v>#N/A</v>
          </cell>
          <cell r="R1917" t="e">
            <v>#N/A</v>
          </cell>
          <cell r="S1917" t="e">
            <v>#N/A</v>
          </cell>
          <cell r="Y1917" t="e">
            <v>#N/A</v>
          </cell>
          <cell r="AA1917" t="e">
            <v>#N/A</v>
          </cell>
        </row>
        <row r="1918">
          <cell r="B1918">
            <v>0</v>
          </cell>
          <cell r="C1918">
            <v>0</v>
          </cell>
          <cell r="E1918">
            <v>0</v>
          </cell>
          <cell r="F1918">
            <v>0</v>
          </cell>
          <cell r="G1918">
            <v>0</v>
          </cell>
          <cell r="H1918">
            <v>0</v>
          </cell>
          <cell r="J1918" t="e">
            <v>#N/A</v>
          </cell>
          <cell r="P1918" t="e">
            <v>#N/A</v>
          </cell>
          <cell r="R1918" t="e">
            <v>#N/A</v>
          </cell>
          <cell r="S1918" t="e">
            <v>#N/A</v>
          </cell>
          <cell r="Y1918" t="e">
            <v>#N/A</v>
          </cell>
          <cell r="AA1918" t="e">
            <v>#N/A</v>
          </cell>
        </row>
        <row r="1919">
          <cell r="B1919">
            <v>0</v>
          </cell>
          <cell r="C1919">
            <v>0</v>
          </cell>
          <cell r="E1919">
            <v>0</v>
          </cell>
          <cell r="F1919">
            <v>0</v>
          </cell>
          <cell r="G1919">
            <v>0</v>
          </cell>
          <cell r="H1919">
            <v>0</v>
          </cell>
          <cell r="J1919" t="e">
            <v>#N/A</v>
          </cell>
          <cell r="P1919" t="e">
            <v>#N/A</v>
          </cell>
          <cell r="R1919" t="e">
            <v>#N/A</v>
          </cell>
          <cell r="S1919" t="e">
            <v>#N/A</v>
          </cell>
          <cell r="Y1919" t="e">
            <v>#N/A</v>
          </cell>
          <cell r="AA1919" t="e">
            <v>#N/A</v>
          </cell>
        </row>
        <row r="1920">
          <cell r="B1920">
            <v>0</v>
          </cell>
          <cell r="C1920">
            <v>0</v>
          </cell>
          <cell r="E1920">
            <v>0</v>
          </cell>
          <cell r="F1920">
            <v>0</v>
          </cell>
          <cell r="G1920">
            <v>0</v>
          </cell>
          <cell r="H1920">
            <v>0</v>
          </cell>
          <cell r="J1920" t="e">
            <v>#N/A</v>
          </cell>
          <cell r="P1920" t="e">
            <v>#N/A</v>
          </cell>
          <cell r="R1920" t="e">
            <v>#N/A</v>
          </cell>
          <cell r="S1920" t="e">
            <v>#N/A</v>
          </cell>
          <cell r="Y1920" t="e">
            <v>#N/A</v>
          </cell>
          <cell r="AA1920" t="e">
            <v>#N/A</v>
          </cell>
        </row>
        <row r="1921">
          <cell r="B1921">
            <v>0</v>
          </cell>
          <cell r="C1921">
            <v>0</v>
          </cell>
          <cell r="E1921">
            <v>0</v>
          </cell>
          <cell r="F1921">
            <v>0</v>
          </cell>
          <cell r="G1921">
            <v>0</v>
          </cell>
          <cell r="H1921">
            <v>0</v>
          </cell>
          <cell r="J1921" t="e">
            <v>#N/A</v>
          </cell>
          <cell r="P1921" t="e">
            <v>#N/A</v>
          </cell>
          <cell r="R1921" t="e">
            <v>#N/A</v>
          </cell>
          <cell r="S1921" t="e">
            <v>#N/A</v>
          </cell>
          <cell r="Y1921" t="e">
            <v>#N/A</v>
          </cell>
          <cell r="AA1921" t="e">
            <v>#N/A</v>
          </cell>
        </row>
        <row r="1922">
          <cell r="B1922">
            <v>0</v>
          </cell>
          <cell r="C1922">
            <v>0</v>
          </cell>
          <cell r="E1922">
            <v>0</v>
          </cell>
          <cell r="F1922">
            <v>0</v>
          </cell>
          <cell r="G1922">
            <v>0</v>
          </cell>
          <cell r="H1922">
            <v>0</v>
          </cell>
          <cell r="J1922" t="e">
            <v>#N/A</v>
          </cell>
          <cell r="P1922" t="e">
            <v>#N/A</v>
          </cell>
          <cell r="R1922" t="e">
            <v>#N/A</v>
          </cell>
          <cell r="S1922" t="e">
            <v>#N/A</v>
          </cell>
          <cell r="Y1922" t="e">
            <v>#N/A</v>
          </cell>
          <cell r="AA1922" t="e">
            <v>#N/A</v>
          </cell>
        </row>
        <row r="1923">
          <cell r="B1923">
            <v>0</v>
          </cell>
          <cell r="C1923">
            <v>0</v>
          </cell>
          <cell r="E1923">
            <v>0</v>
          </cell>
          <cell r="F1923">
            <v>0</v>
          </cell>
          <cell r="G1923">
            <v>0</v>
          </cell>
          <cell r="H1923">
            <v>0</v>
          </cell>
          <cell r="J1923" t="e">
            <v>#N/A</v>
          </cell>
          <cell r="P1923" t="e">
            <v>#N/A</v>
          </cell>
          <cell r="R1923" t="e">
            <v>#N/A</v>
          </cell>
          <cell r="S1923" t="e">
            <v>#N/A</v>
          </cell>
          <cell r="Y1923" t="e">
            <v>#N/A</v>
          </cell>
          <cell r="AA1923" t="e">
            <v>#N/A</v>
          </cell>
        </row>
        <row r="1924">
          <cell r="B1924">
            <v>0</v>
          </cell>
          <cell r="C1924">
            <v>0</v>
          </cell>
          <cell r="E1924">
            <v>0</v>
          </cell>
          <cell r="F1924">
            <v>0</v>
          </cell>
          <cell r="G1924">
            <v>0</v>
          </cell>
          <cell r="H1924">
            <v>0</v>
          </cell>
          <cell r="J1924" t="e">
            <v>#N/A</v>
          </cell>
          <cell r="P1924" t="e">
            <v>#N/A</v>
          </cell>
          <cell r="R1924" t="e">
            <v>#N/A</v>
          </cell>
          <cell r="S1924" t="e">
            <v>#N/A</v>
          </cell>
          <cell r="Y1924" t="e">
            <v>#N/A</v>
          </cell>
          <cell r="AA1924" t="e">
            <v>#N/A</v>
          </cell>
        </row>
        <row r="1925">
          <cell r="B1925">
            <v>0</v>
          </cell>
          <cell r="C1925">
            <v>0</v>
          </cell>
          <cell r="E1925">
            <v>0</v>
          </cell>
          <cell r="F1925">
            <v>0</v>
          </cell>
          <cell r="G1925">
            <v>0</v>
          </cell>
          <cell r="H1925">
            <v>0</v>
          </cell>
          <cell r="J1925" t="e">
            <v>#N/A</v>
          </cell>
          <cell r="P1925" t="e">
            <v>#N/A</v>
          </cell>
          <cell r="R1925" t="e">
            <v>#N/A</v>
          </cell>
          <cell r="S1925" t="e">
            <v>#N/A</v>
          </cell>
          <cell r="Y1925" t="e">
            <v>#N/A</v>
          </cell>
          <cell r="AA1925" t="e">
            <v>#N/A</v>
          </cell>
        </row>
        <row r="1926">
          <cell r="B1926">
            <v>0</v>
          </cell>
          <cell r="C1926">
            <v>0</v>
          </cell>
          <cell r="E1926">
            <v>0</v>
          </cell>
          <cell r="F1926">
            <v>0</v>
          </cell>
          <cell r="G1926">
            <v>0</v>
          </cell>
          <cell r="H1926">
            <v>0</v>
          </cell>
          <cell r="J1926" t="e">
            <v>#N/A</v>
          </cell>
          <cell r="P1926" t="e">
            <v>#N/A</v>
          </cell>
          <cell r="R1926" t="e">
            <v>#N/A</v>
          </cell>
          <cell r="S1926" t="e">
            <v>#N/A</v>
          </cell>
          <cell r="Y1926" t="e">
            <v>#N/A</v>
          </cell>
          <cell r="AA1926" t="e">
            <v>#N/A</v>
          </cell>
        </row>
        <row r="1927">
          <cell r="B1927">
            <v>0</v>
          </cell>
          <cell r="C1927">
            <v>0</v>
          </cell>
          <cell r="E1927">
            <v>0</v>
          </cell>
          <cell r="F1927">
            <v>0</v>
          </cell>
          <cell r="G1927">
            <v>0</v>
          </cell>
          <cell r="H1927">
            <v>0</v>
          </cell>
          <cell r="J1927" t="e">
            <v>#N/A</v>
          </cell>
          <cell r="P1927" t="e">
            <v>#N/A</v>
          </cell>
          <cell r="R1927" t="e">
            <v>#N/A</v>
          </cell>
          <cell r="S1927" t="e">
            <v>#N/A</v>
          </cell>
          <cell r="Y1927" t="e">
            <v>#N/A</v>
          </cell>
          <cell r="AA1927" t="e">
            <v>#N/A</v>
          </cell>
        </row>
        <row r="1928">
          <cell r="B1928">
            <v>0</v>
          </cell>
          <cell r="C1928">
            <v>0</v>
          </cell>
          <cell r="E1928">
            <v>0</v>
          </cell>
          <cell r="F1928">
            <v>0</v>
          </cell>
          <cell r="G1928">
            <v>0</v>
          </cell>
          <cell r="H1928">
            <v>0</v>
          </cell>
          <cell r="J1928" t="e">
            <v>#N/A</v>
          </cell>
          <cell r="P1928" t="e">
            <v>#N/A</v>
          </cell>
          <cell r="R1928" t="e">
            <v>#N/A</v>
          </cell>
          <cell r="S1928" t="e">
            <v>#N/A</v>
          </cell>
          <cell r="Y1928" t="e">
            <v>#N/A</v>
          </cell>
          <cell r="AA1928" t="e">
            <v>#N/A</v>
          </cell>
        </row>
        <row r="1929">
          <cell r="B1929">
            <v>0</v>
          </cell>
          <cell r="C1929">
            <v>0</v>
          </cell>
          <cell r="E1929">
            <v>0</v>
          </cell>
          <cell r="F1929">
            <v>0</v>
          </cell>
          <cell r="G1929">
            <v>0</v>
          </cell>
          <cell r="H1929">
            <v>0</v>
          </cell>
          <cell r="J1929" t="e">
            <v>#N/A</v>
          </cell>
          <cell r="P1929" t="e">
            <v>#N/A</v>
          </cell>
          <cell r="R1929" t="e">
            <v>#N/A</v>
          </cell>
          <cell r="S1929" t="e">
            <v>#N/A</v>
          </cell>
          <cell r="Y1929" t="e">
            <v>#N/A</v>
          </cell>
          <cell r="AA1929" t="e">
            <v>#N/A</v>
          </cell>
        </row>
        <row r="1930">
          <cell r="B1930">
            <v>0</v>
          </cell>
          <cell r="C1930">
            <v>0</v>
          </cell>
          <cell r="E1930">
            <v>0</v>
          </cell>
          <cell r="F1930">
            <v>0</v>
          </cell>
          <cell r="G1930">
            <v>0</v>
          </cell>
          <cell r="H1930">
            <v>0</v>
          </cell>
          <cell r="J1930" t="e">
            <v>#N/A</v>
          </cell>
          <cell r="P1930" t="e">
            <v>#N/A</v>
          </cell>
          <cell r="R1930" t="e">
            <v>#N/A</v>
          </cell>
          <cell r="S1930" t="e">
            <v>#N/A</v>
          </cell>
          <cell r="Y1930" t="e">
            <v>#N/A</v>
          </cell>
          <cell r="AA1930" t="e">
            <v>#N/A</v>
          </cell>
        </row>
        <row r="1931">
          <cell r="B1931">
            <v>0</v>
          </cell>
          <cell r="C1931">
            <v>0</v>
          </cell>
          <cell r="E1931">
            <v>0</v>
          </cell>
          <cell r="F1931">
            <v>0</v>
          </cell>
          <cell r="G1931">
            <v>0</v>
          </cell>
          <cell r="H1931">
            <v>0</v>
          </cell>
          <cell r="J1931" t="e">
            <v>#N/A</v>
          </cell>
          <cell r="P1931" t="e">
            <v>#N/A</v>
          </cell>
          <cell r="R1931" t="e">
            <v>#N/A</v>
          </cell>
          <cell r="S1931" t="e">
            <v>#N/A</v>
          </cell>
          <cell r="Y1931" t="e">
            <v>#N/A</v>
          </cell>
          <cell r="AA1931" t="e">
            <v>#N/A</v>
          </cell>
        </row>
        <row r="1932">
          <cell r="B1932">
            <v>0</v>
          </cell>
          <cell r="C1932">
            <v>0</v>
          </cell>
          <cell r="E1932">
            <v>0</v>
          </cell>
          <cell r="F1932">
            <v>0</v>
          </cell>
          <cell r="G1932">
            <v>0</v>
          </cell>
          <cell r="H1932">
            <v>0</v>
          </cell>
          <cell r="J1932" t="e">
            <v>#N/A</v>
          </cell>
          <cell r="P1932" t="e">
            <v>#N/A</v>
          </cell>
          <cell r="R1932" t="e">
            <v>#N/A</v>
          </cell>
          <cell r="S1932" t="e">
            <v>#N/A</v>
          </cell>
          <cell r="Y1932" t="e">
            <v>#N/A</v>
          </cell>
          <cell r="AA1932" t="e">
            <v>#N/A</v>
          </cell>
        </row>
        <row r="1933">
          <cell r="B1933">
            <v>0</v>
          </cell>
          <cell r="C1933">
            <v>0</v>
          </cell>
          <cell r="E1933">
            <v>0</v>
          </cell>
          <cell r="F1933">
            <v>0</v>
          </cell>
          <cell r="G1933">
            <v>0</v>
          </cell>
          <cell r="H1933">
            <v>0</v>
          </cell>
          <cell r="J1933" t="e">
            <v>#N/A</v>
          </cell>
          <cell r="P1933" t="e">
            <v>#N/A</v>
          </cell>
          <cell r="R1933" t="e">
            <v>#N/A</v>
          </cell>
          <cell r="S1933" t="e">
            <v>#N/A</v>
          </cell>
          <cell r="Y1933" t="e">
            <v>#N/A</v>
          </cell>
          <cell r="AA1933" t="e">
            <v>#N/A</v>
          </cell>
        </row>
        <row r="1934">
          <cell r="B1934">
            <v>0</v>
          </cell>
          <cell r="C1934">
            <v>0</v>
          </cell>
          <cell r="E1934">
            <v>0</v>
          </cell>
          <cell r="F1934">
            <v>0</v>
          </cell>
          <cell r="G1934">
            <v>0</v>
          </cell>
          <cell r="H1934">
            <v>0</v>
          </cell>
          <cell r="J1934" t="e">
            <v>#N/A</v>
          </cell>
          <cell r="P1934" t="e">
            <v>#N/A</v>
          </cell>
          <cell r="R1934" t="e">
            <v>#N/A</v>
          </cell>
          <cell r="S1934" t="e">
            <v>#N/A</v>
          </cell>
          <cell r="Y1934" t="e">
            <v>#N/A</v>
          </cell>
          <cell r="AA1934" t="e">
            <v>#N/A</v>
          </cell>
        </row>
        <row r="1935">
          <cell r="B1935">
            <v>0</v>
          </cell>
          <cell r="C1935">
            <v>0</v>
          </cell>
          <cell r="E1935">
            <v>0</v>
          </cell>
          <cell r="F1935">
            <v>0</v>
          </cell>
          <cell r="G1935">
            <v>0</v>
          </cell>
          <cell r="H1935">
            <v>0</v>
          </cell>
          <cell r="J1935" t="e">
            <v>#N/A</v>
          </cell>
          <cell r="P1935" t="e">
            <v>#N/A</v>
          </cell>
          <cell r="R1935" t="e">
            <v>#N/A</v>
          </cell>
          <cell r="S1935" t="e">
            <v>#N/A</v>
          </cell>
          <cell r="Y1935" t="e">
            <v>#N/A</v>
          </cell>
          <cell r="AA1935" t="e">
            <v>#N/A</v>
          </cell>
        </row>
        <row r="1936">
          <cell r="B1936">
            <v>0</v>
          </cell>
          <cell r="C1936">
            <v>0</v>
          </cell>
          <cell r="E1936">
            <v>0</v>
          </cell>
          <cell r="F1936">
            <v>0</v>
          </cell>
          <cell r="G1936">
            <v>0</v>
          </cell>
          <cell r="H1936">
            <v>0</v>
          </cell>
          <cell r="J1936" t="e">
            <v>#N/A</v>
          </cell>
          <cell r="P1936" t="e">
            <v>#N/A</v>
          </cell>
          <cell r="R1936" t="e">
            <v>#N/A</v>
          </cell>
          <cell r="S1936" t="e">
            <v>#N/A</v>
          </cell>
          <cell r="Y1936" t="e">
            <v>#N/A</v>
          </cell>
          <cell r="AA1936" t="e">
            <v>#N/A</v>
          </cell>
        </row>
        <row r="1937">
          <cell r="B1937">
            <v>0</v>
          </cell>
          <cell r="C1937">
            <v>0</v>
          </cell>
          <cell r="E1937">
            <v>0</v>
          </cell>
          <cell r="F1937">
            <v>0</v>
          </cell>
          <cell r="G1937">
            <v>0</v>
          </cell>
          <cell r="H1937">
            <v>0</v>
          </cell>
          <cell r="J1937" t="e">
            <v>#N/A</v>
          </cell>
          <cell r="P1937" t="e">
            <v>#N/A</v>
          </cell>
          <cell r="R1937" t="e">
            <v>#N/A</v>
          </cell>
          <cell r="S1937" t="e">
            <v>#N/A</v>
          </cell>
          <cell r="Y1937" t="e">
            <v>#N/A</v>
          </cell>
          <cell r="AA1937" t="e">
            <v>#N/A</v>
          </cell>
        </row>
        <row r="1938">
          <cell r="B1938">
            <v>0</v>
          </cell>
          <cell r="C1938">
            <v>0</v>
          </cell>
          <cell r="E1938">
            <v>0</v>
          </cell>
          <cell r="F1938">
            <v>0</v>
          </cell>
          <cell r="G1938">
            <v>0</v>
          </cell>
          <cell r="H1938">
            <v>0</v>
          </cell>
          <cell r="J1938" t="e">
            <v>#N/A</v>
          </cell>
          <cell r="P1938" t="e">
            <v>#N/A</v>
          </cell>
          <cell r="R1938" t="e">
            <v>#N/A</v>
          </cell>
          <cell r="S1938" t="e">
            <v>#N/A</v>
          </cell>
          <cell r="Y1938" t="e">
            <v>#N/A</v>
          </cell>
          <cell r="AA1938" t="e">
            <v>#N/A</v>
          </cell>
        </row>
        <row r="1939">
          <cell r="B1939">
            <v>0</v>
          </cell>
          <cell r="C1939">
            <v>0</v>
          </cell>
          <cell r="E1939">
            <v>0</v>
          </cell>
          <cell r="F1939">
            <v>0</v>
          </cell>
          <cell r="G1939">
            <v>0</v>
          </cell>
          <cell r="H1939">
            <v>0</v>
          </cell>
          <cell r="J1939" t="e">
            <v>#N/A</v>
          </cell>
          <cell r="P1939" t="e">
            <v>#N/A</v>
          </cell>
          <cell r="R1939" t="e">
            <v>#N/A</v>
          </cell>
          <cell r="S1939" t="e">
            <v>#N/A</v>
          </cell>
          <cell r="Y1939" t="e">
            <v>#N/A</v>
          </cell>
          <cell r="AA1939" t="e">
            <v>#N/A</v>
          </cell>
        </row>
        <row r="1940">
          <cell r="B1940">
            <v>0</v>
          </cell>
          <cell r="C1940">
            <v>0</v>
          </cell>
          <cell r="E1940">
            <v>0</v>
          </cell>
          <cell r="F1940">
            <v>0</v>
          </cell>
          <cell r="G1940">
            <v>0</v>
          </cell>
          <cell r="H1940">
            <v>0</v>
          </cell>
          <cell r="J1940" t="e">
            <v>#N/A</v>
          </cell>
          <cell r="P1940" t="e">
            <v>#N/A</v>
          </cell>
          <cell r="R1940" t="e">
            <v>#N/A</v>
          </cell>
          <cell r="S1940" t="e">
            <v>#N/A</v>
          </cell>
          <cell r="Y1940" t="e">
            <v>#N/A</v>
          </cell>
          <cell r="AA1940" t="e">
            <v>#N/A</v>
          </cell>
        </row>
        <row r="1941">
          <cell r="B1941">
            <v>0</v>
          </cell>
          <cell r="C1941">
            <v>0</v>
          </cell>
          <cell r="E1941">
            <v>0</v>
          </cell>
          <cell r="F1941">
            <v>0</v>
          </cell>
          <cell r="G1941">
            <v>0</v>
          </cell>
          <cell r="H1941">
            <v>0</v>
          </cell>
          <cell r="J1941" t="e">
            <v>#N/A</v>
          </cell>
          <cell r="P1941" t="e">
            <v>#N/A</v>
          </cell>
          <cell r="R1941" t="e">
            <v>#N/A</v>
          </cell>
          <cell r="S1941" t="e">
            <v>#N/A</v>
          </cell>
          <cell r="Y1941" t="e">
            <v>#N/A</v>
          </cell>
          <cell r="AA1941" t="e">
            <v>#N/A</v>
          </cell>
        </row>
        <row r="1942">
          <cell r="B1942">
            <v>0</v>
          </cell>
          <cell r="C1942">
            <v>0</v>
          </cell>
          <cell r="E1942">
            <v>0</v>
          </cell>
          <cell r="F1942">
            <v>0</v>
          </cell>
          <cell r="G1942">
            <v>0</v>
          </cell>
          <cell r="H1942">
            <v>0</v>
          </cell>
          <cell r="J1942" t="e">
            <v>#N/A</v>
          </cell>
          <cell r="P1942" t="e">
            <v>#N/A</v>
          </cell>
          <cell r="R1942" t="e">
            <v>#N/A</v>
          </cell>
          <cell r="S1942" t="e">
            <v>#N/A</v>
          </cell>
          <cell r="Y1942" t="e">
            <v>#N/A</v>
          </cell>
          <cell r="AA1942" t="e">
            <v>#N/A</v>
          </cell>
        </row>
        <row r="1943">
          <cell r="B1943">
            <v>0</v>
          </cell>
          <cell r="C1943">
            <v>0</v>
          </cell>
          <cell r="E1943">
            <v>0</v>
          </cell>
          <cell r="F1943">
            <v>0</v>
          </cell>
          <cell r="G1943">
            <v>0</v>
          </cell>
          <cell r="H1943">
            <v>0</v>
          </cell>
          <cell r="J1943" t="e">
            <v>#N/A</v>
          </cell>
          <cell r="P1943" t="e">
            <v>#N/A</v>
          </cell>
          <cell r="R1943" t="e">
            <v>#N/A</v>
          </cell>
          <cell r="S1943" t="e">
            <v>#N/A</v>
          </cell>
          <cell r="Y1943" t="e">
            <v>#N/A</v>
          </cell>
          <cell r="AA1943" t="e">
            <v>#N/A</v>
          </cell>
        </row>
        <row r="1944">
          <cell r="B1944">
            <v>0</v>
          </cell>
          <cell r="C1944">
            <v>0</v>
          </cell>
          <cell r="E1944">
            <v>0</v>
          </cell>
          <cell r="F1944">
            <v>0</v>
          </cell>
          <cell r="G1944">
            <v>0</v>
          </cell>
          <cell r="H1944">
            <v>0</v>
          </cell>
          <cell r="J1944" t="e">
            <v>#N/A</v>
          </cell>
          <cell r="P1944" t="e">
            <v>#N/A</v>
          </cell>
          <cell r="R1944" t="e">
            <v>#N/A</v>
          </cell>
          <cell r="S1944" t="e">
            <v>#N/A</v>
          </cell>
          <cell r="Y1944" t="e">
            <v>#N/A</v>
          </cell>
          <cell r="AA1944" t="e">
            <v>#N/A</v>
          </cell>
        </row>
        <row r="1945">
          <cell r="B1945">
            <v>0</v>
          </cell>
          <cell r="C1945">
            <v>0</v>
          </cell>
          <cell r="E1945">
            <v>0</v>
          </cell>
          <cell r="F1945">
            <v>0</v>
          </cell>
          <cell r="G1945">
            <v>0</v>
          </cell>
          <cell r="H1945">
            <v>0</v>
          </cell>
          <cell r="J1945" t="e">
            <v>#N/A</v>
          </cell>
          <cell r="P1945" t="e">
            <v>#N/A</v>
          </cell>
          <cell r="R1945" t="e">
            <v>#N/A</v>
          </cell>
          <cell r="S1945" t="e">
            <v>#N/A</v>
          </cell>
          <cell r="Y1945" t="e">
            <v>#N/A</v>
          </cell>
          <cell r="AA1945" t="e">
            <v>#N/A</v>
          </cell>
        </row>
        <row r="1946">
          <cell r="B1946">
            <v>0</v>
          </cell>
          <cell r="C1946">
            <v>0</v>
          </cell>
          <cell r="E1946">
            <v>0</v>
          </cell>
          <cell r="F1946">
            <v>0</v>
          </cell>
          <cell r="G1946">
            <v>0</v>
          </cell>
          <cell r="H1946">
            <v>0</v>
          </cell>
          <cell r="J1946" t="e">
            <v>#N/A</v>
          </cell>
          <cell r="P1946" t="e">
            <v>#N/A</v>
          </cell>
          <cell r="R1946" t="e">
            <v>#N/A</v>
          </cell>
          <cell r="S1946" t="e">
            <v>#N/A</v>
          </cell>
          <cell r="Y1946" t="e">
            <v>#N/A</v>
          </cell>
          <cell r="AA1946" t="e">
            <v>#N/A</v>
          </cell>
        </row>
        <row r="1947">
          <cell r="B1947">
            <v>0</v>
          </cell>
          <cell r="C1947">
            <v>0</v>
          </cell>
          <cell r="E1947">
            <v>0</v>
          </cell>
          <cell r="F1947">
            <v>0</v>
          </cell>
          <cell r="G1947">
            <v>0</v>
          </cell>
          <cell r="H1947">
            <v>0</v>
          </cell>
          <cell r="J1947" t="e">
            <v>#N/A</v>
          </cell>
          <cell r="P1947" t="e">
            <v>#N/A</v>
          </cell>
          <cell r="R1947" t="e">
            <v>#N/A</v>
          </cell>
          <cell r="S1947" t="e">
            <v>#N/A</v>
          </cell>
          <cell r="Y1947" t="e">
            <v>#N/A</v>
          </cell>
          <cell r="AA1947" t="e">
            <v>#N/A</v>
          </cell>
        </row>
        <row r="1948">
          <cell r="B1948">
            <v>0</v>
          </cell>
          <cell r="C1948">
            <v>0</v>
          </cell>
          <cell r="E1948">
            <v>0</v>
          </cell>
          <cell r="F1948">
            <v>0</v>
          </cell>
          <cell r="G1948">
            <v>0</v>
          </cell>
          <cell r="H1948">
            <v>0</v>
          </cell>
          <cell r="J1948" t="e">
            <v>#N/A</v>
          </cell>
          <cell r="P1948" t="e">
            <v>#N/A</v>
          </cell>
          <cell r="R1948" t="e">
            <v>#N/A</v>
          </cell>
          <cell r="S1948" t="e">
            <v>#N/A</v>
          </cell>
          <cell r="Y1948" t="e">
            <v>#N/A</v>
          </cell>
          <cell r="AA1948" t="e">
            <v>#N/A</v>
          </cell>
        </row>
        <row r="1949">
          <cell r="B1949">
            <v>0</v>
          </cell>
          <cell r="C1949">
            <v>0</v>
          </cell>
          <cell r="E1949">
            <v>0</v>
          </cell>
          <cell r="F1949">
            <v>0</v>
          </cell>
          <cell r="G1949">
            <v>0</v>
          </cell>
          <cell r="H1949">
            <v>0</v>
          </cell>
          <cell r="J1949" t="e">
            <v>#N/A</v>
          </cell>
          <cell r="P1949" t="e">
            <v>#N/A</v>
          </cell>
          <cell r="R1949" t="e">
            <v>#N/A</v>
          </cell>
          <cell r="S1949" t="e">
            <v>#N/A</v>
          </cell>
          <cell r="Y1949" t="e">
            <v>#N/A</v>
          </cell>
          <cell r="AA1949" t="e">
            <v>#N/A</v>
          </cell>
        </row>
        <row r="1950">
          <cell r="B1950">
            <v>0</v>
          </cell>
          <cell r="C1950">
            <v>0</v>
          </cell>
          <cell r="E1950">
            <v>0</v>
          </cell>
          <cell r="F1950">
            <v>0</v>
          </cell>
          <cell r="G1950">
            <v>0</v>
          </cell>
          <cell r="H1950">
            <v>0</v>
          </cell>
          <cell r="J1950" t="e">
            <v>#N/A</v>
          </cell>
          <cell r="P1950" t="e">
            <v>#N/A</v>
          </cell>
          <cell r="R1950" t="e">
            <v>#N/A</v>
          </cell>
          <cell r="S1950" t="e">
            <v>#N/A</v>
          </cell>
          <cell r="Y1950" t="e">
            <v>#N/A</v>
          </cell>
          <cell r="AA1950" t="e">
            <v>#N/A</v>
          </cell>
        </row>
        <row r="1951">
          <cell r="B1951">
            <v>0</v>
          </cell>
          <cell r="C1951">
            <v>0</v>
          </cell>
          <cell r="E1951">
            <v>0</v>
          </cell>
          <cell r="F1951">
            <v>0</v>
          </cell>
          <cell r="G1951">
            <v>0</v>
          </cell>
          <cell r="H1951">
            <v>0</v>
          </cell>
          <cell r="J1951" t="e">
            <v>#N/A</v>
          </cell>
          <cell r="P1951" t="e">
            <v>#N/A</v>
          </cell>
          <cell r="R1951" t="e">
            <v>#N/A</v>
          </cell>
          <cell r="S1951" t="e">
            <v>#N/A</v>
          </cell>
          <cell r="Y1951" t="e">
            <v>#N/A</v>
          </cell>
          <cell r="AA1951" t="e">
            <v>#N/A</v>
          </cell>
        </row>
        <row r="1952">
          <cell r="B1952">
            <v>0</v>
          </cell>
          <cell r="C1952">
            <v>0</v>
          </cell>
          <cell r="E1952">
            <v>0</v>
          </cell>
          <cell r="F1952">
            <v>0</v>
          </cell>
          <cell r="G1952">
            <v>0</v>
          </cell>
          <cell r="H1952">
            <v>0</v>
          </cell>
          <cell r="J1952" t="e">
            <v>#N/A</v>
          </cell>
          <cell r="P1952" t="e">
            <v>#N/A</v>
          </cell>
          <cell r="R1952" t="e">
            <v>#N/A</v>
          </cell>
          <cell r="S1952" t="e">
            <v>#N/A</v>
          </cell>
          <cell r="Y1952" t="e">
            <v>#N/A</v>
          </cell>
          <cell r="AA1952" t="e">
            <v>#N/A</v>
          </cell>
        </row>
        <row r="1953">
          <cell r="B1953">
            <v>0</v>
          </cell>
          <cell r="C1953">
            <v>0</v>
          </cell>
          <cell r="E1953">
            <v>0</v>
          </cell>
          <cell r="F1953">
            <v>0</v>
          </cell>
          <cell r="G1953">
            <v>0</v>
          </cell>
          <cell r="H1953">
            <v>0</v>
          </cell>
          <cell r="J1953" t="e">
            <v>#N/A</v>
          </cell>
          <cell r="P1953" t="e">
            <v>#N/A</v>
          </cell>
          <cell r="R1953" t="e">
            <v>#N/A</v>
          </cell>
          <cell r="S1953" t="e">
            <v>#N/A</v>
          </cell>
          <cell r="Y1953" t="e">
            <v>#N/A</v>
          </cell>
          <cell r="AA1953" t="e">
            <v>#N/A</v>
          </cell>
        </row>
        <row r="1954">
          <cell r="B1954">
            <v>0</v>
          </cell>
          <cell r="C1954">
            <v>0</v>
          </cell>
          <cell r="E1954">
            <v>0</v>
          </cell>
          <cell r="F1954">
            <v>0</v>
          </cell>
          <cell r="G1954">
            <v>0</v>
          </cell>
          <cell r="H1954">
            <v>0</v>
          </cell>
          <cell r="J1954" t="e">
            <v>#N/A</v>
          </cell>
          <cell r="P1954" t="e">
            <v>#N/A</v>
          </cell>
          <cell r="R1954" t="e">
            <v>#N/A</v>
          </cell>
          <cell r="S1954" t="e">
            <v>#N/A</v>
          </cell>
          <cell r="Y1954" t="e">
            <v>#N/A</v>
          </cell>
          <cell r="AA1954" t="e">
            <v>#N/A</v>
          </cell>
        </row>
        <row r="1955">
          <cell r="B1955">
            <v>0</v>
          </cell>
          <cell r="C1955">
            <v>0</v>
          </cell>
          <cell r="E1955">
            <v>0</v>
          </cell>
          <cell r="F1955">
            <v>0</v>
          </cell>
          <cell r="G1955">
            <v>0</v>
          </cell>
          <cell r="H1955">
            <v>0</v>
          </cell>
          <cell r="J1955" t="e">
            <v>#N/A</v>
          </cell>
          <cell r="P1955" t="e">
            <v>#N/A</v>
          </cell>
          <cell r="R1955" t="e">
            <v>#N/A</v>
          </cell>
          <cell r="S1955" t="e">
            <v>#N/A</v>
          </cell>
          <cell r="Y1955" t="e">
            <v>#N/A</v>
          </cell>
          <cell r="AA1955" t="e">
            <v>#N/A</v>
          </cell>
        </row>
        <row r="1956">
          <cell r="B1956">
            <v>0</v>
          </cell>
          <cell r="C1956">
            <v>0</v>
          </cell>
          <cell r="E1956">
            <v>0</v>
          </cell>
          <cell r="F1956">
            <v>0</v>
          </cell>
          <cell r="G1956">
            <v>0</v>
          </cell>
          <cell r="H1956">
            <v>0</v>
          </cell>
          <cell r="J1956" t="e">
            <v>#N/A</v>
          </cell>
          <cell r="P1956" t="e">
            <v>#N/A</v>
          </cell>
          <cell r="R1956" t="e">
            <v>#N/A</v>
          </cell>
          <cell r="S1956" t="e">
            <v>#N/A</v>
          </cell>
          <cell r="Y1956" t="e">
            <v>#N/A</v>
          </cell>
          <cell r="AA1956" t="e">
            <v>#N/A</v>
          </cell>
        </row>
        <row r="1957">
          <cell r="B1957">
            <v>0</v>
          </cell>
          <cell r="C1957">
            <v>0</v>
          </cell>
          <cell r="E1957">
            <v>0</v>
          </cell>
          <cell r="F1957">
            <v>0</v>
          </cell>
          <cell r="G1957">
            <v>0</v>
          </cell>
          <cell r="H1957">
            <v>0</v>
          </cell>
          <cell r="J1957" t="e">
            <v>#N/A</v>
          </cell>
          <cell r="P1957" t="e">
            <v>#N/A</v>
          </cell>
          <cell r="R1957" t="e">
            <v>#N/A</v>
          </cell>
          <cell r="S1957" t="e">
            <v>#N/A</v>
          </cell>
          <cell r="Y1957" t="e">
            <v>#N/A</v>
          </cell>
          <cell r="AA1957" t="e">
            <v>#N/A</v>
          </cell>
        </row>
        <row r="1958">
          <cell r="B1958">
            <v>0</v>
          </cell>
          <cell r="C1958">
            <v>0</v>
          </cell>
          <cell r="E1958">
            <v>0</v>
          </cell>
          <cell r="F1958">
            <v>0</v>
          </cell>
          <cell r="G1958">
            <v>0</v>
          </cell>
          <cell r="H1958">
            <v>0</v>
          </cell>
          <cell r="J1958" t="e">
            <v>#N/A</v>
          </cell>
          <cell r="P1958" t="e">
            <v>#N/A</v>
          </cell>
          <cell r="R1958" t="e">
            <v>#N/A</v>
          </cell>
          <cell r="S1958" t="e">
            <v>#N/A</v>
          </cell>
          <cell r="Y1958" t="e">
            <v>#N/A</v>
          </cell>
          <cell r="AA1958" t="e">
            <v>#N/A</v>
          </cell>
        </row>
        <row r="1959">
          <cell r="B1959">
            <v>0</v>
          </cell>
          <cell r="C1959">
            <v>0</v>
          </cell>
          <cell r="E1959">
            <v>0</v>
          </cell>
          <cell r="F1959">
            <v>0</v>
          </cell>
          <cell r="G1959">
            <v>0</v>
          </cell>
          <cell r="H1959">
            <v>0</v>
          </cell>
          <cell r="J1959" t="e">
            <v>#N/A</v>
          </cell>
          <cell r="P1959" t="e">
            <v>#N/A</v>
          </cell>
          <cell r="R1959" t="e">
            <v>#N/A</v>
          </cell>
          <cell r="S1959" t="e">
            <v>#N/A</v>
          </cell>
          <cell r="Y1959" t="e">
            <v>#N/A</v>
          </cell>
          <cell r="AA1959" t="e">
            <v>#N/A</v>
          </cell>
        </row>
        <row r="1960">
          <cell r="B1960">
            <v>0</v>
          </cell>
          <cell r="C1960">
            <v>0</v>
          </cell>
          <cell r="E1960">
            <v>0</v>
          </cell>
          <cell r="F1960">
            <v>0</v>
          </cell>
          <cell r="G1960">
            <v>0</v>
          </cell>
          <cell r="H1960">
            <v>0</v>
          </cell>
          <cell r="J1960" t="e">
            <v>#N/A</v>
          </cell>
          <cell r="P1960" t="e">
            <v>#N/A</v>
          </cell>
          <cell r="R1960" t="e">
            <v>#N/A</v>
          </cell>
          <cell r="S1960" t="e">
            <v>#N/A</v>
          </cell>
          <cell r="Y1960" t="e">
            <v>#N/A</v>
          </cell>
          <cell r="AA1960" t="e">
            <v>#N/A</v>
          </cell>
        </row>
        <row r="1961">
          <cell r="B1961">
            <v>0</v>
          </cell>
          <cell r="C1961">
            <v>0</v>
          </cell>
          <cell r="E1961">
            <v>0</v>
          </cell>
          <cell r="F1961">
            <v>0</v>
          </cell>
          <cell r="G1961">
            <v>0</v>
          </cell>
          <cell r="H1961">
            <v>0</v>
          </cell>
          <cell r="J1961" t="e">
            <v>#N/A</v>
          </cell>
          <cell r="P1961" t="e">
            <v>#N/A</v>
          </cell>
          <cell r="R1961" t="e">
            <v>#N/A</v>
          </cell>
          <cell r="S1961" t="e">
            <v>#N/A</v>
          </cell>
          <cell r="Y1961" t="e">
            <v>#N/A</v>
          </cell>
          <cell r="AA1961" t="e">
            <v>#N/A</v>
          </cell>
        </row>
        <row r="1962">
          <cell r="B1962">
            <v>0</v>
          </cell>
          <cell r="C1962">
            <v>0</v>
          </cell>
          <cell r="E1962">
            <v>0</v>
          </cell>
          <cell r="F1962">
            <v>0</v>
          </cell>
          <cell r="G1962">
            <v>0</v>
          </cell>
          <cell r="H1962">
            <v>0</v>
          </cell>
          <cell r="J1962" t="e">
            <v>#N/A</v>
          </cell>
          <cell r="P1962" t="e">
            <v>#N/A</v>
          </cell>
          <cell r="R1962" t="e">
            <v>#N/A</v>
          </cell>
          <cell r="S1962" t="e">
            <v>#N/A</v>
          </cell>
          <cell r="Y1962" t="e">
            <v>#N/A</v>
          </cell>
          <cell r="AA1962" t="e">
            <v>#N/A</v>
          </cell>
        </row>
        <row r="1963">
          <cell r="B1963">
            <v>0</v>
          </cell>
          <cell r="C1963">
            <v>0</v>
          </cell>
          <cell r="E1963">
            <v>0</v>
          </cell>
          <cell r="F1963">
            <v>0</v>
          </cell>
          <cell r="G1963">
            <v>0</v>
          </cell>
          <cell r="H1963">
            <v>0</v>
          </cell>
          <cell r="J1963" t="e">
            <v>#N/A</v>
          </cell>
          <cell r="P1963" t="e">
            <v>#N/A</v>
          </cell>
          <cell r="R1963" t="e">
            <v>#N/A</v>
          </cell>
          <cell r="S1963" t="e">
            <v>#N/A</v>
          </cell>
          <cell r="Y1963" t="e">
            <v>#N/A</v>
          </cell>
          <cell r="AA1963" t="e">
            <v>#N/A</v>
          </cell>
        </row>
        <row r="1964">
          <cell r="B1964">
            <v>0</v>
          </cell>
          <cell r="C1964">
            <v>0</v>
          </cell>
          <cell r="E1964">
            <v>0</v>
          </cell>
          <cell r="F1964">
            <v>0</v>
          </cell>
          <cell r="G1964">
            <v>0</v>
          </cell>
          <cell r="H1964">
            <v>0</v>
          </cell>
          <cell r="J1964" t="e">
            <v>#N/A</v>
          </cell>
          <cell r="P1964" t="e">
            <v>#N/A</v>
          </cell>
          <cell r="R1964" t="e">
            <v>#N/A</v>
          </cell>
          <cell r="S1964" t="e">
            <v>#N/A</v>
          </cell>
          <cell r="Y1964" t="e">
            <v>#N/A</v>
          </cell>
          <cell r="AA1964" t="e">
            <v>#N/A</v>
          </cell>
        </row>
        <row r="1965">
          <cell r="B1965">
            <v>0</v>
          </cell>
          <cell r="C1965">
            <v>0</v>
          </cell>
          <cell r="E1965">
            <v>0</v>
          </cell>
          <cell r="F1965">
            <v>0</v>
          </cell>
          <cell r="G1965">
            <v>0</v>
          </cell>
          <cell r="H1965">
            <v>0</v>
          </cell>
          <cell r="J1965" t="e">
            <v>#N/A</v>
          </cell>
          <cell r="P1965" t="e">
            <v>#N/A</v>
          </cell>
          <cell r="R1965" t="e">
            <v>#N/A</v>
          </cell>
          <cell r="S1965" t="e">
            <v>#N/A</v>
          </cell>
          <cell r="Y1965" t="e">
            <v>#N/A</v>
          </cell>
          <cell r="AA1965" t="e">
            <v>#N/A</v>
          </cell>
        </row>
        <row r="1966">
          <cell r="B1966">
            <v>0</v>
          </cell>
          <cell r="C1966">
            <v>0</v>
          </cell>
          <cell r="E1966">
            <v>0</v>
          </cell>
          <cell r="F1966">
            <v>0</v>
          </cell>
          <cell r="G1966">
            <v>0</v>
          </cell>
          <cell r="H1966">
            <v>0</v>
          </cell>
          <cell r="J1966" t="e">
            <v>#N/A</v>
          </cell>
          <cell r="P1966" t="e">
            <v>#N/A</v>
          </cell>
          <cell r="R1966" t="e">
            <v>#N/A</v>
          </cell>
          <cell r="S1966" t="e">
            <v>#N/A</v>
          </cell>
          <cell r="Y1966" t="e">
            <v>#N/A</v>
          </cell>
          <cell r="AA1966" t="e">
            <v>#N/A</v>
          </cell>
        </row>
        <row r="1967">
          <cell r="B1967">
            <v>0</v>
          </cell>
          <cell r="C1967">
            <v>0</v>
          </cell>
          <cell r="E1967">
            <v>0</v>
          </cell>
          <cell r="F1967">
            <v>0</v>
          </cell>
          <cell r="G1967">
            <v>0</v>
          </cell>
          <cell r="H1967">
            <v>0</v>
          </cell>
          <cell r="J1967" t="e">
            <v>#N/A</v>
          </cell>
          <cell r="P1967" t="e">
            <v>#N/A</v>
          </cell>
          <cell r="R1967" t="e">
            <v>#N/A</v>
          </cell>
          <cell r="S1967" t="e">
            <v>#N/A</v>
          </cell>
          <cell r="Y1967" t="e">
            <v>#N/A</v>
          </cell>
          <cell r="AA1967" t="e">
            <v>#N/A</v>
          </cell>
        </row>
        <row r="1968">
          <cell r="B1968">
            <v>0</v>
          </cell>
          <cell r="C1968">
            <v>0</v>
          </cell>
          <cell r="E1968">
            <v>0</v>
          </cell>
          <cell r="F1968">
            <v>0</v>
          </cell>
          <cell r="G1968">
            <v>0</v>
          </cell>
          <cell r="H1968">
            <v>0</v>
          </cell>
          <cell r="J1968" t="e">
            <v>#N/A</v>
          </cell>
          <cell r="P1968" t="e">
            <v>#N/A</v>
          </cell>
          <cell r="R1968" t="e">
            <v>#N/A</v>
          </cell>
          <cell r="S1968" t="e">
            <v>#N/A</v>
          </cell>
          <cell r="Y1968" t="e">
            <v>#N/A</v>
          </cell>
          <cell r="AA1968" t="e">
            <v>#N/A</v>
          </cell>
        </row>
        <row r="1969">
          <cell r="B1969">
            <v>0</v>
          </cell>
          <cell r="C1969">
            <v>0</v>
          </cell>
          <cell r="E1969">
            <v>0</v>
          </cell>
          <cell r="F1969">
            <v>0</v>
          </cell>
          <cell r="G1969">
            <v>0</v>
          </cell>
          <cell r="H1969">
            <v>0</v>
          </cell>
          <cell r="J1969" t="e">
            <v>#N/A</v>
          </cell>
          <cell r="P1969" t="e">
            <v>#N/A</v>
          </cell>
          <cell r="R1969" t="e">
            <v>#N/A</v>
          </cell>
          <cell r="S1969" t="e">
            <v>#N/A</v>
          </cell>
          <cell r="Y1969" t="e">
            <v>#N/A</v>
          </cell>
          <cell r="AA1969" t="e">
            <v>#N/A</v>
          </cell>
        </row>
        <row r="1970">
          <cell r="B1970">
            <v>0</v>
          </cell>
          <cell r="C1970">
            <v>0</v>
          </cell>
          <cell r="E1970">
            <v>0</v>
          </cell>
          <cell r="F1970">
            <v>0</v>
          </cell>
          <cell r="G1970">
            <v>0</v>
          </cell>
          <cell r="H1970">
            <v>0</v>
          </cell>
          <cell r="J1970" t="e">
            <v>#N/A</v>
          </cell>
          <cell r="P1970" t="e">
            <v>#N/A</v>
          </cell>
          <cell r="R1970" t="e">
            <v>#N/A</v>
          </cell>
          <cell r="S1970" t="e">
            <v>#N/A</v>
          </cell>
          <cell r="Y1970" t="e">
            <v>#N/A</v>
          </cell>
          <cell r="AA1970" t="e">
            <v>#N/A</v>
          </cell>
        </row>
        <row r="1971">
          <cell r="B1971">
            <v>0</v>
          </cell>
          <cell r="C1971">
            <v>0</v>
          </cell>
          <cell r="E1971">
            <v>0</v>
          </cell>
          <cell r="F1971">
            <v>0</v>
          </cell>
          <cell r="G1971">
            <v>0</v>
          </cell>
          <cell r="H1971">
            <v>0</v>
          </cell>
          <cell r="J1971" t="e">
            <v>#N/A</v>
          </cell>
          <cell r="P1971" t="e">
            <v>#N/A</v>
          </cell>
          <cell r="R1971" t="e">
            <v>#N/A</v>
          </cell>
          <cell r="S1971" t="e">
            <v>#N/A</v>
          </cell>
          <cell r="Y1971" t="e">
            <v>#N/A</v>
          </cell>
          <cell r="AA1971" t="e">
            <v>#N/A</v>
          </cell>
        </row>
        <row r="1972">
          <cell r="B1972">
            <v>0</v>
          </cell>
          <cell r="C1972">
            <v>0</v>
          </cell>
          <cell r="E1972">
            <v>0</v>
          </cell>
          <cell r="F1972">
            <v>0</v>
          </cell>
          <cell r="G1972">
            <v>0</v>
          </cell>
          <cell r="H1972">
            <v>0</v>
          </cell>
          <cell r="J1972" t="e">
            <v>#N/A</v>
          </cell>
          <cell r="P1972" t="e">
            <v>#N/A</v>
          </cell>
          <cell r="R1972" t="e">
            <v>#N/A</v>
          </cell>
          <cell r="S1972" t="e">
            <v>#N/A</v>
          </cell>
          <cell r="Y1972" t="e">
            <v>#N/A</v>
          </cell>
          <cell r="AA1972" t="e">
            <v>#N/A</v>
          </cell>
        </row>
        <row r="1973">
          <cell r="B1973">
            <v>0</v>
          </cell>
          <cell r="C1973">
            <v>0</v>
          </cell>
          <cell r="E1973">
            <v>0</v>
          </cell>
          <cell r="F1973">
            <v>0</v>
          </cell>
          <cell r="G1973">
            <v>0</v>
          </cell>
          <cell r="H1973">
            <v>0</v>
          </cell>
          <cell r="J1973" t="e">
            <v>#N/A</v>
          </cell>
          <cell r="P1973" t="e">
            <v>#N/A</v>
          </cell>
          <cell r="R1973" t="e">
            <v>#N/A</v>
          </cell>
          <cell r="S1973" t="e">
            <v>#N/A</v>
          </cell>
          <cell r="Y1973" t="e">
            <v>#N/A</v>
          </cell>
          <cell r="AA1973" t="e">
            <v>#N/A</v>
          </cell>
        </row>
        <row r="1974">
          <cell r="B1974">
            <v>0</v>
          </cell>
          <cell r="C1974">
            <v>0</v>
          </cell>
          <cell r="E1974">
            <v>0</v>
          </cell>
          <cell r="F1974">
            <v>0</v>
          </cell>
          <cell r="G1974">
            <v>0</v>
          </cell>
          <cell r="H1974">
            <v>0</v>
          </cell>
          <cell r="J1974" t="e">
            <v>#N/A</v>
          </cell>
          <cell r="P1974" t="e">
            <v>#N/A</v>
          </cell>
          <cell r="R1974" t="e">
            <v>#N/A</v>
          </cell>
          <cell r="S1974" t="e">
            <v>#N/A</v>
          </cell>
          <cell r="Y1974" t="e">
            <v>#N/A</v>
          </cell>
          <cell r="AA1974" t="e">
            <v>#N/A</v>
          </cell>
        </row>
        <row r="1975">
          <cell r="B1975">
            <v>0</v>
          </cell>
          <cell r="C1975">
            <v>0</v>
          </cell>
          <cell r="E1975">
            <v>0</v>
          </cell>
          <cell r="F1975">
            <v>0</v>
          </cell>
          <cell r="G1975">
            <v>0</v>
          </cell>
          <cell r="H1975">
            <v>0</v>
          </cell>
          <cell r="J1975" t="e">
            <v>#N/A</v>
          </cell>
          <cell r="P1975" t="e">
            <v>#N/A</v>
          </cell>
          <cell r="R1975" t="e">
            <v>#N/A</v>
          </cell>
          <cell r="S1975" t="e">
            <v>#N/A</v>
          </cell>
          <cell r="Y1975" t="e">
            <v>#N/A</v>
          </cell>
          <cell r="AA1975" t="e">
            <v>#N/A</v>
          </cell>
        </row>
        <row r="1976">
          <cell r="B1976">
            <v>0</v>
          </cell>
          <cell r="C1976">
            <v>0</v>
          </cell>
          <cell r="E1976">
            <v>0</v>
          </cell>
          <cell r="F1976">
            <v>0</v>
          </cell>
          <cell r="G1976">
            <v>0</v>
          </cell>
          <cell r="H1976">
            <v>0</v>
          </cell>
          <cell r="J1976" t="e">
            <v>#N/A</v>
          </cell>
          <cell r="P1976" t="e">
            <v>#N/A</v>
          </cell>
          <cell r="R1976" t="e">
            <v>#N/A</v>
          </cell>
          <cell r="S1976" t="e">
            <v>#N/A</v>
          </cell>
          <cell r="Y1976" t="e">
            <v>#N/A</v>
          </cell>
          <cell r="AA1976" t="e">
            <v>#N/A</v>
          </cell>
        </row>
        <row r="1977">
          <cell r="B1977">
            <v>0</v>
          </cell>
          <cell r="C1977">
            <v>0</v>
          </cell>
          <cell r="E1977">
            <v>0</v>
          </cell>
          <cell r="F1977">
            <v>0</v>
          </cell>
          <cell r="G1977">
            <v>0</v>
          </cell>
          <cell r="H1977">
            <v>0</v>
          </cell>
          <cell r="J1977" t="e">
            <v>#N/A</v>
          </cell>
          <cell r="P1977" t="e">
            <v>#N/A</v>
          </cell>
          <cell r="R1977" t="e">
            <v>#N/A</v>
          </cell>
          <cell r="S1977" t="e">
            <v>#N/A</v>
          </cell>
          <cell r="Y1977" t="e">
            <v>#N/A</v>
          </cell>
          <cell r="AA1977" t="e">
            <v>#N/A</v>
          </cell>
        </row>
        <row r="1978">
          <cell r="B1978">
            <v>0</v>
          </cell>
          <cell r="C1978">
            <v>0</v>
          </cell>
          <cell r="E1978">
            <v>0</v>
          </cell>
          <cell r="F1978">
            <v>0</v>
          </cell>
          <cell r="G1978">
            <v>0</v>
          </cell>
          <cell r="H1978">
            <v>0</v>
          </cell>
          <cell r="J1978" t="e">
            <v>#N/A</v>
          </cell>
          <cell r="P1978" t="e">
            <v>#N/A</v>
          </cell>
          <cell r="R1978" t="e">
            <v>#N/A</v>
          </cell>
          <cell r="S1978" t="e">
            <v>#N/A</v>
          </cell>
          <cell r="Y1978" t="e">
            <v>#N/A</v>
          </cell>
          <cell r="AA1978" t="e">
            <v>#N/A</v>
          </cell>
        </row>
        <row r="1979">
          <cell r="B1979">
            <v>0</v>
          </cell>
          <cell r="C1979">
            <v>0</v>
          </cell>
          <cell r="E1979">
            <v>0</v>
          </cell>
          <cell r="F1979">
            <v>0</v>
          </cell>
          <cell r="G1979">
            <v>0</v>
          </cell>
          <cell r="H1979">
            <v>0</v>
          </cell>
          <cell r="J1979" t="e">
            <v>#N/A</v>
          </cell>
          <cell r="P1979" t="e">
            <v>#N/A</v>
          </cell>
          <cell r="R1979" t="e">
            <v>#N/A</v>
          </cell>
          <cell r="S1979" t="e">
            <v>#N/A</v>
          </cell>
          <cell r="Y1979" t="e">
            <v>#N/A</v>
          </cell>
          <cell r="AA1979" t="e">
            <v>#N/A</v>
          </cell>
        </row>
        <row r="1980">
          <cell r="B1980">
            <v>0</v>
          </cell>
          <cell r="C1980">
            <v>0</v>
          </cell>
          <cell r="E1980">
            <v>0</v>
          </cell>
          <cell r="F1980">
            <v>0</v>
          </cell>
          <cell r="G1980">
            <v>0</v>
          </cell>
          <cell r="H1980">
            <v>0</v>
          </cell>
          <cell r="J1980" t="e">
            <v>#N/A</v>
          </cell>
          <cell r="P1980" t="e">
            <v>#N/A</v>
          </cell>
          <cell r="R1980" t="e">
            <v>#N/A</v>
          </cell>
          <cell r="S1980" t="e">
            <v>#N/A</v>
          </cell>
          <cell r="Y1980" t="e">
            <v>#N/A</v>
          </cell>
          <cell r="AA1980" t="e">
            <v>#N/A</v>
          </cell>
        </row>
        <row r="1981">
          <cell r="B1981">
            <v>0</v>
          </cell>
          <cell r="C1981">
            <v>0</v>
          </cell>
          <cell r="E1981">
            <v>0</v>
          </cell>
          <cell r="F1981">
            <v>0</v>
          </cell>
          <cell r="G1981">
            <v>0</v>
          </cell>
          <cell r="H1981">
            <v>0</v>
          </cell>
          <cell r="J1981" t="e">
            <v>#N/A</v>
          </cell>
          <cell r="P1981" t="e">
            <v>#N/A</v>
          </cell>
          <cell r="R1981" t="e">
            <v>#N/A</v>
          </cell>
          <cell r="S1981" t="e">
            <v>#N/A</v>
          </cell>
          <cell r="Y1981" t="e">
            <v>#N/A</v>
          </cell>
          <cell r="AA1981" t="e">
            <v>#N/A</v>
          </cell>
        </row>
        <row r="1982">
          <cell r="B1982">
            <v>0</v>
          </cell>
          <cell r="C1982">
            <v>0</v>
          </cell>
          <cell r="E1982">
            <v>0</v>
          </cell>
          <cell r="F1982">
            <v>0</v>
          </cell>
          <cell r="G1982">
            <v>0</v>
          </cell>
          <cell r="H1982">
            <v>0</v>
          </cell>
          <cell r="J1982" t="e">
            <v>#N/A</v>
          </cell>
          <cell r="P1982" t="e">
            <v>#N/A</v>
          </cell>
          <cell r="R1982" t="e">
            <v>#N/A</v>
          </cell>
          <cell r="S1982" t="e">
            <v>#N/A</v>
          </cell>
          <cell r="Y1982" t="e">
            <v>#N/A</v>
          </cell>
          <cell r="AA1982" t="e">
            <v>#N/A</v>
          </cell>
        </row>
        <row r="1983">
          <cell r="B1983">
            <v>0</v>
          </cell>
          <cell r="C1983">
            <v>0</v>
          </cell>
          <cell r="E1983">
            <v>0</v>
          </cell>
          <cell r="F1983">
            <v>0</v>
          </cell>
          <cell r="G1983">
            <v>0</v>
          </cell>
          <cell r="H1983">
            <v>0</v>
          </cell>
          <cell r="J1983" t="e">
            <v>#N/A</v>
          </cell>
          <cell r="P1983" t="e">
            <v>#N/A</v>
          </cell>
          <cell r="R1983" t="e">
            <v>#N/A</v>
          </cell>
          <cell r="S1983" t="e">
            <v>#N/A</v>
          </cell>
          <cell r="Y1983" t="e">
            <v>#N/A</v>
          </cell>
          <cell r="AA1983" t="e">
            <v>#N/A</v>
          </cell>
        </row>
        <row r="1984">
          <cell r="B1984">
            <v>0</v>
          </cell>
          <cell r="C1984">
            <v>0</v>
          </cell>
          <cell r="E1984">
            <v>0</v>
          </cell>
          <cell r="F1984">
            <v>0</v>
          </cell>
          <cell r="G1984">
            <v>0</v>
          </cell>
          <cell r="H1984">
            <v>0</v>
          </cell>
          <cell r="J1984" t="e">
            <v>#N/A</v>
          </cell>
          <cell r="P1984" t="e">
            <v>#N/A</v>
          </cell>
          <cell r="R1984" t="e">
            <v>#N/A</v>
          </cell>
          <cell r="S1984" t="e">
            <v>#N/A</v>
          </cell>
          <cell r="Y1984" t="e">
            <v>#N/A</v>
          </cell>
          <cell r="AA1984" t="e">
            <v>#N/A</v>
          </cell>
        </row>
        <row r="1985">
          <cell r="B1985">
            <v>0</v>
          </cell>
          <cell r="C1985">
            <v>0</v>
          </cell>
          <cell r="E1985">
            <v>0</v>
          </cell>
          <cell r="F1985">
            <v>0</v>
          </cell>
          <cell r="G1985">
            <v>0</v>
          </cell>
          <cell r="H1985">
            <v>0</v>
          </cell>
          <cell r="J1985" t="e">
            <v>#N/A</v>
          </cell>
          <cell r="P1985" t="e">
            <v>#N/A</v>
          </cell>
          <cell r="R1985" t="e">
            <v>#N/A</v>
          </cell>
          <cell r="S1985" t="e">
            <v>#N/A</v>
          </cell>
          <cell r="Y1985" t="e">
            <v>#N/A</v>
          </cell>
          <cell r="AA1985" t="e">
            <v>#N/A</v>
          </cell>
        </row>
        <row r="1986">
          <cell r="B1986">
            <v>0</v>
          </cell>
          <cell r="C1986">
            <v>0</v>
          </cell>
          <cell r="E1986">
            <v>0</v>
          </cell>
          <cell r="F1986">
            <v>0</v>
          </cell>
          <cell r="G1986">
            <v>0</v>
          </cell>
          <cell r="H1986">
            <v>0</v>
          </cell>
          <cell r="J1986" t="e">
            <v>#N/A</v>
          </cell>
          <cell r="P1986" t="e">
            <v>#N/A</v>
          </cell>
          <cell r="R1986" t="e">
            <v>#N/A</v>
          </cell>
          <cell r="S1986" t="e">
            <v>#N/A</v>
          </cell>
          <cell r="Y1986" t="e">
            <v>#N/A</v>
          </cell>
          <cell r="AA1986" t="e">
            <v>#N/A</v>
          </cell>
        </row>
        <row r="1987">
          <cell r="B1987">
            <v>0</v>
          </cell>
          <cell r="C1987">
            <v>0</v>
          </cell>
          <cell r="E1987">
            <v>0</v>
          </cell>
          <cell r="F1987">
            <v>0</v>
          </cell>
          <cell r="G1987">
            <v>0</v>
          </cell>
          <cell r="H1987">
            <v>0</v>
          </cell>
          <cell r="J1987" t="e">
            <v>#N/A</v>
          </cell>
          <cell r="P1987" t="e">
            <v>#N/A</v>
          </cell>
          <cell r="R1987" t="e">
            <v>#N/A</v>
          </cell>
          <cell r="S1987" t="e">
            <v>#N/A</v>
          </cell>
          <cell r="Y1987" t="e">
            <v>#N/A</v>
          </cell>
          <cell r="AA1987" t="e">
            <v>#N/A</v>
          </cell>
        </row>
        <row r="1988">
          <cell r="B1988">
            <v>0</v>
          </cell>
          <cell r="C1988">
            <v>0</v>
          </cell>
          <cell r="E1988">
            <v>0</v>
          </cell>
          <cell r="F1988">
            <v>0</v>
          </cell>
          <cell r="G1988">
            <v>0</v>
          </cell>
          <cell r="H1988">
            <v>0</v>
          </cell>
          <cell r="J1988" t="e">
            <v>#N/A</v>
          </cell>
          <cell r="P1988" t="e">
            <v>#N/A</v>
          </cell>
          <cell r="R1988" t="e">
            <v>#N/A</v>
          </cell>
          <cell r="S1988" t="e">
            <v>#N/A</v>
          </cell>
          <cell r="Y1988" t="e">
            <v>#N/A</v>
          </cell>
          <cell r="AA1988" t="e">
            <v>#N/A</v>
          </cell>
        </row>
        <row r="1989">
          <cell r="B1989">
            <v>0</v>
          </cell>
          <cell r="C1989">
            <v>0</v>
          </cell>
          <cell r="E1989">
            <v>0</v>
          </cell>
          <cell r="F1989">
            <v>0</v>
          </cell>
          <cell r="G1989">
            <v>0</v>
          </cell>
          <cell r="H1989">
            <v>0</v>
          </cell>
          <cell r="J1989" t="e">
            <v>#N/A</v>
          </cell>
          <cell r="P1989" t="e">
            <v>#N/A</v>
          </cell>
          <cell r="R1989" t="e">
            <v>#N/A</v>
          </cell>
          <cell r="S1989" t="e">
            <v>#N/A</v>
          </cell>
          <cell r="Y1989" t="e">
            <v>#N/A</v>
          </cell>
          <cell r="AA1989" t="e">
            <v>#N/A</v>
          </cell>
        </row>
        <row r="1990">
          <cell r="B1990">
            <v>0</v>
          </cell>
          <cell r="C1990">
            <v>0</v>
          </cell>
          <cell r="E1990">
            <v>0</v>
          </cell>
          <cell r="F1990">
            <v>0</v>
          </cell>
          <cell r="G1990">
            <v>0</v>
          </cell>
          <cell r="H1990">
            <v>0</v>
          </cell>
          <cell r="J1990" t="e">
            <v>#N/A</v>
          </cell>
          <cell r="P1990" t="e">
            <v>#N/A</v>
          </cell>
          <cell r="R1990" t="e">
            <v>#N/A</v>
          </cell>
          <cell r="S1990" t="e">
            <v>#N/A</v>
          </cell>
          <cell r="Y1990" t="e">
            <v>#N/A</v>
          </cell>
          <cell r="AA1990" t="e">
            <v>#N/A</v>
          </cell>
        </row>
        <row r="1991">
          <cell r="B1991">
            <v>0</v>
          </cell>
          <cell r="C1991">
            <v>0</v>
          </cell>
          <cell r="E1991">
            <v>0</v>
          </cell>
          <cell r="F1991">
            <v>0</v>
          </cell>
          <cell r="G1991">
            <v>0</v>
          </cell>
          <cell r="H1991">
            <v>0</v>
          </cell>
          <cell r="J1991" t="e">
            <v>#N/A</v>
          </cell>
          <cell r="P1991" t="e">
            <v>#N/A</v>
          </cell>
          <cell r="R1991" t="e">
            <v>#N/A</v>
          </cell>
          <cell r="S1991" t="e">
            <v>#N/A</v>
          </cell>
          <cell r="Y1991" t="e">
            <v>#N/A</v>
          </cell>
          <cell r="AA1991" t="e">
            <v>#N/A</v>
          </cell>
        </row>
        <row r="1992">
          <cell r="B1992">
            <v>0</v>
          </cell>
          <cell r="C1992">
            <v>0</v>
          </cell>
          <cell r="E1992">
            <v>0</v>
          </cell>
          <cell r="F1992">
            <v>0</v>
          </cell>
          <cell r="G1992">
            <v>0</v>
          </cell>
          <cell r="H1992">
            <v>0</v>
          </cell>
          <cell r="J1992" t="e">
            <v>#N/A</v>
          </cell>
          <cell r="P1992" t="e">
            <v>#N/A</v>
          </cell>
          <cell r="R1992" t="e">
            <v>#N/A</v>
          </cell>
          <cell r="S1992" t="e">
            <v>#N/A</v>
          </cell>
          <cell r="Y1992" t="e">
            <v>#N/A</v>
          </cell>
          <cell r="AA1992" t="e">
            <v>#N/A</v>
          </cell>
        </row>
        <row r="1993">
          <cell r="B1993">
            <v>0</v>
          </cell>
          <cell r="C1993">
            <v>0</v>
          </cell>
          <cell r="E1993">
            <v>0</v>
          </cell>
          <cell r="F1993">
            <v>0</v>
          </cell>
          <cell r="G1993">
            <v>0</v>
          </cell>
          <cell r="H1993">
            <v>0</v>
          </cell>
          <cell r="J1993" t="e">
            <v>#N/A</v>
          </cell>
          <cell r="P1993" t="e">
            <v>#N/A</v>
          </cell>
          <cell r="R1993" t="e">
            <v>#N/A</v>
          </cell>
          <cell r="S1993" t="e">
            <v>#N/A</v>
          </cell>
          <cell r="Y1993" t="e">
            <v>#N/A</v>
          </cell>
          <cell r="AA1993" t="e">
            <v>#N/A</v>
          </cell>
        </row>
        <row r="1994">
          <cell r="B1994">
            <v>0</v>
          </cell>
          <cell r="C1994">
            <v>0</v>
          </cell>
          <cell r="E1994">
            <v>0</v>
          </cell>
          <cell r="F1994">
            <v>0</v>
          </cell>
          <cell r="G1994">
            <v>0</v>
          </cell>
          <cell r="H1994">
            <v>0</v>
          </cell>
          <cell r="J1994" t="e">
            <v>#N/A</v>
          </cell>
          <cell r="P1994" t="e">
            <v>#N/A</v>
          </cell>
          <cell r="R1994" t="e">
            <v>#N/A</v>
          </cell>
          <cell r="S1994" t="e">
            <v>#N/A</v>
          </cell>
          <cell r="Y1994" t="e">
            <v>#N/A</v>
          </cell>
          <cell r="AA1994" t="e">
            <v>#N/A</v>
          </cell>
        </row>
        <row r="1995">
          <cell r="B1995">
            <v>0</v>
          </cell>
          <cell r="C1995">
            <v>0</v>
          </cell>
          <cell r="E1995">
            <v>0</v>
          </cell>
          <cell r="F1995">
            <v>0</v>
          </cell>
          <cell r="G1995">
            <v>0</v>
          </cell>
          <cell r="H1995">
            <v>0</v>
          </cell>
          <cell r="J1995" t="e">
            <v>#N/A</v>
          </cell>
          <cell r="P1995" t="e">
            <v>#N/A</v>
          </cell>
          <cell r="R1995" t="e">
            <v>#N/A</v>
          </cell>
          <cell r="S1995" t="e">
            <v>#N/A</v>
          </cell>
          <cell r="Y1995" t="e">
            <v>#N/A</v>
          </cell>
          <cell r="AA1995" t="e">
            <v>#N/A</v>
          </cell>
        </row>
        <row r="1996">
          <cell r="B1996">
            <v>0</v>
          </cell>
          <cell r="C1996">
            <v>0</v>
          </cell>
          <cell r="E1996">
            <v>0</v>
          </cell>
          <cell r="F1996">
            <v>0</v>
          </cell>
          <cell r="G1996">
            <v>0</v>
          </cell>
          <cell r="H1996">
            <v>0</v>
          </cell>
          <cell r="J1996" t="e">
            <v>#N/A</v>
          </cell>
          <cell r="P1996" t="e">
            <v>#N/A</v>
          </cell>
          <cell r="R1996" t="e">
            <v>#N/A</v>
          </cell>
          <cell r="S1996" t="e">
            <v>#N/A</v>
          </cell>
          <cell r="Y1996" t="e">
            <v>#N/A</v>
          </cell>
          <cell r="AA1996" t="e">
            <v>#N/A</v>
          </cell>
        </row>
        <row r="1997">
          <cell r="B1997">
            <v>0</v>
          </cell>
          <cell r="C1997">
            <v>0</v>
          </cell>
          <cell r="E1997">
            <v>0</v>
          </cell>
          <cell r="F1997">
            <v>0</v>
          </cell>
          <cell r="G1997">
            <v>0</v>
          </cell>
          <cell r="H1997">
            <v>0</v>
          </cell>
          <cell r="J1997" t="e">
            <v>#N/A</v>
          </cell>
          <cell r="P1997" t="e">
            <v>#N/A</v>
          </cell>
          <cell r="R1997" t="e">
            <v>#N/A</v>
          </cell>
          <cell r="S1997" t="e">
            <v>#N/A</v>
          </cell>
          <cell r="Y1997" t="e">
            <v>#N/A</v>
          </cell>
          <cell r="AA1997" t="e">
            <v>#N/A</v>
          </cell>
        </row>
        <row r="1998">
          <cell r="B1998">
            <v>0</v>
          </cell>
          <cell r="C1998">
            <v>0</v>
          </cell>
          <cell r="E1998">
            <v>0</v>
          </cell>
          <cell r="F1998">
            <v>0</v>
          </cell>
          <cell r="G1998">
            <v>0</v>
          </cell>
          <cell r="H1998">
            <v>0</v>
          </cell>
          <cell r="J1998" t="e">
            <v>#N/A</v>
          </cell>
          <cell r="P1998" t="e">
            <v>#N/A</v>
          </cell>
          <cell r="R1998" t="e">
            <v>#N/A</v>
          </cell>
          <cell r="S1998" t="e">
            <v>#N/A</v>
          </cell>
          <cell r="Y1998" t="e">
            <v>#N/A</v>
          </cell>
          <cell r="AA1998" t="e">
            <v>#N/A</v>
          </cell>
        </row>
        <row r="1999">
          <cell r="B1999">
            <v>0</v>
          </cell>
          <cell r="C1999">
            <v>0</v>
          </cell>
          <cell r="E1999">
            <v>0</v>
          </cell>
          <cell r="F1999">
            <v>0</v>
          </cell>
          <cell r="G1999">
            <v>0</v>
          </cell>
          <cell r="H1999">
            <v>0</v>
          </cell>
          <cell r="J1999" t="b">
            <v>0</v>
          </cell>
          <cell r="P1999" t="b">
            <v>0</v>
          </cell>
          <cell r="R1999" t="b">
            <v>0</v>
          </cell>
          <cell r="S1999" t="b">
            <v>0</v>
          </cell>
          <cell r="Y1999" t="b">
            <v>0</v>
          </cell>
          <cell r="AA1999" t="b">
            <v>0</v>
          </cell>
        </row>
        <row r="2000">
          <cell r="B2000">
            <v>0</v>
          </cell>
          <cell r="C2000">
            <v>0</v>
          </cell>
          <cell r="E2000">
            <v>0</v>
          </cell>
          <cell r="F2000">
            <v>0</v>
          </cell>
          <cell r="G2000">
            <v>0</v>
          </cell>
          <cell r="H2000">
            <v>0</v>
          </cell>
          <cell r="J2000" t="b">
            <v>0</v>
          </cell>
          <cell r="P2000" t="b">
            <v>0</v>
          </cell>
          <cell r="R2000" t="b">
            <v>0</v>
          </cell>
          <cell r="S2000" t="b">
            <v>0</v>
          </cell>
          <cell r="Y2000" t="b">
            <v>0</v>
          </cell>
          <cell r="AA2000" t="b">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ail Price List"/>
      <sheetName val="Trucks"/>
      <sheetName val="VW Trucks"/>
      <sheetName val="MAN TBAs"/>
      <sheetName val="VW TBAs"/>
      <sheetName val="MAN Price"/>
      <sheetName val="VW Price"/>
      <sheetName val="Demos"/>
      <sheetName val=" VWTrucks"/>
    </sheetNames>
    <sheetDataSet>
      <sheetData sheetId="0">
        <row r="3">
          <cell r="A3" t="str">
            <v>MODEL</v>
          </cell>
          <cell r="B3" t="str">
            <v>KP Numbers from PTN OB</v>
          </cell>
        </row>
        <row r="4">
          <cell r="A4" t="str">
            <v>CLA-15-2204X2BB-C</v>
          </cell>
          <cell r="B4" t="str">
            <v>KP000589</v>
          </cell>
        </row>
        <row r="5">
          <cell r="A5" t="str">
            <v>CLA-15-2204X2BB-C-CKD</v>
          </cell>
          <cell r="B5" t="str">
            <v>KP000589</v>
          </cell>
        </row>
        <row r="6">
          <cell r="A6" t="str">
            <v>CLA-16-2204X2BB-C</v>
          </cell>
          <cell r="B6" t="str">
            <v>Special Order</v>
          </cell>
        </row>
        <row r="7">
          <cell r="A7" t="str">
            <v>CLA-20-2804X2BB-C</v>
          </cell>
          <cell r="B7" t="str">
            <v>Special Order</v>
          </cell>
        </row>
        <row r="8">
          <cell r="A8" t="str">
            <v>CLA-26-2806X4BB-C-K</v>
          </cell>
          <cell r="B8" t="str">
            <v>KP000516</v>
          </cell>
        </row>
        <row r="9">
          <cell r="A9" t="str">
            <v>CLA-26-2806X4BB-C-L</v>
          </cell>
          <cell r="B9" t="str">
            <v>KP000590</v>
          </cell>
        </row>
        <row r="10">
          <cell r="A10" t="str">
            <v>CLA-26-2806X4BB-C-M</v>
          </cell>
          <cell r="B10" t="str">
            <v>KP000564</v>
          </cell>
        </row>
        <row r="11">
          <cell r="A11" t="str">
            <v>CLA-26-2806X4BBS-L</v>
          </cell>
          <cell r="B11" t="str">
            <v>Special Order</v>
          </cell>
        </row>
        <row r="12">
          <cell r="A12" t="str">
            <v>TGM-13-2804X4BB-LA-DK SWA</v>
          </cell>
          <cell r="B12" t="str">
            <v>Special Order</v>
          </cell>
        </row>
        <row r="13">
          <cell r="A13" t="str">
            <v>TGM-15-2404X2BL-C</v>
          </cell>
          <cell r="B13" t="str">
            <v>KP000758</v>
          </cell>
        </row>
        <row r="14">
          <cell r="A14" t="str">
            <v>TGM-18-2404X2BB-C</v>
          </cell>
          <cell r="B14" t="str">
            <v>KP000474</v>
          </cell>
        </row>
        <row r="15">
          <cell r="A15" t="str">
            <v>TGM-18-2404X2BB-C-K</v>
          </cell>
          <cell r="B15" t="str">
            <v>KP000405</v>
          </cell>
        </row>
        <row r="16">
          <cell r="A16" t="str">
            <v>TGM-18-2404X4BB-C-DWA</v>
          </cell>
          <cell r="B16" t="str">
            <v>KP000471</v>
          </cell>
        </row>
        <row r="17">
          <cell r="A17" t="str">
            <v>TGM-18-2404X4BB-C-SWA</v>
          </cell>
          <cell r="B17" t="str">
            <v>KP000481</v>
          </cell>
        </row>
        <row r="18">
          <cell r="A18" t="str">
            <v>TGM-18-2404X4BB-DK-DWA</v>
          </cell>
          <cell r="B18" t="str">
            <v>TGM000M4</v>
          </cell>
        </row>
        <row r="19">
          <cell r="A19" t="str">
            <v>TGM-18-2404X4BB-DK-SWA-TIP</v>
          </cell>
          <cell r="B19" t="str">
            <v>TGM000M1</v>
          </cell>
        </row>
        <row r="20">
          <cell r="A20" t="str">
            <v>TGM-18-2804X2BB-C-K</v>
          </cell>
          <cell r="B20" t="str">
            <v>KP000669</v>
          </cell>
        </row>
        <row r="21">
          <cell r="A21" t="str">
            <v>TGM-18-2804X2BB-DK-DWA</v>
          </cell>
          <cell r="B21" t="str">
            <v>TGM000M3</v>
          </cell>
        </row>
        <row r="22">
          <cell r="A22" t="str">
            <v>TGM-18-2804X2BB-L</v>
          </cell>
          <cell r="B22" t="str">
            <v>KP000404</v>
          </cell>
        </row>
        <row r="23">
          <cell r="A23" t="str">
            <v>TGM-18-2804X2BB-LX</v>
          </cell>
          <cell r="B23" t="str">
            <v>Special Order</v>
          </cell>
        </row>
        <row r="24">
          <cell r="A24" t="str">
            <v>TGM-18-2804X4BB-C-MAN</v>
          </cell>
          <cell r="B24" t="str">
            <v>Special Order</v>
          </cell>
        </row>
        <row r="25">
          <cell r="A25" t="str">
            <v>TGM-18-3304X4BB-C-DWA</v>
          </cell>
          <cell r="B25" t="str">
            <v>Special Order</v>
          </cell>
        </row>
        <row r="26">
          <cell r="A26" t="str">
            <v>TGM-18-3304X4BB-DK-SWA</v>
          </cell>
          <cell r="B26" t="str">
            <v>TGM000M2</v>
          </cell>
        </row>
        <row r="27">
          <cell r="A27" t="str">
            <v>TGM-25-2806X2BL-L</v>
          </cell>
          <cell r="B27" t="str">
            <v>KP000489</v>
          </cell>
        </row>
        <row r="28">
          <cell r="A28" t="str">
            <v>TGM-25-2806X2BL-LX</v>
          </cell>
          <cell r="B28" t="str">
            <v>KP000482</v>
          </cell>
        </row>
        <row r="29">
          <cell r="A29" t="str">
            <v>TGS-19-3604X2BLS-L</v>
          </cell>
          <cell r="B29" t="str">
            <v>KP000632</v>
          </cell>
        </row>
        <row r="30">
          <cell r="A30" t="str">
            <v>TGS-19-3604X2BLS-L - INT</v>
          </cell>
          <cell r="B30" t="str">
            <v>TGS00011</v>
          </cell>
        </row>
        <row r="31">
          <cell r="A31" t="str">
            <v>TGS-19-4004X2BLS-L-ALU-PTO</v>
          </cell>
          <cell r="B31" t="str">
            <v>TGS00008</v>
          </cell>
        </row>
        <row r="32">
          <cell r="A32" t="str">
            <v>TGS-19-4404X2BLS-LX-EL</v>
          </cell>
          <cell r="B32" t="str">
            <v>Special Order</v>
          </cell>
        </row>
        <row r="33">
          <cell r="A33" t="str">
            <v>TGS-26-3606X4BLS-L</v>
          </cell>
          <cell r="B33" t="str">
            <v>Special Order</v>
          </cell>
        </row>
        <row r="34">
          <cell r="A34" t="str">
            <v>TGS-26-4006X4BLS-L</v>
          </cell>
          <cell r="B34" t="str">
            <v>Special Order</v>
          </cell>
        </row>
        <row r="35">
          <cell r="A35" t="str">
            <v>TGS-26-4006X4BLS-M</v>
          </cell>
          <cell r="B35" t="str">
            <v>Special Order</v>
          </cell>
        </row>
        <row r="36">
          <cell r="A36" t="str">
            <v>TGS-26-4406X4BLS-L</v>
          </cell>
          <cell r="B36" t="str">
            <v>Special Order</v>
          </cell>
        </row>
        <row r="37">
          <cell r="A37" t="str">
            <v>TGS-26-4406X4BLS-LX</v>
          </cell>
          <cell r="B37" t="str">
            <v>KP000634</v>
          </cell>
        </row>
        <row r="38">
          <cell r="A38" t="str">
            <v>TGS-26-4406X4BLS-LX-ADR</v>
          </cell>
          <cell r="B38" t="str">
            <v>TGS00001</v>
          </cell>
        </row>
        <row r="39">
          <cell r="A39" t="str">
            <v>TGS-26-4406X4BLS-LX-ALU</v>
          </cell>
          <cell r="B39" t="str">
            <v>KP000666</v>
          </cell>
        </row>
        <row r="40">
          <cell r="A40" t="str">
            <v>TGS-26-4406X4BLS-LX-ALU-EL</v>
          </cell>
          <cell r="B40" t="str">
            <v>KP000707</v>
          </cell>
        </row>
        <row r="41">
          <cell r="A41" t="str">
            <v>TGS-26-4406X4BLS-LX-ACC</v>
          </cell>
          <cell r="B41" t="str">
            <v>TGS00012</v>
          </cell>
        </row>
        <row r="42">
          <cell r="A42" t="str">
            <v>TGS-26-4406X4BLS-LX-EL-ACC</v>
          </cell>
          <cell r="B42" t="str">
            <v>TGS00013</v>
          </cell>
        </row>
        <row r="43">
          <cell r="A43" t="str">
            <v>TGS-26-4406X4BLS-M</v>
          </cell>
          <cell r="B43" t="str">
            <v>TGS00009</v>
          </cell>
        </row>
        <row r="44">
          <cell r="A44" t="str">
            <v>TGS-26-4806X4BLS-LX</v>
          </cell>
          <cell r="B44" t="str">
            <v>KP000635</v>
          </cell>
        </row>
        <row r="45">
          <cell r="A45" t="str">
            <v>TGS-26-4806X4BLS-LX-E5</v>
          </cell>
          <cell r="B45" t="str">
            <v>Special Order</v>
          </cell>
        </row>
        <row r="46">
          <cell r="A46" t="str">
            <v>TGS-26-4806X4BLS-LX-EL</v>
          </cell>
          <cell r="B46" t="str">
            <v>KP000709</v>
          </cell>
        </row>
        <row r="47">
          <cell r="A47" t="str">
            <v>TGS-26-4806X4BLS-LX-EL-ACC</v>
          </cell>
          <cell r="B47" t="str">
            <v>TGS00002</v>
          </cell>
        </row>
        <row r="48">
          <cell r="A48" t="str">
            <v>TGS-27-4006X4BBS-L</v>
          </cell>
          <cell r="B48" t="str">
            <v>KP000636</v>
          </cell>
        </row>
        <row r="49">
          <cell r="A49" t="str">
            <v>TGS-27-4006X4BBS-L-INT</v>
          </cell>
          <cell r="B49" t="str">
            <v>Special Order</v>
          </cell>
        </row>
        <row r="50">
          <cell r="A50" t="str">
            <v>TGS-27-4406X4BBS-L</v>
          </cell>
          <cell r="B50" t="str">
            <v>KP000637</v>
          </cell>
        </row>
        <row r="51">
          <cell r="A51" t="str">
            <v>TGS-27-4406X4BBS-L-STEEL</v>
          </cell>
          <cell r="B51" t="str">
            <v>KP000718</v>
          </cell>
        </row>
        <row r="52">
          <cell r="A52" t="str">
            <v>TGS-27-4406X4BBS-LX</v>
          </cell>
          <cell r="B52" t="str">
            <v>KP000753</v>
          </cell>
        </row>
        <row r="53">
          <cell r="A53" t="str">
            <v>TGS-27-4806X4BBS-L</v>
          </cell>
          <cell r="B53" t="str">
            <v>KP000638</v>
          </cell>
        </row>
        <row r="54">
          <cell r="A54" t="str">
            <v>TGS-27-4806X4BBS-LX</v>
          </cell>
          <cell r="B54" t="str">
            <v>KP000659</v>
          </cell>
        </row>
        <row r="55">
          <cell r="A55" t="str">
            <v>TGS-27-4806X4BBS-LX-PBS</v>
          </cell>
          <cell r="B55" t="str">
            <v>TGS00003</v>
          </cell>
        </row>
        <row r="56">
          <cell r="A56" t="str">
            <v>TGS-28-3606X2BLS-L</v>
          </cell>
          <cell r="B56" t="str">
            <v>KP000698</v>
          </cell>
        </row>
        <row r="57">
          <cell r="A57" t="str">
            <v>TGS-25-4406X2BLS-LX</v>
          </cell>
          <cell r="B57" t="str">
            <v>TGS00010</v>
          </cell>
        </row>
        <row r="58">
          <cell r="A58" t="str">
            <v>TGS-33-3606X4BB-M</v>
          </cell>
          <cell r="B58" t="str">
            <v>KP000682</v>
          </cell>
        </row>
        <row r="59">
          <cell r="A59" t="str">
            <v>TGS-33-3606X4BB-M-K</v>
          </cell>
          <cell r="B59" t="str">
            <v>KP000681</v>
          </cell>
        </row>
        <row r="60">
          <cell r="A60" t="str">
            <v>TGS-33-3606X4BB-M-K-TIP</v>
          </cell>
          <cell r="B60" t="str">
            <v>TGS00005</v>
          </cell>
        </row>
        <row r="61">
          <cell r="A61" t="str">
            <v>TGS-33-3606X4BB-M-TIP</v>
          </cell>
          <cell r="B61" t="str">
            <v>TGS00004</v>
          </cell>
        </row>
        <row r="62">
          <cell r="A62" t="str">
            <v>TGS-33-3606X4BBS-L</v>
          </cell>
          <cell r="B62" t="str">
            <v>KP000671</v>
          </cell>
        </row>
        <row r="63">
          <cell r="A63" t="str">
            <v>TGS-33-3606X6BB-M-SWA</v>
          </cell>
          <cell r="B63" t="str">
            <v>Special Order</v>
          </cell>
        </row>
        <row r="64">
          <cell r="A64" t="str">
            <v>TGS-33-4006X4BB-M-K</v>
          </cell>
          <cell r="B64" t="str">
            <v>Special Order</v>
          </cell>
        </row>
        <row r="65">
          <cell r="A65" t="str">
            <v>TGS-33-4006X4BB-M-TIP</v>
          </cell>
          <cell r="B65" t="str">
            <v>Special Order</v>
          </cell>
        </row>
        <row r="66">
          <cell r="A66" t="str">
            <v>TGS-33-4006X4BBS-L-MAN</v>
          </cell>
          <cell r="B66" t="str">
            <v>Special Order</v>
          </cell>
        </row>
        <row r="67">
          <cell r="A67" t="str">
            <v>TGS-33-4006X4BBS-L-TIP</v>
          </cell>
          <cell r="B67" t="str">
            <v>Special Order</v>
          </cell>
        </row>
        <row r="68">
          <cell r="A68" t="str">
            <v>TGS-33-4006X4BBS-L-TIPINT</v>
          </cell>
          <cell r="B68" t="str">
            <v>Special Order</v>
          </cell>
        </row>
        <row r="69">
          <cell r="A69" t="str">
            <v>TGS-33-4006X6BB-L</v>
          </cell>
          <cell r="B69" t="str">
            <v>Special Order</v>
          </cell>
        </row>
        <row r="70">
          <cell r="A70" t="str">
            <v>TGS-33-4006X6BB-M-DWA</v>
          </cell>
          <cell r="B70" t="str">
            <v>Special Order</v>
          </cell>
        </row>
        <row r="71">
          <cell r="A71" t="str">
            <v>TGS-33-4006X6BB-M-SWA</v>
          </cell>
          <cell r="B71" t="str">
            <v>Special Order</v>
          </cell>
        </row>
        <row r="72">
          <cell r="A72" t="str">
            <v>TGS-33-4406X4BBS-L</v>
          </cell>
          <cell r="B72" t="str">
            <v>KP000673</v>
          </cell>
        </row>
        <row r="73">
          <cell r="A73" t="str">
            <v>TGS-33-4406X4BB-M</v>
          </cell>
          <cell r="B73" t="str">
            <v>KP000677</v>
          </cell>
        </row>
        <row r="74">
          <cell r="A74" t="str">
            <v>TGS-33-4406X4BB-M-LHD</v>
          </cell>
          <cell r="B74" t="str">
            <v>KP000677</v>
          </cell>
        </row>
        <row r="75">
          <cell r="A75" t="str">
            <v>TGS-33-4406X4BBS-L-AB</v>
          </cell>
          <cell r="B75" t="str">
            <v>Special Order</v>
          </cell>
        </row>
        <row r="76">
          <cell r="A76" t="str">
            <v>TGS-33-4406X4BBS-L-TIP</v>
          </cell>
          <cell r="B76" t="str">
            <v>Special Order</v>
          </cell>
        </row>
        <row r="77">
          <cell r="A77" t="str">
            <v>TGS-33-4406X6BB-L-DWA</v>
          </cell>
          <cell r="B77" t="str">
            <v>Special Order</v>
          </cell>
        </row>
        <row r="78">
          <cell r="A78" t="str">
            <v>TGS-33-4406X6BB-L-SWA</v>
          </cell>
          <cell r="B78" t="str">
            <v>Special Order</v>
          </cell>
        </row>
        <row r="79">
          <cell r="A79" t="str">
            <v>TGS-33-4406X6BB-M-SWA</v>
          </cell>
          <cell r="B79" t="str">
            <v>TGS00006</v>
          </cell>
        </row>
        <row r="80">
          <cell r="A80" t="str">
            <v>TGS-33-4806X4BB-M</v>
          </cell>
          <cell r="B80" t="str">
            <v>KP000678</v>
          </cell>
        </row>
        <row r="81">
          <cell r="A81" t="str">
            <v>TGS-33-4806X4BB-M-PBS-MAN</v>
          </cell>
          <cell r="B81" t="str">
            <v>Special Order</v>
          </cell>
        </row>
        <row r="82">
          <cell r="A82" t="str">
            <v>TGS-33-4806X4BBS-L</v>
          </cell>
          <cell r="B82" t="str">
            <v>KP000679</v>
          </cell>
        </row>
        <row r="83">
          <cell r="A83" t="str">
            <v>TGS-33-4806X4BBS-L-AB</v>
          </cell>
          <cell r="B83" t="str">
            <v>Special Order</v>
          </cell>
        </row>
        <row r="84">
          <cell r="A84" t="str">
            <v>TGS-33-4806X4BBS-L-AB-MAN</v>
          </cell>
          <cell r="B84" t="str">
            <v>Special Order</v>
          </cell>
        </row>
        <row r="85">
          <cell r="A85" t="str">
            <v>TGS-33-4806X4BBS-L-TIP</v>
          </cell>
          <cell r="B85" t="str">
            <v>KP000679</v>
          </cell>
        </row>
        <row r="86">
          <cell r="A86" t="str">
            <v>TGS-33-4806X4BBS-L-TIP</v>
          </cell>
          <cell r="B86" t="str">
            <v>KP000679</v>
          </cell>
        </row>
        <row r="87">
          <cell r="A87" t="str">
            <v>TGS-33-4806X4BBS-L-TIPINT</v>
          </cell>
          <cell r="B87" t="str">
            <v>KP000679</v>
          </cell>
        </row>
        <row r="88">
          <cell r="A88" t="str">
            <v>TGS-33-4806X4BBS-LX</v>
          </cell>
          <cell r="B88" t="str">
            <v>Special Order</v>
          </cell>
        </row>
        <row r="89">
          <cell r="A89" t="str">
            <v>TGS-33-4806X6BBS-L</v>
          </cell>
          <cell r="B89" t="str">
            <v>TGS00007</v>
          </cell>
        </row>
        <row r="90">
          <cell r="A90" t="str">
            <v>TGS-34-3608X4BB-M-DWA</v>
          </cell>
          <cell r="B90" t="str">
            <v>Special Order</v>
          </cell>
        </row>
        <row r="91">
          <cell r="A91" t="str">
            <v>TGS-40-4806X4BBS-L-AB</v>
          </cell>
          <cell r="B91" t="str">
            <v>Special Order</v>
          </cell>
        </row>
        <row r="92">
          <cell r="A92" t="str">
            <v>TGS-40-4806X4BBS-LX-AB</v>
          </cell>
          <cell r="B92" t="str">
            <v>Special Order</v>
          </cell>
        </row>
        <row r="93">
          <cell r="A93" t="str">
            <v>TGS-40-4806X6BB-M-TIP</v>
          </cell>
          <cell r="B93" t="str">
            <v>Special Order</v>
          </cell>
        </row>
        <row r="94">
          <cell r="A94" t="str">
            <v>TGS-41-4008X4BB-M-DWA</v>
          </cell>
          <cell r="B94" t="str">
            <v>Special Order</v>
          </cell>
        </row>
        <row r="95">
          <cell r="A95" t="str">
            <v>TGS-41-4008X4BB-M-DWA</v>
          </cell>
          <cell r="B95" t="str">
            <v>Special Order</v>
          </cell>
        </row>
        <row r="96">
          <cell r="A96" t="str">
            <v>TGS-41-4408X4BB-M-DWA</v>
          </cell>
          <cell r="B96" t="str">
            <v>KP000732</v>
          </cell>
        </row>
        <row r="97">
          <cell r="A97" t="str">
            <v>TGS-41-4808X4BB-M-DWA</v>
          </cell>
          <cell r="B97" t="str">
            <v>KP000757</v>
          </cell>
        </row>
        <row r="98">
          <cell r="A98" t="str">
            <v>TGX-26-5406X4BLS-XLX</v>
          </cell>
          <cell r="B98" t="str">
            <v>TGX000X1</v>
          </cell>
        </row>
        <row r="99">
          <cell r="A99" t="str">
            <v>TGS-26-4206X4BLS-L-ADR-EURO6</v>
          </cell>
          <cell r="B99" t="str">
            <v>TGS00016</v>
          </cell>
        </row>
        <row r="100">
          <cell r="A100" t="str">
            <v>TGX-41-6808X4BBS-XXL</v>
          </cell>
          <cell r="B100" t="str">
            <v>Special Order</v>
          </cell>
        </row>
        <row r="101">
          <cell r="A101" t="str">
            <v>TGX-41-6808X4BBS-XXL</v>
          </cell>
          <cell r="B101" t="str">
            <v>Special Order</v>
          </cell>
        </row>
        <row r="102">
          <cell r="A102" t="str">
            <v>VW-17-2504X2BB-LR-XLWB</v>
          </cell>
          <cell r="B102" t="str">
            <v>KP000765</v>
          </cell>
        </row>
        <row r="103">
          <cell r="A103" t="str">
            <v>VW-19-3204X2BLS-L</v>
          </cell>
          <cell r="B103" t="str">
            <v>KP000596</v>
          </cell>
        </row>
      </sheetData>
      <sheetData sheetId="1">
        <row r="2">
          <cell r="A2">
            <v>47121</v>
          </cell>
        </row>
      </sheetData>
      <sheetData sheetId="2"/>
      <sheetData sheetId="3"/>
      <sheetData sheetId="4"/>
      <sheetData sheetId="5"/>
      <sheetData sheetId="6"/>
      <sheetData sheetId="7"/>
      <sheetData sheetId="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 &amp; M"/>
      <sheetName val="Dealerships"/>
      <sheetName val="BuyBack"/>
      <sheetName val="Trade Back"/>
      <sheetName val="Warranties (CLA)"/>
      <sheetName val="Warranties (TGM)"/>
      <sheetName val="Warranties (TGS)"/>
      <sheetName val="Warranties (TGX)"/>
      <sheetName val="Factory Warranties"/>
      <sheetName val="Sheet1"/>
      <sheetName val="Sheet3"/>
      <sheetName val="Sales Provisions"/>
    </sheetNames>
    <sheetDataSet>
      <sheetData sheetId="0">
        <row r="2">
          <cell r="C2" t="str">
            <v>TGS-26-4406X4BL-MCOMFORT CARE36 MONTHS/360 000 KM</v>
          </cell>
          <cell r="D2" t="str">
            <v>COMFORT CARE</v>
          </cell>
          <cell r="E2" t="str">
            <v>36 MONTHS/360 000 KM</v>
          </cell>
          <cell r="F2">
            <v>109188</v>
          </cell>
        </row>
        <row r="3">
          <cell r="C3" t="str">
            <v>TGS-26-4406X4BL-MCOMFORT CARE36 MONTHS/480 000 KM</v>
          </cell>
          <cell r="D3" t="str">
            <v>COMFORT CARE</v>
          </cell>
          <cell r="E3" t="str">
            <v>36 MONTHS/480 000 KM</v>
          </cell>
          <cell r="F3">
            <v>188025.40079999997</v>
          </cell>
        </row>
        <row r="4">
          <cell r="C4" t="str">
            <v>TGS-26-4406X4BL-MCOMFORT CARE36 MONTHS/600 000 KM</v>
          </cell>
          <cell r="D4" t="str">
            <v>COMFORT CARE</v>
          </cell>
          <cell r="E4" t="str">
            <v>36 MONTHS/600 000 KM</v>
          </cell>
          <cell r="F4">
            <v>218944.37880000001</v>
          </cell>
        </row>
        <row r="5">
          <cell r="C5" t="str">
            <v>TGS-26-4406X4BL-MCOMFORT CARE48 MONTHS/480 000 KM</v>
          </cell>
          <cell r="D5" t="str">
            <v>COMFORT CARE</v>
          </cell>
          <cell r="E5" t="str">
            <v>48 MONTHS/480 000 KM</v>
          </cell>
          <cell r="F5">
            <v>193200.00000000003</v>
          </cell>
        </row>
        <row r="6">
          <cell r="C6" t="str">
            <v>TGS-26-4406X4BL-MCOMFORT CARE48 MONTHS/600 000 KM</v>
          </cell>
          <cell r="D6" t="str">
            <v>COMFORT CARE</v>
          </cell>
          <cell r="E6" t="str">
            <v>48 MONTHS/600 000 KM</v>
          </cell>
          <cell r="F6">
            <v>229800</v>
          </cell>
        </row>
        <row r="7">
          <cell r="C7" t="str">
            <v>TGS-26-4406X4BL-MCOMFORT CARE48 MONTHS/720 000 KM</v>
          </cell>
          <cell r="D7" t="str">
            <v>COMFORT CARE</v>
          </cell>
          <cell r="E7" t="str">
            <v>48 MONTHS/720 000 KM</v>
          </cell>
          <cell r="F7">
            <v>259272</v>
          </cell>
        </row>
        <row r="8">
          <cell r="C8" t="str">
            <v>TGS-26-4406X4BL-MCOMFORT CARE48 MONTHS/800 000 KM</v>
          </cell>
          <cell r="D8" t="str">
            <v>COMFORT CARE</v>
          </cell>
          <cell r="E8" t="str">
            <v>48 MONTHS/800 000 KM</v>
          </cell>
          <cell r="F8">
            <v>303686.0736</v>
          </cell>
        </row>
        <row r="9">
          <cell r="C9" t="str">
            <v>TGS-26-4406X4BL-MCOMFORT CARE60 MONTHS/600 000 KM</v>
          </cell>
          <cell r="D9" t="str">
            <v>COMFORT CARE</v>
          </cell>
          <cell r="E9" t="str">
            <v>60 MONTHS/600 000 KM</v>
          </cell>
          <cell r="F9">
            <v>233280</v>
          </cell>
        </row>
        <row r="10">
          <cell r="C10" t="str">
            <v>TGS-26-4406X4BL-MCOMFORT CARE60 MONTHS/700 000 KM</v>
          </cell>
          <cell r="D10" t="str">
            <v>COMFORT CARE</v>
          </cell>
          <cell r="E10" t="str">
            <v>60 MONTHS/700 000 KM</v>
          </cell>
          <cell r="F10">
            <v>256067.31599999999</v>
          </cell>
        </row>
        <row r="11">
          <cell r="C11" t="str">
            <v>TGS-26-4406X4BL-MCOMFORT CARE60 MONTHS/800 000 KM</v>
          </cell>
          <cell r="D11" t="str">
            <v>COMFORT CARE</v>
          </cell>
          <cell r="E11" t="str">
            <v>60 MONTHS/800 000 KM</v>
          </cell>
          <cell r="F11">
            <v>312895.64400000003</v>
          </cell>
        </row>
        <row r="12">
          <cell r="C12" t="str">
            <v>TGS-26-4406X4BL-MCOMFORT SERVICE36 MONTHS/360 000 KM</v>
          </cell>
          <cell r="D12" t="str">
            <v>COMFORT SERVICE</v>
          </cell>
          <cell r="E12" t="str">
            <v>36 MONTHS/360 000 KM</v>
          </cell>
          <cell r="F12">
            <v>101160.00000000001</v>
          </cell>
        </row>
        <row r="13">
          <cell r="C13" t="str">
            <v>TGS-26-4406X4BL-MCOMFORT SERVICE36 MONTHS/480 000 KM</v>
          </cell>
          <cell r="D13" t="str">
            <v>COMFORT SERVICE</v>
          </cell>
          <cell r="E13" t="str">
            <v>36 MONTHS/480 000 KM</v>
          </cell>
          <cell r="F13">
            <v>136326.81599999999</v>
          </cell>
        </row>
        <row r="14">
          <cell r="C14" t="str">
            <v>TGS-26-4406X4BL-MCOMFORT SERVICE36 MONTHS/600 000 KM</v>
          </cell>
          <cell r="D14" t="str">
            <v>COMFORT SERVICE</v>
          </cell>
          <cell r="E14" t="str">
            <v>36 MONTHS/600 000 KM</v>
          </cell>
          <cell r="F14">
            <v>159183.18359999999</v>
          </cell>
        </row>
        <row r="15">
          <cell r="C15" t="str">
            <v>TGS-26-4406X4BL-MCOMFORT SERVICE48 MONTHS/480 000 KM</v>
          </cell>
          <cell r="D15" t="str">
            <v>COMFORT SERVICE</v>
          </cell>
          <cell r="E15" t="str">
            <v>48 MONTHS/480 000 KM</v>
          </cell>
          <cell r="F15">
            <v>141504</v>
          </cell>
        </row>
        <row r="16">
          <cell r="C16" t="str">
            <v>TGS-26-4406X4BL-MCOMFORT SERVICE48 MONTHS/600 000 KM</v>
          </cell>
          <cell r="D16" t="str">
            <v>COMFORT SERVICE</v>
          </cell>
          <cell r="E16" t="str">
            <v>48 MONTHS/600 000 KM</v>
          </cell>
          <cell r="F16">
            <v>170099.99999999997</v>
          </cell>
        </row>
        <row r="17">
          <cell r="C17" t="str">
            <v>TGS-26-4406X4BL-MCOMFORT SERVICE48 MONTHS/720 000 KM</v>
          </cell>
          <cell r="D17" t="str">
            <v>COMFORT SERVICE</v>
          </cell>
          <cell r="E17" t="str">
            <v>48 MONTHS/720 000 KM</v>
          </cell>
          <cell r="F17">
            <v>199584</v>
          </cell>
        </row>
        <row r="18">
          <cell r="C18" t="str">
            <v>TGS-26-4406X4BL-MCOMFORT SERVICE48 MONTHS/800 000 KM</v>
          </cell>
          <cell r="D18" t="str">
            <v>COMFORT SERVICE</v>
          </cell>
          <cell r="E18" t="str">
            <v>48 MONTHS/800 000 KM</v>
          </cell>
          <cell r="F18">
            <v>211044.22079999995</v>
          </cell>
        </row>
        <row r="19">
          <cell r="C19" t="str">
            <v>TGS-26-4406X4BL-MCOMFORT SERVICE60 MONTHS/600 000 KM</v>
          </cell>
          <cell r="D19" t="str">
            <v>COMFORT SERVICE</v>
          </cell>
          <cell r="E19" t="str">
            <v>60 MONTHS/600 000 KM</v>
          </cell>
          <cell r="F19">
            <v>173580</v>
          </cell>
        </row>
        <row r="20">
          <cell r="C20" t="str">
            <v>TGS-26-4406X4BL-MCOMFORT SERVICE60 MONTHS/700 000 KM</v>
          </cell>
          <cell r="D20" t="str">
            <v>COMFORT SERVICE</v>
          </cell>
          <cell r="E20" t="str">
            <v>60 MONTHS/700 000 KM</v>
          </cell>
          <cell r="F20">
            <v>196285.60799999998</v>
          </cell>
        </row>
        <row r="21">
          <cell r="C21" t="str">
            <v>TGS-26-4406X4BL-MCOMFORT SERVICE60 MONTHS/800 000 KM</v>
          </cell>
          <cell r="D21" t="str">
            <v>COMFORT SERVICE</v>
          </cell>
          <cell r="E21" t="str">
            <v>60 MONTHS/800 000 KM</v>
          </cell>
          <cell r="F21">
            <v>220171.008</v>
          </cell>
        </row>
        <row r="22">
          <cell r="C22" t="str">
            <v>TGS-26-4406X4BL-MCOMFORT SUPER36 MONTHS/360 000 KM</v>
          </cell>
          <cell r="D22" t="str">
            <v>COMFORT SUPER</v>
          </cell>
          <cell r="E22" t="str">
            <v>36 MONTHS/360 000 KM</v>
          </cell>
          <cell r="F22">
            <v>167328</v>
          </cell>
        </row>
        <row r="23">
          <cell r="C23" t="str">
            <v>TGS-26-4406X4BL-MCOMFORT SUPER36 MONTHS/480 000 KM</v>
          </cell>
          <cell r="D23" t="str">
            <v>COMFORT SUPER</v>
          </cell>
          <cell r="E23" t="str">
            <v>36 MONTHS/480 000 KM</v>
          </cell>
          <cell r="F23">
            <v>230363.51760000002</v>
          </cell>
        </row>
        <row r="24">
          <cell r="C24" t="str">
            <v>TGS-26-4406X4BL-MCOMFORT SUPER36 MONTHS/600 000 KM</v>
          </cell>
          <cell r="D24" t="str">
            <v>COMFORT SUPER</v>
          </cell>
          <cell r="E24" t="str">
            <v>36 MONTHS/600 000 KM</v>
          </cell>
          <cell r="F24">
            <v>273965.4792</v>
          </cell>
        </row>
        <row r="25">
          <cell r="C25" t="str">
            <v>TGS-26-4406X4BL-MCOMFORT SUPER48 MONTHS/480 000 KM</v>
          </cell>
          <cell r="D25" t="str">
            <v>COMFORT SUPER</v>
          </cell>
          <cell r="E25" t="str">
            <v>48 MONTHS/480 000 KM</v>
          </cell>
          <cell r="F25">
            <v>255840</v>
          </cell>
        </row>
        <row r="26">
          <cell r="C26" t="str">
            <v>TGS-26-4406X4BL-MCOMFORT SUPER48 MONTHS/600 000 KM</v>
          </cell>
          <cell r="D26" t="str">
            <v>COMFORT SUPER</v>
          </cell>
          <cell r="E26" t="str">
            <v>48 MONTHS/600 000 KM</v>
          </cell>
          <cell r="F26">
            <v>324720</v>
          </cell>
        </row>
        <row r="27">
          <cell r="C27" t="str">
            <v>TGS-26-4406X4BL-MCOMFORT SUPER48 MONTHS/720 000 KM</v>
          </cell>
          <cell r="D27" t="str">
            <v>COMFORT SUPER</v>
          </cell>
          <cell r="E27" t="str">
            <v>48 MONTHS/720 000 KM</v>
          </cell>
          <cell r="F27">
            <v>387288.00000000006</v>
          </cell>
        </row>
        <row r="28">
          <cell r="C28" t="str">
            <v>TGS-26-4406X4BL-MCOMFORT SUPER48 MONTHS/800 000 KM</v>
          </cell>
          <cell r="D28" t="str">
            <v>COMFORT SUPER</v>
          </cell>
          <cell r="E28" t="str">
            <v>48 MONTHS/800 000 KM</v>
          </cell>
          <cell r="F28">
            <v>407048.14080000005</v>
          </cell>
        </row>
        <row r="29">
          <cell r="C29" t="str">
            <v>TGS-26-4406X4BL-MCOMFORT SUPER60 MONTHS/600 000 KM</v>
          </cell>
          <cell r="D29" t="str">
            <v>COMFORT SUPER</v>
          </cell>
          <cell r="E29" t="str">
            <v>60 MONTHS/600 000 KM</v>
          </cell>
          <cell r="F29">
            <v>349740</v>
          </cell>
        </row>
        <row r="30">
          <cell r="C30" t="str">
            <v>TGS-26-4406X4BL-MCOMFORT SUPER60 MONTHS/700 000 KM</v>
          </cell>
          <cell r="D30" t="str">
            <v>COMFORT SUPER</v>
          </cell>
          <cell r="E30" t="str">
            <v>60 MONTHS/700 000 KM</v>
          </cell>
          <cell r="F30">
            <v>418961.97000000003</v>
          </cell>
        </row>
        <row r="31">
          <cell r="C31" t="str">
            <v>TGS-26-4406X4BL-MCOMFORT SUPER60 MONTHS/800 000 KM</v>
          </cell>
          <cell r="D31" t="str">
            <v>COMFORT SUPER</v>
          </cell>
          <cell r="E31" t="str">
            <v>60 MONTHS/800 000 KM</v>
          </cell>
          <cell r="F31">
            <v>467543.37600000005</v>
          </cell>
        </row>
        <row r="32">
          <cell r="C32" t="str">
            <v>TGS-26-4406X4BLS-LX-ALUCOMFORT CARE36 MONTHS/360 000 KM</v>
          </cell>
          <cell r="D32" t="str">
            <v>COMFORT CARE</v>
          </cell>
          <cell r="E32" t="str">
            <v>36 MONTHS/360 000 KM</v>
          </cell>
          <cell r="F32">
            <v>109188</v>
          </cell>
        </row>
        <row r="33">
          <cell r="C33" t="str">
            <v>TGS-26-4406X4BLS-LX-ALUCOMFORT CARE36 MONTHS/480 000 KM</v>
          </cell>
          <cell r="D33" t="str">
            <v>COMFORT CARE</v>
          </cell>
          <cell r="E33" t="str">
            <v>36 MONTHS/480 000 KM</v>
          </cell>
          <cell r="F33">
            <v>188025.40079999997</v>
          </cell>
        </row>
        <row r="34">
          <cell r="C34" t="str">
            <v>TGS-26-4406X4BLS-LX-ALUCOMFORT CARE36 MONTHS/600 000 KM</v>
          </cell>
          <cell r="D34" t="str">
            <v>COMFORT CARE</v>
          </cell>
          <cell r="E34" t="str">
            <v>36 MONTHS/600 000 KM</v>
          </cell>
          <cell r="F34">
            <v>218944.37880000001</v>
          </cell>
        </row>
        <row r="35">
          <cell r="C35" t="str">
            <v>TGS-26-4406X4BLS-LX-ALUCOMFORT CARE48 MONTHS/480 000 KM</v>
          </cell>
          <cell r="D35" t="str">
            <v>COMFORT CARE</v>
          </cell>
          <cell r="E35" t="str">
            <v>48 MONTHS/480 000 KM</v>
          </cell>
          <cell r="F35">
            <v>193200.00000000003</v>
          </cell>
        </row>
        <row r="36">
          <cell r="C36" t="str">
            <v>TGS-26-4406X4BLS-LX-ALUCOMFORT CARE48 MONTHS/600 000 KM</v>
          </cell>
          <cell r="D36" t="str">
            <v>COMFORT CARE</v>
          </cell>
          <cell r="E36" t="str">
            <v>48 MONTHS/600 000 KM</v>
          </cell>
          <cell r="F36">
            <v>229800</v>
          </cell>
        </row>
        <row r="37">
          <cell r="C37" t="str">
            <v>TGS-26-4406X4BLS-LX-ALUCOMFORT CARE48 MONTHS/720 000 KM</v>
          </cell>
          <cell r="D37" t="str">
            <v>COMFORT CARE</v>
          </cell>
          <cell r="E37" t="str">
            <v>48 MONTHS/720 000 KM</v>
          </cell>
          <cell r="F37">
            <v>259272</v>
          </cell>
        </row>
        <row r="38">
          <cell r="C38" t="str">
            <v>TGS-26-4406X4BLS-LX-ALUCOMFORT CARE48 MONTHS/800 000 KM</v>
          </cell>
          <cell r="D38" t="str">
            <v>COMFORT CARE</v>
          </cell>
          <cell r="E38" t="str">
            <v>48 MONTHS/800 000 KM</v>
          </cell>
          <cell r="F38">
            <v>303686.0736</v>
          </cell>
        </row>
        <row r="39">
          <cell r="C39" t="str">
            <v>TGS-26-4406X4BLS-LX-ALUCOMFORT CARE60 MONTHS/600 000 KM</v>
          </cell>
          <cell r="D39" t="str">
            <v>COMFORT CARE</v>
          </cell>
          <cell r="E39" t="str">
            <v>60 MONTHS/600 000 KM</v>
          </cell>
          <cell r="F39">
            <v>233280</v>
          </cell>
        </row>
        <row r="40">
          <cell r="C40" t="str">
            <v>TGS-26-4406X4BLS-LX-ALUCOMFORT CARE60 MONTHS/700 000 KM</v>
          </cell>
          <cell r="D40" t="str">
            <v>COMFORT CARE</v>
          </cell>
          <cell r="E40" t="str">
            <v>60 MONTHS/700 000 KM</v>
          </cell>
          <cell r="F40">
            <v>256067.31599999999</v>
          </cell>
        </row>
        <row r="41">
          <cell r="C41" t="str">
            <v>TGS-26-4406X4BLS-LX-ALUCOMFORT CARE60 MONTHS/800 000 KM</v>
          </cell>
          <cell r="D41" t="str">
            <v>COMFORT CARE</v>
          </cell>
          <cell r="E41" t="str">
            <v>60 MONTHS/800 000 KM</v>
          </cell>
          <cell r="F41">
            <v>312895.64400000003</v>
          </cell>
        </row>
        <row r="42">
          <cell r="C42" t="str">
            <v>TGS-26-4406X4BLS-LX-ALUCOMFORT SERVICE36 MONTHS/360 000 KM</v>
          </cell>
          <cell r="D42" t="str">
            <v>COMFORT SERVICE</v>
          </cell>
          <cell r="E42" t="str">
            <v>36 MONTHS/360 000 KM</v>
          </cell>
          <cell r="F42">
            <v>101160.00000000001</v>
          </cell>
        </row>
        <row r="43">
          <cell r="C43" t="str">
            <v>TGS-26-4406X4BLS-LX-ALUCOMFORT SERVICE36 MONTHS/480 000 KM</v>
          </cell>
          <cell r="D43" t="str">
            <v>COMFORT SERVICE</v>
          </cell>
          <cell r="E43" t="str">
            <v>36 MONTHS/480 000 KM</v>
          </cell>
          <cell r="F43">
            <v>136326.81599999999</v>
          </cell>
        </row>
        <row r="44">
          <cell r="C44" t="str">
            <v>TGS-26-4406X4BLS-LX-ALUCOMFORT SERVICE36 MONTHS/600 000 KM</v>
          </cell>
          <cell r="D44" t="str">
            <v>COMFORT SERVICE</v>
          </cell>
          <cell r="E44" t="str">
            <v>36 MONTHS/600 000 KM</v>
          </cell>
          <cell r="F44">
            <v>159183.18359999999</v>
          </cell>
        </row>
        <row r="45">
          <cell r="C45" t="str">
            <v>TGS-26-4406X4BLS-LX-ALUCOMFORT SERVICE48 MONTHS/480 000 KM</v>
          </cell>
          <cell r="D45" t="str">
            <v>COMFORT SERVICE</v>
          </cell>
          <cell r="E45" t="str">
            <v>48 MONTHS/480 000 KM</v>
          </cell>
          <cell r="F45">
            <v>141504</v>
          </cell>
        </row>
        <row r="46">
          <cell r="C46" t="str">
            <v>TGS-26-4406X4BLS-LX-ALUCOMFORT SERVICE48 MONTHS/600 000 KM</v>
          </cell>
          <cell r="D46" t="str">
            <v>COMFORT SERVICE</v>
          </cell>
          <cell r="E46" t="str">
            <v>48 MONTHS/600 000 KM</v>
          </cell>
          <cell r="F46">
            <v>170099.99999999997</v>
          </cell>
        </row>
        <row r="47">
          <cell r="C47" t="str">
            <v>TGS-26-4406X4BLS-LX-ALUCOMFORT SERVICE48 MONTHS/720 000 KM</v>
          </cell>
          <cell r="D47" t="str">
            <v>COMFORT SERVICE</v>
          </cell>
          <cell r="E47" t="str">
            <v>48 MONTHS/720 000 KM</v>
          </cell>
          <cell r="F47">
            <v>199584</v>
          </cell>
        </row>
        <row r="48">
          <cell r="C48" t="str">
            <v>TGS-26-4406X4BLS-LX-ALUCOMFORT SERVICE48 MONTHS/800 000 KM</v>
          </cell>
          <cell r="D48" t="str">
            <v>COMFORT SERVICE</v>
          </cell>
          <cell r="E48" t="str">
            <v>48 MONTHS/800 000 KM</v>
          </cell>
          <cell r="F48">
            <v>211044.22079999995</v>
          </cell>
        </row>
        <row r="49">
          <cell r="C49" t="str">
            <v>TGS-26-4406X4BLS-LX-ALUCOMFORT SERVICE60 MONTHS/600 000 KM</v>
          </cell>
          <cell r="D49" t="str">
            <v>COMFORT SERVICE</v>
          </cell>
          <cell r="E49" t="str">
            <v>60 MONTHS/600 000 KM</v>
          </cell>
          <cell r="F49">
            <v>173580</v>
          </cell>
        </row>
        <row r="50">
          <cell r="C50" t="str">
            <v>TGS-26-4406X4BLS-LX-ALUCOMFORT SERVICE60 MONTHS/700 000 KM</v>
          </cell>
          <cell r="D50" t="str">
            <v>COMFORT SERVICE</v>
          </cell>
          <cell r="E50" t="str">
            <v>60 MONTHS/700 000 KM</v>
          </cell>
          <cell r="F50">
            <v>196285.60799999998</v>
          </cell>
        </row>
        <row r="51">
          <cell r="C51" t="str">
            <v>TGS-26-4406X4BLS-LX-ALUCOMFORT SERVICE60 MONTHS/800 000 KM</v>
          </cell>
          <cell r="D51" t="str">
            <v>COMFORT SERVICE</v>
          </cell>
          <cell r="E51" t="str">
            <v>60 MONTHS/800 000 KM</v>
          </cell>
          <cell r="F51">
            <v>220171.008</v>
          </cell>
        </row>
        <row r="52">
          <cell r="C52" t="str">
            <v>TGS-26-4406X4BLS-LX-ALUCOMFORT SUPER36 MONTHS/360 000 KM</v>
          </cell>
          <cell r="D52" t="str">
            <v>COMFORT SUPER</v>
          </cell>
          <cell r="E52" t="str">
            <v>36 MONTHS/360 000 KM</v>
          </cell>
          <cell r="F52">
            <v>167328</v>
          </cell>
        </row>
        <row r="53">
          <cell r="C53" t="str">
            <v>TGS-26-4406X4BLS-LX-ALUCOMFORT SUPER36 MONTHS/480 000 KM</v>
          </cell>
          <cell r="D53" t="str">
            <v>COMFORT SUPER</v>
          </cell>
          <cell r="E53" t="str">
            <v>36 MONTHS/480 000 KM</v>
          </cell>
          <cell r="F53">
            <v>230363.51760000002</v>
          </cell>
        </row>
        <row r="54">
          <cell r="C54" t="str">
            <v>TGS-26-4406X4BLS-LX-ALUCOMFORT SUPER36 MONTHS/600 000 KM</v>
          </cell>
          <cell r="D54" t="str">
            <v>COMFORT SUPER</v>
          </cell>
          <cell r="E54" t="str">
            <v>36 MONTHS/600 000 KM</v>
          </cell>
          <cell r="F54">
            <v>273965.4792</v>
          </cell>
        </row>
        <row r="55">
          <cell r="C55" t="str">
            <v>TGS-26-4406X4BLS-LX-ALUCOMFORT SUPER48 MONTHS/480 000 KM</v>
          </cell>
          <cell r="D55" t="str">
            <v>COMFORT SUPER</v>
          </cell>
          <cell r="E55" t="str">
            <v>48 MONTHS/480 000 KM</v>
          </cell>
          <cell r="F55">
            <v>255840</v>
          </cell>
        </row>
        <row r="56">
          <cell r="C56" t="str">
            <v>TGS-26-4406X4BLS-LX-ALUCOMFORT SUPER48 MONTHS/600 000 KM</v>
          </cell>
          <cell r="D56" t="str">
            <v>COMFORT SUPER</v>
          </cell>
          <cell r="E56" t="str">
            <v>48 MONTHS/600 000 KM</v>
          </cell>
          <cell r="F56">
            <v>324720</v>
          </cell>
        </row>
        <row r="57">
          <cell r="C57" t="str">
            <v>TGS-26-4406X4BLS-LX-ALUCOMFORT SUPER48 MONTHS/720 000 KM</v>
          </cell>
          <cell r="D57" t="str">
            <v>COMFORT SUPER</v>
          </cell>
          <cell r="E57" t="str">
            <v>48 MONTHS/720 000 KM</v>
          </cell>
          <cell r="F57">
            <v>387288.00000000006</v>
          </cell>
        </row>
        <row r="58">
          <cell r="C58" t="str">
            <v>TGS-26-4406X4BLS-LX-ALUCOMFORT SUPER48 MONTHS/800 000 KM</v>
          </cell>
          <cell r="D58" t="str">
            <v>COMFORT SUPER</v>
          </cell>
          <cell r="E58" t="str">
            <v>48 MONTHS/800 000 KM</v>
          </cell>
          <cell r="F58">
            <v>407048.14080000005</v>
          </cell>
        </row>
        <row r="59">
          <cell r="C59" t="str">
            <v>TGS-26-4406X4BLS-LX-ALUCOMFORT SUPER60 MONTHS/600 000 KM</v>
          </cell>
          <cell r="D59" t="str">
            <v>COMFORT SUPER</v>
          </cell>
          <cell r="E59" t="str">
            <v>60 MONTHS/600 000 KM</v>
          </cell>
          <cell r="F59">
            <v>349740</v>
          </cell>
        </row>
        <row r="60">
          <cell r="C60" t="str">
            <v>TGS-26-4406X4BLS-LX-ALUCOMFORT SUPER60 MONTHS/700 000 KM</v>
          </cell>
          <cell r="D60" t="str">
            <v>COMFORT SUPER</v>
          </cell>
          <cell r="E60" t="str">
            <v>60 MONTHS/700 000 KM</v>
          </cell>
          <cell r="F60">
            <v>418961.97000000003</v>
          </cell>
        </row>
        <row r="61">
          <cell r="C61" t="str">
            <v>TGS-26-4406X4BLS-LX-ALUCOMFORT SUPER60 MONTHS/800 000 KM</v>
          </cell>
          <cell r="D61" t="str">
            <v>COMFORT SUPER</v>
          </cell>
          <cell r="E61" t="str">
            <v>60 MONTHS/800 000 KM</v>
          </cell>
          <cell r="F61">
            <v>467543.37600000005</v>
          </cell>
        </row>
        <row r="62">
          <cell r="C62" t="str">
            <v>TGS-26-4406X4BLS-LX-ALU-ELCOMFORT CARE36 MONTHS/360 000 KM</v>
          </cell>
          <cell r="D62" t="str">
            <v>COMFORT CARE</v>
          </cell>
          <cell r="E62" t="str">
            <v>36 MONTHS/360 000 KM</v>
          </cell>
          <cell r="F62">
            <v>109188</v>
          </cell>
        </row>
        <row r="63">
          <cell r="C63" t="str">
            <v>TGS-26-4406X4BLS-LX-ALU-ELCOMFORT CARE36 MONTHS/480 000 KM</v>
          </cell>
          <cell r="D63" t="str">
            <v>COMFORT CARE</v>
          </cell>
          <cell r="E63" t="str">
            <v>36 MONTHS/480 000 KM</v>
          </cell>
          <cell r="F63">
            <v>188025.40079999997</v>
          </cell>
        </row>
        <row r="64">
          <cell r="C64" t="str">
            <v>TGS-26-4406X4BLS-LX-ALU-ELCOMFORT CARE36 MONTHS/600 000 KM</v>
          </cell>
          <cell r="D64" t="str">
            <v>COMFORT CARE</v>
          </cell>
          <cell r="E64" t="str">
            <v>36 MONTHS/600 000 KM</v>
          </cell>
          <cell r="F64">
            <v>218944.37880000001</v>
          </cell>
        </row>
        <row r="65">
          <cell r="C65" t="str">
            <v>TGS-26-4406X4BLS-LX-ALU-ELCOMFORT CARE48 MONTHS/480 000 KM</v>
          </cell>
          <cell r="D65" t="str">
            <v>COMFORT CARE</v>
          </cell>
          <cell r="E65" t="str">
            <v>48 MONTHS/480 000 KM</v>
          </cell>
          <cell r="F65">
            <v>193200.00000000003</v>
          </cell>
        </row>
        <row r="66">
          <cell r="C66" t="str">
            <v>TGS-26-4406X4BLS-LX-ALU-ELCOMFORT CARE48 MONTHS/600 000 KM</v>
          </cell>
          <cell r="D66" t="str">
            <v>COMFORT CARE</v>
          </cell>
          <cell r="E66" t="str">
            <v>48 MONTHS/600 000 KM</v>
          </cell>
          <cell r="F66">
            <v>229800</v>
          </cell>
        </row>
        <row r="67">
          <cell r="C67" t="str">
            <v>TGS-26-4406X4BLS-LX-ALU-ELCOMFORT CARE48 MONTHS/720 000 KM</v>
          </cell>
          <cell r="D67" t="str">
            <v>COMFORT CARE</v>
          </cell>
          <cell r="E67" t="str">
            <v>48 MONTHS/720 000 KM</v>
          </cell>
          <cell r="F67">
            <v>259272</v>
          </cell>
        </row>
        <row r="68">
          <cell r="C68" t="str">
            <v>TGS-26-4406X4BLS-LX-ALU-ELCOMFORT CARE48 MONTHS/800 000 KM</v>
          </cell>
          <cell r="D68" t="str">
            <v>COMFORT CARE</v>
          </cell>
          <cell r="E68" t="str">
            <v>48 MONTHS/800 000 KM</v>
          </cell>
          <cell r="F68">
            <v>303686.0736</v>
          </cell>
        </row>
        <row r="69">
          <cell r="C69" t="str">
            <v>TGS-26-4406X4BLS-LX-ALU-ELCOMFORT CARE60 MONTHS/600 000 KM</v>
          </cell>
          <cell r="D69" t="str">
            <v>COMFORT CARE</v>
          </cell>
          <cell r="E69" t="str">
            <v>60 MONTHS/600 000 KM</v>
          </cell>
          <cell r="F69">
            <v>233280</v>
          </cell>
        </row>
        <row r="70">
          <cell r="C70" t="str">
            <v>TGS-26-4406X4BLS-LX-ALU-ELCOMFORT CARE60 MONTHS/700 000 KM</v>
          </cell>
          <cell r="D70" t="str">
            <v>COMFORT CARE</v>
          </cell>
          <cell r="E70" t="str">
            <v>60 MONTHS/700 000 KM</v>
          </cell>
          <cell r="F70">
            <v>256067.31599999999</v>
          </cell>
        </row>
        <row r="71">
          <cell r="C71" t="str">
            <v>TGS-26-4406X4BLS-LX-ALU-ELCOMFORT CARE60 MONTHS/800 000 KM</v>
          </cell>
          <cell r="D71" t="str">
            <v>COMFORT CARE</v>
          </cell>
          <cell r="E71" t="str">
            <v>60 MONTHS/800 000 KM</v>
          </cell>
          <cell r="F71">
            <v>312895.64400000003</v>
          </cell>
        </row>
        <row r="72">
          <cell r="C72" t="str">
            <v>TGS-26-4406X4BLS-LX-ALU-ELCOMFORT SERVICE36 MONTHS/360 000 KM</v>
          </cell>
          <cell r="D72" t="str">
            <v>COMFORT SERVICE</v>
          </cell>
          <cell r="E72" t="str">
            <v>36 MONTHS/360 000 KM</v>
          </cell>
          <cell r="F72">
            <v>101160.00000000001</v>
          </cell>
        </row>
        <row r="73">
          <cell r="C73" t="str">
            <v>TGS-26-4406X4BLS-LX-ALU-ELCOMFORT SERVICE36 MONTHS/480 000 KM</v>
          </cell>
          <cell r="D73" t="str">
            <v>COMFORT SERVICE</v>
          </cell>
          <cell r="E73" t="str">
            <v>36 MONTHS/480 000 KM</v>
          </cell>
          <cell r="F73">
            <v>136326.81599999999</v>
          </cell>
        </row>
        <row r="74">
          <cell r="C74" t="str">
            <v>TGS-26-4406X4BLS-LX-ALU-ELCOMFORT SERVICE36 MONTHS/600 000 KM</v>
          </cell>
          <cell r="D74" t="str">
            <v>COMFORT SERVICE</v>
          </cell>
          <cell r="E74" t="str">
            <v>36 MONTHS/600 000 KM</v>
          </cell>
          <cell r="F74">
            <v>159183.18359999999</v>
          </cell>
        </row>
        <row r="75">
          <cell r="C75" t="str">
            <v>TGS-26-4406X4BLS-LX-ALU-ELCOMFORT SERVICE48 MONTHS/480 000 KM</v>
          </cell>
          <cell r="D75" t="str">
            <v>COMFORT SERVICE</v>
          </cell>
          <cell r="E75" t="str">
            <v>48 MONTHS/480 000 KM</v>
          </cell>
          <cell r="F75">
            <v>141504</v>
          </cell>
        </row>
        <row r="76">
          <cell r="C76" t="str">
            <v>TGS-26-4406X4BLS-LX-ALU-ELCOMFORT SERVICE48 MONTHS/600 000 KM</v>
          </cell>
          <cell r="D76" t="str">
            <v>COMFORT SERVICE</v>
          </cell>
          <cell r="E76" t="str">
            <v>48 MONTHS/600 000 KM</v>
          </cell>
          <cell r="F76">
            <v>170099.99999999997</v>
          </cell>
        </row>
        <row r="77">
          <cell r="C77" t="str">
            <v>TGS-26-4406X4BLS-LX-ALU-ELCOMFORT SERVICE48 MONTHS/720 000 KM</v>
          </cell>
          <cell r="D77" t="str">
            <v>COMFORT SERVICE</v>
          </cell>
          <cell r="E77" t="str">
            <v>48 MONTHS/720 000 KM</v>
          </cell>
          <cell r="F77">
            <v>199584</v>
          </cell>
        </row>
        <row r="78">
          <cell r="C78" t="str">
            <v>TGS-26-4406X4BLS-LX-ALU-ELCOMFORT SERVICE48 MONTHS/800 000 KM</v>
          </cell>
          <cell r="D78" t="str">
            <v>COMFORT SERVICE</v>
          </cell>
          <cell r="E78" t="str">
            <v>48 MONTHS/800 000 KM</v>
          </cell>
          <cell r="F78">
            <v>211044.22079999995</v>
          </cell>
        </row>
        <row r="79">
          <cell r="C79" t="str">
            <v>TGS-26-4406X4BLS-LX-ALU-ELCOMFORT SERVICE60 MONTHS/600 000 KM</v>
          </cell>
          <cell r="D79" t="str">
            <v>COMFORT SERVICE</v>
          </cell>
          <cell r="E79" t="str">
            <v>60 MONTHS/600 000 KM</v>
          </cell>
          <cell r="F79">
            <v>173580</v>
          </cell>
        </row>
        <row r="80">
          <cell r="C80" t="str">
            <v>TGS-26-4406X4BLS-LX-ALU-ELCOMFORT SERVICE60 MONTHS/700 000 KM</v>
          </cell>
          <cell r="D80" t="str">
            <v>COMFORT SERVICE</v>
          </cell>
          <cell r="E80" t="str">
            <v>60 MONTHS/700 000 KM</v>
          </cell>
          <cell r="F80">
            <v>196285.60799999998</v>
          </cell>
        </row>
        <row r="81">
          <cell r="C81" t="str">
            <v>TGS-26-4406X4BLS-LX-ALU-ELCOMFORT SERVICE60 MONTHS/800 000 KM</v>
          </cell>
          <cell r="D81" t="str">
            <v>COMFORT SERVICE</v>
          </cell>
          <cell r="E81" t="str">
            <v>60 MONTHS/800 000 KM</v>
          </cell>
          <cell r="F81">
            <v>220171.008</v>
          </cell>
        </row>
        <row r="82">
          <cell r="C82" t="str">
            <v>TGS-26-4406X4BLS-LX-ALU-ELCOMFORT SUPER36 MONTHS/360 000 KM</v>
          </cell>
          <cell r="D82" t="str">
            <v>COMFORT SUPER</v>
          </cell>
          <cell r="E82" t="str">
            <v>36 MONTHS/360 000 KM</v>
          </cell>
          <cell r="F82">
            <v>167328</v>
          </cell>
        </row>
        <row r="83">
          <cell r="C83" t="str">
            <v>TGS-26-4406X4BLS-LX-ALU-ELCOMFORT SUPER36 MONTHS/480 000 KM</v>
          </cell>
          <cell r="D83" t="str">
            <v>COMFORT SUPER</v>
          </cell>
          <cell r="E83" t="str">
            <v>36 MONTHS/480 000 KM</v>
          </cell>
          <cell r="F83">
            <v>230363.51760000002</v>
          </cell>
        </row>
        <row r="84">
          <cell r="C84" t="str">
            <v>TGS-26-4406X4BLS-LX-ALU-ELCOMFORT SUPER36 MONTHS/600 000 KM</v>
          </cell>
          <cell r="D84" t="str">
            <v>COMFORT SUPER</v>
          </cell>
          <cell r="E84" t="str">
            <v>36 MONTHS/600 000 KM</v>
          </cell>
          <cell r="F84">
            <v>273965.4792</v>
          </cell>
        </row>
        <row r="85">
          <cell r="C85" t="str">
            <v>TGS-26-4406X4BLS-LX-ALU-ELCOMFORT SUPER48 MONTHS/480 000 KM</v>
          </cell>
          <cell r="D85" t="str">
            <v>COMFORT SUPER</v>
          </cell>
          <cell r="E85" t="str">
            <v>48 MONTHS/480 000 KM</v>
          </cell>
          <cell r="F85">
            <v>255840</v>
          </cell>
        </row>
        <row r="86">
          <cell r="C86" t="str">
            <v>TGS-26-4406X4BLS-LX-ALU-ELCOMFORT SUPER48 MONTHS/600 000 KM</v>
          </cell>
          <cell r="D86" t="str">
            <v>COMFORT SUPER</v>
          </cell>
          <cell r="E86" t="str">
            <v>48 MONTHS/600 000 KM</v>
          </cell>
          <cell r="F86">
            <v>324720</v>
          </cell>
        </row>
        <row r="87">
          <cell r="C87" t="str">
            <v>TGS-26-4406X4BLS-LX-ALU-ELCOMFORT SUPER48 MONTHS/720 000 KM</v>
          </cell>
          <cell r="D87" t="str">
            <v>COMFORT SUPER</v>
          </cell>
          <cell r="E87" t="str">
            <v>48 MONTHS/720 000 KM</v>
          </cell>
          <cell r="F87">
            <v>387288.00000000006</v>
          </cell>
        </row>
        <row r="88">
          <cell r="C88" t="str">
            <v>TGS-26-4406X4BLS-LX-ALU-ELCOMFORT SUPER48 MONTHS/800 000 KM</v>
          </cell>
          <cell r="D88" t="str">
            <v>COMFORT SUPER</v>
          </cell>
          <cell r="E88" t="str">
            <v>48 MONTHS/800 000 KM</v>
          </cell>
          <cell r="F88">
            <v>407048.14080000005</v>
          </cell>
        </row>
        <row r="89">
          <cell r="C89" t="str">
            <v>TGS-26-4406X4BLS-LX-ALU-ELCOMFORT SUPER60 MONTHS/600 000 KM</v>
          </cell>
          <cell r="D89" t="str">
            <v>COMFORT SUPER</v>
          </cell>
          <cell r="E89" t="str">
            <v>60 MONTHS/600 000 KM</v>
          </cell>
          <cell r="F89">
            <v>349740</v>
          </cell>
        </row>
        <row r="90">
          <cell r="C90" t="str">
            <v>TGS-26-4406X4BLS-LX-ALU-ELCOMFORT SUPER60 MONTHS/700 000 KM</v>
          </cell>
          <cell r="D90" t="str">
            <v>COMFORT SUPER</v>
          </cell>
          <cell r="E90" t="str">
            <v>60 MONTHS/700 000 KM</v>
          </cell>
          <cell r="F90">
            <v>418961.97000000003</v>
          </cell>
        </row>
        <row r="91">
          <cell r="C91" t="str">
            <v>TGS-26-4406X4BLS-LX-ALU-ELCOMFORT SUPER60 MONTHS/800 000 KM</v>
          </cell>
          <cell r="D91" t="str">
            <v>COMFORT SUPER</v>
          </cell>
          <cell r="E91" t="str">
            <v>60 MONTHS/800 000 KM</v>
          </cell>
          <cell r="F91">
            <v>467543.37600000005</v>
          </cell>
        </row>
        <row r="92">
          <cell r="C92" t="str">
            <v>TGS-26-4406X4BLS-LXCOMFORT CARE36 MONTHS/360 000 KM</v>
          </cell>
          <cell r="D92" t="str">
            <v>COMFORT CARE</v>
          </cell>
          <cell r="E92" t="str">
            <v>36 MONTHS/360 000 KM</v>
          </cell>
          <cell r="F92">
            <v>109188</v>
          </cell>
        </row>
        <row r="93">
          <cell r="C93" t="str">
            <v>TGS-26-4406X4BLS-LXCOMFORT CARE36 MONTHS/480 000 KM</v>
          </cell>
          <cell r="D93" t="str">
            <v>COMFORT CARE</v>
          </cell>
          <cell r="E93" t="str">
            <v>36 MONTHS/480 000 KM</v>
          </cell>
          <cell r="F93">
            <v>188025.40079999997</v>
          </cell>
        </row>
        <row r="94">
          <cell r="C94" t="str">
            <v>TGS-26-4406X4BLS-LXCOMFORT CARE36 MONTHS/600 000 KM</v>
          </cell>
          <cell r="D94" t="str">
            <v>COMFORT CARE</v>
          </cell>
          <cell r="E94" t="str">
            <v>36 MONTHS/600 000 KM</v>
          </cell>
          <cell r="F94">
            <v>218944.37880000001</v>
          </cell>
        </row>
        <row r="95">
          <cell r="C95" t="str">
            <v>TGS-26-4406X4BLS-LXCOMFORT CARE48 MONTHS/480 000 KM</v>
          </cell>
          <cell r="D95" t="str">
            <v>COMFORT CARE</v>
          </cell>
          <cell r="E95" t="str">
            <v>48 MONTHS/480 000 KM</v>
          </cell>
          <cell r="F95">
            <v>193200.00000000003</v>
          </cell>
        </row>
        <row r="96">
          <cell r="C96" t="str">
            <v>TGS-26-4406X4BLS-LXCOMFORT CARE48 MONTHS/600 000 KM</v>
          </cell>
          <cell r="D96" t="str">
            <v>COMFORT CARE</v>
          </cell>
          <cell r="E96" t="str">
            <v>48 MONTHS/600 000 KM</v>
          </cell>
          <cell r="F96">
            <v>229800</v>
          </cell>
        </row>
        <row r="97">
          <cell r="C97" t="str">
            <v>TGS-26-4406X4BLS-LXCOMFORT CARE48 MONTHS/720 000 KM</v>
          </cell>
          <cell r="D97" t="str">
            <v>COMFORT CARE</v>
          </cell>
          <cell r="E97" t="str">
            <v>48 MONTHS/720 000 KM</v>
          </cell>
          <cell r="F97">
            <v>259272</v>
          </cell>
        </row>
        <row r="98">
          <cell r="C98" t="str">
            <v>TGS-26-4406X4BLS-LXCOMFORT CARE48 MONTHS/800 000 KM</v>
          </cell>
          <cell r="D98" t="str">
            <v>COMFORT CARE</v>
          </cell>
          <cell r="E98" t="str">
            <v>48 MONTHS/800 000 KM</v>
          </cell>
          <cell r="F98">
            <v>303686.0736</v>
          </cell>
        </row>
        <row r="99">
          <cell r="C99" t="str">
            <v>TGS-26-4406X4BLS-LXCOMFORT CARE60 MONTHS/600 000 KM</v>
          </cell>
          <cell r="D99" t="str">
            <v>COMFORT CARE</v>
          </cell>
          <cell r="E99" t="str">
            <v>60 MONTHS/600 000 KM</v>
          </cell>
          <cell r="F99">
            <v>233280</v>
          </cell>
        </row>
        <row r="100">
          <cell r="C100" t="str">
            <v>TGS-26-4406X4BLS-LXCOMFORT CARE60 MONTHS/700 000 KM</v>
          </cell>
          <cell r="D100" t="str">
            <v>COMFORT CARE</v>
          </cell>
          <cell r="E100" t="str">
            <v>60 MONTHS/700 000 KM</v>
          </cell>
          <cell r="F100">
            <v>256067.31599999999</v>
          </cell>
        </row>
        <row r="101">
          <cell r="C101" t="str">
            <v>TGS-26-4406X4BLS-LXCOMFORT CARE60 MONTHS/800 000 KM</v>
          </cell>
          <cell r="D101" t="str">
            <v>COMFORT CARE</v>
          </cell>
          <cell r="E101" t="str">
            <v>60 MONTHS/800 000 KM</v>
          </cell>
          <cell r="F101">
            <v>312895.64400000003</v>
          </cell>
        </row>
        <row r="102">
          <cell r="C102" t="str">
            <v>TGS-26-4406X4BLS-LXCOMFORT SERVICE36 MONTHS/360 000 KM</v>
          </cell>
          <cell r="D102" t="str">
            <v>COMFORT SERVICE</v>
          </cell>
          <cell r="E102" t="str">
            <v>36 MONTHS/360 000 KM</v>
          </cell>
          <cell r="F102">
            <v>101160.00000000001</v>
          </cell>
        </row>
        <row r="103">
          <cell r="C103" t="str">
            <v>TGS-26-4406X4BLS-LXCOMFORT SERVICE36 MONTHS/480 000 KM</v>
          </cell>
          <cell r="D103" t="str">
            <v>COMFORT SERVICE</v>
          </cell>
          <cell r="E103" t="str">
            <v>36 MONTHS/480 000 KM</v>
          </cell>
          <cell r="F103">
            <v>136326.81599999999</v>
          </cell>
        </row>
        <row r="104">
          <cell r="C104" t="str">
            <v>TGS-26-4406X4BLS-LXCOMFORT SERVICE36 MONTHS/600 000 KM</v>
          </cell>
          <cell r="D104" t="str">
            <v>COMFORT SERVICE</v>
          </cell>
          <cell r="E104" t="str">
            <v>36 MONTHS/600 000 KM</v>
          </cell>
          <cell r="F104">
            <v>159183.18359999999</v>
          </cell>
        </row>
        <row r="105">
          <cell r="C105" t="str">
            <v>TGS-26-4406X4BLS-LXCOMFORT SERVICE48 MONTHS/480 000 KM</v>
          </cell>
          <cell r="D105" t="str">
            <v>COMFORT SERVICE</v>
          </cell>
          <cell r="E105" t="str">
            <v>48 MONTHS/480 000 KM</v>
          </cell>
          <cell r="F105">
            <v>141504</v>
          </cell>
        </row>
        <row r="106">
          <cell r="C106" t="str">
            <v>TGS-26-4406X4BLS-LXCOMFORT SERVICE48 MONTHS/600 000 KM</v>
          </cell>
          <cell r="D106" t="str">
            <v>COMFORT SERVICE</v>
          </cell>
          <cell r="E106" t="str">
            <v>48 MONTHS/600 000 KM</v>
          </cell>
          <cell r="F106">
            <v>170099.99999999997</v>
          </cell>
        </row>
        <row r="107">
          <cell r="C107" t="str">
            <v>TGS-26-4406X4BLS-LXCOMFORT SERVICE48 MONTHS/720 000 KM</v>
          </cell>
          <cell r="D107" t="str">
            <v>COMFORT SERVICE</v>
          </cell>
          <cell r="E107" t="str">
            <v>48 MONTHS/720 000 KM</v>
          </cell>
          <cell r="F107">
            <v>199584</v>
          </cell>
        </row>
        <row r="108">
          <cell r="C108" t="str">
            <v>TGS-26-4406X4BLS-LXCOMFORT SERVICE48 MONTHS/800 000 KM</v>
          </cell>
          <cell r="D108" t="str">
            <v>COMFORT SERVICE</v>
          </cell>
          <cell r="E108" t="str">
            <v>48 MONTHS/800 000 KM</v>
          </cell>
          <cell r="F108">
            <v>211044.22079999995</v>
          </cell>
        </row>
        <row r="109">
          <cell r="C109" t="str">
            <v>TGS-26-4406X4BLS-LXCOMFORT SERVICE60 MONTHS/600 000 KM</v>
          </cell>
          <cell r="D109" t="str">
            <v>COMFORT SERVICE</v>
          </cell>
          <cell r="E109" t="str">
            <v>60 MONTHS/600 000 KM</v>
          </cell>
          <cell r="F109">
            <v>173580</v>
          </cell>
        </row>
        <row r="110">
          <cell r="C110" t="str">
            <v>TGS-26-4406X4BLS-LXCOMFORT SERVICE60 MONTHS/700 000 KM</v>
          </cell>
          <cell r="D110" t="str">
            <v>COMFORT SERVICE</v>
          </cell>
          <cell r="E110" t="str">
            <v>60 MONTHS/700 000 KM</v>
          </cell>
          <cell r="F110">
            <v>196285.60799999998</v>
          </cell>
        </row>
        <row r="111">
          <cell r="C111" t="str">
            <v>TGS-26-4406X4BLS-LXCOMFORT SERVICE60 MONTHS/800 000 KM</v>
          </cell>
          <cell r="D111" t="str">
            <v>COMFORT SERVICE</v>
          </cell>
          <cell r="E111" t="str">
            <v>60 MONTHS/800 000 KM</v>
          </cell>
          <cell r="F111">
            <v>220171.008</v>
          </cell>
        </row>
        <row r="112">
          <cell r="C112" t="str">
            <v>TGS-26-4406X4BLS-LXCOMFORT SUPER36 MONTHS/360 000 KM</v>
          </cell>
          <cell r="D112" t="str">
            <v>COMFORT SUPER</v>
          </cell>
          <cell r="E112" t="str">
            <v>36 MONTHS/360 000 KM</v>
          </cell>
          <cell r="F112">
            <v>167328</v>
          </cell>
        </row>
        <row r="113">
          <cell r="C113" t="str">
            <v>TGS-26-4406X4BLS-LXCOMFORT SUPER36 MONTHS/480 000 KM</v>
          </cell>
          <cell r="D113" t="str">
            <v>COMFORT SUPER</v>
          </cell>
          <cell r="E113" t="str">
            <v>36 MONTHS/480 000 KM</v>
          </cell>
          <cell r="F113">
            <v>230363.51760000002</v>
          </cell>
        </row>
        <row r="114">
          <cell r="C114" t="str">
            <v>TGS-26-4406X4BLS-LXCOMFORT SUPER36 MONTHS/600 000 KM</v>
          </cell>
          <cell r="D114" t="str">
            <v>COMFORT SUPER</v>
          </cell>
          <cell r="E114" t="str">
            <v>36 MONTHS/600 000 KM</v>
          </cell>
          <cell r="F114">
            <v>273965.4792</v>
          </cell>
        </row>
        <row r="115">
          <cell r="C115" t="str">
            <v>TGS-26-4406X4BLS-LXCOMFORT SUPER48 MONTHS/480 000 KM</v>
          </cell>
          <cell r="D115" t="str">
            <v>COMFORT SUPER</v>
          </cell>
          <cell r="E115" t="str">
            <v>48 MONTHS/480 000 KM</v>
          </cell>
          <cell r="F115">
            <v>255840</v>
          </cell>
        </row>
        <row r="116">
          <cell r="C116" t="str">
            <v>TGS-26-4406X4BLS-LXCOMFORT SUPER48 MONTHS/600 000 KM</v>
          </cell>
          <cell r="D116" t="str">
            <v>COMFORT SUPER</v>
          </cell>
          <cell r="E116" t="str">
            <v>48 MONTHS/600 000 KM</v>
          </cell>
          <cell r="F116">
            <v>324720</v>
          </cell>
        </row>
        <row r="117">
          <cell r="C117" t="str">
            <v>TGS-26-4406X4BLS-LXCOMFORT SUPER48 MONTHS/720 000 KM</v>
          </cell>
          <cell r="D117" t="str">
            <v>COMFORT SUPER</v>
          </cell>
          <cell r="E117" t="str">
            <v>48 MONTHS/720 000 KM</v>
          </cell>
          <cell r="F117">
            <v>387288.00000000006</v>
          </cell>
        </row>
        <row r="118">
          <cell r="C118" t="str">
            <v>TGS-26-4406X4BLS-LXCOMFORT SUPER48 MONTHS/800 000 KM</v>
          </cell>
          <cell r="D118" t="str">
            <v>COMFORT SUPER</v>
          </cell>
          <cell r="E118" t="str">
            <v>48 MONTHS/800 000 KM</v>
          </cell>
          <cell r="F118">
            <v>407048.14080000005</v>
          </cell>
        </row>
        <row r="119">
          <cell r="C119" t="str">
            <v>TGS-26-4406X4BLS-LXCOMFORT SUPER60 MONTHS/600 000 KM</v>
          </cell>
          <cell r="D119" t="str">
            <v>COMFORT SUPER</v>
          </cell>
          <cell r="E119" t="str">
            <v>60 MONTHS/600 000 KM</v>
          </cell>
          <cell r="F119">
            <v>349740</v>
          </cell>
        </row>
        <row r="120">
          <cell r="C120" t="str">
            <v>TGS-26-4406X4BLS-LXCOMFORT SUPER60 MONTHS/700 000 KM</v>
          </cell>
          <cell r="D120" t="str">
            <v>COMFORT SUPER</v>
          </cell>
          <cell r="E120" t="str">
            <v>60 MONTHS/700 000 KM</v>
          </cell>
          <cell r="F120">
            <v>418961.97000000003</v>
          </cell>
        </row>
        <row r="121">
          <cell r="C121" t="str">
            <v>TGS-26-4406X4BLS-LXCOMFORT SUPER60 MONTHS/800 000 KM</v>
          </cell>
          <cell r="D121" t="str">
            <v>COMFORT SUPER</v>
          </cell>
          <cell r="E121" t="str">
            <v>60 MONTHS/800 000 KM</v>
          </cell>
          <cell r="F121">
            <v>467543.37600000005</v>
          </cell>
        </row>
        <row r="122">
          <cell r="C122" t="str">
            <v>TGS-26-4406X4BLS-MCOMFORT CARE36 MONTHS/360 000 KM</v>
          </cell>
          <cell r="D122" t="str">
            <v>COMFORT CARE</v>
          </cell>
          <cell r="E122" t="str">
            <v>36 MONTHS/360 000 KM</v>
          </cell>
          <cell r="F122">
            <v>109188</v>
          </cell>
        </row>
        <row r="123">
          <cell r="C123" t="str">
            <v>TGS-26-4406X4BLS-MCOMFORT CARE36 MONTHS/480 000 KM</v>
          </cell>
          <cell r="D123" t="str">
            <v>COMFORT CARE</v>
          </cell>
          <cell r="E123" t="str">
            <v>36 MONTHS/480 000 KM</v>
          </cell>
          <cell r="F123">
            <v>188025.40079999997</v>
          </cell>
        </row>
        <row r="124">
          <cell r="C124" t="str">
            <v>TGS-26-4406X4BLS-MCOMFORT CARE36 MONTHS/600 000 KM</v>
          </cell>
          <cell r="D124" t="str">
            <v>COMFORT CARE</v>
          </cell>
          <cell r="E124" t="str">
            <v>36 MONTHS/600 000 KM</v>
          </cell>
          <cell r="F124">
            <v>218944.37880000001</v>
          </cell>
        </row>
        <row r="125">
          <cell r="C125" t="str">
            <v>TGS-26-4406X4BLS-MCOMFORT CARE48 MONTHS/480 000 KM</v>
          </cell>
          <cell r="D125" t="str">
            <v>COMFORT CARE</v>
          </cell>
          <cell r="E125" t="str">
            <v>48 MONTHS/480 000 KM</v>
          </cell>
          <cell r="F125">
            <v>193200.00000000003</v>
          </cell>
        </row>
        <row r="126">
          <cell r="C126" t="str">
            <v>TGS-26-4406X4BLS-MCOMFORT CARE48 MONTHS/600 000 KM</v>
          </cell>
          <cell r="D126" t="str">
            <v>COMFORT CARE</v>
          </cell>
          <cell r="E126" t="str">
            <v>48 MONTHS/600 000 KM</v>
          </cell>
          <cell r="F126">
            <v>229800</v>
          </cell>
        </row>
        <row r="127">
          <cell r="C127" t="str">
            <v>TGS-26-4406X4BLS-MCOMFORT CARE48 MONTHS/720 000 KM</v>
          </cell>
          <cell r="D127" t="str">
            <v>COMFORT CARE</v>
          </cell>
          <cell r="E127" t="str">
            <v>48 MONTHS/720 000 KM</v>
          </cell>
          <cell r="F127">
            <v>259272</v>
          </cell>
        </row>
        <row r="128">
          <cell r="C128" t="str">
            <v>TGS-26-4406X4BLS-MCOMFORT CARE48 MONTHS/800 000 KM</v>
          </cell>
          <cell r="D128" t="str">
            <v>COMFORT CARE</v>
          </cell>
          <cell r="E128" t="str">
            <v>48 MONTHS/800 000 KM</v>
          </cell>
          <cell r="F128">
            <v>303686.0736</v>
          </cell>
        </row>
        <row r="129">
          <cell r="C129" t="str">
            <v>TGS-26-4406X4BLS-MCOMFORT CARE60 MONTHS/600 000 KM</v>
          </cell>
          <cell r="D129" t="str">
            <v>COMFORT CARE</v>
          </cell>
          <cell r="E129" t="str">
            <v>60 MONTHS/600 000 KM</v>
          </cell>
          <cell r="F129">
            <v>233280</v>
          </cell>
        </row>
        <row r="130">
          <cell r="C130" t="str">
            <v>TGS-26-4406X4BLS-MCOMFORT CARE60 MONTHS/700 000 KM</v>
          </cell>
          <cell r="D130" t="str">
            <v>COMFORT CARE</v>
          </cell>
          <cell r="E130" t="str">
            <v>60 MONTHS/700 000 KM</v>
          </cell>
          <cell r="F130">
            <v>256067.31599999999</v>
          </cell>
        </row>
        <row r="131">
          <cell r="C131" t="str">
            <v>TGS-26-4406X4BLS-MCOMFORT CARE60 MONTHS/800 000 KM</v>
          </cell>
          <cell r="D131" t="str">
            <v>COMFORT CARE</v>
          </cell>
          <cell r="E131" t="str">
            <v>60 MONTHS/800 000 KM</v>
          </cell>
          <cell r="F131">
            <v>312895.64400000003</v>
          </cell>
        </row>
        <row r="132">
          <cell r="C132" t="str">
            <v>TGS-26-4406X4BLS-MCOMFORT SERVICE36 MONTHS/360 000 KM</v>
          </cell>
          <cell r="D132" t="str">
            <v>COMFORT SERVICE</v>
          </cell>
          <cell r="E132" t="str">
            <v>36 MONTHS/360 000 KM</v>
          </cell>
          <cell r="F132">
            <v>101160.00000000001</v>
          </cell>
        </row>
        <row r="133">
          <cell r="C133" t="str">
            <v>TGS-26-4406X4BLS-MCOMFORT SERVICE36 MONTHS/480 000 KM</v>
          </cell>
          <cell r="D133" t="str">
            <v>COMFORT SERVICE</v>
          </cell>
          <cell r="E133" t="str">
            <v>36 MONTHS/480 000 KM</v>
          </cell>
          <cell r="F133">
            <v>136326.81599999999</v>
          </cell>
        </row>
        <row r="134">
          <cell r="C134" t="str">
            <v>TGS-26-4406X4BLS-MCOMFORT SERVICE36 MONTHS/600 000 KM</v>
          </cell>
          <cell r="D134" t="str">
            <v>COMFORT SERVICE</v>
          </cell>
          <cell r="E134" t="str">
            <v>36 MONTHS/600 000 KM</v>
          </cell>
          <cell r="F134">
            <v>159183.18359999999</v>
          </cell>
        </row>
        <row r="135">
          <cell r="C135" t="str">
            <v>TGS-26-4406X4BLS-MCOMFORT SERVICE48 MONTHS/480 000 KM</v>
          </cell>
          <cell r="D135" t="str">
            <v>COMFORT SERVICE</v>
          </cell>
          <cell r="E135" t="str">
            <v>48 MONTHS/480 000 KM</v>
          </cell>
          <cell r="F135">
            <v>141504</v>
          </cell>
        </row>
        <row r="136">
          <cell r="C136" t="str">
            <v>TGS-26-4406X4BLS-MCOMFORT SERVICE48 MONTHS/600 000 KM</v>
          </cell>
          <cell r="D136" t="str">
            <v>COMFORT SERVICE</v>
          </cell>
          <cell r="E136" t="str">
            <v>48 MONTHS/600 000 KM</v>
          </cell>
          <cell r="F136">
            <v>170099.99999999997</v>
          </cell>
        </row>
        <row r="137">
          <cell r="C137" t="str">
            <v>TGS-26-4406X4BLS-MCOMFORT SERVICE48 MONTHS/720 000 KM</v>
          </cell>
          <cell r="D137" t="str">
            <v>COMFORT SERVICE</v>
          </cell>
          <cell r="E137" t="str">
            <v>48 MONTHS/720 000 KM</v>
          </cell>
          <cell r="F137">
            <v>199584</v>
          </cell>
        </row>
        <row r="138">
          <cell r="C138" t="str">
            <v>TGS-26-4406X4BLS-MCOMFORT SERVICE48 MONTHS/800 000 KM</v>
          </cell>
          <cell r="D138" t="str">
            <v>COMFORT SERVICE</v>
          </cell>
          <cell r="E138" t="str">
            <v>48 MONTHS/800 000 KM</v>
          </cell>
          <cell r="F138">
            <v>211044.22079999995</v>
          </cell>
        </row>
        <row r="139">
          <cell r="C139" t="str">
            <v>TGS-26-4406X4BLS-MCOMFORT SERVICE60 MONTHS/600 000 KM</v>
          </cell>
          <cell r="D139" t="str">
            <v>COMFORT SERVICE</v>
          </cell>
          <cell r="E139" t="str">
            <v>60 MONTHS/600 000 KM</v>
          </cell>
          <cell r="F139">
            <v>173580</v>
          </cell>
        </row>
        <row r="140">
          <cell r="C140" t="str">
            <v>TGS-26-4406X4BLS-MCOMFORT SERVICE60 MONTHS/700 000 KM</v>
          </cell>
          <cell r="D140" t="str">
            <v>COMFORT SERVICE</v>
          </cell>
          <cell r="E140" t="str">
            <v>60 MONTHS/700 000 KM</v>
          </cell>
          <cell r="F140">
            <v>196285.60799999998</v>
          </cell>
        </row>
        <row r="141">
          <cell r="C141" t="str">
            <v>TGS-26-4406X4BLS-MCOMFORT SERVICE60 MONTHS/800 000 KM</v>
          </cell>
          <cell r="D141" t="str">
            <v>COMFORT SERVICE</v>
          </cell>
          <cell r="E141" t="str">
            <v>60 MONTHS/800 000 KM</v>
          </cell>
          <cell r="F141">
            <v>220171.008</v>
          </cell>
        </row>
        <row r="142">
          <cell r="C142" t="str">
            <v>TGS-26-4406X4BLS-MCOMFORT SUPER36 MONTHS/360 000 KM</v>
          </cell>
          <cell r="D142" t="str">
            <v>COMFORT SUPER</v>
          </cell>
          <cell r="E142" t="str">
            <v>36 MONTHS/360 000 KM</v>
          </cell>
          <cell r="F142">
            <v>167328</v>
          </cell>
        </row>
        <row r="143">
          <cell r="C143" t="str">
            <v>TGS-26-4406X4BLS-MCOMFORT SUPER36 MONTHS/480 000 KM</v>
          </cell>
          <cell r="D143" t="str">
            <v>COMFORT SUPER</v>
          </cell>
          <cell r="E143" t="str">
            <v>36 MONTHS/480 000 KM</v>
          </cell>
          <cell r="F143">
            <v>230363.51760000002</v>
          </cell>
        </row>
        <row r="144">
          <cell r="C144" t="str">
            <v>TGS-26-4406X4BLS-MCOMFORT SUPER36 MONTHS/600 000 KM</v>
          </cell>
          <cell r="D144" t="str">
            <v>COMFORT SUPER</v>
          </cell>
          <cell r="E144" t="str">
            <v>36 MONTHS/600 000 KM</v>
          </cell>
          <cell r="F144">
            <v>273965.4792</v>
          </cell>
        </row>
        <row r="145">
          <cell r="C145" t="str">
            <v>TGS-26-4406X4BLS-MCOMFORT SUPER48 MONTHS/480 000 KM</v>
          </cell>
          <cell r="D145" t="str">
            <v>COMFORT SUPER</v>
          </cell>
          <cell r="E145" t="str">
            <v>48 MONTHS/480 000 KM</v>
          </cell>
          <cell r="F145">
            <v>255840</v>
          </cell>
        </row>
        <row r="146">
          <cell r="C146" t="str">
            <v>TGS-26-4406X4BLS-MCOMFORT SUPER48 MONTHS/600 000 KM</v>
          </cell>
          <cell r="D146" t="str">
            <v>COMFORT SUPER</v>
          </cell>
          <cell r="E146" t="str">
            <v>48 MONTHS/600 000 KM</v>
          </cell>
          <cell r="F146">
            <v>324720</v>
          </cell>
        </row>
        <row r="147">
          <cell r="C147" t="str">
            <v>TGS-26-4406X4BLS-MCOMFORT SUPER48 MONTHS/720 000 KM</v>
          </cell>
          <cell r="D147" t="str">
            <v>COMFORT SUPER</v>
          </cell>
          <cell r="E147" t="str">
            <v>48 MONTHS/720 000 KM</v>
          </cell>
          <cell r="F147">
            <v>387288.00000000006</v>
          </cell>
        </row>
        <row r="148">
          <cell r="C148" t="str">
            <v>TGS-26-4406X4BLS-MCOMFORT SUPER48 MONTHS/800 000 KM</v>
          </cell>
          <cell r="D148" t="str">
            <v>COMFORT SUPER</v>
          </cell>
          <cell r="E148" t="str">
            <v>48 MONTHS/800 000 KM</v>
          </cell>
          <cell r="F148">
            <v>407048.14080000005</v>
          </cell>
        </row>
        <row r="149">
          <cell r="C149" t="str">
            <v>TGS-26-4406X4BLS-MCOMFORT SUPER60 MONTHS/600 000 KM</v>
          </cell>
          <cell r="D149" t="str">
            <v>COMFORT SUPER</v>
          </cell>
          <cell r="E149" t="str">
            <v>60 MONTHS/600 000 KM</v>
          </cell>
          <cell r="F149">
            <v>349740</v>
          </cell>
        </row>
        <row r="150">
          <cell r="C150" t="str">
            <v>TGS-26-4406X4BLS-MCOMFORT SUPER60 MONTHS/700 000 KM</v>
          </cell>
          <cell r="D150" t="str">
            <v>COMFORT SUPER</v>
          </cell>
          <cell r="E150" t="str">
            <v>60 MONTHS/700 000 KM</v>
          </cell>
          <cell r="F150">
            <v>418961.97000000003</v>
          </cell>
        </row>
        <row r="151">
          <cell r="C151" t="str">
            <v>TGS-26-4406X4BLS-MCOMFORT SUPER60 MONTHS/800 000 KM</v>
          </cell>
          <cell r="D151" t="str">
            <v>COMFORT SUPER</v>
          </cell>
          <cell r="E151" t="str">
            <v>60 MONTHS/800 000 KM</v>
          </cell>
          <cell r="F151">
            <v>467543.37600000005</v>
          </cell>
        </row>
        <row r="152">
          <cell r="C152" t="str">
            <v>TGS-26-4806X4BLS-LXCOMFORT CARE36 MONTHS/360 000 KM</v>
          </cell>
          <cell r="D152" t="str">
            <v>COMFORT CARE</v>
          </cell>
          <cell r="E152" t="str">
            <v>36 MONTHS/360 000 KM</v>
          </cell>
          <cell r="F152">
            <v>109188</v>
          </cell>
        </row>
        <row r="153">
          <cell r="C153" t="str">
            <v>TGS-26-4806X4BLS-LXCOMFORT CARE36 MONTHS/480 000 KM</v>
          </cell>
          <cell r="D153" t="str">
            <v>COMFORT CARE</v>
          </cell>
          <cell r="E153" t="str">
            <v>36 MONTHS/480 000 KM</v>
          </cell>
          <cell r="F153">
            <v>188025.40079999997</v>
          </cell>
        </row>
        <row r="154">
          <cell r="C154" t="str">
            <v>TGS-26-4806X4BLS-LXCOMFORT CARE36 MONTHS/600 000 KM</v>
          </cell>
          <cell r="D154" t="str">
            <v>COMFORT CARE</v>
          </cell>
          <cell r="E154" t="str">
            <v>36 MONTHS/600 000 KM</v>
          </cell>
          <cell r="F154">
            <v>218944.37880000001</v>
          </cell>
        </row>
        <row r="155">
          <cell r="C155" t="str">
            <v>TGS-26-4806X4BLS-LXCOMFORT CARE48 MONTHS/480 000 KM</v>
          </cell>
          <cell r="D155" t="str">
            <v>COMFORT CARE</v>
          </cell>
          <cell r="E155" t="str">
            <v>48 MONTHS/480 000 KM</v>
          </cell>
          <cell r="F155">
            <v>193200.00000000003</v>
          </cell>
        </row>
        <row r="156">
          <cell r="C156" t="str">
            <v>TGS-26-4806X4BLS-LXCOMFORT CARE48 MONTHS/600 000 KM</v>
          </cell>
          <cell r="D156" t="str">
            <v>COMFORT CARE</v>
          </cell>
          <cell r="E156" t="str">
            <v>48 MONTHS/600 000 KM</v>
          </cell>
          <cell r="F156">
            <v>229800</v>
          </cell>
        </row>
        <row r="157">
          <cell r="C157" t="str">
            <v>TGS-26-4806X4BLS-LXCOMFORT CARE48 MONTHS/720 000 KM</v>
          </cell>
          <cell r="D157" t="str">
            <v>COMFORT CARE</v>
          </cell>
          <cell r="E157" t="str">
            <v>48 MONTHS/720 000 KM</v>
          </cell>
          <cell r="F157">
            <v>259272</v>
          </cell>
        </row>
        <row r="158">
          <cell r="C158" t="str">
            <v>TGS-26-4806X4BLS-LXCOMFORT CARE48 MONTHS/800 000 KM</v>
          </cell>
          <cell r="D158" t="str">
            <v>COMFORT CARE</v>
          </cell>
          <cell r="E158" t="str">
            <v>48 MONTHS/800 000 KM</v>
          </cell>
          <cell r="F158">
            <v>303686.0736</v>
          </cell>
        </row>
        <row r="159">
          <cell r="C159" t="str">
            <v>TGS-26-4806X4BLS-LXCOMFORT CARE60 MONTHS/600 000 KM</v>
          </cell>
          <cell r="D159" t="str">
            <v>COMFORT CARE</v>
          </cell>
          <cell r="E159" t="str">
            <v>60 MONTHS/600 000 KM</v>
          </cell>
          <cell r="F159">
            <v>233280</v>
          </cell>
        </row>
        <row r="160">
          <cell r="C160" t="str">
            <v>TGS-26-4806X4BLS-LXCOMFORT CARE60 MONTHS/700 000 KM</v>
          </cell>
          <cell r="D160" t="str">
            <v>COMFORT CARE</v>
          </cell>
          <cell r="E160" t="str">
            <v>60 MONTHS/700 000 KM</v>
          </cell>
          <cell r="F160">
            <v>256067.31599999999</v>
          </cell>
        </row>
        <row r="161">
          <cell r="C161" t="str">
            <v>TGS-26-4806X4BLS-LXCOMFORT CARE60 MONTHS/800 000 KM</v>
          </cell>
          <cell r="D161" t="str">
            <v>COMFORT CARE</v>
          </cell>
          <cell r="E161" t="str">
            <v>60 MONTHS/800 000 KM</v>
          </cell>
          <cell r="F161">
            <v>312895.64400000003</v>
          </cell>
        </row>
        <row r="162">
          <cell r="C162" t="str">
            <v>TGS-26-4806X4BLS-LXCOMFORT SERVICE36 MONTHS/360 000 KM</v>
          </cell>
          <cell r="D162" t="str">
            <v>COMFORT SERVICE</v>
          </cell>
          <cell r="E162" t="str">
            <v>36 MONTHS/360 000 KM</v>
          </cell>
          <cell r="F162">
            <v>101160.00000000001</v>
          </cell>
        </row>
        <row r="163">
          <cell r="C163" t="str">
            <v>TGS-26-4806X4BLS-LXCOMFORT SERVICE36 MONTHS/480 000 KM</v>
          </cell>
          <cell r="D163" t="str">
            <v>COMFORT SERVICE</v>
          </cell>
          <cell r="E163" t="str">
            <v>36 MONTHS/480 000 KM</v>
          </cell>
          <cell r="F163">
            <v>136326.81599999999</v>
          </cell>
        </row>
        <row r="164">
          <cell r="C164" t="str">
            <v>TGS-26-4806X4BLS-LXCOMFORT SERVICE36 MONTHS/600 000 KM</v>
          </cell>
          <cell r="D164" t="str">
            <v>COMFORT SERVICE</v>
          </cell>
          <cell r="E164" t="str">
            <v>36 MONTHS/600 000 KM</v>
          </cell>
          <cell r="F164">
            <v>159183.18359999999</v>
          </cell>
        </row>
        <row r="165">
          <cell r="C165" t="str">
            <v>TGS-26-4806X4BLS-LXCOMFORT SERVICE48 MONTHS/480 000 KM</v>
          </cell>
          <cell r="D165" t="str">
            <v>COMFORT SERVICE</v>
          </cell>
          <cell r="E165" t="str">
            <v>48 MONTHS/480 000 KM</v>
          </cell>
          <cell r="F165">
            <v>141504</v>
          </cell>
        </row>
        <row r="166">
          <cell r="C166" t="str">
            <v>TGS-26-4806X4BLS-LXCOMFORT SERVICE48 MONTHS/600 000 KM</v>
          </cell>
          <cell r="D166" t="str">
            <v>COMFORT SERVICE</v>
          </cell>
          <cell r="E166" t="str">
            <v>48 MONTHS/600 000 KM</v>
          </cell>
          <cell r="F166">
            <v>170099.99999999997</v>
          </cell>
        </row>
        <row r="167">
          <cell r="C167" t="str">
            <v>TGS-26-4806X4BLS-LXCOMFORT SERVICE48 MONTHS/720 000 KM</v>
          </cell>
          <cell r="D167" t="str">
            <v>COMFORT SERVICE</v>
          </cell>
          <cell r="E167" t="str">
            <v>48 MONTHS/720 000 KM</v>
          </cell>
          <cell r="F167">
            <v>199584</v>
          </cell>
        </row>
        <row r="168">
          <cell r="C168" t="str">
            <v>TGS-26-4806X4BLS-LXCOMFORT SERVICE48 MONTHS/800 000 KM</v>
          </cell>
          <cell r="D168" t="str">
            <v>COMFORT SERVICE</v>
          </cell>
          <cell r="E168" t="str">
            <v>48 MONTHS/800 000 KM</v>
          </cell>
          <cell r="F168">
            <v>211044.22079999995</v>
          </cell>
        </row>
        <row r="169">
          <cell r="C169" t="str">
            <v>TGS-26-4806X4BLS-LXCOMFORT SERVICE60 MONTHS/600 000 KM</v>
          </cell>
          <cell r="D169" t="str">
            <v>COMFORT SERVICE</v>
          </cell>
          <cell r="E169" t="str">
            <v>60 MONTHS/600 000 KM</v>
          </cell>
          <cell r="F169">
            <v>173580</v>
          </cell>
        </row>
        <row r="170">
          <cell r="C170" t="str">
            <v>TGS-26-4806X4BLS-LXCOMFORT SERVICE60 MONTHS/700 000 KM</v>
          </cell>
          <cell r="D170" t="str">
            <v>COMFORT SERVICE</v>
          </cell>
          <cell r="E170" t="str">
            <v>60 MONTHS/700 000 KM</v>
          </cell>
          <cell r="F170">
            <v>196285.60799999998</v>
          </cell>
        </row>
        <row r="171">
          <cell r="C171" t="str">
            <v>TGS-26-4806X4BLS-LXCOMFORT SERVICE60 MONTHS/800 000 KM</v>
          </cell>
          <cell r="D171" t="str">
            <v>COMFORT SERVICE</v>
          </cell>
          <cell r="E171" t="str">
            <v>60 MONTHS/800 000 KM</v>
          </cell>
          <cell r="F171">
            <v>220171.008</v>
          </cell>
        </row>
        <row r="172">
          <cell r="C172" t="str">
            <v>TGS-26-4806X4BLS-LXCOMFORT SUPER36 MONTHS/360 000 KM</v>
          </cell>
          <cell r="D172" t="str">
            <v>COMFORT SUPER</v>
          </cell>
          <cell r="E172" t="str">
            <v>36 MONTHS/360 000 KM</v>
          </cell>
          <cell r="F172">
            <v>167328</v>
          </cell>
        </row>
        <row r="173">
          <cell r="C173" t="str">
            <v>TGS-26-4806X4BLS-LXCOMFORT SUPER36 MONTHS/480 000 KM</v>
          </cell>
          <cell r="D173" t="str">
            <v>COMFORT SUPER</v>
          </cell>
          <cell r="E173" t="str">
            <v>36 MONTHS/480 000 KM</v>
          </cell>
          <cell r="F173">
            <v>230363.51760000002</v>
          </cell>
        </row>
        <row r="174">
          <cell r="C174" t="str">
            <v>TGS-26-4806X4BLS-LXCOMFORT SUPER36 MONTHS/600 000 KM</v>
          </cell>
          <cell r="D174" t="str">
            <v>COMFORT SUPER</v>
          </cell>
          <cell r="E174" t="str">
            <v>36 MONTHS/600 000 KM</v>
          </cell>
          <cell r="F174">
            <v>273965.4792</v>
          </cell>
        </row>
        <row r="175">
          <cell r="C175" t="str">
            <v>TGS-26-4806X4BLS-LXCOMFORT SUPER48 MONTHS/480 000 KM</v>
          </cell>
          <cell r="D175" t="str">
            <v>COMFORT SUPER</v>
          </cell>
          <cell r="E175" t="str">
            <v>48 MONTHS/480 000 KM</v>
          </cell>
          <cell r="F175">
            <v>255840</v>
          </cell>
        </row>
        <row r="176">
          <cell r="C176" t="str">
            <v>TGS-26-4806X4BLS-LXCOMFORT SUPER48 MONTHS/600 000 KM</v>
          </cell>
          <cell r="D176" t="str">
            <v>COMFORT SUPER</v>
          </cell>
          <cell r="E176" t="str">
            <v>48 MONTHS/600 000 KM</v>
          </cell>
          <cell r="F176">
            <v>324720</v>
          </cell>
        </row>
        <row r="177">
          <cell r="C177" t="str">
            <v>TGS-26-4806X4BLS-LXCOMFORT SUPER48 MONTHS/720 000 KM</v>
          </cell>
          <cell r="D177" t="str">
            <v>COMFORT SUPER</v>
          </cell>
          <cell r="E177" t="str">
            <v>48 MONTHS/720 000 KM</v>
          </cell>
          <cell r="F177">
            <v>387288.00000000006</v>
          </cell>
        </row>
        <row r="178">
          <cell r="C178" t="str">
            <v>TGS-26-4806X4BLS-LXCOMFORT SUPER48 MONTHS/800 000 KM</v>
          </cell>
          <cell r="D178" t="str">
            <v>COMFORT SUPER</v>
          </cell>
          <cell r="E178" t="str">
            <v>48 MONTHS/800 000 KM</v>
          </cell>
          <cell r="F178">
            <v>407048.14080000005</v>
          </cell>
        </row>
        <row r="179">
          <cell r="C179" t="str">
            <v>TGS-26-4806X4BLS-LXCOMFORT SUPER60 MONTHS/600 000 KM</v>
          </cell>
          <cell r="D179" t="str">
            <v>COMFORT SUPER</v>
          </cell>
          <cell r="E179" t="str">
            <v>60 MONTHS/600 000 KM</v>
          </cell>
          <cell r="F179">
            <v>349740</v>
          </cell>
        </row>
        <row r="180">
          <cell r="C180" t="str">
            <v>TGS-26-4806X4BLS-LXCOMFORT SUPER60 MONTHS/700 000 KM</v>
          </cell>
          <cell r="D180" t="str">
            <v>COMFORT SUPER</v>
          </cell>
          <cell r="E180" t="str">
            <v>60 MONTHS/700 000 KM</v>
          </cell>
          <cell r="F180">
            <v>418961.97000000003</v>
          </cell>
        </row>
        <row r="181">
          <cell r="C181" t="str">
            <v>TGS-26-4806X4BLS-LXCOMFORT SUPER60 MONTHS/800 000 KM</v>
          </cell>
          <cell r="D181" t="str">
            <v>COMFORT SUPER</v>
          </cell>
          <cell r="E181" t="str">
            <v>60 MONTHS/800 000 KM</v>
          </cell>
          <cell r="F181">
            <v>467543.37600000005</v>
          </cell>
        </row>
        <row r="182">
          <cell r="C182" t="str">
            <v>TGS-26-4806X4BLS-LX-E5COMFORT CARE36 MONTHS/360 000 KM</v>
          </cell>
          <cell r="D182" t="str">
            <v>COMFORT CARE</v>
          </cell>
          <cell r="E182" t="str">
            <v>36 MONTHS/360 000 KM</v>
          </cell>
          <cell r="F182">
            <v>109188</v>
          </cell>
        </row>
        <row r="183">
          <cell r="C183" t="str">
            <v>TGS-26-4806X4BLS-LX-E5COMFORT CARE36 MONTHS/480 000 KM</v>
          </cell>
          <cell r="D183" t="str">
            <v>COMFORT CARE</v>
          </cell>
          <cell r="E183" t="str">
            <v>36 MONTHS/480 000 KM</v>
          </cell>
          <cell r="F183">
            <v>188025.40079999997</v>
          </cell>
        </row>
        <row r="184">
          <cell r="C184" t="str">
            <v>TGS-26-4806X4BLS-LX-E5COMFORT CARE36 MONTHS/600 000 KM</v>
          </cell>
          <cell r="D184" t="str">
            <v>COMFORT CARE</v>
          </cell>
          <cell r="E184" t="str">
            <v>36 MONTHS/600 000 KM</v>
          </cell>
          <cell r="F184">
            <v>218944.37880000001</v>
          </cell>
        </row>
        <row r="185">
          <cell r="C185" t="str">
            <v>TGS-26-4806X4BLS-LX-E5COMFORT CARE48 MONTHS/480 000 KM</v>
          </cell>
          <cell r="D185" t="str">
            <v>COMFORT CARE</v>
          </cell>
          <cell r="E185" t="str">
            <v>48 MONTHS/480 000 KM</v>
          </cell>
          <cell r="F185">
            <v>193200.00000000003</v>
          </cell>
        </row>
        <row r="186">
          <cell r="C186" t="str">
            <v>TGS-26-4806X4BLS-LX-E5COMFORT CARE48 MONTHS/600 000 KM</v>
          </cell>
          <cell r="D186" t="str">
            <v>COMFORT CARE</v>
          </cell>
          <cell r="E186" t="str">
            <v>48 MONTHS/600 000 KM</v>
          </cell>
          <cell r="F186">
            <v>229800</v>
          </cell>
        </row>
        <row r="187">
          <cell r="C187" t="str">
            <v>TGS-26-4806X4BLS-LX-E5COMFORT CARE48 MONTHS/720 000 KM</v>
          </cell>
          <cell r="D187" t="str">
            <v>COMFORT CARE</v>
          </cell>
          <cell r="E187" t="str">
            <v>48 MONTHS/720 000 KM</v>
          </cell>
          <cell r="F187">
            <v>259272</v>
          </cell>
        </row>
        <row r="188">
          <cell r="C188" t="str">
            <v>TGS-26-4806X4BLS-LX-E5COMFORT CARE48 MONTHS/800 000 KM</v>
          </cell>
          <cell r="D188" t="str">
            <v>COMFORT CARE</v>
          </cell>
          <cell r="E188" t="str">
            <v>48 MONTHS/800 000 KM</v>
          </cell>
          <cell r="F188">
            <v>303686.0736</v>
          </cell>
        </row>
        <row r="189">
          <cell r="C189" t="str">
            <v>TGS-26-4806X4BLS-LX-E5COMFORT CARE60 MONTHS/600 000 KM</v>
          </cell>
          <cell r="D189" t="str">
            <v>COMFORT CARE</v>
          </cell>
          <cell r="E189" t="str">
            <v>60 MONTHS/600 000 KM</v>
          </cell>
          <cell r="F189">
            <v>233280</v>
          </cell>
        </row>
        <row r="190">
          <cell r="C190" t="str">
            <v>TGS-26-4806X4BLS-LX-E5COMFORT CARE60 MONTHS/700 000 KM</v>
          </cell>
          <cell r="D190" t="str">
            <v>COMFORT CARE</v>
          </cell>
          <cell r="E190" t="str">
            <v>60 MONTHS/700 000 KM</v>
          </cell>
          <cell r="F190">
            <v>256067.31599999999</v>
          </cell>
        </row>
        <row r="191">
          <cell r="C191" t="str">
            <v>TGS-26-4806X4BLS-LX-E5COMFORT CARE60 MONTHS/800 000 KM</v>
          </cell>
          <cell r="D191" t="str">
            <v>COMFORT CARE</v>
          </cell>
          <cell r="E191" t="str">
            <v>60 MONTHS/800 000 KM</v>
          </cell>
          <cell r="F191">
            <v>312895.64400000003</v>
          </cell>
        </row>
        <row r="192">
          <cell r="C192" t="str">
            <v>TGS-26-4806X4BLS-LX-E5COMFORT SERVICE36 MONTHS/360 000 KM</v>
          </cell>
          <cell r="D192" t="str">
            <v>COMFORT SERVICE</v>
          </cell>
          <cell r="E192" t="str">
            <v>36 MONTHS/360 000 KM</v>
          </cell>
          <cell r="F192">
            <v>101160.00000000001</v>
          </cell>
        </row>
        <row r="193">
          <cell r="C193" t="str">
            <v>TGS-26-4806X4BLS-LX-E5COMFORT SERVICE36 MONTHS/480 000 KM</v>
          </cell>
          <cell r="D193" t="str">
            <v>COMFORT SERVICE</v>
          </cell>
          <cell r="E193" t="str">
            <v>36 MONTHS/480 000 KM</v>
          </cell>
          <cell r="F193">
            <v>136326.81599999999</v>
          </cell>
        </row>
        <row r="194">
          <cell r="C194" t="str">
            <v>TGS-26-4806X4BLS-LX-E5COMFORT SERVICE36 MONTHS/600 000 KM</v>
          </cell>
          <cell r="D194" t="str">
            <v>COMFORT SERVICE</v>
          </cell>
          <cell r="E194" t="str">
            <v>36 MONTHS/600 000 KM</v>
          </cell>
          <cell r="F194">
            <v>159183.18359999999</v>
          </cell>
        </row>
        <row r="195">
          <cell r="C195" t="str">
            <v>TGS-26-4806X4BLS-LX-E5COMFORT SERVICE48 MONTHS/480 000 KM</v>
          </cell>
          <cell r="D195" t="str">
            <v>COMFORT SERVICE</v>
          </cell>
          <cell r="E195" t="str">
            <v>48 MONTHS/480 000 KM</v>
          </cell>
          <cell r="F195">
            <v>141504</v>
          </cell>
        </row>
        <row r="196">
          <cell r="C196" t="str">
            <v>TGS-26-4806X4BLS-LX-E5COMFORT SERVICE48 MONTHS/600 000 KM</v>
          </cell>
          <cell r="D196" t="str">
            <v>COMFORT SERVICE</v>
          </cell>
          <cell r="E196" t="str">
            <v>48 MONTHS/600 000 KM</v>
          </cell>
          <cell r="F196">
            <v>170099.99999999997</v>
          </cell>
        </row>
        <row r="197">
          <cell r="C197" t="str">
            <v>TGS-26-4806X4BLS-LX-E5COMFORT SERVICE48 MONTHS/720 000 KM</v>
          </cell>
          <cell r="D197" t="str">
            <v>COMFORT SERVICE</v>
          </cell>
          <cell r="E197" t="str">
            <v>48 MONTHS/720 000 KM</v>
          </cell>
          <cell r="F197">
            <v>199584</v>
          </cell>
        </row>
        <row r="198">
          <cell r="C198" t="str">
            <v>TGS-26-4806X4BLS-LX-E5COMFORT SERVICE48 MONTHS/800 000 KM</v>
          </cell>
          <cell r="D198" t="str">
            <v>COMFORT SERVICE</v>
          </cell>
          <cell r="E198" t="str">
            <v>48 MONTHS/800 000 KM</v>
          </cell>
          <cell r="F198">
            <v>211044.22079999995</v>
          </cell>
        </row>
        <row r="199">
          <cell r="C199" t="str">
            <v>TGS-26-4806X4BLS-LX-E5COMFORT SERVICE60 MONTHS/600 000 KM</v>
          </cell>
          <cell r="D199" t="str">
            <v>COMFORT SERVICE</v>
          </cell>
          <cell r="E199" t="str">
            <v>60 MONTHS/600 000 KM</v>
          </cell>
          <cell r="F199">
            <v>173580</v>
          </cell>
        </row>
        <row r="200">
          <cell r="C200" t="str">
            <v>TGS-26-4806X4BLS-LX-E5COMFORT SERVICE60 MONTHS/700 000 KM</v>
          </cell>
          <cell r="D200" t="str">
            <v>COMFORT SERVICE</v>
          </cell>
          <cell r="E200" t="str">
            <v>60 MONTHS/700 000 KM</v>
          </cell>
          <cell r="F200">
            <v>196285.60799999998</v>
          </cell>
        </row>
        <row r="201">
          <cell r="C201" t="str">
            <v>TGS-26-4806X4BLS-LX-E5COMFORT SERVICE60 MONTHS/800 000 KM</v>
          </cell>
          <cell r="D201" t="str">
            <v>COMFORT SERVICE</v>
          </cell>
          <cell r="E201" t="str">
            <v>60 MONTHS/800 000 KM</v>
          </cell>
          <cell r="F201">
            <v>220171.008</v>
          </cell>
        </row>
        <row r="202">
          <cell r="C202" t="str">
            <v>TGS-26-4806X4BLS-LX-E5COMFORT SUPER36 MONTHS/360 000 KM</v>
          </cell>
          <cell r="D202" t="str">
            <v>COMFORT SUPER</v>
          </cell>
          <cell r="E202" t="str">
            <v>36 MONTHS/360 000 KM</v>
          </cell>
          <cell r="F202">
            <v>167328</v>
          </cell>
        </row>
        <row r="203">
          <cell r="C203" t="str">
            <v>TGS-26-4806X4BLS-LX-E5COMFORT SUPER36 MONTHS/480 000 KM</v>
          </cell>
          <cell r="D203" t="str">
            <v>COMFORT SUPER</v>
          </cell>
          <cell r="E203" t="str">
            <v>36 MONTHS/480 000 KM</v>
          </cell>
          <cell r="F203">
            <v>230363.51760000002</v>
          </cell>
        </row>
        <row r="204">
          <cell r="C204" t="str">
            <v>TGS-26-4806X4BLS-LX-E5COMFORT SUPER36 MONTHS/600 000 KM</v>
          </cell>
          <cell r="D204" t="str">
            <v>COMFORT SUPER</v>
          </cell>
          <cell r="E204" t="str">
            <v>36 MONTHS/600 000 KM</v>
          </cell>
          <cell r="F204">
            <v>273965.4792</v>
          </cell>
        </row>
        <row r="205">
          <cell r="C205" t="str">
            <v>TGS-26-4806X4BLS-LX-E5COMFORT SUPER48 MONTHS/480 000 KM</v>
          </cell>
          <cell r="D205" t="str">
            <v>COMFORT SUPER</v>
          </cell>
          <cell r="E205" t="str">
            <v>48 MONTHS/480 000 KM</v>
          </cell>
          <cell r="F205">
            <v>255840</v>
          </cell>
        </row>
        <row r="206">
          <cell r="C206" t="str">
            <v>TGS-26-4806X4BLS-LX-E5COMFORT SUPER48 MONTHS/600 000 KM</v>
          </cell>
          <cell r="D206" t="str">
            <v>COMFORT SUPER</v>
          </cell>
          <cell r="E206" t="str">
            <v>48 MONTHS/600 000 KM</v>
          </cell>
          <cell r="F206">
            <v>324720</v>
          </cell>
        </row>
        <row r="207">
          <cell r="C207" t="str">
            <v>TGS-26-4806X4BLS-LX-E5COMFORT SUPER48 MONTHS/720 000 KM</v>
          </cell>
          <cell r="D207" t="str">
            <v>COMFORT SUPER</v>
          </cell>
          <cell r="E207" t="str">
            <v>48 MONTHS/720 000 KM</v>
          </cell>
          <cell r="F207">
            <v>387288.00000000006</v>
          </cell>
        </row>
        <row r="208">
          <cell r="C208" t="str">
            <v>TGS-26-4806X4BLS-LX-E5COMFORT SUPER48 MONTHS/800 000 KM</v>
          </cell>
          <cell r="D208" t="str">
            <v>COMFORT SUPER</v>
          </cell>
          <cell r="E208" t="str">
            <v>48 MONTHS/800 000 KM</v>
          </cell>
          <cell r="F208">
            <v>407048.14080000005</v>
          </cell>
        </row>
        <row r="209">
          <cell r="C209" t="str">
            <v>TGS-26-4806X4BLS-LX-E5COMFORT SUPER60 MONTHS/600 000 KM</v>
          </cell>
          <cell r="D209" t="str">
            <v>COMFORT SUPER</v>
          </cell>
          <cell r="E209" t="str">
            <v>60 MONTHS/600 000 KM</v>
          </cell>
          <cell r="F209">
            <v>349740</v>
          </cell>
        </row>
        <row r="210">
          <cell r="C210" t="str">
            <v>TGS-26-4806X4BLS-LX-E5COMFORT SUPER60 MONTHS/700 000 KM</v>
          </cell>
          <cell r="D210" t="str">
            <v>COMFORT SUPER</v>
          </cell>
          <cell r="E210" t="str">
            <v>60 MONTHS/700 000 KM</v>
          </cell>
          <cell r="F210">
            <v>418961.97000000003</v>
          </cell>
        </row>
        <row r="211">
          <cell r="C211" t="str">
            <v>TGS-26-4806X4BLS-LX-E5COMFORT SUPER60 MONTHS/800 000 KM</v>
          </cell>
          <cell r="D211" t="str">
            <v>COMFORT SUPER</v>
          </cell>
          <cell r="E211" t="str">
            <v>60 MONTHS/800 000 KM</v>
          </cell>
          <cell r="F211">
            <v>467543.37600000005</v>
          </cell>
        </row>
        <row r="212">
          <cell r="C212" t="str">
            <v>TGS-26-4806X4BLS-LX-ELCOMFORT CARE36 MONTHS/360 000 KM</v>
          </cell>
          <cell r="D212" t="str">
            <v>COMFORT CARE</v>
          </cell>
          <cell r="E212" t="str">
            <v>36 MONTHS/360 000 KM</v>
          </cell>
          <cell r="F212">
            <v>109188</v>
          </cell>
        </row>
        <row r="213">
          <cell r="C213" t="str">
            <v>TGS-26-4806X4BLS-LX-ELCOMFORT CARE36 MONTHS/480 000 KM</v>
          </cell>
          <cell r="D213" t="str">
            <v>COMFORT CARE</v>
          </cell>
          <cell r="E213" t="str">
            <v>36 MONTHS/480 000 KM</v>
          </cell>
          <cell r="F213">
            <v>188025.40079999997</v>
          </cell>
        </row>
        <row r="214">
          <cell r="C214" t="str">
            <v>TGS-26-4806X4BLS-LX-ELCOMFORT CARE36 MONTHS/600 000 KM</v>
          </cell>
          <cell r="D214" t="str">
            <v>COMFORT CARE</v>
          </cell>
          <cell r="E214" t="str">
            <v>36 MONTHS/600 000 KM</v>
          </cell>
          <cell r="F214">
            <v>218944.37880000001</v>
          </cell>
        </row>
        <row r="215">
          <cell r="C215" t="str">
            <v>TGS-26-4806X4BLS-LX-ELCOMFORT CARE48 MONTHS/480 000 KM</v>
          </cell>
          <cell r="D215" t="str">
            <v>COMFORT CARE</v>
          </cell>
          <cell r="E215" t="str">
            <v>48 MONTHS/480 000 KM</v>
          </cell>
          <cell r="F215">
            <v>193200.00000000003</v>
          </cell>
        </row>
        <row r="216">
          <cell r="C216" t="str">
            <v>TGS-26-4806X4BLS-LX-ELCOMFORT CARE48 MONTHS/600 000 KM</v>
          </cell>
          <cell r="D216" t="str">
            <v>COMFORT CARE</v>
          </cell>
          <cell r="E216" t="str">
            <v>48 MONTHS/600 000 KM</v>
          </cell>
          <cell r="F216">
            <v>229800</v>
          </cell>
        </row>
        <row r="217">
          <cell r="C217" t="str">
            <v>TGS-26-4806X4BLS-LX-ELCOMFORT CARE48 MONTHS/720 000 KM</v>
          </cell>
          <cell r="D217" t="str">
            <v>COMFORT CARE</v>
          </cell>
          <cell r="E217" t="str">
            <v>48 MONTHS/720 000 KM</v>
          </cell>
          <cell r="F217">
            <v>259272</v>
          </cell>
        </row>
        <row r="218">
          <cell r="C218" t="str">
            <v>TGS-26-4806X4BLS-LX-ELCOMFORT CARE48 MONTHS/800 000 KM</v>
          </cell>
          <cell r="D218" t="str">
            <v>COMFORT CARE</v>
          </cell>
          <cell r="E218" t="str">
            <v>48 MONTHS/800 000 KM</v>
          </cell>
          <cell r="F218">
            <v>303686.0736</v>
          </cell>
        </row>
        <row r="219">
          <cell r="C219" t="str">
            <v>TGS-26-4806X4BLS-LX-ELCOMFORT CARE60 MONTHS/600 000 KM</v>
          </cell>
          <cell r="D219" t="str">
            <v>COMFORT CARE</v>
          </cell>
          <cell r="E219" t="str">
            <v>60 MONTHS/600 000 KM</v>
          </cell>
          <cell r="F219">
            <v>233280</v>
          </cell>
        </row>
        <row r="220">
          <cell r="C220" t="str">
            <v>TGS-26-4806X4BLS-LX-ELCOMFORT CARE60 MONTHS/700 000 KM</v>
          </cell>
          <cell r="D220" t="str">
            <v>COMFORT CARE</v>
          </cell>
          <cell r="E220" t="str">
            <v>60 MONTHS/700 000 KM</v>
          </cell>
          <cell r="F220">
            <v>256067.31599999999</v>
          </cell>
        </row>
        <row r="221">
          <cell r="C221" t="str">
            <v>TGS-26-4806X4BLS-LX-ELCOMFORT CARE60 MONTHS/800 000 KM</v>
          </cell>
          <cell r="D221" t="str">
            <v>COMFORT CARE</v>
          </cell>
          <cell r="E221" t="str">
            <v>60 MONTHS/800 000 KM</v>
          </cell>
          <cell r="F221">
            <v>312895.64400000003</v>
          </cell>
        </row>
        <row r="222">
          <cell r="C222" t="str">
            <v>TGS-26-4806X4BLS-LX-ELCOMFORT SERVICE36 MONTHS/360 000 KM</v>
          </cell>
          <cell r="D222" t="str">
            <v>COMFORT SERVICE</v>
          </cell>
          <cell r="E222" t="str">
            <v>36 MONTHS/360 000 KM</v>
          </cell>
          <cell r="F222">
            <v>101160.00000000001</v>
          </cell>
        </row>
        <row r="223">
          <cell r="C223" t="str">
            <v>TGS-26-4806X4BLS-LX-ELCOMFORT SERVICE36 MONTHS/480 000 KM</v>
          </cell>
          <cell r="D223" t="str">
            <v>COMFORT SERVICE</v>
          </cell>
          <cell r="E223" t="str">
            <v>36 MONTHS/480 000 KM</v>
          </cell>
          <cell r="F223">
            <v>136326.81599999999</v>
          </cell>
        </row>
        <row r="224">
          <cell r="C224" t="str">
            <v>TGS-26-4806X4BLS-LX-ELCOMFORT SERVICE36 MONTHS/600 000 KM</v>
          </cell>
          <cell r="D224" t="str">
            <v>COMFORT SERVICE</v>
          </cell>
          <cell r="E224" t="str">
            <v>36 MONTHS/600 000 KM</v>
          </cell>
          <cell r="F224">
            <v>159183.18359999999</v>
          </cell>
        </row>
        <row r="225">
          <cell r="C225" t="str">
            <v>TGS-26-4806X4BLS-LX-ELCOMFORT SERVICE48 MONTHS/480 000 KM</v>
          </cell>
          <cell r="D225" t="str">
            <v>COMFORT SERVICE</v>
          </cell>
          <cell r="E225" t="str">
            <v>48 MONTHS/480 000 KM</v>
          </cell>
          <cell r="F225">
            <v>141504</v>
          </cell>
        </row>
        <row r="226">
          <cell r="C226" t="str">
            <v>TGS-26-4806X4BLS-LX-ELCOMFORT SERVICE48 MONTHS/600 000 KM</v>
          </cell>
          <cell r="D226" t="str">
            <v>COMFORT SERVICE</v>
          </cell>
          <cell r="E226" t="str">
            <v>48 MONTHS/600 000 KM</v>
          </cell>
          <cell r="F226">
            <v>170099.99999999997</v>
          </cell>
        </row>
        <row r="227">
          <cell r="C227" t="str">
            <v>TGS-26-4806X4BLS-LX-ELCOMFORT SERVICE48 MONTHS/720 000 KM</v>
          </cell>
          <cell r="D227" t="str">
            <v>COMFORT SERVICE</v>
          </cell>
          <cell r="E227" t="str">
            <v>48 MONTHS/720 000 KM</v>
          </cell>
          <cell r="F227">
            <v>199584</v>
          </cell>
        </row>
        <row r="228">
          <cell r="C228" t="str">
            <v>TGS-26-4806X4BLS-LX-ELCOMFORT SERVICE48 MONTHS/800 000 KM</v>
          </cell>
          <cell r="D228" t="str">
            <v>COMFORT SERVICE</v>
          </cell>
          <cell r="E228" t="str">
            <v>48 MONTHS/800 000 KM</v>
          </cell>
          <cell r="F228">
            <v>211044.22079999995</v>
          </cell>
        </row>
        <row r="229">
          <cell r="C229" t="str">
            <v>TGS-26-4806X4BLS-LX-ELCOMFORT SERVICE60 MONTHS/600 000 KM</v>
          </cell>
          <cell r="D229" t="str">
            <v>COMFORT SERVICE</v>
          </cell>
          <cell r="E229" t="str">
            <v>60 MONTHS/600 000 KM</v>
          </cell>
          <cell r="F229">
            <v>173580</v>
          </cell>
        </row>
        <row r="230">
          <cell r="C230" t="str">
            <v>TGS-26-4806X4BLS-LX-ELCOMFORT SERVICE60 MONTHS/700 000 KM</v>
          </cell>
          <cell r="D230" t="str">
            <v>COMFORT SERVICE</v>
          </cell>
          <cell r="E230" t="str">
            <v>60 MONTHS/700 000 KM</v>
          </cell>
          <cell r="F230">
            <v>196285.60799999998</v>
          </cell>
        </row>
        <row r="231">
          <cell r="C231" t="str">
            <v>TGS-26-4806X4BLS-LX-ELCOMFORT SERVICE60 MONTHS/800 000 KM</v>
          </cell>
          <cell r="D231" t="str">
            <v>COMFORT SERVICE</v>
          </cell>
          <cell r="E231" t="str">
            <v>60 MONTHS/800 000 KM</v>
          </cell>
          <cell r="F231">
            <v>220171.008</v>
          </cell>
        </row>
        <row r="232">
          <cell r="C232" t="str">
            <v>TGS-26-4806X4BLS-LX-ELCOMFORT SUPER36 MONTHS/360 000 KM</v>
          </cell>
          <cell r="D232" t="str">
            <v>COMFORT SUPER</v>
          </cell>
          <cell r="E232" t="str">
            <v>36 MONTHS/360 000 KM</v>
          </cell>
          <cell r="F232">
            <v>167328</v>
          </cell>
        </row>
        <row r="233">
          <cell r="C233" t="str">
            <v>TGS-26-4806X4BLS-LX-ELCOMFORT SUPER36 MONTHS/480 000 KM</v>
          </cell>
          <cell r="D233" t="str">
            <v>COMFORT SUPER</v>
          </cell>
          <cell r="E233" t="str">
            <v>36 MONTHS/480 000 KM</v>
          </cell>
          <cell r="F233">
            <v>230363.51760000002</v>
          </cell>
        </row>
        <row r="234">
          <cell r="C234" t="str">
            <v>TGS-26-4806X4BLS-LX-ELCOMFORT SUPER36 MONTHS/600 000 KM</v>
          </cell>
          <cell r="D234" t="str">
            <v>COMFORT SUPER</v>
          </cell>
          <cell r="E234" t="str">
            <v>36 MONTHS/600 000 KM</v>
          </cell>
          <cell r="F234">
            <v>273965.4792</v>
          </cell>
        </row>
        <row r="235">
          <cell r="C235" t="str">
            <v>TGS-26-4806X4BLS-LX-ELCOMFORT SUPER48 MONTHS/480 000 KM</v>
          </cell>
          <cell r="D235" t="str">
            <v>COMFORT SUPER</v>
          </cell>
          <cell r="E235" t="str">
            <v>48 MONTHS/480 000 KM</v>
          </cell>
          <cell r="F235">
            <v>255840</v>
          </cell>
        </row>
        <row r="236">
          <cell r="C236" t="str">
            <v>TGS-26-4806X4BLS-LX-ELCOMFORT SUPER48 MONTHS/600 000 KM</v>
          </cell>
          <cell r="D236" t="str">
            <v>COMFORT SUPER</v>
          </cell>
          <cell r="E236" t="str">
            <v>48 MONTHS/600 000 KM</v>
          </cell>
          <cell r="F236">
            <v>324720</v>
          </cell>
        </row>
        <row r="237">
          <cell r="C237" t="str">
            <v>TGS-26-4806X4BLS-LX-ELCOMFORT SUPER48 MONTHS/720 000 KM</v>
          </cell>
          <cell r="D237" t="str">
            <v>COMFORT SUPER</v>
          </cell>
          <cell r="E237" t="str">
            <v>48 MONTHS/720 000 KM</v>
          </cell>
          <cell r="F237">
            <v>387288.00000000006</v>
          </cell>
        </row>
        <row r="238">
          <cell r="C238" t="str">
            <v>TGS-26-4806X4BLS-LX-ELCOMFORT SUPER48 MONTHS/800 000 KM</v>
          </cell>
          <cell r="D238" t="str">
            <v>COMFORT SUPER</v>
          </cell>
          <cell r="E238" t="str">
            <v>48 MONTHS/800 000 KM</v>
          </cell>
          <cell r="F238">
            <v>407048.14080000005</v>
          </cell>
        </row>
        <row r="239">
          <cell r="C239" t="str">
            <v>TGS-26-4806X4BLS-LX-ELCOMFORT SUPER60 MONTHS/600 000 KM</v>
          </cell>
          <cell r="D239" t="str">
            <v>COMFORT SUPER</v>
          </cell>
          <cell r="E239" t="str">
            <v>60 MONTHS/600 000 KM</v>
          </cell>
          <cell r="F239">
            <v>349740</v>
          </cell>
        </row>
        <row r="240">
          <cell r="C240" t="str">
            <v>TGS-26-4806X4BLS-LX-ELCOMFORT SUPER60 MONTHS/700 000 KM</v>
          </cell>
          <cell r="D240" t="str">
            <v>COMFORT SUPER</v>
          </cell>
          <cell r="E240" t="str">
            <v>60 MONTHS/700 000 KM</v>
          </cell>
          <cell r="F240">
            <v>418961.97000000003</v>
          </cell>
        </row>
        <row r="241">
          <cell r="C241" t="str">
            <v>TGS-26-4806X4BLS-LX-ELCOMFORT SUPER60 MONTHS/800 000 KM</v>
          </cell>
          <cell r="D241" t="str">
            <v>COMFORT SUPER</v>
          </cell>
          <cell r="E241" t="str">
            <v>60 MONTHS/800 000 KM</v>
          </cell>
          <cell r="F241">
            <v>467543.37600000005</v>
          </cell>
        </row>
        <row r="242">
          <cell r="C242" t="str">
            <v>TGS-27-4406X4BBS-LCOMFORT CARE36 MONTHS/360 000 KM</v>
          </cell>
          <cell r="D242" t="str">
            <v>COMFORT CARE</v>
          </cell>
          <cell r="E242" t="str">
            <v>36 MONTHS/360 000 KM</v>
          </cell>
          <cell r="F242">
            <v>109188</v>
          </cell>
        </row>
        <row r="243">
          <cell r="C243" t="str">
            <v>TGS-27-4406X4BBS-LCOMFORT CARE36 MONTHS/480 000 KM</v>
          </cell>
          <cell r="D243" t="str">
            <v>COMFORT CARE</v>
          </cell>
          <cell r="E243" t="str">
            <v>36 MONTHS/480 000 KM</v>
          </cell>
          <cell r="F243">
            <v>188025.40079999997</v>
          </cell>
        </row>
        <row r="244">
          <cell r="C244" t="str">
            <v>TGS-27-4406X4BBS-LCOMFORT CARE36 MONTHS/600 000 KM</v>
          </cell>
          <cell r="D244" t="str">
            <v>COMFORT CARE</v>
          </cell>
          <cell r="E244" t="str">
            <v>36 MONTHS/600 000 KM</v>
          </cell>
          <cell r="F244">
            <v>218944.37880000001</v>
          </cell>
        </row>
        <row r="245">
          <cell r="C245" t="str">
            <v>TGS-27-4406X4BBS-LCOMFORT CARE48 MONTHS/480 000 KM</v>
          </cell>
          <cell r="D245" t="str">
            <v>COMFORT CARE</v>
          </cell>
          <cell r="E245" t="str">
            <v>48 MONTHS/480 000 KM</v>
          </cell>
          <cell r="F245">
            <v>193200.00000000003</v>
          </cell>
        </row>
        <row r="246">
          <cell r="C246" t="str">
            <v>TGS-27-4406X4BBS-LCOMFORT CARE48 MONTHS/600 000 KM</v>
          </cell>
          <cell r="D246" t="str">
            <v>COMFORT CARE</v>
          </cell>
          <cell r="E246" t="str">
            <v>48 MONTHS/600 000 KM</v>
          </cell>
          <cell r="F246">
            <v>193200.00000000003</v>
          </cell>
        </row>
        <row r="247">
          <cell r="C247" t="str">
            <v>TGS-27-4406X4BBS-LCOMFORT CARE48 MONTHS/720 000 KM</v>
          </cell>
          <cell r="D247" t="str">
            <v>COMFORT CARE</v>
          </cell>
          <cell r="E247" t="str">
            <v>48 MONTHS/720 000 KM</v>
          </cell>
          <cell r="F247">
            <v>259272</v>
          </cell>
        </row>
        <row r="248">
          <cell r="C248" t="str">
            <v>TGS-27-4406X4BBS-LCOMFORT CARE48 MONTHS/800 000 KM</v>
          </cell>
          <cell r="D248" t="str">
            <v>COMFORT CARE</v>
          </cell>
          <cell r="E248" t="str">
            <v>48 MONTHS/800 000 KM</v>
          </cell>
          <cell r="F248">
            <v>303686.0736</v>
          </cell>
        </row>
        <row r="249">
          <cell r="C249" t="str">
            <v>TGS-27-4406X4BBS-LCOMFORT CARE60 MONTHS/600 000 KM</v>
          </cell>
          <cell r="D249" t="str">
            <v>COMFORT CARE</v>
          </cell>
          <cell r="E249" t="str">
            <v>60 MONTHS/600 000 KM</v>
          </cell>
          <cell r="F249">
            <v>233280</v>
          </cell>
        </row>
        <row r="250">
          <cell r="C250" t="str">
            <v>TGS-27-4406X4BBS-LCOMFORT CARE60 MONTHS/700 000 KM</v>
          </cell>
          <cell r="D250" t="str">
            <v>COMFORT CARE</v>
          </cell>
          <cell r="E250" t="str">
            <v>60 MONTHS/700 000 KM</v>
          </cell>
          <cell r="F250">
            <v>256067.31599999999</v>
          </cell>
        </row>
        <row r="251">
          <cell r="C251" t="str">
            <v>TGS-27-4406X4BBS-LCOMFORT CARE60 MONTHS/800 000 KM</v>
          </cell>
          <cell r="D251" t="str">
            <v>COMFORT CARE</v>
          </cell>
          <cell r="E251" t="str">
            <v>60 MONTHS/800 000 KM</v>
          </cell>
          <cell r="F251">
            <v>312895.64400000003</v>
          </cell>
        </row>
        <row r="252">
          <cell r="C252" t="str">
            <v>TGS-27-4406X4BBS-LCOMFORT SERVICE36 MONTHS/360 000 KM</v>
          </cell>
          <cell r="D252" t="str">
            <v>COMFORT SERVICE</v>
          </cell>
          <cell r="E252" t="str">
            <v>36 MONTHS/360 000 KM</v>
          </cell>
          <cell r="F252">
            <v>101160.00000000001</v>
          </cell>
        </row>
        <row r="253">
          <cell r="C253" t="str">
            <v>TGS-27-4406X4BBS-LCOMFORT SERVICE36 MONTHS/480 000 KM</v>
          </cell>
          <cell r="D253" t="str">
            <v>COMFORT SERVICE</v>
          </cell>
          <cell r="E253" t="str">
            <v>36 MONTHS/480 000 KM</v>
          </cell>
          <cell r="F253">
            <v>136326.81599999999</v>
          </cell>
        </row>
        <row r="254">
          <cell r="C254" t="str">
            <v>TGS-27-4406X4BBS-LCOMFORT SERVICE36 MONTHS/600 000 KM</v>
          </cell>
          <cell r="D254" t="str">
            <v>COMFORT SERVICE</v>
          </cell>
          <cell r="E254" t="str">
            <v>36 MONTHS/600 000 KM</v>
          </cell>
          <cell r="F254">
            <v>159183.18359999999</v>
          </cell>
        </row>
        <row r="255">
          <cell r="C255" t="str">
            <v>TGS-27-4406X4BBS-LCOMFORT SERVICE48 MONTHS/480 000 KM</v>
          </cell>
          <cell r="D255" t="str">
            <v>COMFORT SERVICE</v>
          </cell>
          <cell r="E255" t="str">
            <v>48 MONTHS/480 000 KM</v>
          </cell>
          <cell r="F255">
            <v>141504</v>
          </cell>
        </row>
        <row r="256">
          <cell r="C256" t="str">
            <v>TGS-27-4406X4BBS-LCOMFORT SERVICE48 MONTHS/600 000 KM</v>
          </cell>
          <cell r="D256" t="str">
            <v>COMFORT SERVICE</v>
          </cell>
          <cell r="E256" t="str">
            <v>48 MONTHS/600 000 KM</v>
          </cell>
          <cell r="F256">
            <v>170099.99999999997</v>
          </cell>
        </row>
        <row r="257">
          <cell r="C257" t="str">
            <v>TGS-27-4406X4BBS-LCOMFORT SERVICE48 MONTHS/720 000 KM</v>
          </cell>
          <cell r="D257" t="str">
            <v>COMFORT SERVICE</v>
          </cell>
          <cell r="E257" t="str">
            <v>48 MONTHS/720 000 KM</v>
          </cell>
          <cell r="F257">
            <v>199584</v>
          </cell>
        </row>
        <row r="258">
          <cell r="C258" t="str">
            <v>TGS-27-4406X4BBS-LCOMFORT SERVICE48 MONTHS/800 000 KM</v>
          </cell>
          <cell r="D258" t="str">
            <v>COMFORT SERVICE</v>
          </cell>
          <cell r="E258" t="str">
            <v>48 MONTHS/800 000 KM</v>
          </cell>
          <cell r="F258">
            <v>211044.22079999995</v>
          </cell>
        </row>
        <row r="259">
          <cell r="C259" t="str">
            <v>TGS-27-4406X4BBS-LCOMFORT SERVICE60 MONTHS/600 000 KM</v>
          </cell>
          <cell r="D259" t="str">
            <v>COMFORT SERVICE</v>
          </cell>
          <cell r="E259" t="str">
            <v>60 MONTHS/600 000 KM</v>
          </cell>
          <cell r="F259">
            <v>173580</v>
          </cell>
        </row>
        <row r="260">
          <cell r="C260" t="str">
            <v>TGS-27-4406X4BBS-LCOMFORT SERVICE60 MONTHS/700 000 KM</v>
          </cell>
          <cell r="D260" t="str">
            <v>COMFORT SERVICE</v>
          </cell>
          <cell r="E260" t="str">
            <v>60 MONTHS/700 000 KM</v>
          </cell>
          <cell r="F260">
            <v>196285.60799999998</v>
          </cell>
        </row>
        <row r="261">
          <cell r="C261" t="str">
            <v>TGS-27-4406X4BBS-LCOMFORT SERVICE60 MONTHS/800 000 KM</v>
          </cell>
          <cell r="D261" t="str">
            <v>COMFORT SERVICE</v>
          </cell>
          <cell r="E261" t="str">
            <v>60 MONTHS/800 000 KM</v>
          </cell>
          <cell r="F261">
            <v>220171.008</v>
          </cell>
        </row>
        <row r="262">
          <cell r="C262" t="str">
            <v>TGS-27-4406X4BBS-LCOMFORT SUPER36 MONTHS/360 000 KM</v>
          </cell>
          <cell r="D262" t="str">
            <v>COMFORT SUPER</v>
          </cell>
          <cell r="E262" t="str">
            <v>36 MONTHS/360 000 KM</v>
          </cell>
          <cell r="F262">
            <v>167328</v>
          </cell>
        </row>
        <row r="263">
          <cell r="C263" t="str">
            <v>TGS-27-4406X4BBS-LCOMFORT SUPER36 MONTHS/480 000 KM</v>
          </cell>
          <cell r="D263" t="str">
            <v>COMFORT SUPER</v>
          </cell>
          <cell r="E263" t="str">
            <v>36 MONTHS/480 000 KM</v>
          </cell>
          <cell r="F263">
            <v>230363.51760000002</v>
          </cell>
        </row>
        <row r="264">
          <cell r="C264" t="str">
            <v>TGS-27-4406X4BBS-LCOMFORT SUPER36 MONTHS/600 000 KM</v>
          </cell>
          <cell r="D264" t="str">
            <v>COMFORT SUPER</v>
          </cell>
          <cell r="E264" t="str">
            <v>36 MONTHS/600 000 KM</v>
          </cell>
          <cell r="F264">
            <v>273965.4792</v>
          </cell>
        </row>
        <row r="265">
          <cell r="C265" t="str">
            <v>TGS-27-4406X4BBS-LCOMFORT SUPER48 MONTHS/480 000 KM</v>
          </cell>
          <cell r="D265" t="str">
            <v>COMFORT SUPER</v>
          </cell>
          <cell r="E265" t="str">
            <v>48 MONTHS/480 000 KM</v>
          </cell>
          <cell r="F265">
            <v>255840</v>
          </cell>
        </row>
        <row r="266">
          <cell r="C266" t="str">
            <v>TGS-27-4406X4BBS-LCOMFORT SUPER48 MONTHS/600 000 KM</v>
          </cell>
          <cell r="D266" t="str">
            <v>COMFORT SUPER</v>
          </cell>
          <cell r="E266" t="str">
            <v>48 MONTHS/600 000 KM</v>
          </cell>
          <cell r="F266">
            <v>255840</v>
          </cell>
        </row>
        <row r="267">
          <cell r="C267" t="str">
            <v>TGS-27-4406X4BBS-LCOMFORT SUPER48 MONTHS/720 000 KM</v>
          </cell>
          <cell r="D267" t="str">
            <v>COMFORT SUPER</v>
          </cell>
          <cell r="E267" t="str">
            <v>48 MONTHS/720 000 KM</v>
          </cell>
          <cell r="F267">
            <v>387288.00000000006</v>
          </cell>
        </row>
        <row r="268">
          <cell r="C268" t="str">
            <v>TGS-27-4406X4BBS-LCOMFORT SUPER48 MONTHS/800 000 KM</v>
          </cell>
          <cell r="D268" t="str">
            <v>COMFORT SUPER</v>
          </cell>
          <cell r="E268" t="str">
            <v>48 MONTHS/800 000 KM</v>
          </cell>
          <cell r="F268">
            <v>407048.14080000005</v>
          </cell>
        </row>
        <row r="269">
          <cell r="C269" t="str">
            <v>TGS-27-4406X4BBS-LCOMFORT SUPER60 MONTHS/600 000 KM</v>
          </cell>
          <cell r="D269" t="str">
            <v>COMFORT SUPER</v>
          </cell>
          <cell r="E269" t="str">
            <v>60 MONTHS/600 000 KM</v>
          </cell>
          <cell r="F269">
            <v>349740</v>
          </cell>
        </row>
        <row r="270">
          <cell r="C270" t="str">
            <v>TGS-27-4406X4BBS-LCOMFORT SUPER60 MONTHS/700 000 KM</v>
          </cell>
          <cell r="D270" t="str">
            <v>COMFORT SUPER</v>
          </cell>
          <cell r="E270" t="str">
            <v>60 MONTHS/700 000 KM</v>
          </cell>
          <cell r="F270">
            <v>418961.97000000003</v>
          </cell>
        </row>
        <row r="271">
          <cell r="C271" t="str">
            <v>TGS-27-4406X4BBS-LCOMFORT SUPER60 MONTHS/800 000 KM</v>
          </cell>
          <cell r="D271" t="str">
            <v>COMFORT SUPER</v>
          </cell>
          <cell r="E271" t="str">
            <v>60 MONTHS/800 000 KM</v>
          </cell>
          <cell r="F271">
            <v>467543.37600000005</v>
          </cell>
        </row>
        <row r="272">
          <cell r="C272" t="str">
            <v>TGS-27-4406X4BBS-L-STEELCOMFORT CARE36 MONTHS/360 000 KM</v>
          </cell>
          <cell r="D272" t="str">
            <v>COMFORT CARE</v>
          </cell>
          <cell r="E272" t="str">
            <v>36 MONTHS/360 000 KM</v>
          </cell>
          <cell r="F272">
            <v>109188</v>
          </cell>
        </row>
        <row r="273">
          <cell r="C273" t="str">
            <v>TGS-27-4406X4BBS-L-STEELCOMFORT CARE36 MONTHS/480 000 KM</v>
          </cell>
          <cell r="D273" t="str">
            <v>COMFORT CARE</v>
          </cell>
          <cell r="E273" t="str">
            <v>36 MONTHS/480 000 KM</v>
          </cell>
          <cell r="F273">
            <v>188025.40079999997</v>
          </cell>
        </row>
        <row r="274">
          <cell r="C274" t="str">
            <v>TGS-27-4406X4BBS-L-STEELCOMFORT CARE36 MONTHS/600 000 KM</v>
          </cell>
          <cell r="D274" t="str">
            <v>COMFORT CARE</v>
          </cell>
          <cell r="E274" t="str">
            <v>36 MONTHS/600 000 KM</v>
          </cell>
          <cell r="F274">
            <v>218944.37880000001</v>
          </cell>
        </row>
        <row r="275">
          <cell r="C275" t="str">
            <v>TGS-27-4406X4BBS-L-STEELCOMFORT CARE48 MONTHS/480 000 KM</v>
          </cell>
          <cell r="D275" t="str">
            <v>COMFORT CARE</v>
          </cell>
          <cell r="E275" t="str">
            <v>48 MONTHS/480 000 KM</v>
          </cell>
          <cell r="F275">
            <v>193200.00000000003</v>
          </cell>
        </row>
        <row r="276">
          <cell r="C276" t="str">
            <v>TGS-27-4406X4BBS-L-STEELCOMFORT CARE48 MONTHS/600 000 KM</v>
          </cell>
          <cell r="D276" t="str">
            <v>COMFORT CARE</v>
          </cell>
          <cell r="E276" t="str">
            <v>48 MONTHS/600 000 KM</v>
          </cell>
          <cell r="F276">
            <v>229800</v>
          </cell>
        </row>
        <row r="277">
          <cell r="C277" t="str">
            <v>TGS-27-4406X4BBS-L-STEELCOMFORT CARE48 MONTHS/720 000 KM</v>
          </cell>
          <cell r="D277" t="str">
            <v>COMFORT CARE</v>
          </cell>
          <cell r="E277" t="str">
            <v>48 MONTHS/720 000 KM</v>
          </cell>
          <cell r="F277">
            <v>259272</v>
          </cell>
        </row>
        <row r="278">
          <cell r="C278" t="str">
            <v>TGS-27-4406X4BBS-L-STEELCOMFORT CARE48 MONTHS/800 000 KM</v>
          </cell>
          <cell r="D278" t="str">
            <v>COMFORT CARE</v>
          </cell>
          <cell r="E278" t="str">
            <v>48 MONTHS/800 000 KM</v>
          </cell>
          <cell r="F278">
            <v>303686.0736</v>
          </cell>
        </row>
        <row r="279">
          <cell r="C279" t="str">
            <v>TGS-27-4406X4BBS-L-STEELCOMFORT CARE60 MONTHS/600 000 KM</v>
          </cell>
          <cell r="D279" t="str">
            <v>COMFORT CARE</v>
          </cell>
          <cell r="E279" t="str">
            <v>60 MONTHS/600 000 KM</v>
          </cell>
          <cell r="F279">
            <v>233280</v>
          </cell>
        </row>
        <row r="280">
          <cell r="C280" t="str">
            <v>TGS-27-4406X4BBS-L-STEELCOMFORT CARE60 MONTHS/700 000 KM</v>
          </cell>
          <cell r="D280" t="str">
            <v>COMFORT CARE</v>
          </cell>
          <cell r="E280" t="str">
            <v>60 MONTHS/700 000 KM</v>
          </cell>
          <cell r="F280">
            <v>256067.31599999999</v>
          </cell>
        </row>
        <row r="281">
          <cell r="C281" t="str">
            <v>TGS-27-4406X4BBS-L-STEELCOMFORT CARE60 MONTHS/800 000 KM</v>
          </cell>
          <cell r="D281" t="str">
            <v>COMFORT CARE</v>
          </cell>
          <cell r="E281" t="str">
            <v>60 MONTHS/800 000 KM</v>
          </cell>
          <cell r="F281">
            <v>312895.64400000003</v>
          </cell>
        </row>
        <row r="282">
          <cell r="C282" t="str">
            <v>TGS-27-4406X4BBS-L-STEELCOMFORT SERVICE36 MONTHS/360 000 KM</v>
          </cell>
          <cell r="D282" t="str">
            <v>COMFORT SERVICE</v>
          </cell>
          <cell r="E282" t="str">
            <v>36 MONTHS/360 000 KM</v>
          </cell>
          <cell r="F282">
            <v>101160.00000000001</v>
          </cell>
        </row>
        <row r="283">
          <cell r="C283" t="str">
            <v>TGS-27-4406X4BBS-L-STEELCOMFORT SERVICE36 MONTHS/480 000 KM</v>
          </cell>
          <cell r="D283" t="str">
            <v>COMFORT SERVICE</v>
          </cell>
          <cell r="E283" t="str">
            <v>36 MONTHS/480 000 KM</v>
          </cell>
          <cell r="F283">
            <v>136326.81599999999</v>
          </cell>
        </row>
        <row r="284">
          <cell r="C284" t="str">
            <v>TGS-27-4406X4BBS-L-STEELCOMFORT SERVICE36 MONTHS/600 000 KM</v>
          </cell>
          <cell r="D284" t="str">
            <v>COMFORT SERVICE</v>
          </cell>
          <cell r="E284" t="str">
            <v>36 MONTHS/600 000 KM</v>
          </cell>
          <cell r="F284">
            <v>159183.18359999999</v>
          </cell>
        </row>
        <row r="285">
          <cell r="C285" t="str">
            <v>TGS-27-4406X4BBS-L-STEELCOMFORT SERVICE48 MONTHS/480 000 KM</v>
          </cell>
          <cell r="D285" t="str">
            <v>COMFORT SERVICE</v>
          </cell>
          <cell r="E285" t="str">
            <v>48 MONTHS/480 000 KM</v>
          </cell>
          <cell r="F285">
            <v>141504</v>
          </cell>
        </row>
        <row r="286">
          <cell r="C286" t="str">
            <v>TGS-27-4406X4BBS-L-STEELCOMFORT SERVICE48 MONTHS/600 000 KM</v>
          </cell>
          <cell r="D286" t="str">
            <v>COMFORT SERVICE</v>
          </cell>
          <cell r="E286" t="str">
            <v>48 MONTHS/600 000 KM</v>
          </cell>
          <cell r="F286">
            <v>170099.99999999997</v>
          </cell>
        </row>
        <row r="287">
          <cell r="C287" t="str">
            <v>TGS-27-4406X4BBS-L-STEELCOMFORT SERVICE48 MONTHS/720 000 KM</v>
          </cell>
          <cell r="D287" t="str">
            <v>COMFORT SERVICE</v>
          </cell>
          <cell r="E287" t="str">
            <v>48 MONTHS/720 000 KM</v>
          </cell>
          <cell r="F287">
            <v>199584</v>
          </cell>
        </row>
        <row r="288">
          <cell r="C288" t="str">
            <v>TGS-27-4406X4BBS-L-STEELCOMFORT SERVICE48 MONTHS/800 000 KM</v>
          </cell>
          <cell r="D288" t="str">
            <v>COMFORT SERVICE</v>
          </cell>
          <cell r="E288" t="str">
            <v>48 MONTHS/800 000 KM</v>
          </cell>
          <cell r="F288">
            <v>211044.22079999995</v>
          </cell>
        </row>
        <row r="289">
          <cell r="C289" t="str">
            <v>TGS-27-4406X4BBS-L-STEELCOMFORT SERVICE60 MONTHS/600 000 KM</v>
          </cell>
          <cell r="D289" t="str">
            <v>COMFORT SERVICE</v>
          </cell>
          <cell r="E289" t="str">
            <v>60 MONTHS/600 000 KM</v>
          </cell>
          <cell r="F289">
            <v>173580</v>
          </cell>
        </row>
        <row r="290">
          <cell r="C290" t="str">
            <v>TGS-27-4406X4BBS-L-STEELCOMFORT SERVICE60 MONTHS/700 000 KM</v>
          </cell>
          <cell r="D290" t="str">
            <v>COMFORT SERVICE</v>
          </cell>
          <cell r="E290" t="str">
            <v>60 MONTHS/700 000 KM</v>
          </cell>
          <cell r="F290">
            <v>196285.60799999998</v>
          </cell>
        </row>
        <row r="291">
          <cell r="C291" t="str">
            <v>TGS-27-4406X4BBS-L-STEELCOMFORT SERVICE60 MONTHS/800 000 KM</v>
          </cell>
          <cell r="D291" t="str">
            <v>COMFORT SERVICE</v>
          </cell>
          <cell r="E291" t="str">
            <v>60 MONTHS/800 000 KM</v>
          </cell>
          <cell r="F291">
            <v>220171.008</v>
          </cell>
        </row>
        <row r="292">
          <cell r="C292" t="str">
            <v>TGS-27-4406X4BBS-L-STEELCOMFORT SUPER36 MONTHS/360 000 KM</v>
          </cell>
          <cell r="D292" t="str">
            <v>COMFORT SUPER</v>
          </cell>
          <cell r="E292" t="str">
            <v>36 MONTHS/360 000 KM</v>
          </cell>
          <cell r="F292">
            <v>173664</v>
          </cell>
        </row>
        <row r="293">
          <cell r="C293" t="str">
            <v>TGS-27-4406X4BBS-L-STEELCOMFORT SUPER36 MONTHS/480 000 KM</v>
          </cell>
          <cell r="D293" t="str">
            <v>COMFORT SUPER</v>
          </cell>
          <cell r="E293" t="str">
            <v>36 MONTHS/480 000 KM</v>
          </cell>
          <cell r="F293">
            <v>240204.00959999996</v>
          </cell>
        </row>
        <row r="294">
          <cell r="C294" t="str">
            <v>TGS-27-4406X4BBS-L-STEELCOMFORT SUPER36 MONTHS/600 000 KM</v>
          </cell>
          <cell r="D294" t="str">
            <v>COMFORT SUPER</v>
          </cell>
          <cell r="E294" t="str">
            <v>36 MONTHS/600 000 KM</v>
          </cell>
          <cell r="F294">
            <v>286805.73599999998</v>
          </cell>
        </row>
        <row r="295">
          <cell r="C295" t="str">
            <v>TGS-27-4406X4BBS-L-STEELCOMFORT SUPER48 MONTHS/480 000 KM</v>
          </cell>
          <cell r="D295" t="str">
            <v>COMFORT SUPER</v>
          </cell>
          <cell r="E295" t="str">
            <v>48 MONTHS/480 000 KM</v>
          </cell>
          <cell r="F295">
            <v>267264</v>
          </cell>
        </row>
        <row r="296">
          <cell r="C296" t="str">
            <v>TGS-27-4406X4BBS-L-STEELCOMFORT SUPER48 MONTHS/600 000 KM</v>
          </cell>
          <cell r="D296" t="str">
            <v>COMFORT SUPER</v>
          </cell>
          <cell r="E296" t="str">
            <v>48 MONTHS/600 000 KM</v>
          </cell>
          <cell r="F296">
            <v>339599.99999999994</v>
          </cell>
        </row>
        <row r="297">
          <cell r="C297" t="str">
            <v>TGS-27-4406X4BBS-L-STEELCOMFORT SUPER48 MONTHS/720 000 KM</v>
          </cell>
          <cell r="D297" t="str">
            <v>COMFORT SUPER</v>
          </cell>
          <cell r="E297" t="str">
            <v>48 MONTHS/720 000 KM</v>
          </cell>
          <cell r="F297">
            <v>405720</v>
          </cell>
        </row>
        <row r="298">
          <cell r="C298" t="str">
            <v>TGS-27-4406X4BBS-L-STEELCOMFORT SUPER48 MONTHS/800 000 KM</v>
          </cell>
          <cell r="D298" t="str">
            <v>COMFORT SUPER</v>
          </cell>
          <cell r="E298" t="str">
            <v>48 MONTHS/800 000 KM</v>
          </cell>
          <cell r="F298">
            <v>430168.6031999999</v>
          </cell>
        </row>
        <row r="299">
          <cell r="C299" t="str">
            <v>TGS-27-4406X4BBS-L-STEELCOMFORT SUPER60 MONTHS/600 000 KM</v>
          </cell>
          <cell r="D299" t="str">
            <v>COMFORT SUPER</v>
          </cell>
          <cell r="E299" t="str">
            <v>60 MONTHS/600 000 KM</v>
          </cell>
          <cell r="F299">
            <v>368160</v>
          </cell>
        </row>
        <row r="300">
          <cell r="C300" t="str">
            <v>TGS-27-4406X4BBS-L-STEELCOMFORT SUPER60 MONTHS/700 000 KM</v>
          </cell>
          <cell r="D300" t="str">
            <v>COMFORT SUPER</v>
          </cell>
          <cell r="E300" t="str">
            <v>60 MONTHS/700 000 KM</v>
          </cell>
          <cell r="F300">
            <v>448012.79999999999</v>
          </cell>
        </row>
        <row r="301">
          <cell r="C301" t="str">
            <v>TGS-27-4406X4BBS-L-STEELCOMFORT SUPER60 MONTHS/800 000 KM</v>
          </cell>
          <cell r="D301" t="str">
            <v>COMFORT SUPER</v>
          </cell>
          <cell r="E301" t="str">
            <v>60 MONTHS/800 000 KM</v>
          </cell>
          <cell r="F301">
            <v>496264.81200000003</v>
          </cell>
        </row>
        <row r="302">
          <cell r="C302" t="str">
            <v>TGS-27-4406X4BBS-LXCOMFORT CARE36 MONTHS/360 000 KM</v>
          </cell>
          <cell r="D302" t="str">
            <v>COMFORT CARE</v>
          </cell>
          <cell r="E302" t="str">
            <v>36 MONTHS/360 000 KM</v>
          </cell>
          <cell r="F302">
            <v>109188</v>
          </cell>
        </row>
        <row r="303">
          <cell r="C303" t="str">
            <v>TGS-27-4406X4BBS-LXCOMFORT CARE36 MONTHS/480 000 KM</v>
          </cell>
          <cell r="D303" t="str">
            <v>COMFORT CARE</v>
          </cell>
          <cell r="E303" t="str">
            <v>36 MONTHS/480 000 KM</v>
          </cell>
          <cell r="F303">
            <v>188025.40079999997</v>
          </cell>
        </row>
        <row r="304">
          <cell r="C304" t="str">
            <v>TGS-27-4406X4BBS-LXCOMFORT CARE36 MONTHS/600 000 KM</v>
          </cell>
          <cell r="D304" t="str">
            <v>COMFORT CARE</v>
          </cell>
          <cell r="E304" t="str">
            <v>36 MONTHS/600 000 KM</v>
          </cell>
          <cell r="F304">
            <v>218944.37880000001</v>
          </cell>
        </row>
        <row r="305">
          <cell r="C305" t="str">
            <v>TGS-27-4406X4BBS-LXCOMFORT CARE48 MONTHS/480 000 KM</v>
          </cell>
          <cell r="D305" t="str">
            <v>COMFORT CARE</v>
          </cell>
          <cell r="E305" t="str">
            <v>48 MONTHS/480 000 KM</v>
          </cell>
          <cell r="F305">
            <v>193200.00000000003</v>
          </cell>
        </row>
        <row r="306">
          <cell r="C306" t="str">
            <v>TGS-27-4406X4BBS-LXCOMFORT CARE48 MONTHS/600 000 KM</v>
          </cell>
          <cell r="D306" t="str">
            <v>COMFORT CARE</v>
          </cell>
          <cell r="E306" t="str">
            <v>48 MONTHS/600 000 KM</v>
          </cell>
          <cell r="F306">
            <v>193200.00000000003</v>
          </cell>
        </row>
        <row r="307">
          <cell r="C307" t="str">
            <v>TGS-27-4406X4BBS-LXCOMFORT CARE48 MONTHS/720 000 KM</v>
          </cell>
          <cell r="D307" t="str">
            <v>COMFORT CARE</v>
          </cell>
          <cell r="E307" t="str">
            <v>48 MONTHS/720 000 KM</v>
          </cell>
          <cell r="F307">
            <v>259272</v>
          </cell>
        </row>
        <row r="308">
          <cell r="C308" t="str">
            <v>TGS-27-4406X4BBS-LXCOMFORT CARE48 MONTHS/800 000 KM</v>
          </cell>
          <cell r="D308" t="str">
            <v>COMFORT CARE</v>
          </cell>
          <cell r="E308" t="str">
            <v>48 MONTHS/800 000 KM</v>
          </cell>
          <cell r="F308">
            <v>303686.0736</v>
          </cell>
        </row>
        <row r="309">
          <cell r="C309" t="str">
            <v>TGS-27-4406X4BBS-LXCOMFORT CARE60 MONTHS/600 000 KM</v>
          </cell>
          <cell r="D309" t="str">
            <v>COMFORT CARE</v>
          </cell>
          <cell r="E309" t="str">
            <v>60 MONTHS/600 000 KM</v>
          </cell>
          <cell r="F309">
            <v>233280</v>
          </cell>
        </row>
        <row r="310">
          <cell r="C310" t="str">
            <v>TGS-27-4406X4BBS-LXCOMFORT CARE60 MONTHS/700 000 KM</v>
          </cell>
          <cell r="D310" t="str">
            <v>COMFORT CARE</v>
          </cell>
          <cell r="E310" t="str">
            <v>60 MONTHS/700 000 KM</v>
          </cell>
          <cell r="F310">
            <v>256067.31599999999</v>
          </cell>
        </row>
        <row r="311">
          <cell r="C311" t="str">
            <v>TGS-27-4406X4BBS-LXCOMFORT CARE60 MONTHS/800 000 KM</v>
          </cell>
          <cell r="D311" t="str">
            <v>COMFORT CARE</v>
          </cell>
          <cell r="E311" t="str">
            <v>60 MONTHS/800 000 KM</v>
          </cell>
          <cell r="F311">
            <v>312895.64400000003</v>
          </cell>
        </row>
        <row r="312">
          <cell r="C312" t="str">
            <v>TGS-27-4406X4BBS-LXCOMFORT SERVICE36 MONTHS/360 000 KM</v>
          </cell>
          <cell r="D312" t="str">
            <v>COMFORT SERVICE</v>
          </cell>
          <cell r="E312" t="str">
            <v>36 MONTHS/360 000 KM</v>
          </cell>
          <cell r="F312">
            <v>101160.00000000001</v>
          </cell>
        </row>
        <row r="313">
          <cell r="C313" t="str">
            <v>TGS-27-4406X4BBS-LXCOMFORT SERVICE36 MONTHS/480 000 KM</v>
          </cell>
          <cell r="D313" t="str">
            <v>COMFORT SERVICE</v>
          </cell>
          <cell r="E313" t="str">
            <v>36 MONTHS/480 000 KM</v>
          </cell>
          <cell r="F313">
            <v>136326.81599999999</v>
          </cell>
        </row>
        <row r="314">
          <cell r="C314" t="str">
            <v>TGS-27-4406X4BBS-LXCOMFORT SERVICE36 MONTHS/600 000 KM</v>
          </cell>
          <cell r="D314" t="str">
            <v>COMFORT SERVICE</v>
          </cell>
          <cell r="E314" t="str">
            <v>36 MONTHS/600 000 KM</v>
          </cell>
          <cell r="F314">
            <v>159183.18359999999</v>
          </cell>
        </row>
        <row r="315">
          <cell r="C315" t="str">
            <v>TGS-27-4406X4BBS-LXCOMFORT SERVICE48 MONTHS/480 000 KM</v>
          </cell>
          <cell r="D315" t="str">
            <v>COMFORT SERVICE</v>
          </cell>
          <cell r="E315" t="str">
            <v>48 MONTHS/480 000 KM</v>
          </cell>
          <cell r="F315">
            <v>141504</v>
          </cell>
        </row>
        <row r="316">
          <cell r="C316" t="str">
            <v>TGS-27-4406X4BBS-LXCOMFORT SERVICE48 MONTHS/600 000 KM</v>
          </cell>
          <cell r="D316" t="str">
            <v>COMFORT SERVICE</v>
          </cell>
          <cell r="E316" t="str">
            <v>48 MONTHS/600 000 KM</v>
          </cell>
          <cell r="F316">
            <v>170099.99999999997</v>
          </cell>
        </row>
        <row r="317">
          <cell r="C317" t="str">
            <v>TGS-27-4406X4BBS-LXCOMFORT SERVICE48 MONTHS/720 000 KM</v>
          </cell>
          <cell r="D317" t="str">
            <v>COMFORT SERVICE</v>
          </cell>
          <cell r="E317" t="str">
            <v>48 MONTHS/720 000 KM</v>
          </cell>
          <cell r="F317">
            <v>199584</v>
          </cell>
        </row>
        <row r="318">
          <cell r="C318" t="str">
            <v>TGS-27-4406X4BBS-LXCOMFORT SERVICE48 MONTHS/800 000 KM</v>
          </cell>
          <cell r="D318" t="str">
            <v>COMFORT SERVICE</v>
          </cell>
          <cell r="E318" t="str">
            <v>48 MONTHS/800 000 KM</v>
          </cell>
          <cell r="F318">
            <v>211044.22079999995</v>
          </cell>
        </row>
        <row r="319">
          <cell r="C319" t="str">
            <v>TGS-27-4406X4BBS-LXCOMFORT SERVICE60 MONTHS/600 000 KM</v>
          </cell>
          <cell r="D319" t="str">
            <v>COMFORT SERVICE</v>
          </cell>
          <cell r="E319" t="str">
            <v>60 MONTHS/600 000 KM</v>
          </cell>
          <cell r="F319">
            <v>173580</v>
          </cell>
        </row>
        <row r="320">
          <cell r="C320" t="str">
            <v>TGS-27-4406X4BBS-LXCOMFORT SERVICE60 MONTHS/700 000 KM</v>
          </cell>
          <cell r="D320" t="str">
            <v>COMFORT SERVICE</v>
          </cell>
          <cell r="E320" t="str">
            <v>60 MONTHS/700 000 KM</v>
          </cell>
          <cell r="F320">
            <v>196285.60799999998</v>
          </cell>
        </row>
        <row r="321">
          <cell r="C321" t="str">
            <v>TGS-27-4406X4BBS-LXCOMFORT SERVICE60 MONTHS/800 000 KM</v>
          </cell>
          <cell r="D321" t="str">
            <v>COMFORT SERVICE</v>
          </cell>
          <cell r="E321" t="str">
            <v>60 MONTHS/800 000 KM</v>
          </cell>
          <cell r="F321">
            <v>220171.008</v>
          </cell>
        </row>
        <row r="322">
          <cell r="C322" t="str">
            <v>TGS-27-4406X4BBS-LXCOMFORT SUPER36 MONTHS/360 000 KM</v>
          </cell>
          <cell r="D322" t="str">
            <v>COMFORT SUPER</v>
          </cell>
          <cell r="E322" t="str">
            <v>36 MONTHS/360 000 KM</v>
          </cell>
          <cell r="F322">
            <v>167328</v>
          </cell>
        </row>
        <row r="323">
          <cell r="C323" t="str">
            <v>TGS-27-4406X4BBS-LXCOMFORT SUPER36 MONTHS/480 000 KM</v>
          </cell>
          <cell r="D323" t="str">
            <v>COMFORT SUPER</v>
          </cell>
          <cell r="E323" t="str">
            <v>36 MONTHS/480 000 KM</v>
          </cell>
          <cell r="F323">
            <v>230363.51760000002</v>
          </cell>
        </row>
        <row r="324">
          <cell r="C324" t="str">
            <v>TGS-27-4406X4BBS-LXCOMFORT SUPER36 MONTHS/600 000 KM</v>
          </cell>
          <cell r="D324" t="str">
            <v>COMFORT SUPER</v>
          </cell>
          <cell r="E324" t="str">
            <v>36 MONTHS/600 000 KM</v>
          </cell>
          <cell r="F324">
            <v>273965.4792</v>
          </cell>
        </row>
        <row r="325">
          <cell r="C325" t="str">
            <v>TGS-27-4406X4BBS-LXCOMFORT SUPER48 MONTHS/480 000 KM</v>
          </cell>
          <cell r="D325" t="str">
            <v>COMFORT SUPER</v>
          </cell>
          <cell r="E325" t="str">
            <v>48 MONTHS/480 000 KM</v>
          </cell>
          <cell r="F325">
            <v>255840</v>
          </cell>
        </row>
        <row r="326">
          <cell r="C326" t="str">
            <v>TGS-27-4406X4BBS-LXCOMFORT SUPER48 MONTHS/600 000 KM</v>
          </cell>
          <cell r="D326" t="str">
            <v>COMFORT SUPER</v>
          </cell>
          <cell r="E326" t="str">
            <v>48 MONTHS/600 000 KM</v>
          </cell>
          <cell r="F326">
            <v>255840</v>
          </cell>
        </row>
        <row r="327">
          <cell r="C327" t="str">
            <v>TGS-27-4406X4BBS-LXCOMFORT SUPER48 MONTHS/720 000 KM</v>
          </cell>
          <cell r="D327" t="str">
            <v>COMFORT SUPER</v>
          </cell>
          <cell r="E327" t="str">
            <v>48 MONTHS/720 000 KM</v>
          </cell>
          <cell r="F327">
            <v>387288.00000000006</v>
          </cell>
        </row>
        <row r="328">
          <cell r="C328" t="str">
            <v>TGS-27-4406X4BBS-LXCOMFORT SUPER48 MONTHS/800 000 KM</v>
          </cell>
          <cell r="D328" t="str">
            <v>COMFORT SUPER</v>
          </cell>
          <cell r="E328" t="str">
            <v>48 MONTHS/800 000 KM</v>
          </cell>
          <cell r="F328">
            <v>407048.14080000005</v>
          </cell>
        </row>
        <row r="329">
          <cell r="C329" t="str">
            <v>TGS-27-4406X4BBS-LXCOMFORT SUPER60 MONTHS/600 000 KM</v>
          </cell>
          <cell r="D329" t="str">
            <v>COMFORT SUPER</v>
          </cell>
          <cell r="E329" t="str">
            <v>60 MONTHS/600 000 KM</v>
          </cell>
          <cell r="F329">
            <v>349740</v>
          </cell>
        </row>
        <row r="330">
          <cell r="C330" t="str">
            <v>TGS-27-4406X4BBS-LXCOMFORT SUPER60 MONTHS/700 000 KM</v>
          </cell>
          <cell r="D330" t="str">
            <v>COMFORT SUPER</v>
          </cell>
          <cell r="E330" t="str">
            <v>60 MONTHS/700 000 KM</v>
          </cell>
          <cell r="F330">
            <v>418961.97000000003</v>
          </cell>
        </row>
        <row r="331">
          <cell r="C331" t="str">
            <v>TGS-27-4406X4BBS-LXCOMFORT SUPER60 MONTHS/800 000 KM</v>
          </cell>
          <cell r="D331" t="str">
            <v>COMFORT SUPER</v>
          </cell>
          <cell r="E331" t="str">
            <v>60 MONTHS/800 000 KM</v>
          </cell>
          <cell r="F331">
            <v>467543.37600000005</v>
          </cell>
        </row>
        <row r="332">
          <cell r="C332" t="str">
            <v>TGS-27-4806X4BBS-LCOMFORT CARE36 MONTHS/360 000 KM</v>
          </cell>
          <cell r="D332" t="str">
            <v>COMFORT CARE</v>
          </cell>
          <cell r="E332" t="str">
            <v>36 MONTHS/360 000 KM</v>
          </cell>
          <cell r="F332">
            <v>109188</v>
          </cell>
        </row>
        <row r="333">
          <cell r="C333" t="str">
            <v>TGS-27-4806X4BBS-LCOMFORT CARE36 MONTHS/480 000 KM</v>
          </cell>
          <cell r="D333" t="str">
            <v>COMFORT CARE</v>
          </cell>
          <cell r="E333" t="str">
            <v>36 MONTHS/480 000 KM</v>
          </cell>
          <cell r="F333">
            <v>188025.40079999997</v>
          </cell>
        </row>
        <row r="334">
          <cell r="C334" t="str">
            <v>TGS-27-4806X4BBS-LCOMFORT CARE36 MONTHS/600 000 KM</v>
          </cell>
          <cell r="D334" t="str">
            <v>COMFORT CARE</v>
          </cell>
          <cell r="E334" t="str">
            <v>36 MONTHS/600 000 KM</v>
          </cell>
          <cell r="F334">
            <v>218944.37880000001</v>
          </cell>
        </row>
        <row r="335">
          <cell r="C335" t="str">
            <v>TGS-27-4806X4BBS-LCOMFORT CARE48 MONTHS/480 000 KM</v>
          </cell>
          <cell r="D335" t="str">
            <v>COMFORT CARE</v>
          </cell>
          <cell r="E335" t="str">
            <v>48 MONTHS/480 000 KM</v>
          </cell>
          <cell r="F335">
            <v>193200.00000000003</v>
          </cell>
        </row>
        <row r="336">
          <cell r="C336" t="str">
            <v>TGS-27-4806X4BBS-LCOMFORT CARE48 MONTHS/600 000 KM</v>
          </cell>
          <cell r="D336" t="str">
            <v>COMFORT CARE</v>
          </cell>
          <cell r="E336" t="str">
            <v>48 MONTHS/600 000 KM</v>
          </cell>
          <cell r="F336">
            <v>193200.00000000003</v>
          </cell>
        </row>
        <row r="337">
          <cell r="C337" t="str">
            <v>TGS-27-4806X4BBS-LCOMFORT CARE48 MONTHS/720 000 KM</v>
          </cell>
          <cell r="D337" t="str">
            <v>COMFORT CARE</v>
          </cell>
          <cell r="E337" t="str">
            <v>48 MONTHS/720 000 KM</v>
          </cell>
          <cell r="F337">
            <v>259272</v>
          </cell>
        </row>
        <row r="338">
          <cell r="C338" t="str">
            <v>TGS-27-4806X4BBS-LCOMFORT CARE48 MONTHS/800 000 KM</v>
          </cell>
          <cell r="D338" t="str">
            <v>COMFORT CARE</v>
          </cell>
          <cell r="E338" t="str">
            <v>48 MONTHS/800 000 KM</v>
          </cell>
          <cell r="F338">
            <v>303686.0736</v>
          </cell>
        </row>
        <row r="339">
          <cell r="C339" t="str">
            <v>TGS-27-4806X4BBS-LCOMFORT CARE60 MONTHS/600 000 KM</v>
          </cell>
          <cell r="D339" t="str">
            <v>COMFORT CARE</v>
          </cell>
          <cell r="E339" t="str">
            <v>60 MONTHS/600 000 KM</v>
          </cell>
          <cell r="F339">
            <v>233280</v>
          </cell>
        </row>
        <row r="340">
          <cell r="C340" t="str">
            <v>TGS-27-4806X4BBS-LCOMFORT CARE60 MONTHS/700 000 KM</v>
          </cell>
          <cell r="D340" t="str">
            <v>COMFORT CARE</v>
          </cell>
          <cell r="E340" t="str">
            <v>60 MONTHS/700 000 KM</v>
          </cell>
          <cell r="F340">
            <v>256067.31599999999</v>
          </cell>
        </row>
        <row r="341">
          <cell r="C341" t="str">
            <v>TGS-27-4806X4BBS-LCOMFORT CARE60 MONTHS/800 000 KM</v>
          </cell>
          <cell r="D341" t="str">
            <v>COMFORT CARE</v>
          </cell>
          <cell r="E341" t="str">
            <v>60 MONTHS/800 000 KM</v>
          </cell>
          <cell r="F341">
            <v>312895.64400000003</v>
          </cell>
        </row>
        <row r="342">
          <cell r="C342" t="str">
            <v>TGS-27-4806X4BBS-LCOMFORT SERVICE36 MONTHS/360 000 KM</v>
          </cell>
          <cell r="D342" t="str">
            <v>COMFORT SERVICE</v>
          </cell>
          <cell r="E342" t="str">
            <v>36 MONTHS/360 000 KM</v>
          </cell>
          <cell r="F342">
            <v>101160.00000000001</v>
          </cell>
        </row>
        <row r="343">
          <cell r="C343" t="str">
            <v>TGS-27-4806X4BBS-LCOMFORT SERVICE36 MONTHS/480 000 KM</v>
          </cell>
          <cell r="D343" t="str">
            <v>COMFORT SERVICE</v>
          </cell>
          <cell r="E343" t="str">
            <v>36 MONTHS/480 000 KM</v>
          </cell>
          <cell r="F343">
            <v>136326.81599999999</v>
          </cell>
        </row>
        <row r="344">
          <cell r="C344" t="str">
            <v>TGS-27-4806X4BBS-LCOMFORT SERVICE36 MONTHS/600 000 KM</v>
          </cell>
          <cell r="D344" t="str">
            <v>COMFORT SERVICE</v>
          </cell>
          <cell r="E344" t="str">
            <v>36 MONTHS/600 000 KM</v>
          </cell>
          <cell r="F344">
            <v>159183.18359999999</v>
          </cell>
        </row>
        <row r="345">
          <cell r="C345" t="str">
            <v>TGS-27-4806X4BBS-LCOMFORT SERVICE48 MONTHS/480 000 KM</v>
          </cell>
          <cell r="D345" t="str">
            <v>COMFORT SERVICE</v>
          </cell>
          <cell r="E345" t="str">
            <v>48 MONTHS/480 000 KM</v>
          </cell>
          <cell r="F345">
            <v>141504</v>
          </cell>
        </row>
        <row r="346">
          <cell r="C346" t="str">
            <v>TGS-27-4806X4BBS-LCOMFORT SERVICE48 MONTHS/600 000 KM</v>
          </cell>
          <cell r="D346" t="str">
            <v>COMFORT SERVICE</v>
          </cell>
          <cell r="E346" t="str">
            <v>48 MONTHS/600 000 KM</v>
          </cell>
          <cell r="F346">
            <v>170099.99999999997</v>
          </cell>
        </row>
        <row r="347">
          <cell r="C347" t="str">
            <v>TGS-27-4806X4BBS-LCOMFORT SERVICE48 MONTHS/720 000 KM</v>
          </cell>
          <cell r="D347" t="str">
            <v>COMFORT SERVICE</v>
          </cell>
          <cell r="E347" t="str">
            <v>48 MONTHS/720 000 KM</v>
          </cell>
          <cell r="F347">
            <v>199584</v>
          </cell>
        </row>
        <row r="348">
          <cell r="C348" t="str">
            <v>TGS-27-4806X4BBS-LCOMFORT SERVICE48 MONTHS/800 000 KM</v>
          </cell>
          <cell r="D348" t="str">
            <v>COMFORT SERVICE</v>
          </cell>
          <cell r="E348" t="str">
            <v>48 MONTHS/800 000 KM</v>
          </cell>
          <cell r="F348">
            <v>211044.22079999995</v>
          </cell>
        </row>
        <row r="349">
          <cell r="C349" t="str">
            <v>TGS-27-4806X4BBS-LCOMFORT SERVICE60 MONTHS/600 000 KM</v>
          </cell>
          <cell r="D349" t="str">
            <v>COMFORT SERVICE</v>
          </cell>
          <cell r="E349" t="str">
            <v>60 MONTHS/600 000 KM</v>
          </cell>
          <cell r="F349">
            <v>173580</v>
          </cell>
        </row>
        <row r="350">
          <cell r="C350" t="str">
            <v>TGS-27-4806X4BBS-LCOMFORT SERVICE60 MONTHS/700 000 KM</v>
          </cell>
          <cell r="D350" t="str">
            <v>COMFORT SERVICE</v>
          </cell>
          <cell r="E350" t="str">
            <v>60 MONTHS/700 000 KM</v>
          </cell>
          <cell r="F350">
            <v>196285.60799999998</v>
          </cell>
        </row>
        <row r="351">
          <cell r="C351" t="str">
            <v>TGS-27-4806X4BBS-LCOMFORT SERVICE60 MONTHS/800 000 KM</v>
          </cell>
          <cell r="D351" t="str">
            <v>COMFORT SERVICE</v>
          </cell>
          <cell r="E351" t="str">
            <v>60 MONTHS/800 000 KM</v>
          </cell>
          <cell r="F351">
            <v>220171.008</v>
          </cell>
        </row>
        <row r="352">
          <cell r="C352" t="str">
            <v>TGS-27-4806X4BBS-LCOMFORT SUPER36 MONTHS/360 000 KM</v>
          </cell>
          <cell r="D352" t="str">
            <v>COMFORT SUPER</v>
          </cell>
          <cell r="E352" t="str">
            <v>36 MONTHS/360 000 KM</v>
          </cell>
          <cell r="F352">
            <v>167328</v>
          </cell>
        </row>
        <row r="353">
          <cell r="C353" t="str">
            <v>TGS-27-4806X4BBS-LCOMFORT SUPER36 MONTHS/480 000 KM</v>
          </cell>
          <cell r="D353" t="str">
            <v>COMFORT SUPER</v>
          </cell>
          <cell r="E353" t="str">
            <v>36 MONTHS/480 000 KM</v>
          </cell>
          <cell r="F353">
            <v>230363.51760000002</v>
          </cell>
        </row>
        <row r="354">
          <cell r="C354" t="str">
            <v>TGS-27-4806X4BBS-LCOMFORT SUPER36 MONTHS/600 000 KM</v>
          </cell>
          <cell r="D354" t="str">
            <v>COMFORT SUPER</v>
          </cell>
          <cell r="E354" t="str">
            <v>36 MONTHS/600 000 KM</v>
          </cell>
          <cell r="F354">
            <v>273965.4792</v>
          </cell>
        </row>
        <row r="355">
          <cell r="C355" t="str">
            <v>TGS-27-4806X4BBS-LCOMFORT SUPER48 MONTHS/480 000 KM</v>
          </cell>
          <cell r="D355" t="str">
            <v>COMFORT SUPER</v>
          </cell>
          <cell r="E355" t="str">
            <v>48 MONTHS/480 000 KM</v>
          </cell>
          <cell r="F355">
            <v>255840</v>
          </cell>
        </row>
        <row r="356">
          <cell r="C356" t="str">
            <v>TGS-27-4806X4BBS-LCOMFORT SUPER48 MONTHS/600 000 KM</v>
          </cell>
          <cell r="D356" t="str">
            <v>COMFORT SUPER</v>
          </cell>
          <cell r="E356" t="str">
            <v>48 MONTHS/600 000 KM</v>
          </cell>
          <cell r="F356">
            <v>255840</v>
          </cell>
        </row>
        <row r="357">
          <cell r="C357" t="str">
            <v>TGS-27-4806X4BBS-LCOMFORT SUPER48 MONTHS/720 000 KM</v>
          </cell>
          <cell r="D357" t="str">
            <v>COMFORT SUPER</v>
          </cell>
          <cell r="E357" t="str">
            <v>48 MONTHS/720 000 KM</v>
          </cell>
          <cell r="F357">
            <v>387288.00000000006</v>
          </cell>
        </row>
        <row r="358">
          <cell r="C358" t="str">
            <v>TGS-27-4806X4BBS-LCOMFORT SUPER48 MONTHS/800 000 KM</v>
          </cell>
          <cell r="D358" t="str">
            <v>COMFORT SUPER</v>
          </cell>
          <cell r="E358" t="str">
            <v>48 MONTHS/800 000 KM</v>
          </cell>
          <cell r="F358">
            <v>407048.14080000005</v>
          </cell>
        </row>
        <row r="359">
          <cell r="C359" t="str">
            <v>TGS-27-4806X4BBS-LCOMFORT SUPER60 MONTHS/600 000 KM</v>
          </cell>
          <cell r="D359" t="str">
            <v>COMFORT SUPER</v>
          </cell>
          <cell r="E359" t="str">
            <v>60 MONTHS/600 000 KM</v>
          </cell>
          <cell r="F359">
            <v>349740</v>
          </cell>
        </row>
        <row r="360">
          <cell r="C360" t="str">
            <v>TGS-27-4806X4BBS-LCOMFORT SUPER60 MONTHS/700 000 KM</v>
          </cell>
          <cell r="D360" t="str">
            <v>COMFORT SUPER</v>
          </cell>
          <cell r="E360" t="str">
            <v>60 MONTHS/700 000 KM</v>
          </cell>
          <cell r="F360">
            <v>418961.97000000003</v>
          </cell>
        </row>
        <row r="361">
          <cell r="C361" t="str">
            <v>TGS-27-4806X4BBS-LCOMFORT SUPER60 MONTHS/800 000 KM</v>
          </cell>
          <cell r="D361" t="str">
            <v>COMFORT SUPER</v>
          </cell>
          <cell r="E361" t="str">
            <v>60 MONTHS/800 000 KM</v>
          </cell>
          <cell r="F361">
            <v>467543.37600000005</v>
          </cell>
        </row>
        <row r="362">
          <cell r="C362" t="str">
            <v>TGS-27-4806X4BBS-L-STEELCOMFORT CARE36 MONTHS/360 000 KM</v>
          </cell>
          <cell r="D362" t="str">
            <v>COMFORT CARE</v>
          </cell>
          <cell r="E362" t="str">
            <v>36 MONTHS/360 000 KM</v>
          </cell>
          <cell r="F362">
            <v>109188</v>
          </cell>
        </row>
        <row r="363">
          <cell r="C363" t="str">
            <v>TGS-27-4806X4BBS-L-STEELCOMFORT CARE36 MONTHS/480 000 KM</v>
          </cell>
          <cell r="D363" t="str">
            <v>COMFORT CARE</v>
          </cell>
          <cell r="E363" t="str">
            <v>36 MONTHS/480 000 KM</v>
          </cell>
          <cell r="F363">
            <v>188025.40079999997</v>
          </cell>
        </row>
        <row r="364">
          <cell r="C364" t="str">
            <v>TGS-27-4806X4BBS-L-STEELCOMFORT CARE36 MONTHS/600 000 KM</v>
          </cell>
          <cell r="D364" t="str">
            <v>COMFORT CARE</v>
          </cell>
          <cell r="E364" t="str">
            <v>36 MONTHS/600 000 KM</v>
          </cell>
          <cell r="F364">
            <v>218944.37880000001</v>
          </cell>
        </row>
        <row r="365">
          <cell r="C365" t="str">
            <v>TGS-27-4806X4BBS-L-STEELCOMFORT CARE48 MONTHS/480 000 KM</v>
          </cell>
          <cell r="D365" t="str">
            <v>COMFORT CARE</v>
          </cell>
          <cell r="E365" t="str">
            <v>48 MONTHS/480 000 KM</v>
          </cell>
          <cell r="F365">
            <v>193200.00000000003</v>
          </cell>
        </row>
        <row r="366">
          <cell r="C366" t="str">
            <v>TGS-27-4806X4BBS-L-STEELCOMFORT CARE48 MONTHS/600 000 KM</v>
          </cell>
          <cell r="D366" t="str">
            <v>COMFORT CARE</v>
          </cell>
          <cell r="E366" t="str">
            <v>48 MONTHS/600 000 KM</v>
          </cell>
          <cell r="F366">
            <v>229800</v>
          </cell>
        </row>
        <row r="367">
          <cell r="C367" t="str">
            <v>TGS-27-4806X4BBS-L-STEELCOMFORT CARE48 MONTHS/720 000 KM</v>
          </cell>
          <cell r="D367" t="str">
            <v>COMFORT CARE</v>
          </cell>
          <cell r="E367" t="str">
            <v>48 MONTHS/720 000 KM</v>
          </cell>
          <cell r="F367">
            <v>259272</v>
          </cell>
        </row>
        <row r="368">
          <cell r="C368" t="str">
            <v>TGS-27-4806X4BBS-L-STEELCOMFORT CARE48 MONTHS/800 000 KM</v>
          </cell>
          <cell r="D368" t="str">
            <v>COMFORT CARE</v>
          </cell>
          <cell r="E368" t="str">
            <v>48 MONTHS/800 000 KM</v>
          </cell>
          <cell r="F368">
            <v>303686.0736</v>
          </cell>
        </row>
        <row r="369">
          <cell r="C369" t="str">
            <v>TGS-27-4806X4BBS-L-STEELCOMFORT CARE60 MONTHS/600 000 KM</v>
          </cell>
          <cell r="D369" t="str">
            <v>COMFORT CARE</v>
          </cell>
          <cell r="E369" t="str">
            <v>60 MONTHS/600 000 KM</v>
          </cell>
          <cell r="F369">
            <v>233280</v>
          </cell>
        </row>
        <row r="370">
          <cell r="C370" t="str">
            <v>TGS-27-4806X4BBS-L-STEELCOMFORT CARE60 MONTHS/700 000 KM</v>
          </cell>
          <cell r="D370" t="str">
            <v>COMFORT CARE</v>
          </cell>
          <cell r="E370" t="str">
            <v>60 MONTHS/700 000 KM</v>
          </cell>
          <cell r="F370">
            <v>256067.31599999999</v>
          </cell>
        </row>
        <row r="371">
          <cell r="C371" t="str">
            <v>TGS-27-4806X4BBS-L-STEELCOMFORT CARE60 MONTHS/800 000 KM</v>
          </cell>
          <cell r="D371" t="str">
            <v>COMFORT CARE</v>
          </cell>
          <cell r="E371" t="str">
            <v>60 MONTHS/800 000 KM</v>
          </cell>
          <cell r="F371">
            <v>312895.64400000003</v>
          </cell>
        </row>
        <row r="372">
          <cell r="C372" t="str">
            <v>TGS-27-4806X4BBS-L-STEELCOMFORT SERVICE36 MONTHS/360 000 KM</v>
          </cell>
          <cell r="D372" t="str">
            <v>COMFORT SERVICE</v>
          </cell>
          <cell r="E372" t="str">
            <v>36 MONTHS/360 000 KM</v>
          </cell>
          <cell r="F372">
            <v>101160.00000000001</v>
          </cell>
        </row>
        <row r="373">
          <cell r="C373" t="str">
            <v>TGS-27-4806X4BBS-L-STEELCOMFORT SERVICE36 MONTHS/480 000 KM</v>
          </cell>
          <cell r="D373" t="str">
            <v>COMFORT SERVICE</v>
          </cell>
          <cell r="E373" t="str">
            <v>36 MONTHS/480 000 KM</v>
          </cell>
          <cell r="F373">
            <v>136326.81599999999</v>
          </cell>
        </row>
        <row r="374">
          <cell r="C374" t="str">
            <v>TGS-27-4806X4BBS-L-STEELCOMFORT SERVICE36 MONTHS/600 000 KM</v>
          </cell>
          <cell r="D374" t="str">
            <v>COMFORT SERVICE</v>
          </cell>
          <cell r="E374" t="str">
            <v>36 MONTHS/600 000 KM</v>
          </cell>
          <cell r="F374">
            <v>159183.18359999999</v>
          </cell>
        </row>
        <row r="375">
          <cell r="C375" t="str">
            <v>TGS-27-4806X4BBS-L-STEELCOMFORT SERVICE48 MONTHS/480 000 KM</v>
          </cell>
          <cell r="D375" t="str">
            <v>COMFORT SERVICE</v>
          </cell>
          <cell r="E375" t="str">
            <v>48 MONTHS/480 000 KM</v>
          </cell>
          <cell r="F375">
            <v>141504</v>
          </cell>
        </row>
        <row r="376">
          <cell r="C376" t="str">
            <v>TGS-27-4806X4BBS-L-STEELCOMFORT SERVICE48 MONTHS/600 000 KM</v>
          </cell>
          <cell r="D376" t="str">
            <v>COMFORT SERVICE</v>
          </cell>
          <cell r="E376" t="str">
            <v>48 MONTHS/600 000 KM</v>
          </cell>
          <cell r="F376">
            <v>170099.99999999997</v>
          </cell>
        </row>
        <row r="377">
          <cell r="C377" t="str">
            <v>TGS-27-4806X4BBS-L-STEELCOMFORT SERVICE48 MONTHS/720 000 KM</v>
          </cell>
          <cell r="D377" t="str">
            <v>COMFORT SERVICE</v>
          </cell>
          <cell r="E377" t="str">
            <v>48 MONTHS/720 000 KM</v>
          </cell>
          <cell r="F377">
            <v>199584</v>
          </cell>
        </row>
        <row r="378">
          <cell r="C378" t="str">
            <v>TGS-27-4806X4BBS-L-STEELCOMFORT SERVICE48 MONTHS/800 000 KM</v>
          </cell>
          <cell r="D378" t="str">
            <v>COMFORT SERVICE</v>
          </cell>
          <cell r="E378" t="str">
            <v>48 MONTHS/800 000 KM</v>
          </cell>
          <cell r="F378">
            <v>211044.22079999995</v>
          </cell>
        </row>
        <row r="379">
          <cell r="C379" t="str">
            <v>TGS-27-4806X4BBS-L-STEELCOMFORT SERVICE60 MONTHS/600 000 KM</v>
          </cell>
          <cell r="D379" t="str">
            <v>COMFORT SERVICE</v>
          </cell>
          <cell r="E379" t="str">
            <v>60 MONTHS/600 000 KM</v>
          </cell>
          <cell r="F379">
            <v>173580</v>
          </cell>
        </row>
        <row r="380">
          <cell r="C380" t="str">
            <v>TGS-27-4806X4BBS-L-STEELCOMFORT SERVICE60 MONTHS/700 000 KM</v>
          </cell>
          <cell r="D380" t="str">
            <v>COMFORT SERVICE</v>
          </cell>
          <cell r="E380" t="str">
            <v>60 MONTHS/700 000 KM</v>
          </cell>
          <cell r="F380">
            <v>196285.60799999998</v>
          </cell>
        </row>
        <row r="381">
          <cell r="C381" t="str">
            <v>TGS-27-4806X4BBS-L-STEELCOMFORT SERVICE60 MONTHS/800 000 KM</v>
          </cell>
          <cell r="D381" t="str">
            <v>COMFORT SERVICE</v>
          </cell>
          <cell r="E381" t="str">
            <v>60 MONTHS/800 000 KM</v>
          </cell>
          <cell r="F381">
            <v>220171.008</v>
          </cell>
        </row>
        <row r="382">
          <cell r="C382" t="str">
            <v>TGS-27-4806X4BBS-L-STEELCOMFORT SUPER36 MONTHS/360 000 KM</v>
          </cell>
          <cell r="D382" t="str">
            <v>COMFORT SUPER</v>
          </cell>
          <cell r="E382" t="str">
            <v>36 MONTHS/360 000 KM</v>
          </cell>
          <cell r="F382">
            <v>173664</v>
          </cell>
        </row>
        <row r="383">
          <cell r="C383" t="str">
            <v>TGS-27-4806X4BBS-L-STEELCOMFORT SUPER36 MONTHS/480 000 KM</v>
          </cell>
          <cell r="D383" t="str">
            <v>COMFORT SUPER</v>
          </cell>
          <cell r="E383" t="str">
            <v>36 MONTHS/480 000 KM</v>
          </cell>
          <cell r="F383">
            <v>240204.00959999996</v>
          </cell>
        </row>
        <row r="384">
          <cell r="C384" t="str">
            <v>TGS-27-4806X4BBS-L-STEELCOMFORT SUPER36 MONTHS/600 000 KM</v>
          </cell>
          <cell r="D384" t="str">
            <v>COMFORT SUPER</v>
          </cell>
          <cell r="E384" t="str">
            <v>36 MONTHS/600 000 KM</v>
          </cell>
          <cell r="F384">
            <v>286805.73599999998</v>
          </cell>
        </row>
        <row r="385">
          <cell r="C385" t="str">
            <v>TGS-27-4806X4BBS-L-STEELCOMFORT SUPER48 MONTHS/480 000 KM</v>
          </cell>
          <cell r="D385" t="str">
            <v>COMFORT SUPER</v>
          </cell>
          <cell r="E385" t="str">
            <v>48 MONTHS/480 000 KM</v>
          </cell>
          <cell r="F385">
            <v>267264</v>
          </cell>
        </row>
        <row r="386">
          <cell r="C386" t="str">
            <v>TGS-27-4806X4BBS-L-STEELCOMFORT SUPER48 MONTHS/600 000 KM</v>
          </cell>
          <cell r="D386" t="str">
            <v>COMFORT SUPER</v>
          </cell>
          <cell r="E386" t="str">
            <v>48 MONTHS/600 000 KM</v>
          </cell>
          <cell r="F386">
            <v>339599.99999999994</v>
          </cell>
        </row>
        <row r="387">
          <cell r="C387" t="str">
            <v>TGS-27-4806X4BBS-L-STEELCOMFORT SUPER48 MONTHS/720 000 KM</v>
          </cell>
          <cell r="D387" t="str">
            <v>COMFORT SUPER</v>
          </cell>
          <cell r="E387" t="str">
            <v>48 MONTHS/720 000 KM</v>
          </cell>
          <cell r="F387">
            <v>405720</v>
          </cell>
        </row>
        <row r="388">
          <cell r="C388" t="str">
            <v>TGS-27-4806X4BBS-L-STEELCOMFORT SUPER48 MONTHS/800 000 KM</v>
          </cell>
          <cell r="D388" t="str">
            <v>COMFORT SUPER</v>
          </cell>
          <cell r="E388" t="str">
            <v>48 MONTHS/800 000 KM</v>
          </cell>
          <cell r="F388">
            <v>430168.6031999999</v>
          </cell>
        </row>
        <row r="389">
          <cell r="C389" t="str">
            <v>TGS-27-4806X4BBS-L-STEELCOMFORT SUPER60 MONTHS/600 000 KM</v>
          </cell>
          <cell r="D389" t="str">
            <v>COMFORT SUPER</v>
          </cell>
          <cell r="E389" t="str">
            <v>60 MONTHS/600 000 KM</v>
          </cell>
          <cell r="F389">
            <v>368160</v>
          </cell>
        </row>
        <row r="390">
          <cell r="C390" t="str">
            <v>TGS-27-4806X4BBS-L-STEELCOMFORT SUPER60 MONTHS/700 000 KM</v>
          </cell>
          <cell r="D390" t="str">
            <v>COMFORT SUPER</v>
          </cell>
          <cell r="E390" t="str">
            <v>60 MONTHS/700 000 KM</v>
          </cell>
          <cell r="F390">
            <v>448012.79999999999</v>
          </cell>
        </row>
        <row r="391">
          <cell r="C391" t="str">
            <v>TGS-27-4806X4BBS-L-STEELCOMFORT SUPER60 MONTHS/800 000 KM</v>
          </cell>
          <cell r="D391" t="str">
            <v>COMFORT SUPER</v>
          </cell>
          <cell r="E391" t="str">
            <v>60 MONTHS/800 000 KM</v>
          </cell>
          <cell r="F391">
            <v>496264.81200000003</v>
          </cell>
        </row>
        <row r="392">
          <cell r="C392" t="str">
            <v>TGS-27-4806X4BBS-LXCOMFORT CARE36 MONTHS/360 000 KM</v>
          </cell>
          <cell r="D392" t="str">
            <v>COMFORT CARE</v>
          </cell>
          <cell r="E392" t="str">
            <v>36 MONTHS/360 000 KM</v>
          </cell>
          <cell r="F392">
            <v>109188</v>
          </cell>
        </row>
        <row r="393">
          <cell r="C393" t="str">
            <v>TGS-27-4806X4BBS-LXCOMFORT CARE36 MONTHS/480 000 KM</v>
          </cell>
          <cell r="D393" t="str">
            <v>COMFORT CARE</v>
          </cell>
          <cell r="E393" t="str">
            <v>36 MONTHS/480 000 KM</v>
          </cell>
          <cell r="F393">
            <v>188025.40079999997</v>
          </cell>
        </row>
        <row r="394">
          <cell r="C394" t="str">
            <v>TGS-27-4806X4BBS-LXCOMFORT CARE36 MONTHS/600 000 KM</v>
          </cell>
          <cell r="D394" t="str">
            <v>COMFORT CARE</v>
          </cell>
          <cell r="E394" t="str">
            <v>36 MONTHS/600 000 KM</v>
          </cell>
          <cell r="F394">
            <v>218944.37880000001</v>
          </cell>
        </row>
        <row r="395">
          <cell r="C395" t="str">
            <v>TGS-27-4806X4BBS-LXCOMFORT CARE48 MONTHS/480 000 KM</v>
          </cell>
          <cell r="D395" t="str">
            <v>COMFORT CARE</v>
          </cell>
          <cell r="E395" t="str">
            <v>48 MONTHS/480 000 KM</v>
          </cell>
          <cell r="F395">
            <v>193200.00000000003</v>
          </cell>
        </row>
        <row r="396">
          <cell r="C396" t="str">
            <v>TGS-27-4806X4BBS-LXCOMFORT CARE48 MONTHS/600 000 KM</v>
          </cell>
          <cell r="D396" t="str">
            <v>COMFORT CARE</v>
          </cell>
          <cell r="E396" t="str">
            <v>48 MONTHS/600 000 KM</v>
          </cell>
          <cell r="F396">
            <v>193200.00000000003</v>
          </cell>
        </row>
        <row r="397">
          <cell r="C397" t="str">
            <v>TGS-27-4806X4BBS-LXCOMFORT CARE48 MONTHS/720 000 KM</v>
          </cell>
          <cell r="D397" t="str">
            <v>COMFORT CARE</v>
          </cell>
          <cell r="E397" t="str">
            <v>48 MONTHS/720 000 KM</v>
          </cell>
          <cell r="F397">
            <v>259272</v>
          </cell>
        </row>
        <row r="398">
          <cell r="C398" t="str">
            <v>TGS-27-4806X4BBS-LXCOMFORT CARE48 MONTHS/800 000 KM</v>
          </cell>
          <cell r="D398" t="str">
            <v>COMFORT CARE</v>
          </cell>
          <cell r="E398" t="str">
            <v>48 MONTHS/800 000 KM</v>
          </cell>
          <cell r="F398">
            <v>303686.0736</v>
          </cell>
        </row>
        <row r="399">
          <cell r="C399" t="str">
            <v>TGS-27-4806X4BBS-LXCOMFORT CARE60 MONTHS/600 000 KM</v>
          </cell>
          <cell r="D399" t="str">
            <v>COMFORT CARE</v>
          </cell>
          <cell r="E399" t="str">
            <v>60 MONTHS/600 000 KM</v>
          </cell>
          <cell r="F399">
            <v>233280</v>
          </cell>
        </row>
        <row r="400">
          <cell r="C400" t="str">
            <v>TGS-27-4806X4BBS-LXCOMFORT CARE60 MONTHS/700 000 KM</v>
          </cell>
          <cell r="D400" t="str">
            <v>COMFORT CARE</v>
          </cell>
          <cell r="E400" t="str">
            <v>60 MONTHS/700 000 KM</v>
          </cell>
          <cell r="F400">
            <v>256067.31599999999</v>
          </cell>
        </row>
        <row r="401">
          <cell r="C401" t="str">
            <v>TGS-27-4806X4BBS-LXCOMFORT CARE60 MONTHS/800 000 KM</v>
          </cell>
          <cell r="D401" t="str">
            <v>COMFORT CARE</v>
          </cell>
          <cell r="E401" t="str">
            <v>60 MONTHS/800 000 KM</v>
          </cell>
          <cell r="F401">
            <v>312895.64400000003</v>
          </cell>
        </row>
        <row r="402">
          <cell r="C402" t="str">
            <v>TGS-27-4806X4BBS-LXCOMFORT SERVICE36 MONTHS/360 000 KM</v>
          </cell>
          <cell r="D402" t="str">
            <v>COMFORT SERVICE</v>
          </cell>
          <cell r="E402" t="str">
            <v>36 MONTHS/360 000 KM</v>
          </cell>
          <cell r="F402">
            <v>101160.00000000001</v>
          </cell>
        </row>
        <row r="403">
          <cell r="C403" t="str">
            <v>TGS-27-4806X4BBS-LXCOMFORT SERVICE36 MONTHS/480 000 KM</v>
          </cell>
          <cell r="D403" t="str">
            <v>COMFORT SERVICE</v>
          </cell>
          <cell r="E403" t="str">
            <v>36 MONTHS/480 000 KM</v>
          </cell>
          <cell r="F403">
            <v>136326.81599999999</v>
          </cell>
        </row>
        <row r="404">
          <cell r="C404" t="str">
            <v>TGS-27-4806X4BBS-LXCOMFORT SERVICE36 MONTHS/600 000 KM</v>
          </cell>
          <cell r="D404" t="str">
            <v>COMFORT SERVICE</v>
          </cell>
          <cell r="E404" t="str">
            <v>36 MONTHS/600 000 KM</v>
          </cell>
          <cell r="F404">
            <v>159183.18359999999</v>
          </cell>
        </row>
        <row r="405">
          <cell r="C405" t="str">
            <v>TGS-27-4806X4BBS-LXCOMFORT SERVICE48 MONTHS/480 000 KM</v>
          </cell>
          <cell r="D405" t="str">
            <v>COMFORT SERVICE</v>
          </cell>
          <cell r="E405" t="str">
            <v>48 MONTHS/480 000 KM</v>
          </cell>
          <cell r="F405">
            <v>141504</v>
          </cell>
        </row>
        <row r="406">
          <cell r="C406" t="str">
            <v>TGS-27-4806X4BBS-LXCOMFORT SERVICE48 MONTHS/600 000 KM</v>
          </cell>
          <cell r="D406" t="str">
            <v>COMFORT SERVICE</v>
          </cell>
          <cell r="E406" t="str">
            <v>48 MONTHS/600 000 KM</v>
          </cell>
          <cell r="F406">
            <v>170099.99999999997</v>
          </cell>
        </row>
        <row r="407">
          <cell r="C407" t="str">
            <v>TGS-27-4806X4BBS-LXCOMFORT SERVICE48 MONTHS/720 000 KM</v>
          </cell>
          <cell r="D407" t="str">
            <v>COMFORT SERVICE</v>
          </cell>
          <cell r="E407" t="str">
            <v>48 MONTHS/720 000 KM</v>
          </cell>
          <cell r="F407">
            <v>199584</v>
          </cell>
        </row>
        <row r="408">
          <cell r="C408" t="str">
            <v>TGS-27-4806X4BBS-LXCOMFORT SERVICE48 MONTHS/800 000 KM</v>
          </cell>
          <cell r="D408" t="str">
            <v>COMFORT SERVICE</v>
          </cell>
          <cell r="E408" t="str">
            <v>48 MONTHS/800 000 KM</v>
          </cell>
          <cell r="F408">
            <v>211044.22079999995</v>
          </cell>
        </row>
        <row r="409">
          <cell r="C409" t="str">
            <v>TGS-27-4806X4BBS-LXCOMFORT SERVICE60 MONTHS/600 000 KM</v>
          </cell>
          <cell r="D409" t="str">
            <v>COMFORT SERVICE</v>
          </cell>
          <cell r="E409" t="str">
            <v>60 MONTHS/600 000 KM</v>
          </cell>
          <cell r="F409">
            <v>173580</v>
          </cell>
        </row>
        <row r="410">
          <cell r="C410" t="str">
            <v>TGS-27-4806X4BBS-LXCOMFORT SERVICE60 MONTHS/700 000 KM</v>
          </cell>
          <cell r="D410" t="str">
            <v>COMFORT SERVICE</v>
          </cell>
          <cell r="E410" t="str">
            <v>60 MONTHS/700 000 KM</v>
          </cell>
          <cell r="F410">
            <v>196285.60799999998</v>
          </cell>
        </row>
        <row r="411">
          <cell r="C411" t="str">
            <v>TGS-27-4806X4BBS-LXCOMFORT SERVICE60 MONTHS/800 000 KM</v>
          </cell>
          <cell r="D411" t="str">
            <v>COMFORT SERVICE</v>
          </cell>
          <cell r="E411" t="str">
            <v>60 MONTHS/800 000 KM</v>
          </cell>
          <cell r="F411">
            <v>220171.008</v>
          </cell>
        </row>
        <row r="412">
          <cell r="C412" t="str">
            <v>TGS-27-4806X4BBS-LXCOMFORT SUPER36 MONTHS/360 000 KM</v>
          </cell>
          <cell r="D412" t="str">
            <v>COMFORT SUPER</v>
          </cell>
          <cell r="E412" t="str">
            <v>36 MONTHS/360 000 KM</v>
          </cell>
          <cell r="F412">
            <v>167328</v>
          </cell>
        </row>
        <row r="413">
          <cell r="C413" t="str">
            <v>TGS-27-4806X4BBS-LXCOMFORT SUPER36 MONTHS/480 000 KM</v>
          </cell>
          <cell r="D413" t="str">
            <v>COMFORT SUPER</v>
          </cell>
          <cell r="E413" t="str">
            <v>36 MONTHS/480 000 KM</v>
          </cell>
          <cell r="F413">
            <v>230363.51760000002</v>
          </cell>
        </row>
        <row r="414">
          <cell r="C414" t="str">
            <v>TGS-27-4806X4BBS-LXCOMFORT SUPER36 MONTHS/600 000 KM</v>
          </cell>
          <cell r="D414" t="str">
            <v>COMFORT SUPER</v>
          </cell>
          <cell r="E414" t="str">
            <v>36 MONTHS/600 000 KM</v>
          </cell>
          <cell r="F414">
            <v>273965.4792</v>
          </cell>
        </row>
        <row r="415">
          <cell r="C415" t="str">
            <v>TGS-27-4806X4BBS-LXCOMFORT SUPER48 MONTHS/480 000 KM</v>
          </cell>
          <cell r="D415" t="str">
            <v>COMFORT SUPER</v>
          </cell>
          <cell r="E415" t="str">
            <v>48 MONTHS/480 000 KM</v>
          </cell>
          <cell r="F415">
            <v>255840</v>
          </cell>
        </row>
        <row r="416">
          <cell r="C416" t="str">
            <v>TGS-27-4806X4BBS-LXCOMFORT SUPER48 MONTHS/600 000 KM</v>
          </cell>
          <cell r="D416" t="str">
            <v>COMFORT SUPER</v>
          </cell>
          <cell r="E416" t="str">
            <v>48 MONTHS/600 000 KM</v>
          </cell>
          <cell r="F416">
            <v>255840</v>
          </cell>
        </row>
        <row r="417">
          <cell r="C417" t="str">
            <v>TGS-27-4806X4BBS-LXCOMFORT SUPER48 MONTHS/720 000 KM</v>
          </cell>
          <cell r="D417" t="str">
            <v>COMFORT SUPER</v>
          </cell>
          <cell r="E417" t="str">
            <v>48 MONTHS/720 000 KM</v>
          </cell>
          <cell r="F417">
            <v>387288.00000000006</v>
          </cell>
        </row>
        <row r="418">
          <cell r="C418" t="str">
            <v>TGS-27-4806X4BBS-LXCOMFORT SUPER48 MONTHS/800 000 KM</v>
          </cell>
          <cell r="D418" t="str">
            <v>COMFORT SUPER</v>
          </cell>
          <cell r="E418" t="str">
            <v>48 MONTHS/800 000 KM</v>
          </cell>
          <cell r="F418">
            <v>407048.14080000005</v>
          </cell>
        </row>
        <row r="419">
          <cell r="C419" t="str">
            <v>TGS-27-4806X4BBS-LXCOMFORT SUPER60 MONTHS/600 000 KM</v>
          </cell>
          <cell r="D419" t="str">
            <v>COMFORT SUPER</v>
          </cell>
          <cell r="E419" t="str">
            <v>60 MONTHS/600 000 KM</v>
          </cell>
          <cell r="F419">
            <v>349740</v>
          </cell>
        </row>
        <row r="420">
          <cell r="C420" t="str">
            <v>TGS-27-4806X4BBS-LXCOMFORT SUPER60 MONTHS/700 000 KM</v>
          </cell>
          <cell r="D420" t="str">
            <v>COMFORT SUPER</v>
          </cell>
          <cell r="E420" t="str">
            <v>60 MONTHS/700 000 KM</v>
          </cell>
          <cell r="F420">
            <v>418961.97000000003</v>
          </cell>
        </row>
        <row r="421">
          <cell r="C421" t="str">
            <v>TGS-27-4806X4BBS-LXCOMFORT SUPER60 MONTHS/800 000 KM</v>
          </cell>
          <cell r="D421" t="str">
            <v>COMFORT SUPER</v>
          </cell>
          <cell r="E421" t="str">
            <v>60 MONTHS/800 000 KM</v>
          </cell>
          <cell r="F421">
            <v>467543.37600000005</v>
          </cell>
        </row>
      </sheetData>
      <sheetData sheetId="1"/>
      <sheetData sheetId="2">
        <row r="4">
          <cell r="E4" t="str">
            <v>TGS-26-440BLS-LX36 MONTHS/10 000 KMNo</v>
          </cell>
          <cell r="F4">
            <v>651409</v>
          </cell>
        </row>
        <row r="5">
          <cell r="E5" t="str">
            <v>TGS-26-440BLS-LX36 MONTHS/10 000 KMYes</v>
          </cell>
          <cell r="F5">
            <v>837204</v>
          </cell>
        </row>
        <row r="6">
          <cell r="E6" t="str">
            <v>TGS-26-440BLS-LX36 MONTHS/100 000 KMNo</v>
          </cell>
          <cell r="F6">
            <v>5874167</v>
          </cell>
        </row>
        <row r="7">
          <cell r="E7" t="str">
            <v>TGS-26-440BLS-LX36 MONTHS/100 000 KMYes</v>
          </cell>
          <cell r="F7">
            <v>753098</v>
          </cell>
        </row>
        <row r="8">
          <cell r="E8" t="str">
            <v>TGS-26-440BLS-LX36 MONTHS/110 000 KMNo</v>
          </cell>
          <cell r="F8">
            <v>581025</v>
          </cell>
        </row>
        <row r="9">
          <cell r="E9" t="str">
            <v>TGS-26-440BLS-LX36 MONTHS/110 000 KMYes</v>
          </cell>
          <cell r="F9">
            <v>744904</v>
          </cell>
        </row>
        <row r="10">
          <cell r="E10" t="str">
            <v>TGS-26-440BLS-LX36 MONTHS/120 000 KMNo</v>
          </cell>
          <cell r="F10">
            <v>575273</v>
          </cell>
        </row>
        <row r="11">
          <cell r="E11" t="str">
            <v>TGS-26-440BLS-LX36 MONTHS/120 000 KMYes</v>
          </cell>
          <cell r="F11">
            <v>737529</v>
          </cell>
        </row>
        <row r="12">
          <cell r="E12" t="str">
            <v>TGS-26-440BLS-LX36 MONTHS/130 000 KMNo</v>
          </cell>
          <cell r="F12">
            <v>569577</v>
          </cell>
        </row>
        <row r="13">
          <cell r="E13" t="str">
            <v>TGS-26-440BLS-LX36 MONTHS/130 000 KMYes</v>
          </cell>
          <cell r="F13">
            <v>730227</v>
          </cell>
        </row>
        <row r="14">
          <cell r="E14" t="str">
            <v>TGS-26-440BLS-LX36 MONTHS/140 000 KMNo</v>
          </cell>
          <cell r="F14">
            <v>563938</v>
          </cell>
        </row>
        <row r="15">
          <cell r="E15" t="str">
            <v>TGS-26-440BLS-LX36 MONTHS/140 000 KMYes</v>
          </cell>
          <cell r="F15">
            <v>722997</v>
          </cell>
        </row>
        <row r="16">
          <cell r="E16" t="str">
            <v>TGS-26-440BLS-LX36 MONTHS/150 000 KMNo</v>
          </cell>
          <cell r="F16">
            <v>558354</v>
          </cell>
        </row>
        <row r="17">
          <cell r="E17" t="str">
            <v>TGS-26-440BLS-LX36 MONTHS/150 000 KMYes</v>
          </cell>
          <cell r="F17">
            <v>715838</v>
          </cell>
        </row>
        <row r="18">
          <cell r="E18" t="str">
            <v>TGS-26-440BLS-LX36 MONTHS/160 000 KMNo</v>
          </cell>
          <cell r="F18">
            <v>552826</v>
          </cell>
        </row>
        <row r="19">
          <cell r="E19" t="str">
            <v>TGS-26-440BLS-LX36 MONTHS/160 000 KMYes</v>
          </cell>
          <cell r="F19">
            <v>708751</v>
          </cell>
        </row>
        <row r="20">
          <cell r="E20" t="str">
            <v>TGS-26-440BLS-LX36 MONTHS/170 000 KMNo</v>
          </cell>
          <cell r="F20">
            <v>547352</v>
          </cell>
        </row>
        <row r="21">
          <cell r="E21" t="str">
            <v>TGS-26-440BLS-LX36 MONTHS/170 000 KMYes</v>
          </cell>
          <cell r="F21">
            <v>701734</v>
          </cell>
        </row>
        <row r="22">
          <cell r="E22" t="str">
            <v>TGS-26-440BLS-LX36 MONTHS/180 000 KMNo</v>
          </cell>
          <cell r="F22">
            <v>541933</v>
          </cell>
        </row>
        <row r="23">
          <cell r="E23" t="str">
            <v>TGS-26-440BLS-LX36 MONTHS/180 000 KMYes</v>
          </cell>
          <cell r="F23">
            <v>694786</v>
          </cell>
        </row>
        <row r="24">
          <cell r="E24" t="str">
            <v>TGS-26-440BLS-LX36 MONTHS/190 000 KMNo</v>
          </cell>
          <cell r="F24">
            <v>516127</v>
          </cell>
        </row>
        <row r="25">
          <cell r="E25" t="str">
            <v>TGS-26-440BLS-LX36 MONTHS/190 000 KMYes</v>
          </cell>
          <cell r="F25">
            <v>668063</v>
          </cell>
        </row>
        <row r="26">
          <cell r="E26" t="str">
            <v>TGS-26-440BLS-LX36 MONTHS/20 000 KMNo</v>
          </cell>
          <cell r="F26">
            <v>643684</v>
          </cell>
        </row>
        <row r="27">
          <cell r="E27" t="str">
            <v>TGS-26-440BLS-LX36 MONTHS/20 000 KMYes</v>
          </cell>
          <cell r="F27">
            <v>826868</v>
          </cell>
        </row>
        <row r="28">
          <cell r="E28" t="str">
            <v>TGS-26-440BLS-LX36 MONTHS/200 000 KMNo</v>
          </cell>
          <cell r="F28">
            <v>491549</v>
          </cell>
        </row>
        <row r="29">
          <cell r="E29" t="str">
            <v>TGS-26-440BLS-LX36 MONTHS/200 000 KMYes</v>
          </cell>
          <cell r="F29">
            <v>636251</v>
          </cell>
        </row>
        <row r="30">
          <cell r="E30" t="str">
            <v>TGS-26-440BLS-LX36 MONTHS/210 000 KMNo</v>
          </cell>
          <cell r="F30">
            <v>468142</v>
          </cell>
        </row>
        <row r="31">
          <cell r="E31" t="str">
            <v>TGS-26-440BLS-LX36 MONTHS/210 000 KMYes</v>
          </cell>
          <cell r="F31">
            <v>605953</v>
          </cell>
        </row>
        <row r="32">
          <cell r="E32" t="str">
            <v>TGS-26-440BLS-LX36 MONTHS/220 000 KMNo</v>
          </cell>
          <cell r="F32">
            <v>445850</v>
          </cell>
        </row>
        <row r="33">
          <cell r="E33" t="str">
            <v>TGS-26-440BLS-LX36 MONTHS/220 000 KMYes</v>
          </cell>
          <cell r="F33">
            <v>571654</v>
          </cell>
        </row>
        <row r="34">
          <cell r="E34" t="str">
            <v>TGS-26-440BLS-LX36 MONTHS/230 000 KMNo</v>
          </cell>
          <cell r="F34">
            <v>416682</v>
          </cell>
        </row>
        <row r="35">
          <cell r="E35" t="str">
            <v>TGS-26-440BLS-LX36 MONTHS/230 000 KMYes</v>
          </cell>
          <cell r="F35">
            <v>534256</v>
          </cell>
        </row>
        <row r="36">
          <cell r="E36" t="str">
            <v>TGS-26-440BLS-LX36 MONTHS/240 000 KMNo</v>
          </cell>
          <cell r="F36">
            <v>389422</v>
          </cell>
        </row>
        <row r="37">
          <cell r="E37" t="str">
            <v>TGS-26-440BLS-LX36 MONTHS/240 000 KMYes</v>
          </cell>
          <cell r="F37">
            <v>499305</v>
          </cell>
        </row>
        <row r="38">
          <cell r="E38" t="str">
            <v>TGS-26-440BLS-LX36 MONTHS/250 000 KMNo</v>
          </cell>
          <cell r="F38">
            <v>363946</v>
          </cell>
        </row>
        <row r="39">
          <cell r="E39" t="str">
            <v>TGS-26-440BLS-LX36 MONTHS/250 000 KMYes</v>
          </cell>
          <cell r="F39">
            <v>466640</v>
          </cell>
        </row>
        <row r="40">
          <cell r="E40" t="str">
            <v>TGS-26-440BLS-LX36 MONTHS/260 000 KMNo</v>
          </cell>
          <cell r="F40">
            <v>340136</v>
          </cell>
        </row>
        <row r="41">
          <cell r="E41" t="str">
            <v>TGS-26-440BLS-LX36 MONTHS/260 000 KMYes</v>
          </cell>
          <cell r="F41">
            <v>436112</v>
          </cell>
        </row>
        <row r="42">
          <cell r="E42" t="str">
            <v>TGS-26-440BLS-LX36 MONTHS/270 000 KMNo</v>
          </cell>
          <cell r="F42">
            <v>317885</v>
          </cell>
        </row>
        <row r="43">
          <cell r="E43" t="str">
            <v>TGS-26-440BLS-LX36 MONTHS/270 000 KMYes</v>
          </cell>
          <cell r="F43">
            <v>407581</v>
          </cell>
        </row>
        <row r="44">
          <cell r="E44" t="str">
            <v>TGS-26-440BLS-LX36 MONTHS/280 000 KMNo</v>
          </cell>
          <cell r="F44">
            <v>297088</v>
          </cell>
        </row>
        <row r="45">
          <cell r="E45" t="str">
            <v>TGS-26-440BLS-LX36 MONTHS/280 000 KMYes</v>
          </cell>
          <cell r="F45">
            <v>380917</v>
          </cell>
        </row>
        <row r="46">
          <cell r="E46" t="str">
            <v>TGS-26-440BLS-LX36 MONTHS/30 000 KMNo</v>
          </cell>
          <cell r="F46">
            <v>636052</v>
          </cell>
        </row>
        <row r="47">
          <cell r="E47" t="str">
            <v>TGS-26-440BLS-LX36 MONTHS/30 000 KMYes</v>
          </cell>
          <cell r="F47">
            <v>816660</v>
          </cell>
        </row>
        <row r="48">
          <cell r="E48" t="str">
            <v>TGS-26-440BLS-LX36 MONTHS/40 000 KMNo</v>
          </cell>
          <cell r="F48">
            <v>628510</v>
          </cell>
        </row>
        <row r="49">
          <cell r="E49" t="str">
            <v>TGS-26-440BLS-LX36 MONTHS/40 000 KMYes</v>
          </cell>
          <cell r="F49">
            <v>806578</v>
          </cell>
        </row>
        <row r="50">
          <cell r="E50" t="str">
            <v>TGS-26-440BLS-LX36 MONTHS/50 000 KMNo</v>
          </cell>
          <cell r="F50">
            <v>621057</v>
          </cell>
        </row>
        <row r="51">
          <cell r="E51" t="str">
            <v>TGS-26-440BLS-LX36 MONTHS/50 000 KMYes</v>
          </cell>
          <cell r="F51">
            <v>796620</v>
          </cell>
        </row>
        <row r="52">
          <cell r="E52" t="str">
            <v>TGS-26-440BLS-LX36 MONTHS/60 000 KMNo</v>
          </cell>
          <cell r="F52">
            <v>613692</v>
          </cell>
        </row>
        <row r="53">
          <cell r="E53" t="str">
            <v>TGS-26-440BLS-LX36 MONTHS/60 000 KMYes</v>
          </cell>
          <cell r="F53">
            <v>786785</v>
          </cell>
        </row>
        <row r="54">
          <cell r="E54" t="str">
            <v>TGS-26-440BLS-LX36 MONTHS/70 000 KMNo</v>
          </cell>
          <cell r="F54">
            <v>607015</v>
          </cell>
        </row>
        <row r="55">
          <cell r="E55" t="str">
            <v>TGS-26-440BLS-LX36 MONTHS/70 000 KMYes</v>
          </cell>
          <cell r="F55">
            <v>778224</v>
          </cell>
        </row>
        <row r="56">
          <cell r="E56" t="str">
            <v>TGS-26-440BLS-LX36 MONTHS/80 000 KMNo</v>
          </cell>
          <cell r="F56">
            <v>600411</v>
          </cell>
        </row>
        <row r="57">
          <cell r="E57" t="str">
            <v>TGS-26-440BLS-LX36 MONTHS/80 000 KMYes</v>
          </cell>
          <cell r="F57">
            <v>769758</v>
          </cell>
        </row>
        <row r="58">
          <cell r="E58" t="str">
            <v>TGS-26-440BLS-LX36 MONTHS/90 000 KMNo</v>
          </cell>
          <cell r="F58">
            <v>593878</v>
          </cell>
        </row>
        <row r="59">
          <cell r="E59" t="str">
            <v>TGS-26-440BLS-LX36 MONTHS/90 000 KMYes</v>
          </cell>
          <cell r="F59">
            <v>761382</v>
          </cell>
        </row>
        <row r="60">
          <cell r="E60" t="str">
            <v>TGS-26-440BLS-LX42 MONTHS/10 000 KMNo</v>
          </cell>
          <cell r="F60">
            <v>603156</v>
          </cell>
        </row>
        <row r="61">
          <cell r="E61" t="str">
            <v>TGS-26-440BLS-LX42 MONTHS/10 000 KMYes</v>
          </cell>
          <cell r="F61">
            <v>775189</v>
          </cell>
        </row>
        <row r="62">
          <cell r="E62" t="str">
            <v>TGS-26-440BLS-LX42 MONTHS/100 000 KMNo</v>
          </cell>
          <cell r="F62">
            <v>543904</v>
          </cell>
        </row>
        <row r="63">
          <cell r="E63" t="str">
            <v>TGS-26-440BLS-LX42 MONTHS/100 000 KMYes</v>
          </cell>
          <cell r="F63">
            <v>697313</v>
          </cell>
        </row>
        <row r="64">
          <cell r="E64" t="str">
            <v>TGS-26-440BLS-LX42 MONTHS/110 000 KMNo</v>
          </cell>
          <cell r="F64">
            <v>537986</v>
          </cell>
        </row>
        <row r="65">
          <cell r="E65" t="str">
            <v>TGS-26-440BLS-LX42 MONTHS/110 000 KMYes</v>
          </cell>
          <cell r="F65">
            <v>689726</v>
          </cell>
        </row>
        <row r="66">
          <cell r="E66" t="str">
            <v>TGS-26-440BLS-LX42 MONTHS/120 000 KMNo</v>
          </cell>
          <cell r="F66">
            <v>532659.85937955184</v>
          </cell>
        </row>
        <row r="67">
          <cell r="E67" t="str">
            <v>TGS-26-440BLS-LX42 MONTHS/120 000 KMYes</v>
          </cell>
          <cell r="F67">
            <v>682897.25561481004</v>
          </cell>
        </row>
        <row r="68">
          <cell r="E68" t="str">
            <v>TGS-26-440BLS-LX42 MONTHS/130 000 KMNo</v>
          </cell>
          <cell r="F68">
            <v>527385.99938569486</v>
          </cell>
        </row>
        <row r="69">
          <cell r="E69" t="str">
            <v>TGS-26-440BLS-LX42 MONTHS/130 000 KMYes</v>
          </cell>
          <cell r="F69">
            <v>676135.89664832666</v>
          </cell>
        </row>
        <row r="70">
          <cell r="E70" t="str">
            <v>TGS-26-440BLS-LX42 MONTHS/140 000 KMNo</v>
          </cell>
          <cell r="F70">
            <v>522164.35582742072</v>
          </cell>
        </row>
        <row r="71">
          <cell r="E71" t="str">
            <v>TGS-26-440BLS-LX42 MONTHS/140 000 KMYes</v>
          </cell>
          <cell r="F71">
            <v>669441.48183002649</v>
          </cell>
        </row>
        <row r="72">
          <cell r="E72" t="str">
            <v>TGS-26-440BLS-LX42 MONTHS/150 000 KMNo</v>
          </cell>
          <cell r="F72">
            <v>516994.41171031742</v>
          </cell>
        </row>
        <row r="73">
          <cell r="E73" t="str">
            <v>TGS-26-440BLS-LX42 MONTHS/150 000 KMYes</v>
          </cell>
          <cell r="F73">
            <v>662813.34834656073</v>
          </cell>
        </row>
        <row r="74">
          <cell r="E74" t="str">
            <v>TGS-26-440BLS-LX42 MONTHS/160 000 KMNo</v>
          </cell>
          <cell r="F74">
            <v>511875.65515873022</v>
          </cell>
        </row>
        <row r="75">
          <cell r="E75" t="str">
            <v>TGS-26-440BLS-LX42 MONTHS/160 000 KMYes</v>
          </cell>
          <cell r="F75">
            <v>656250.8399470899</v>
          </cell>
        </row>
        <row r="76">
          <cell r="E76" t="str">
            <v>TGS-26-440BLS-LX42 MONTHS/170 000 KMNo</v>
          </cell>
          <cell r="F76">
            <v>506807.57936507941</v>
          </cell>
        </row>
        <row r="77">
          <cell r="E77" t="str">
            <v>TGS-26-440BLS-LX42 MONTHS/170 000 KMYes</v>
          </cell>
          <cell r="F77">
            <v>649753.30687830679</v>
          </cell>
        </row>
        <row r="78">
          <cell r="E78" t="str">
            <v>TGS-26-440BLS-LX42 MONTHS/180 000 KMNo</v>
          </cell>
          <cell r="F78">
            <v>501789.68253968249</v>
          </cell>
        </row>
        <row r="79">
          <cell r="E79" t="str">
            <v>TGS-26-440BLS-LX42 MONTHS/180 000 KMYes</v>
          </cell>
          <cell r="F79">
            <v>643320.10582010576</v>
          </cell>
        </row>
        <row r="80">
          <cell r="E80" t="str">
            <v>TGS-26-440BLS-LX42 MONTHS/190 000 KMNo</v>
          </cell>
          <cell r="F80">
            <v>477894.9357520786</v>
          </cell>
        </row>
        <row r="81">
          <cell r="E81" t="str">
            <v>TGS-26-440BLS-LX42 MONTHS/190 000 KMYes</v>
          </cell>
          <cell r="F81">
            <v>618577.02482702478</v>
          </cell>
        </row>
        <row r="82">
          <cell r="E82" t="str">
            <v>TGS-26-440BLS-LX42 MONTHS/20 000 KMNo</v>
          </cell>
          <cell r="F82">
            <v>596003.99641937041</v>
          </cell>
        </row>
        <row r="83">
          <cell r="E83" t="str">
            <v>TGS-26-440BLS-LX42 MONTHS/20 000 KMYes</v>
          </cell>
          <cell r="F83">
            <v>765618.90147130226</v>
          </cell>
        </row>
        <row r="84">
          <cell r="E84" t="str">
            <v>TGS-26-440BLS-LX42 MONTHS/200 000 KMNo</v>
          </cell>
          <cell r="F84">
            <v>455138.03404959867</v>
          </cell>
        </row>
        <row r="85">
          <cell r="E85" t="str">
            <v>TGS-26-440BLS-LX42 MONTHS/200 000 KMYes</v>
          </cell>
          <cell r="F85">
            <v>589120.97602573771</v>
          </cell>
        </row>
        <row r="86">
          <cell r="E86" t="str">
            <v>TGS-26-440BLS-LX42 MONTHS/210 000 KMNo</v>
          </cell>
          <cell r="F86">
            <v>433464.79433295102</v>
          </cell>
        </row>
        <row r="87">
          <cell r="E87" t="str">
            <v>TGS-26-440BLS-LX42 MONTHS/210 000 KMYes</v>
          </cell>
          <cell r="F87">
            <v>561067.59621498839</v>
          </cell>
        </row>
        <row r="88">
          <cell r="E88" t="str">
            <v>TGS-26-440BLS-LX42 MONTHS/220 000 KMNo</v>
          </cell>
          <cell r="F88">
            <v>412823.61365042953</v>
          </cell>
        </row>
        <row r="89">
          <cell r="E89" t="str">
            <v>TGS-26-440BLS-LX42 MONTHS/220 000 KMYes</v>
          </cell>
          <cell r="F89">
            <v>529309.05303300789</v>
          </cell>
        </row>
        <row r="90">
          <cell r="E90" t="str">
            <v>TGS-26-440BLS-LX42 MONTHS/230 000 KMNo</v>
          </cell>
          <cell r="F90">
            <v>385816.4613555416</v>
          </cell>
        </row>
        <row r="91">
          <cell r="E91" t="str">
            <v>TGS-26-440BLS-LX42 MONTHS/230 000 KMYes</v>
          </cell>
          <cell r="F91">
            <v>494681.35797477368</v>
          </cell>
        </row>
        <row r="92">
          <cell r="E92" t="str">
            <v>TGS-26-440BLS-LX42 MONTHS/240 000 KMNo</v>
          </cell>
          <cell r="F92">
            <v>360576.1321079827</v>
          </cell>
        </row>
        <row r="93">
          <cell r="E93" t="str">
            <v>TGS-26-440BLS-LX42 MONTHS/240 000 KMYes</v>
          </cell>
          <cell r="F93">
            <v>462319.02614464826</v>
          </cell>
        </row>
        <row r="94">
          <cell r="E94" t="str">
            <v>TGS-26-440BLS-LX42 MONTHS/250 000 KMNo</v>
          </cell>
          <cell r="F94">
            <v>336987.03935325489</v>
          </cell>
        </row>
        <row r="95">
          <cell r="E95" t="str">
            <v>TGS-26-440BLS-LX42 MONTHS/250 000 KMYes</v>
          </cell>
          <cell r="F95">
            <v>432073.85620995163</v>
          </cell>
        </row>
        <row r="96">
          <cell r="E96" t="str">
            <v>TGS-26-440BLS-LX42 MONTHS/260 000 KMNo</v>
          </cell>
          <cell r="F96">
            <v>314941.15827406995</v>
          </cell>
        </row>
        <row r="97">
          <cell r="E97" t="str">
            <v>TGS-26-440BLS-LX42 MONTHS/260 000 KMYes</v>
          </cell>
          <cell r="F97">
            <v>403807.34225229127</v>
          </cell>
        </row>
        <row r="98">
          <cell r="E98" t="str">
            <v>TGS-26-440BLS-LX42 MONTHS/270 000 KMNo</v>
          </cell>
          <cell r="F98">
            <v>294337.53109726158</v>
          </cell>
        </row>
        <row r="99">
          <cell r="E99" t="str">
            <v>TGS-26-440BLS-LX42 MONTHS/270 000 KMYes</v>
          </cell>
          <cell r="F99">
            <v>377390.03948812268</v>
          </cell>
        </row>
        <row r="100">
          <cell r="E100" t="str">
            <v>TGS-26-440BLS-LX42 MONTHS/280 000 KMNo</v>
          </cell>
          <cell r="F100">
            <v>275081.80476379592</v>
          </cell>
        </row>
        <row r="101">
          <cell r="E101" t="str">
            <v>TGS-26-440BLS-LX42 MONTHS/280 000 KMYes</v>
          </cell>
          <cell r="F101">
            <v>352700.97148422676</v>
          </cell>
        </row>
        <row r="102">
          <cell r="E102" t="str">
            <v>TGS-26-440BLS-LX42 MONTHS/30 000 KMNo</v>
          </cell>
          <cell r="F102">
            <v>588936.75535510911</v>
          </cell>
        </row>
        <row r="103">
          <cell r="E103" t="str">
            <v>TGS-26-440BLS-LX42 MONTHS/30 000 KMYes</v>
          </cell>
          <cell r="F103">
            <v>756166.81626795279</v>
          </cell>
        </row>
        <row r="104">
          <cell r="E104" t="str">
            <v>TGS-26-440BLS-LX42 MONTHS/40 000 KMNo</v>
          </cell>
          <cell r="F104">
            <v>581953.31556828972</v>
          </cell>
        </row>
        <row r="105">
          <cell r="E105" t="str">
            <v>TGS-26-440BLS-LX42 MONTHS/40 000 KMYes</v>
          </cell>
          <cell r="F105">
            <v>746831.42347452138</v>
          </cell>
        </row>
        <row r="106">
          <cell r="E106" t="str">
            <v>TGS-26-440BLS-LX42 MONTHS/50 000 KMNo</v>
          </cell>
          <cell r="F106">
            <v>575052.68336787506</v>
          </cell>
        </row>
        <row r="107">
          <cell r="E107" t="str">
            <v>TGS-26-440BLS-LX42 MONTHS/50 000 KMYes</v>
          </cell>
          <cell r="F107">
            <v>737611.28244397172</v>
          </cell>
        </row>
        <row r="108">
          <cell r="E108" t="str">
            <v>TGS-26-440BLS-LX42 MONTHS/60 000 KMNo</v>
          </cell>
          <cell r="F108">
            <v>568233.87684572639</v>
          </cell>
        </row>
        <row r="109">
          <cell r="E109" t="str">
            <v>TGS-26-440BLS-LX42 MONTHS/60 000 KMYes</v>
          </cell>
          <cell r="F109">
            <v>728504.97031503392</v>
          </cell>
        </row>
        <row r="110">
          <cell r="E110" t="str">
            <v>TGS-26-440BLS-LX42 MONTHS/70 000 KMNo</v>
          </cell>
          <cell r="F110">
            <v>562051.31240922515</v>
          </cell>
        </row>
        <row r="111">
          <cell r="E111" t="str">
            <v>TGS-26-440BLS-LX42 MONTHS/70 000 KMYes</v>
          </cell>
          <cell r="F111">
            <v>720578.60565285245</v>
          </cell>
        </row>
        <row r="112">
          <cell r="E112" t="str">
            <v>TGS-26-440BLS-LX42 MONTHS/80 000 KMNo</v>
          </cell>
          <cell r="F112">
            <v>555936.0162306875</v>
          </cell>
        </row>
        <row r="113">
          <cell r="E113" t="str">
            <v>TGS-26-440BLS-LX42 MONTHS/80 000 KMYes</v>
          </cell>
          <cell r="F113">
            <v>712738.48234703531</v>
          </cell>
        </row>
        <row r="114">
          <cell r="E114" t="str">
            <v>TGS-26-440BLS-LX42 MONTHS/90 000 KMNo</v>
          </cell>
          <cell r="F114">
            <v>549887.2564101757</v>
          </cell>
        </row>
        <row r="115">
          <cell r="E115" t="str">
            <v>TGS-26-440BLS-LX42 MONTHS/90 000 KMYes</v>
          </cell>
          <cell r="F115">
            <v>704983.66206432763</v>
          </cell>
        </row>
        <row r="116">
          <cell r="E116" t="str">
            <v>TGS-26-440BLS-LX48 MONTHS/10 000 KMNo</v>
          </cell>
          <cell r="F116">
            <v>551509.80548908538</v>
          </cell>
        </row>
        <row r="117">
          <cell r="E117" t="str">
            <v>TGS-26-440BLS-LX48 MONTHS/10 000 KMYes</v>
          </cell>
          <cell r="F117">
            <v>714984.66748020204</v>
          </cell>
        </row>
        <row r="118">
          <cell r="E118" t="str">
            <v>TGS-26-440BLS-LX48 MONTHS/100 000 KMNo</v>
          </cell>
          <cell r="F118">
            <v>499304.1556721477</v>
          </cell>
        </row>
        <row r="119">
          <cell r="E119" t="str">
            <v>TGS-26-440BLS-LX48 MONTHS/100 000 KMYes</v>
          </cell>
          <cell r="F119">
            <v>643156.92014445818</v>
          </cell>
        </row>
        <row r="120">
          <cell r="E120" t="str">
            <v>TGS-26-440BLS-LX48 MONTHS/110 000 KMNo</v>
          </cell>
          <cell r="F120">
            <v>493871.56841953291</v>
          </cell>
        </row>
        <row r="121">
          <cell r="E121" t="str">
            <v>TGS-26-440BLS-LX48 MONTHS/110 000 KMYes</v>
          </cell>
          <cell r="F121">
            <v>636159.16928235232</v>
          </cell>
        </row>
        <row r="122">
          <cell r="E122" t="str">
            <v>TGS-26-440BLS-LX48 MONTHS/120 000 KMNo</v>
          </cell>
          <cell r="F122">
            <v>488981.75091042859</v>
          </cell>
        </row>
        <row r="123">
          <cell r="E123" t="str">
            <v>TGS-26-440BLS-LX48 MONTHS/120 000 KMYes</v>
          </cell>
          <cell r="F123">
            <v>629860.56364589336</v>
          </cell>
        </row>
        <row r="124">
          <cell r="E124" t="str">
            <v>TGS-26-440BLS-LX48 MONTHS/130 000 KMNo</v>
          </cell>
          <cell r="F124">
            <v>484140.34743606788</v>
          </cell>
        </row>
        <row r="125">
          <cell r="E125" t="str">
            <v>TGS-26-440BLS-LX48 MONTHS/130 000 KMYes</v>
          </cell>
          <cell r="F125">
            <v>623624.32044147851</v>
          </cell>
        </row>
        <row r="126">
          <cell r="E126" t="str">
            <v>TGS-26-440BLS-LX48 MONTHS/140 000 KMNo</v>
          </cell>
          <cell r="F126">
            <v>479346.87864957214</v>
          </cell>
        </row>
        <row r="127">
          <cell r="E127" t="str">
            <v>TGS-26-440BLS-LX48 MONTHS/140 000 KMYes</v>
          </cell>
          <cell r="F127">
            <v>617449.82221928565</v>
          </cell>
        </row>
        <row r="128">
          <cell r="E128" t="str">
            <v>TGS-26-440BLS-LX48 MONTHS/150 000 KMNo</v>
          </cell>
          <cell r="F128">
            <v>474600.86995007138</v>
          </cell>
        </row>
        <row r="129">
          <cell r="E129" t="str">
            <v>TGS-26-440BLS-LX48 MONTHS/150 000 KMYes</v>
          </cell>
          <cell r="F129">
            <v>611336.4576428571</v>
          </cell>
        </row>
        <row r="130">
          <cell r="E130" t="str">
            <v>TGS-26-440BLS-LX48 MONTHS/160 000 KMNo</v>
          </cell>
          <cell r="F130">
            <v>469901.85143571428</v>
          </cell>
        </row>
        <row r="131">
          <cell r="E131" t="str">
            <v>TGS-26-440BLS-LX48 MONTHS/160 000 KMYes</v>
          </cell>
          <cell r="F131">
            <v>605283.62142857141</v>
          </cell>
        </row>
        <row r="132">
          <cell r="E132" t="str">
            <v>TGS-26-440BLS-LX48 MONTHS/170 000 KMNo</v>
          </cell>
          <cell r="F132">
            <v>465249.35785714287</v>
          </cell>
        </row>
        <row r="133">
          <cell r="E133" t="str">
            <v>TGS-26-440BLS-LX48 MONTHS/170 000 KMYes</v>
          </cell>
          <cell r="F133">
            <v>599290.7142857142</v>
          </cell>
        </row>
        <row r="134">
          <cell r="E134" t="str">
            <v>TGS-26-440BLS-LX48 MONTHS/180 000 KMNo</v>
          </cell>
          <cell r="F134">
            <v>460642.92857142858</v>
          </cell>
        </row>
        <row r="135">
          <cell r="E135" t="str">
            <v>TGS-26-440BLS-LX48 MONTHS/180 000 KMYes</v>
          </cell>
          <cell r="F135">
            <v>593357.14285714284</v>
          </cell>
        </row>
        <row r="136">
          <cell r="E136" t="str">
            <v>TGS-26-440BLS-LX48 MONTHS/190 000 KMNo</v>
          </cell>
          <cell r="F136">
            <v>438707.55102040817</v>
          </cell>
        </row>
        <row r="137">
          <cell r="E137" t="str">
            <v>TGS-26-440BLS-LX48 MONTHS/190 000 KMYes</v>
          </cell>
          <cell r="F137">
            <v>570535.71428571432</v>
          </cell>
        </row>
        <row r="138">
          <cell r="E138" t="str">
            <v>TGS-26-440BLS-LX48 MONTHS/20 000 KMNo</v>
          </cell>
          <cell r="F138">
            <v>544970.16352676426</v>
          </cell>
        </row>
        <row r="139">
          <cell r="E139" t="str">
            <v>TGS-26-440BLS-LX48 MONTHS/20 000 KMYes</v>
          </cell>
          <cell r="F139">
            <v>706157.69627674285</v>
          </cell>
        </row>
        <row r="140">
          <cell r="E140" t="str">
            <v>TGS-26-440BLS-LX48 MONTHS/200 000 KMNo</v>
          </cell>
          <cell r="F140">
            <v>417816.71525753156</v>
          </cell>
        </row>
        <row r="141">
          <cell r="E141" t="str">
            <v>TGS-26-440BLS-LX48 MONTHS/200 000 KMYes</v>
          </cell>
          <cell r="F141">
            <v>543367.3469387755</v>
          </cell>
        </row>
        <row r="142">
          <cell r="E142" t="str">
            <v>TGS-26-440BLS-LX48 MONTHS/210 000 KMNo</v>
          </cell>
          <cell r="F142">
            <v>397920.6811976491</v>
          </cell>
        </row>
        <row r="143">
          <cell r="E143" t="str">
            <v>TGS-26-440BLS-LX48 MONTHS/210 000 KMYes</v>
          </cell>
          <cell r="F143">
            <v>517492.71137026238</v>
          </cell>
        </row>
        <row r="144">
          <cell r="E144" t="str">
            <v>TGS-26-440BLS-LX48 MONTHS/220 000 KMNo</v>
          </cell>
          <cell r="F144">
            <v>378972.07733109436</v>
          </cell>
        </row>
        <row r="145">
          <cell r="E145" t="str">
            <v>TGS-26-440BLS-LX48 MONTHS/220 000 KMYes</v>
          </cell>
          <cell r="F145">
            <v>483638.04800959094</v>
          </cell>
        </row>
        <row r="146">
          <cell r="E146" t="str">
            <v>TGS-26-440BLS-LX48 MONTHS/230 000 KMNo</v>
          </cell>
          <cell r="F146">
            <v>354179.51152438723</v>
          </cell>
        </row>
        <row r="147">
          <cell r="E147" t="str">
            <v>TGS-26-440BLS-LX48 MONTHS/230 000 KMYes</v>
          </cell>
          <cell r="F147">
            <v>451998.17570989806</v>
          </cell>
        </row>
        <row r="148">
          <cell r="E148" t="str">
            <v>TGS-26-440BLS-LX48 MONTHS/240 000 KMNo</v>
          </cell>
          <cell r="F148">
            <v>331008.88927512825</v>
          </cell>
        </row>
        <row r="149">
          <cell r="E149" t="str">
            <v>TGS-26-440BLS-LX48 MONTHS/240 000 KMYes</v>
          </cell>
          <cell r="F149">
            <v>422428.20159803552</v>
          </cell>
        </row>
        <row r="150">
          <cell r="E150" t="str">
            <v>TGS-26-440BLS-LX48 MONTHS/250 000 KMNo</v>
          </cell>
          <cell r="F150">
            <v>309354.10212628805</v>
          </cell>
        </row>
        <row r="151">
          <cell r="E151" t="str">
            <v>TGS-26-440BLS-LX48 MONTHS/250 000 KMYes</v>
          </cell>
          <cell r="F151">
            <v>394792.71177386498</v>
          </cell>
        </row>
        <row r="152">
          <cell r="E152" t="str">
            <v>TGS-26-440BLS-LX48 MONTHS/260 000 KMNo</v>
          </cell>
          <cell r="F152">
            <v>289115.98329559626</v>
          </cell>
        </row>
        <row r="153">
          <cell r="E153" t="str">
            <v>TGS-26-440BLS-LX48 MONTHS/260 000 KMYes</v>
          </cell>
          <cell r="F153">
            <v>368965.15119052801</v>
          </cell>
        </row>
        <row r="154">
          <cell r="E154" t="str">
            <v>TGS-26-440BLS-LX48 MONTHS/270 000 KMNo</v>
          </cell>
          <cell r="F154">
            <v>270201.85354728624</v>
          </cell>
        </row>
        <row r="155">
          <cell r="E155" t="str">
            <v>TGS-26-440BLS-LX48 MONTHS/270 000 KMYes</v>
          </cell>
          <cell r="F155">
            <v>344827.24410329718</v>
          </cell>
        </row>
        <row r="156">
          <cell r="E156" t="str">
            <v>TGS-26-440BLS-LX48 MONTHS/280 000 KMNo</v>
          </cell>
          <cell r="F156">
            <v>252525.09677316467</v>
          </cell>
        </row>
        <row r="157">
          <cell r="E157" t="str">
            <v>TGS-26-440BLS-LX48 MONTHS/280 000 KMYes</v>
          </cell>
          <cell r="F157">
            <v>322268.45243298798</v>
          </cell>
        </row>
        <row r="158">
          <cell r="E158" t="str">
            <v>TGS-26-440BLS-LX48 MONTHS/30 000 KMNo</v>
          </cell>
          <cell r="F158">
            <v>538508.06672605162</v>
          </cell>
        </row>
        <row r="159">
          <cell r="E159" t="str">
            <v>TGS-26-440BLS-LX48 MONTHS/30 000 KMYes</v>
          </cell>
          <cell r="F159">
            <v>697439.70002641261</v>
          </cell>
        </row>
        <row r="160">
          <cell r="E160" t="str">
            <v>TGS-26-440BLS-LX48 MONTHS/40 000 KMNo</v>
          </cell>
          <cell r="F160">
            <v>532122.5955791024</v>
          </cell>
        </row>
        <row r="161">
          <cell r="E161" t="str">
            <v>TGS-26-440BLS-LX48 MONTHS/40 000 KMYes</v>
          </cell>
          <cell r="F161">
            <v>688829.33335941995</v>
          </cell>
        </row>
        <row r="162">
          <cell r="E162" t="str">
            <v>TGS-26-440BLS-LX48 MONTHS/50 000 KMNo</v>
          </cell>
          <cell r="F162">
            <v>525812.8414813265</v>
          </cell>
        </row>
        <row r="163">
          <cell r="E163" t="str">
            <v>TGS-26-440BLS-LX48 MONTHS/50 000 KMYes</v>
          </cell>
          <cell r="F163">
            <v>680325.26751547644</v>
          </cell>
        </row>
        <row r="164">
          <cell r="E164" t="str">
            <v>TGS-26-440BLS-LX48 MONTHS/60 000 KMNo</v>
          </cell>
          <cell r="F164">
            <v>519577.90660210128</v>
          </cell>
        </row>
        <row r="165">
          <cell r="E165" t="str">
            <v>TGS-26-440BLS-LX48 MONTHS/60 000 KMYes</v>
          </cell>
          <cell r="F165">
            <v>671926.19013874221</v>
          </cell>
        </row>
        <row r="166">
          <cell r="E166" t="str">
            <v>TGS-26-440BLS-LX48 MONTHS/70 000 KMNo</v>
          </cell>
          <cell r="F166">
            <v>514433.57089316956</v>
          </cell>
        </row>
        <row r="167">
          <cell r="E167" t="str">
            <v>TGS-26-440BLS-LX48 MONTHS/70 000 KMYes</v>
          </cell>
          <cell r="F167">
            <v>664615.42051309813</v>
          </cell>
        </row>
        <row r="168">
          <cell r="E168" t="str">
            <v>TGS-26-440BLS-LX48 MONTHS/80 000 KMNo</v>
          </cell>
          <cell r="F168">
            <v>509340.16920115799</v>
          </cell>
        </row>
        <row r="169">
          <cell r="E169" t="str">
            <v>TGS-26-440BLS-LX48 MONTHS/80 000 KMYes</v>
          </cell>
          <cell r="F169">
            <v>657384.19437497354</v>
          </cell>
        </row>
        <row r="170">
          <cell r="E170" t="str">
            <v>TGS-26-440BLS-LX48 MONTHS/90 000 KMNo</v>
          </cell>
          <cell r="F170">
            <v>504297.19722886925</v>
          </cell>
        </row>
        <row r="171">
          <cell r="E171" t="str">
            <v>TGS-26-440BLS-LX48 MONTHS/90 000 KMYes</v>
          </cell>
          <cell r="F171">
            <v>650231.64626604703</v>
          </cell>
        </row>
        <row r="172">
          <cell r="E172" t="str">
            <v>TGS-26-440BLS-LX54 MONTHS/10 000 KMNo</v>
          </cell>
          <cell r="F172">
            <v>488061.77476910217</v>
          </cell>
        </row>
        <row r="173">
          <cell r="E173" t="str">
            <v>TGS-26-440BLS-LX54 MONTHS/10 000 KMYes</v>
          </cell>
          <cell r="F173">
            <v>632729.79423026741</v>
          </cell>
        </row>
        <row r="174">
          <cell r="E174" t="str">
            <v>TGS-26-440BLS-LX54 MONTHS/100 000 KMNo</v>
          </cell>
          <cell r="F174">
            <v>441862.0846656175</v>
          </cell>
        </row>
        <row r="175">
          <cell r="E175" t="str">
            <v>TGS-26-440BLS-LX54 MONTHS/100 000 KMYes</v>
          </cell>
          <cell r="F175">
            <v>569165.41605704266</v>
          </cell>
        </row>
        <row r="176">
          <cell r="E176" t="str">
            <v>TGS-26-440BLS-LX54 MONTHS/110 000 KMNo</v>
          </cell>
          <cell r="F176">
            <v>437054.48532702029</v>
          </cell>
        </row>
        <row r="177">
          <cell r="E177" t="str">
            <v>TGS-26-440BLS-LX54 MONTHS/110 000 KMYes</v>
          </cell>
          <cell r="F177">
            <v>562972.71617907286</v>
          </cell>
        </row>
        <row r="178">
          <cell r="E178" t="str">
            <v>TGS-26-440BLS-LX54 MONTHS/120 000 KMNo</v>
          </cell>
          <cell r="F178">
            <v>432727.21319506958</v>
          </cell>
        </row>
        <row r="179">
          <cell r="E179" t="str">
            <v>TGS-26-440BLS-LX54 MONTHS/120 000 KMYes</v>
          </cell>
          <cell r="F179">
            <v>557398.72889017116</v>
          </cell>
        </row>
        <row r="180">
          <cell r="E180" t="str">
            <v>TGS-26-440BLS-LX54 MONTHS/130 000 KMNo</v>
          </cell>
          <cell r="F180">
            <v>428442.78534165304</v>
          </cell>
        </row>
        <row r="181">
          <cell r="E181" t="str">
            <v>TGS-26-440BLS-LX54 MONTHS/130 000 KMYes</v>
          </cell>
          <cell r="F181">
            <v>551879.92959422886</v>
          </cell>
        </row>
        <row r="182">
          <cell r="E182" t="str">
            <v>TGS-26-440BLS-LX54 MONTHS/140 000 KMNo</v>
          </cell>
          <cell r="F182">
            <v>424200.77756599314</v>
          </cell>
        </row>
        <row r="183">
          <cell r="E183" t="str">
            <v>TGS-26-440BLS-LX54 MONTHS/140 000 KMYes</v>
          </cell>
          <cell r="F183">
            <v>546415.77187547414</v>
          </cell>
        </row>
        <row r="184">
          <cell r="E184" t="str">
            <v>TGS-26-440BLS-LX54 MONTHS/150 000 KMNo</v>
          </cell>
          <cell r="F184">
            <v>420000.76986731985</v>
          </cell>
        </row>
        <row r="185">
          <cell r="E185" t="str">
            <v>TGS-26-440BLS-LX54 MONTHS/150 000 KMYes</v>
          </cell>
          <cell r="F185">
            <v>541005.71472819219</v>
          </cell>
        </row>
        <row r="186">
          <cell r="E186" t="str">
            <v>TGS-26-440BLS-LX54 MONTHS/160 000 KMNo</v>
          </cell>
          <cell r="F186">
            <v>415842.34640328703</v>
          </cell>
        </row>
        <row r="187">
          <cell r="E187" t="str">
            <v>TGS-26-440BLS-LX54 MONTHS/160 000 KMYes</v>
          </cell>
          <cell r="F187">
            <v>535649.22250316059</v>
          </cell>
        </row>
        <row r="188">
          <cell r="E188" t="str">
            <v>TGS-26-440BLS-LX54 MONTHS/170 000 KMNo</v>
          </cell>
          <cell r="F188">
            <v>411725.09544879902</v>
          </cell>
        </row>
        <row r="189">
          <cell r="E189" t="str">
            <v>TGS-26-440BLS-LX54 MONTHS/170 000 KMYes</v>
          </cell>
          <cell r="F189">
            <v>530345.76485461439</v>
          </cell>
        </row>
        <row r="190">
          <cell r="E190" t="str">
            <v>TGS-26-440BLS-LX54 MONTHS/180 000 KMNo</v>
          </cell>
          <cell r="F190">
            <v>407648.60935524653</v>
          </cell>
        </row>
        <row r="191">
          <cell r="E191" t="str">
            <v>TGS-26-440BLS-LX54 MONTHS/180 000 KMYes</v>
          </cell>
          <cell r="F191">
            <v>525094.81668773701</v>
          </cell>
        </row>
        <row r="192">
          <cell r="E192" t="str">
            <v>TGS-26-440BLS-LX54 MONTHS/190 000 KMNo</v>
          </cell>
          <cell r="F192">
            <v>388236.77081452054</v>
          </cell>
        </row>
        <row r="193">
          <cell r="E193" t="str">
            <v>TGS-26-440BLS-LX54 MONTHS/190 000 KMYes</v>
          </cell>
          <cell r="F193">
            <v>504898.86219974718</v>
          </cell>
        </row>
        <row r="194">
          <cell r="E194" t="str">
            <v>TGS-26-440BLS-LX54 MONTHS/20 000 KMNo</v>
          </cell>
          <cell r="F194">
            <v>482274.48099713662</v>
          </cell>
        </row>
        <row r="195">
          <cell r="E195" t="str">
            <v>TGS-26-440BLS-LX54 MONTHS/20 000 KMYes</v>
          </cell>
          <cell r="F195">
            <v>624918.31528915302</v>
          </cell>
        </row>
        <row r="196">
          <cell r="E196" t="str">
            <v>TGS-26-440BLS-LX54 MONTHS/200 000 KMNo</v>
          </cell>
          <cell r="F196">
            <v>369749.3055376386</v>
          </cell>
        </row>
        <row r="197">
          <cell r="E197" t="str">
            <v>TGS-26-440BLS-LX54 MONTHS/200 000 KMYes</v>
          </cell>
          <cell r="F197">
            <v>480856.0592378545</v>
          </cell>
        </row>
        <row r="198">
          <cell r="E198" t="str">
            <v>TGS-26-440BLS-LX54 MONTHS/210 000 KMNo</v>
          </cell>
          <cell r="F198">
            <v>352142.19575013197</v>
          </cell>
        </row>
        <row r="199">
          <cell r="E199" t="str">
            <v>TGS-26-440BLS-LX54 MONTHS/210 000 KMYes</v>
          </cell>
          <cell r="F199">
            <v>457958.15165509953</v>
          </cell>
        </row>
        <row r="200">
          <cell r="E200" t="str">
            <v>TGS-26-440BLS-LX54 MONTHS/220 000 KMNo</v>
          </cell>
          <cell r="F200">
            <v>335373.51976203045</v>
          </cell>
        </row>
        <row r="201">
          <cell r="E201" t="str">
            <v>TGS-26-440BLS-LX54 MONTHS/220 000 KMYes</v>
          </cell>
          <cell r="F201">
            <v>427998.27257485932</v>
          </cell>
        </row>
        <row r="202">
          <cell r="E202" t="str">
            <v>TGS-26-440BLS-LX54 MONTHS/230 000 KMNo</v>
          </cell>
          <cell r="F202">
            <v>313433.19603928074</v>
          </cell>
        </row>
        <row r="203">
          <cell r="E203" t="str">
            <v>TGS-26-440BLS-LX54 MONTHS/230 000 KMYes</v>
          </cell>
          <cell r="F203">
            <v>399998.38558398065</v>
          </cell>
        </row>
        <row r="204">
          <cell r="E204" t="str">
            <v>TGS-26-440BLS-LX54 MONTHS/240 000 KMNo</v>
          </cell>
          <cell r="F204">
            <v>292928.22059745865</v>
          </cell>
        </row>
        <row r="205">
          <cell r="E205" t="str">
            <v>TGS-26-440BLS-LX54 MONTHS/240 000 KMYes</v>
          </cell>
          <cell r="F205">
            <v>373830.26690091641</v>
          </cell>
        </row>
        <row r="206">
          <cell r="E206" t="str">
            <v>TGS-26-440BLS-LX54 MONTHS/250 000 KMNo</v>
          </cell>
          <cell r="F206">
            <v>273764.69214715756</v>
          </cell>
        </row>
        <row r="207">
          <cell r="E207" t="str">
            <v>TGS-26-440BLS-LX54 MONTHS/250 000 KMYes</v>
          </cell>
          <cell r="F207">
            <v>349374.0812158098</v>
          </cell>
        </row>
        <row r="208">
          <cell r="E208" t="str">
            <v>TGS-26-440BLS-LX54 MONTHS/260 000 KMNo</v>
          </cell>
          <cell r="F208">
            <v>255854.85247397906</v>
          </cell>
        </row>
        <row r="209">
          <cell r="E209" t="str">
            <v>TGS-26-440BLS-LX54 MONTHS/260 000 KMYes</v>
          </cell>
          <cell r="F209">
            <v>326517.83291197172</v>
          </cell>
        </row>
        <row r="210">
          <cell r="E210" t="str">
            <v>TGS-26-440BLS-LX54 MONTHS/270 000 KMNo</v>
          </cell>
          <cell r="F210">
            <v>239116.68455512056</v>
          </cell>
        </row>
        <row r="211">
          <cell r="E211" t="str">
            <v>TGS-26-440BLS-LX54 MONTHS/270 000 KMYes</v>
          </cell>
          <cell r="F211">
            <v>305156.85318875854</v>
          </cell>
        </row>
        <row r="212">
          <cell r="E212" t="str">
            <v>TGS-26-440BLS-LX54 MONTHS/280 000 KMNo</v>
          </cell>
          <cell r="F212">
            <v>223473.53696740238</v>
          </cell>
        </row>
        <row r="213">
          <cell r="E213" t="str">
            <v>TGS-26-440BLS-LX54 MONTHS/280 000 KMYes</v>
          </cell>
          <cell r="F213">
            <v>285193.32073715754</v>
          </cell>
        </row>
        <row r="214">
          <cell r="E214" t="str">
            <v>TGS-26-440BLS-LX54 MONTHS/30 000 KMNo</v>
          </cell>
          <cell r="F214">
            <v>476555.81126199261</v>
          </cell>
        </row>
        <row r="215">
          <cell r="E215" t="str">
            <v>TGS-26-440BLS-LX54 MONTHS/30 000 KMYes</v>
          </cell>
          <cell r="F215">
            <v>617203.2743596572</v>
          </cell>
        </row>
        <row r="216">
          <cell r="E216" t="str">
            <v>TGS-26-440BLS-LX54 MONTHS/40 000 KMNo</v>
          </cell>
          <cell r="F216">
            <v>470904.95183991367</v>
          </cell>
        </row>
        <row r="217">
          <cell r="E217" t="str">
            <v>TGS-26-440BLS-LX54 MONTHS/40 000 KMYes</v>
          </cell>
          <cell r="F217">
            <v>609583.48084904428</v>
          </cell>
        </row>
        <row r="218">
          <cell r="E218" t="str">
            <v>TGS-26-440BLS-LX54 MONTHS/50 000 KMNo</v>
          </cell>
          <cell r="F218">
            <v>465321.09865604114</v>
          </cell>
        </row>
        <row r="219">
          <cell r="E219" t="str">
            <v>TGS-26-440BLS-LX54 MONTHS/50 000 KMYes</v>
          </cell>
          <cell r="F219">
            <v>602057.75886325364</v>
          </cell>
        </row>
        <row r="220">
          <cell r="E220" t="str">
            <v>TGS-26-440BLS-LX54 MONTHS/60 000 KMNo</v>
          </cell>
          <cell r="F220">
            <v>459803.45717000117</v>
          </cell>
        </row>
        <row r="221">
          <cell r="E221" t="str">
            <v>TGS-26-440BLS-LX54 MONTHS/60 000 KMYes</v>
          </cell>
          <cell r="F221">
            <v>594624.94702543563</v>
          </cell>
        </row>
        <row r="222">
          <cell r="E222" t="str">
            <v>TGS-26-440BLS-LX54 MONTHS/70 000 KMNo</v>
          </cell>
          <cell r="F222">
            <v>455250.94769307045</v>
          </cell>
        </row>
        <row r="223">
          <cell r="E223" t="str">
            <v>TGS-26-440BLS-LX54 MONTHS/70 000 KMYes</v>
          </cell>
          <cell r="F223">
            <v>588155.23939212225</v>
          </cell>
        </row>
        <row r="224">
          <cell r="E224" t="str">
            <v>TGS-26-440BLS-LX54 MONTHS/80 000 KMNo</v>
          </cell>
          <cell r="F224">
            <v>450743.51256739645</v>
          </cell>
        </row>
        <row r="225">
          <cell r="E225" t="str">
            <v>TGS-26-440BLS-LX54 MONTHS/80 000 KMYes</v>
          </cell>
          <cell r="F225">
            <v>581755.92422564037</v>
          </cell>
        </row>
        <row r="226">
          <cell r="E226" t="str">
            <v>TGS-26-440BLS-LX54 MONTHS/90 000 KMNo</v>
          </cell>
          <cell r="F226">
            <v>446280.70551227371</v>
          </cell>
        </row>
        <row r="227">
          <cell r="E227" t="str">
            <v>TGS-26-440BLS-LX54 MONTHS/90 000 KMYes</v>
          </cell>
          <cell r="F227">
            <v>575426.23563367012</v>
          </cell>
        </row>
        <row r="228">
          <cell r="E228" t="str">
            <v>TGS-26-440BLS-LX60 MONTHS/10 000 KMNo</v>
          </cell>
          <cell r="F228">
            <v>390845.11675590905</v>
          </cell>
        </row>
        <row r="229">
          <cell r="E229" t="str">
            <v>TGS-26-440BLS-LX60 MONTHS/10 000 KMYes</v>
          </cell>
          <cell r="F229">
            <v>501100.36524253461</v>
          </cell>
        </row>
        <row r="230">
          <cell r="E230" t="str">
            <v>TGS-26-440BLS-LX60 MONTHS/100 000 KMNo</v>
          </cell>
          <cell r="F230">
            <v>352449.99223916308</v>
          </cell>
        </row>
        <row r="231">
          <cell r="E231" t="str">
            <v>TGS-26-440BLS-LX60 MONTHS/100 000 KMYes</v>
          </cell>
          <cell r="F231">
            <v>450759.55087047489</v>
          </cell>
        </row>
        <row r="232">
          <cell r="E232" t="str">
            <v>TGS-26-440BLS-LX60 MONTHS/110 000 KMNo</v>
          </cell>
          <cell r="F232">
            <v>348615.22476672911</v>
          </cell>
        </row>
        <row r="233">
          <cell r="E233" t="str">
            <v>TGS-26-440BLS-LX60 MONTHS/110 000 KMYes</v>
          </cell>
          <cell r="F233">
            <v>445855.14428335801</v>
          </cell>
        </row>
        <row r="234">
          <cell r="E234" t="str">
            <v>TGS-26-440BLS-LX60 MONTHS/120 000 KMNo</v>
          </cell>
          <cell r="F234">
            <v>345163.58887794957</v>
          </cell>
        </row>
        <row r="235">
          <cell r="E235" t="str">
            <v>TGS-26-440BLS-LX60 MONTHS/120 000 KMYes</v>
          </cell>
          <cell r="F235">
            <v>441440.73691421584</v>
          </cell>
        </row>
        <row r="236">
          <cell r="E236" t="str">
            <v>TGS-26-440BLS-LX60 MONTHS/130 000 KMNo</v>
          </cell>
          <cell r="F236">
            <v>341746.12760193029</v>
          </cell>
        </row>
        <row r="237">
          <cell r="E237" t="str">
            <v>TGS-26-440BLS-LX60 MONTHS/130 000 KMYes</v>
          </cell>
          <cell r="F237">
            <v>437070.03654872859</v>
          </cell>
        </row>
        <row r="238">
          <cell r="E238" t="str">
            <v>TGS-26-440BLS-LX60 MONTHS/140 000 KMNo</v>
          </cell>
          <cell r="F238">
            <v>338362.50257616863</v>
          </cell>
        </row>
        <row r="239">
          <cell r="E239" t="str">
            <v>TGS-26-440BLS-LX60 MONTHS/140 000 KMYes</v>
          </cell>
          <cell r="F239">
            <v>432742.61044428573</v>
          </cell>
        </row>
        <row r="240">
          <cell r="E240" t="str">
            <v>TGS-26-440BLS-LX60 MONTHS/150 000 KMNo</v>
          </cell>
          <cell r="F240">
            <v>335012.37878828571</v>
          </cell>
        </row>
        <row r="241">
          <cell r="E241" t="str">
            <v>TGS-26-440BLS-LX60 MONTHS/150 000 KMYes</v>
          </cell>
          <cell r="F241">
            <v>428458.03014285711</v>
          </cell>
        </row>
        <row r="242">
          <cell r="E242" t="str">
            <v>TGS-26-440BLS-LX60 MONTHS/160 000 KMNo</v>
          </cell>
          <cell r="F242">
            <v>331695.42454285716</v>
          </cell>
        </row>
        <row r="243">
          <cell r="E243" t="str">
            <v>TGS-26-440BLS-LX60 MONTHS/160 000 KMYes</v>
          </cell>
          <cell r="F243">
            <v>424215.87142857141</v>
          </cell>
        </row>
        <row r="244">
          <cell r="E244" t="str">
            <v>TGS-26-440BLS-LX60 MONTHS/170 000 KMNo</v>
          </cell>
          <cell r="F244">
            <v>328411.31142857147</v>
          </cell>
        </row>
        <row r="245">
          <cell r="E245" t="str">
            <v>TGS-26-440BLS-LX60 MONTHS/170 000 KMYes</v>
          </cell>
          <cell r="F245">
            <v>420015.71428571426</v>
          </cell>
        </row>
        <row r="246">
          <cell r="E246" t="str">
            <v>TGS-26-440BLS-LX60 MONTHS/180 000 KMNo</v>
          </cell>
          <cell r="F246">
            <v>325159.71428571426</v>
          </cell>
        </row>
        <row r="247">
          <cell r="E247" t="str">
            <v>TGS-26-440BLS-LX60 MONTHS/180 000 KMYes</v>
          </cell>
          <cell r="F247">
            <v>415857.14285714284</v>
          </cell>
        </row>
        <row r="248">
          <cell r="E248" t="str">
            <v>TGS-26-440BLS-LX60 MONTHS/190 000 KMNo</v>
          </cell>
          <cell r="F248">
            <v>309675.91836734692</v>
          </cell>
        </row>
        <row r="249">
          <cell r="E249" t="str">
            <v>TGS-26-440BLS-LX60 MONTHS/190 000 KMYes</v>
          </cell>
          <cell r="F249">
            <v>399862.63736263732</v>
          </cell>
        </row>
        <row r="250">
          <cell r="E250" t="str">
            <v>TGS-26-440BLS-LX60 MONTHS/20 000 KMNo</v>
          </cell>
          <cell r="F250">
            <v>386210.58967975207</v>
          </cell>
        </row>
        <row r="251">
          <cell r="E251" t="str">
            <v>TGS-26-440BLS-LX60 MONTHS/20 000 KMYes</v>
          </cell>
          <cell r="F251">
            <v>494913.94098028116</v>
          </cell>
        </row>
        <row r="252">
          <cell r="E252" t="str">
            <v>TGS-26-440BLS-LX60 MONTHS/200 000 KMNo</v>
          </cell>
          <cell r="F252">
            <v>294929.44606413989</v>
          </cell>
        </row>
        <row r="253">
          <cell r="E253" t="str">
            <v>TGS-26-440BLS-LX60 MONTHS/200 000 KMYes</v>
          </cell>
          <cell r="F253">
            <v>380821.55939298793</v>
          </cell>
        </row>
        <row r="254">
          <cell r="E254" t="str">
            <v>TGS-26-440BLS-LX60 MONTHS/210 000 KMNo</v>
          </cell>
          <cell r="F254">
            <v>280885.18672775227</v>
          </cell>
        </row>
        <row r="255">
          <cell r="E255" t="str">
            <v>TGS-26-440BLS-LX60 MONTHS/210 000 KMYes</v>
          </cell>
          <cell r="F255">
            <v>362687.19942189322</v>
          </cell>
        </row>
        <row r="256">
          <cell r="E256" t="str">
            <v>TGS-26-440BLS-LX60 MONTHS/220 000 KMNo</v>
          </cell>
          <cell r="F256">
            <v>267509.70164547832</v>
          </cell>
        </row>
        <row r="257">
          <cell r="E257" t="str">
            <v>TGS-26-440BLS-LX60 MONTHS/220 000 KMYes</v>
          </cell>
          <cell r="F257">
            <v>338959.99945971329</v>
          </cell>
        </row>
        <row r="258">
          <cell r="E258" t="str">
            <v>TGS-26-440BLS-LX60 MONTHS/230 000 KMNo</v>
          </cell>
          <cell r="F258">
            <v>250009.06695839093</v>
          </cell>
        </row>
        <row r="259">
          <cell r="E259" t="str">
            <v>TGS-26-440BLS-LX60 MONTHS/230 000 KMYes</v>
          </cell>
          <cell r="F259">
            <v>316785.04622403107</v>
          </cell>
        </row>
        <row r="260">
          <cell r="E260" t="str">
            <v>TGS-26-440BLS-LX60 MONTHS/240 000 KMNo</v>
          </cell>
          <cell r="F260">
            <v>233653.33360597282</v>
          </cell>
        </row>
        <row r="261">
          <cell r="E261" t="str">
            <v>TGS-26-440BLS-LX60 MONTHS/240 000 KMYes</v>
          </cell>
          <cell r="F261">
            <v>296060.79086358042</v>
          </cell>
        </row>
        <row r="262">
          <cell r="E262" t="str">
            <v>TGS-26-440BLS-LX60 MONTHS/250 000 KMNo</v>
          </cell>
          <cell r="F262">
            <v>218367.60150090916</v>
          </cell>
        </row>
        <row r="263">
          <cell r="E263" t="str">
            <v>TGS-26-440BLS-LX60 MONTHS/250 000 KMYes</v>
          </cell>
          <cell r="F263">
            <v>276692.32790988823</v>
          </cell>
        </row>
        <row r="264">
          <cell r="E264" t="str">
            <v>TGS-26-440BLS-LX60 MONTHS/260 000 KMNo</v>
          </cell>
          <cell r="F264">
            <v>204081.87056159734</v>
          </cell>
        </row>
        <row r="265">
          <cell r="E265" t="str">
            <v>TGS-26-440BLS-LX60 MONTHS/260 000 KMYes</v>
          </cell>
          <cell r="F265">
            <v>258590.96066344695</v>
          </cell>
        </row>
        <row r="266">
          <cell r="E266" t="str">
            <v>TGS-26-440BLS-LX60 MONTHS/270 000 KMNo</v>
          </cell>
          <cell r="F266">
            <v>190730.72015102557</v>
          </cell>
        </row>
        <row r="267">
          <cell r="E267" t="str">
            <v>TGS-26-440BLS-LX60 MONTHS/270 000 KMYes</v>
          </cell>
          <cell r="F267">
            <v>241673.79501256722</v>
          </cell>
        </row>
        <row r="268">
          <cell r="E268" t="str">
            <v>TGS-26-440BLS-LX60 MONTHS/280 000 KMNo</v>
          </cell>
          <cell r="F268">
            <v>178253.00948693976</v>
          </cell>
        </row>
        <row r="269">
          <cell r="E269" t="str">
            <v>TGS-26-440BLS-LX60 MONTHS/280 000 KMYes</v>
          </cell>
          <cell r="F269">
            <v>225863.35982482915</v>
          </cell>
        </row>
        <row r="270">
          <cell r="E270" t="str">
            <v>TGS-26-440BLS-LX60 MONTHS/30 000 KMNo</v>
          </cell>
          <cell r="F270">
            <v>381631.01747011073</v>
          </cell>
        </row>
        <row r="271">
          <cell r="E271" t="str">
            <v>TGS-26-440BLS-LX60 MONTHS/30 000 KMYes</v>
          </cell>
          <cell r="F271">
            <v>488803.8923262037</v>
          </cell>
        </row>
        <row r="272">
          <cell r="E272" t="str">
            <v>TGS-26-440BLS-LX60 MONTHS/40 000 KMNo</v>
          </cell>
          <cell r="F272">
            <v>377105.7484882517</v>
          </cell>
        </row>
        <row r="273">
          <cell r="E273" t="str">
            <v>TGS-26-440BLS-LX60 MONTHS/40 000 KMYes</v>
          </cell>
          <cell r="F273">
            <v>482769.27637155919</v>
          </cell>
        </row>
        <row r="274">
          <cell r="E274" t="str">
            <v>TGS-26-440BLS-LX60 MONTHS/50 000 KMNo</v>
          </cell>
          <cell r="F274">
            <v>372634.13882238313</v>
          </cell>
        </row>
        <row r="275">
          <cell r="E275" t="str">
            <v>TGS-26-440BLS-LX60 MONTHS/50 000 KMYes</v>
          </cell>
          <cell r="F275">
            <v>476809.16184845357</v>
          </cell>
        </row>
        <row r="276">
          <cell r="E276" t="str">
            <v>TGS-26-440BLS-LX60 MONTHS/60 000 KMNo</v>
          </cell>
          <cell r="F276">
            <v>368215.55219603074</v>
          </cell>
        </row>
        <row r="277">
          <cell r="E277" t="str">
            <v>TGS-26-440BLS-LX60 MONTHS/60 000 KMYes</v>
          </cell>
          <cell r="F277">
            <v>470922.62898612698</v>
          </cell>
        </row>
        <row r="278">
          <cell r="E278" t="str">
            <v>TGS-26-440BLS-LX60 MONTHS/70 000 KMNo</v>
          </cell>
          <cell r="F278">
            <v>364209.25044117781</v>
          </cell>
        </row>
        <row r="279">
          <cell r="E279" t="str">
            <v>TGS-26-440BLS-LX60 MONTHS/70 000 KMYes</v>
          </cell>
          <cell r="F279">
            <v>465798.8417271286</v>
          </cell>
        </row>
        <row r="280">
          <cell r="E280" t="str">
            <v>TGS-26-440BLS-LX60 MONTHS/80 000 KMNo</v>
          </cell>
          <cell r="F280">
            <v>360246.53851748555</v>
          </cell>
        </row>
        <row r="281">
          <cell r="E281" t="str">
            <v>TGS-26-440BLS-LX60 MONTHS/80 000 KMYes</v>
          </cell>
          <cell r="F281">
            <v>460730.80289528053</v>
          </cell>
        </row>
        <row r="282">
          <cell r="E282" t="str">
            <v>TGS-26-440BLS-LX60 MONTHS/90 000 KMNo</v>
          </cell>
          <cell r="F282">
            <v>356326.94215379382</v>
          </cell>
        </row>
        <row r="283">
          <cell r="E283" t="str">
            <v>TGS-26-440BLS-LX60 MONTHS/90 000 KMYes</v>
          </cell>
          <cell r="F283">
            <v>455717.90593005007</v>
          </cell>
        </row>
        <row r="284">
          <cell r="E284" t="str">
            <v>TGS-27-440BBS-L36 MONTHS/10 000 KMNo</v>
          </cell>
          <cell r="F284">
            <v>637144.10760695639</v>
          </cell>
        </row>
        <row r="285">
          <cell r="E285" t="str">
            <v>TGS-27-440BBS-L36 MONTHS/10 000 KMYes</v>
          </cell>
          <cell r="F285">
            <v>816851.42000891839</v>
          </cell>
        </row>
        <row r="286">
          <cell r="E286" t="str">
            <v>TGS-27-440BBS-L36 MONTHS/100 000 KMNo</v>
          </cell>
          <cell r="F286">
            <v>574553.5153290492</v>
          </cell>
        </row>
        <row r="287">
          <cell r="E287" t="str">
            <v>TGS-27-440BBS-L36 MONTHS/100 000 KMYes</v>
          </cell>
          <cell r="F287">
            <v>736607.07093467843</v>
          </cell>
        </row>
        <row r="288">
          <cell r="E288" t="str">
            <v>TGS-27-440BBS-L36 MONTHS/110 000 KMNo</v>
          </cell>
          <cell r="F288">
            <v>568302.19122556807</v>
          </cell>
        </row>
        <row r="289">
          <cell r="E289" t="str">
            <v>TGS-27-440BBS-L36 MONTHS/110 000 KMYes</v>
          </cell>
          <cell r="F289">
            <v>728592.55285329232</v>
          </cell>
        </row>
        <row r="290">
          <cell r="E290" t="str">
            <v>TGS-27-440BBS-L36 MONTHS/120 000 KMNo</v>
          </cell>
          <cell r="F290">
            <v>562675.43685699801</v>
          </cell>
        </row>
        <row r="291">
          <cell r="E291" t="str">
            <v>TGS-27-440BBS-L36 MONTHS/120 000 KMYes</v>
          </cell>
          <cell r="F291">
            <v>721378.76520127943</v>
          </cell>
        </row>
        <row r="292">
          <cell r="E292" t="str">
            <v>TGS-27-440BBS-L36 MONTHS/130 000 KMNo</v>
          </cell>
          <cell r="F292">
            <v>557104.39292772079</v>
          </cell>
        </row>
        <row r="293">
          <cell r="E293" t="str">
            <v>TGS-27-440BBS-L36 MONTHS/130 000 KMYes</v>
          </cell>
          <cell r="F293">
            <v>714236.40118938556</v>
          </cell>
        </row>
        <row r="294">
          <cell r="E294" t="str">
            <v>TGS-27-440BBS-L36 MONTHS/140 000 KMNo</v>
          </cell>
          <cell r="F294">
            <v>551588.50784922857</v>
          </cell>
        </row>
        <row r="295">
          <cell r="E295" t="str">
            <v>TGS-27-440BBS-L36 MONTHS/140 000 KMYes</v>
          </cell>
          <cell r="F295">
            <v>707164.75365285703</v>
          </cell>
        </row>
        <row r="296">
          <cell r="E296" t="str">
            <v>TGS-27-440BBS-L36 MONTHS/150 000 KMNo</v>
          </cell>
          <cell r="F296">
            <v>546127.23549428571</v>
          </cell>
        </row>
        <row r="297">
          <cell r="E297" t="str">
            <v>TGS-27-440BBS-L36 MONTHS/150 000 KMYes</v>
          </cell>
          <cell r="F297">
            <v>700163.12242857134</v>
          </cell>
        </row>
        <row r="298">
          <cell r="E298" t="str">
            <v>TGS-27-440BBS-L36 MONTHS/160 000 KMNo</v>
          </cell>
          <cell r="F298">
            <v>540720.03514285723</v>
          </cell>
        </row>
        <row r="299">
          <cell r="E299" t="str">
            <v>TGS-27-440BBS-L36 MONTHS/160 000 KMYes</v>
          </cell>
          <cell r="F299">
            <v>693230.8142857143</v>
          </cell>
        </row>
        <row r="300">
          <cell r="E300" t="str">
            <v>TGS-27-440BBS-L36 MONTHS/170 000 KMNo</v>
          </cell>
          <cell r="F300">
            <v>535366.37142857141</v>
          </cell>
        </row>
        <row r="301">
          <cell r="E301" t="str">
            <v>TGS-27-440BBS-L36 MONTHS/170 000 KMYes</v>
          </cell>
          <cell r="F301">
            <v>686367.14285714284</v>
          </cell>
        </row>
        <row r="302">
          <cell r="E302" t="str">
            <v>TGS-27-440BBS-L36 MONTHS/180 000 KMNo</v>
          </cell>
          <cell r="F302">
            <v>530065.71428571432</v>
          </cell>
        </row>
        <row r="303">
          <cell r="E303" t="str">
            <v>TGS-27-440BBS-L36 MONTHS/180 000 KMYes</v>
          </cell>
          <cell r="F303">
            <v>679571.42857142852</v>
          </cell>
        </row>
        <row r="304">
          <cell r="E304" t="str">
            <v>TGS-27-440BBS-L36 MONTHS/190 000 KMNo</v>
          </cell>
          <cell r="F304">
            <v>504824.4897959184</v>
          </cell>
        </row>
        <row r="305">
          <cell r="E305" t="str">
            <v>TGS-27-440BBS-L36 MONTHS/190 000 KMYes</v>
          </cell>
          <cell r="F305">
            <v>653434.06593406596</v>
          </cell>
        </row>
        <row r="306">
          <cell r="E306" t="str">
            <v>TGS-27-440BBS-L36 MONTHS/20 000 KMNo</v>
          </cell>
          <cell r="F306">
            <v>629589.03913730872</v>
          </cell>
        </row>
        <row r="307">
          <cell r="E307" t="str">
            <v>TGS-27-440BBS-L36 MONTHS/20 000 KMYes</v>
          </cell>
          <cell r="F307">
            <v>807165.43479142128</v>
          </cell>
        </row>
        <row r="308">
          <cell r="E308" t="str">
            <v>TGS-27-440BBS-L36 MONTHS/200 000 KMNo</v>
          </cell>
          <cell r="F308">
            <v>480785.2283770651</v>
          </cell>
        </row>
        <row r="309">
          <cell r="E309" t="str">
            <v>TGS-27-440BBS-L36 MONTHS/200 000 KMYes</v>
          </cell>
          <cell r="F309">
            <v>616447.23201326968</v>
          </cell>
        </row>
        <row r="310">
          <cell r="E310" t="str">
            <v>TGS-27-440BBS-L36 MONTHS/210 000 KMNo</v>
          </cell>
          <cell r="F310">
            <v>457890.6936924429</v>
          </cell>
        </row>
        <row r="311">
          <cell r="E311" t="str">
            <v>TGS-27-440BBS-L36 MONTHS/210 000 KMYes</v>
          </cell>
          <cell r="F311">
            <v>587092.60191739968</v>
          </cell>
        </row>
        <row r="312">
          <cell r="E312" t="str">
            <v>TGS-27-440BBS-L36 MONTHS/220 000 KMNo</v>
          </cell>
          <cell r="F312">
            <v>436086.37494518369</v>
          </cell>
        </row>
        <row r="313">
          <cell r="E313" t="str">
            <v>TGS-27-440BBS-L36 MONTHS/220 000 KMYes</v>
          </cell>
          <cell r="F313">
            <v>548684.67468915845</v>
          </cell>
        </row>
        <row r="314">
          <cell r="E314" t="str">
            <v>TGS-27-440BBS-L36 MONTHS/230 000 KMNo</v>
          </cell>
          <cell r="F314">
            <v>407557.35976185388</v>
          </cell>
        </row>
        <row r="315">
          <cell r="E315" t="str">
            <v>TGS-27-440BBS-L36 MONTHS/230 000 KMYes</v>
          </cell>
          <cell r="F315">
            <v>512789.41559734428</v>
          </cell>
        </row>
        <row r="316">
          <cell r="E316" t="str">
            <v>TGS-27-440BBS-L36 MONTHS/240 000 KMNo</v>
          </cell>
          <cell r="F316">
            <v>380894.7287493961</v>
          </cell>
        </row>
        <row r="317">
          <cell r="E317" t="str">
            <v>TGS-27-440BBS-L36 MONTHS/240 000 KMYes</v>
          </cell>
          <cell r="F317">
            <v>479242.44448349933</v>
          </cell>
        </row>
        <row r="318">
          <cell r="E318" t="str">
            <v>TGS-27-440BBS-L36 MONTHS/250 000 KMNo</v>
          </cell>
          <cell r="F318">
            <v>355976.38200878142</v>
          </cell>
        </row>
        <row r="319">
          <cell r="E319" t="str">
            <v>TGS-27-440BBS-L36 MONTHS/250 000 KMYes</v>
          </cell>
          <cell r="F319">
            <v>447890.13503130776</v>
          </cell>
        </row>
        <row r="320">
          <cell r="E320" t="str">
            <v>TGS-27-440BBS-L36 MONTHS/260 000 KMNo</v>
          </cell>
          <cell r="F320">
            <v>332688.20748484245</v>
          </cell>
        </row>
        <row r="321">
          <cell r="E321" t="str">
            <v>TGS-27-440BBS-L36 MONTHS/260 000 KMYes</v>
          </cell>
          <cell r="F321">
            <v>418588.91124421282</v>
          </cell>
        </row>
        <row r="322">
          <cell r="E322" t="str">
            <v>TGS-27-440BBS-L36 MONTHS/270 000 KMNo</v>
          </cell>
          <cell r="F322">
            <v>310923.55839704897</v>
          </cell>
        </row>
        <row r="323">
          <cell r="E323" t="str">
            <v>TGS-27-440BBS-L36 MONTHS/270 000 KMYes</v>
          </cell>
          <cell r="F323">
            <v>391204.58994786243</v>
          </cell>
        </row>
        <row r="324">
          <cell r="E324" t="str">
            <v>TGS-27-440BBS-L36 MONTHS/280 000 KMNo</v>
          </cell>
          <cell r="F324">
            <v>290582.76485705515</v>
          </cell>
        </row>
        <row r="325">
          <cell r="E325" t="str">
            <v>TGS-27-440BBS-L36 MONTHS/280 000 KMYes</v>
          </cell>
          <cell r="F325">
            <v>365611.76630641345</v>
          </cell>
        </row>
        <row r="326">
          <cell r="E326" t="str">
            <v>TGS-27-440BBS-L36 MONTHS/30 000 KMNo</v>
          </cell>
          <cell r="F326">
            <v>622123.55645979114</v>
          </cell>
        </row>
        <row r="327">
          <cell r="E327" t="str">
            <v>TGS-27-440BBS-L36 MONTHS/30 000 KMYes</v>
          </cell>
          <cell r="F327">
            <v>797594.30315357842</v>
          </cell>
        </row>
        <row r="328">
          <cell r="E328" t="str">
            <v>TGS-27-440BBS-L36 MONTHS/40 000 KMNo</v>
          </cell>
          <cell r="F328">
            <v>614746.59729228378</v>
          </cell>
        </row>
        <row r="329">
          <cell r="E329" t="str">
            <v>TGS-27-440BBS-L36 MONTHS/40 000 KMYes</v>
          </cell>
          <cell r="F329">
            <v>788136.66319523554</v>
          </cell>
        </row>
        <row r="330">
          <cell r="E330" t="str">
            <v>TGS-27-440BBS-L36 MONTHS/50 000 KMNo</v>
          </cell>
          <cell r="F330">
            <v>607457.1119488969</v>
          </cell>
        </row>
        <row r="331">
          <cell r="E331" t="str">
            <v>TGS-27-440BBS-L36 MONTHS/50 000 KMYes</v>
          </cell>
          <cell r="F331">
            <v>778791.16916525248</v>
          </cell>
        </row>
        <row r="332">
          <cell r="E332" t="str">
            <v>TGS-27-440BBS-L36 MONTHS/60 000 KMNo</v>
          </cell>
          <cell r="F332">
            <v>600254.06319060957</v>
          </cell>
        </row>
        <row r="333">
          <cell r="E333" t="str">
            <v>TGS-27-440BBS-L36 MONTHS/60 000 KMYes</v>
          </cell>
          <cell r="F333">
            <v>769556.49127001234</v>
          </cell>
        </row>
        <row r="334">
          <cell r="E334" t="str">
            <v>TGS-27-440BBS-L36 MONTHS/70 000 KMNo</v>
          </cell>
          <cell r="F334">
            <v>593723.10899170092</v>
          </cell>
        </row>
        <row r="335">
          <cell r="E335" t="str">
            <v>TGS-27-440BBS-L36 MONTHS/70 000 KMYes</v>
          </cell>
          <cell r="F335">
            <v>761183.47306628327</v>
          </cell>
        </row>
        <row r="336">
          <cell r="E336" t="str">
            <v>TGS-27-440BBS-L36 MONTHS/80 000 KMNo</v>
          </cell>
          <cell r="F336">
            <v>587263.21364164294</v>
          </cell>
        </row>
        <row r="337">
          <cell r="E337" t="str">
            <v>TGS-27-440BBS-L36 MONTHS/80 000 KMYes</v>
          </cell>
          <cell r="F337">
            <v>752901.55595082429</v>
          </cell>
        </row>
        <row r="338">
          <cell r="E338" t="str">
            <v>TGS-27-440BBS-L36 MONTHS/90 000 KMNo</v>
          </cell>
          <cell r="F338">
            <v>580873.60399766872</v>
          </cell>
        </row>
        <row r="339">
          <cell r="E339" t="str">
            <v>TGS-27-440BBS-L36 MONTHS/90 000 KMYes</v>
          </cell>
          <cell r="F339">
            <v>744709.74871495983</v>
          </cell>
        </row>
        <row r="340">
          <cell r="E340" t="str">
            <v>TGS-27-440BBS-L42 MONTHS/10 000 KMNo</v>
          </cell>
          <cell r="F340">
            <v>589948.24778421887</v>
          </cell>
        </row>
        <row r="341">
          <cell r="E341" t="str">
            <v>TGS-27-440BBS-L42 MONTHS/10 000 KMYes</v>
          </cell>
          <cell r="F341">
            <v>756343.9074156651</v>
          </cell>
        </row>
        <row r="342">
          <cell r="E342" t="str">
            <v>TGS-27-440BBS-L42 MONTHS/100 000 KMNo</v>
          </cell>
          <cell r="F342">
            <v>531993.99567504541</v>
          </cell>
        </row>
        <row r="343">
          <cell r="E343" t="str">
            <v>TGS-27-440BBS-L42 MONTHS/100 000 KMYes</v>
          </cell>
          <cell r="F343">
            <v>682043.58419877628</v>
          </cell>
        </row>
        <row r="344">
          <cell r="E344" t="str">
            <v>TGS-27-440BBS-L42 MONTHS/110 000 KMNo</v>
          </cell>
          <cell r="F344">
            <v>526205.73261626658</v>
          </cell>
        </row>
        <row r="345">
          <cell r="E345" t="str">
            <v>TGS-27-440BBS-L42 MONTHS/110 000 KMYes</v>
          </cell>
          <cell r="F345">
            <v>674622.73412341869</v>
          </cell>
        </row>
        <row r="346">
          <cell r="E346" t="str">
            <v>TGS-27-440BBS-L42 MONTHS/120 000 KMNo</v>
          </cell>
          <cell r="F346">
            <v>520995.77486759069</v>
          </cell>
        </row>
        <row r="347">
          <cell r="E347" t="str">
            <v>TGS-27-440BBS-L42 MONTHS/120 000 KMYes</v>
          </cell>
          <cell r="F347">
            <v>667943.30111229571</v>
          </cell>
        </row>
        <row r="348">
          <cell r="E348" t="str">
            <v>TGS-27-440BBS-L42 MONTHS/130 000 KMNo</v>
          </cell>
          <cell r="F348">
            <v>515837.40085900074</v>
          </cell>
        </row>
        <row r="349">
          <cell r="E349" t="str">
            <v>TGS-27-440BBS-L42 MONTHS/130 000 KMYes</v>
          </cell>
          <cell r="F349">
            <v>661330.00110128289</v>
          </cell>
        </row>
        <row r="350">
          <cell r="E350" t="str">
            <v>TGS-27-440BBS-L42 MONTHS/140 000 KMNo</v>
          </cell>
          <cell r="F350">
            <v>510730.09986039682</v>
          </cell>
        </row>
        <row r="351">
          <cell r="E351" t="str">
            <v>TGS-27-440BBS-L42 MONTHS/140 000 KMYes</v>
          </cell>
          <cell r="F351">
            <v>654782.17930820095</v>
          </cell>
        </row>
        <row r="352">
          <cell r="E352" t="str">
            <v>TGS-27-440BBS-L42 MONTHS/150 000 KMNo</v>
          </cell>
          <cell r="F352">
            <v>505673.36619841267</v>
          </cell>
        </row>
        <row r="353">
          <cell r="E353" t="str">
            <v>TGS-27-440BBS-L42 MONTHS/150 000 KMYes</v>
          </cell>
          <cell r="F353">
            <v>648299.18743386224</v>
          </cell>
        </row>
        <row r="354">
          <cell r="E354" t="str">
            <v>TGS-27-440BBS-L42 MONTHS/160 000 KMNo</v>
          </cell>
          <cell r="F354">
            <v>500666.69920634921</v>
          </cell>
        </row>
        <row r="355">
          <cell r="E355" t="str">
            <v>TGS-27-440BBS-L42 MONTHS/160 000 KMYes</v>
          </cell>
          <cell r="F355">
            <v>641880.38359788351</v>
          </cell>
        </row>
        <row r="356">
          <cell r="E356" t="str">
            <v>TGS-27-440BBS-L42 MONTHS/170 000 KMNo</v>
          </cell>
          <cell r="F356">
            <v>495709.60317460319</v>
          </cell>
        </row>
        <row r="357">
          <cell r="E357" t="str">
            <v>TGS-27-440BBS-L42 MONTHS/170 000 KMYes</v>
          </cell>
          <cell r="F357">
            <v>635525.13227513223</v>
          </cell>
        </row>
        <row r="358">
          <cell r="E358" t="str">
            <v>TGS-27-440BBS-L42 MONTHS/180 000 KMNo</v>
          </cell>
          <cell r="F358">
            <v>490801.58730158722</v>
          </cell>
        </row>
        <row r="359">
          <cell r="E359" t="str">
            <v>TGS-27-440BBS-L42 MONTHS/180 000 KMYes</v>
          </cell>
          <cell r="F359">
            <v>629232.8042328041</v>
          </cell>
        </row>
        <row r="360">
          <cell r="E360" t="str">
            <v>TGS-27-440BBS-L42 MONTHS/190 000 KMNo</v>
          </cell>
          <cell r="F360">
            <v>467430.08314436884</v>
          </cell>
        </row>
        <row r="361">
          <cell r="E361" t="str">
            <v>TGS-27-440BBS-L42 MONTHS/190 000 KMYes</v>
          </cell>
          <cell r="F361">
            <v>605031.54253154248</v>
          </cell>
        </row>
        <row r="362">
          <cell r="E362" t="str">
            <v>TGS-27-440BBS-L42 MONTHS/20 000 KMNo</v>
          </cell>
          <cell r="F362">
            <v>582952.81401602656</v>
          </cell>
        </row>
        <row r="363">
          <cell r="E363" t="str">
            <v>TGS-27-440BBS-L42 MONTHS/20 000 KMYes</v>
          </cell>
          <cell r="F363">
            <v>747375.40258464927</v>
          </cell>
        </row>
        <row r="364">
          <cell r="E364" t="str">
            <v>TGS-27-440BBS-L42 MONTHS/200 000 KMNo</v>
          </cell>
          <cell r="F364">
            <v>445171.50775654172</v>
          </cell>
        </row>
        <row r="365">
          <cell r="E365" t="str">
            <v>TGS-27-440BBS-L42 MONTHS/200 000 KMYes</v>
          </cell>
          <cell r="F365">
            <v>570784.47408636077</v>
          </cell>
        </row>
        <row r="366">
          <cell r="E366" t="str">
            <v>TGS-27-440BBS-L42 MONTHS/210 000 KMNo</v>
          </cell>
          <cell r="F366">
            <v>423972.86453003972</v>
          </cell>
        </row>
        <row r="367">
          <cell r="E367" t="str">
            <v>TGS-27-440BBS-L42 MONTHS/210 000 KMYes</v>
          </cell>
          <cell r="F367">
            <v>543604.26103462931</v>
          </cell>
        </row>
        <row r="368">
          <cell r="E368" t="str">
            <v>TGS-27-440BBS-L42 MONTHS/220 000 KMNo</v>
          </cell>
          <cell r="F368">
            <v>403783.6805047997</v>
          </cell>
        </row>
        <row r="369">
          <cell r="E369" t="str">
            <v>TGS-27-440BBS-L42 MONTHS/220 000 KMYes</v>
          </cell>
          <cell r="F369">
            <v>508041.36545292457</v>
          </cell>
        </row>
        <row r="370">
          <cell r="E370" t="str">
            <v>TGS-27-440BBS-L42 MONTHS/230 000 KMNo</v>
          </cell>
          <cell r="F370">
            <v>377367.9257054202</v>
          </cell>
        </row>
        <row r="371">
          <cell r="E371" t="str">
            <v>TGS-27-440BBS-L42 MONTHS/230 000 KMYes</v>
          </cell>
          <cell r="F371">
            <v>474805.01444198546</v>
          </cell>
        </row>
        <row r="372">
          <cell r="E372" t="str">
            <v>TGS-27-440BBS-L42 MONTHS/240 000 KMNo</v>
          </cell>
          <cell r="F372">
            <v>352680.304397589</v>
          </cell>
        </row>
        <row r="373">
          <cell r="E373" t="str">
            <v>TGS-27-440BBS-L42 MONTHS/240 000 KMYes</v>
          </cell>
          <cell r="F373">
            <v>443743.00415138825</v>
          </cell>
        </row>
        <row r="374">
          <cell r="E374" t="str">
            <v>TGS-27-440BBS-L42 MONTHS/250 000 KMNo</v>
          </cell>
          <cell r="F374">
            <v>329607.76111924206</v>
          </cell>
        </row>
        <row r="375">
          <cell r="E375" t="str">
            <v>TGS-27-440BBS-L42 MONTHS/250 000 KMYes</v>
          </cell>
          <cell r="F375">
            <v>414713.08799195156</v>
          </cell>
        </row>
        <row r="376">
          <cell r="E376" t="str">
            <v>TGS-27-440BBS-L42 MONTHS/260 000 KMNo</v>
          </cell>
          <cell r="F376">
            <v>308044.6365600393</v>
          </cell>
        </row>
        <row r="377">
          <cell r="E377" t="str">
            <v>TGS-27-440BBS-L42 MONTHS/260 000 KMYes</v>
          </cell>
          <cell r="F377">
            <v>387582.32522612292</v>
          </cell>
        </row>
        <row r="378">
          <cell r="E378" t="str">
            <v>TGS-27-440BBS-L42 MONTHS/270 000 KMNo</v>
          </cell>
          <cell r="F378">
            <v>287892.18370097131</v>
          </cell>
        </row>
        <row r="379">
          <cell r="E379" t="str">
            <v>TGS-27-440BBS-L42 MONTHS/270 000 KMYes</v>
          </cell>
          <cell r="F379">
            <v>362226.47217394668</v>
          </cell>
        </row>
        <row r="380">
          <cell r="E380" t="str">
            <v>TGS-27-440BBS-L42 MONTHS/280 000 KMNo</v>
          </cell>
          <cell r="F380">
            <v>269058.11560838437</v>
          </cell>
        </row>
        <row r="381">
          <cell r="E381" t="str">
            <v>TGS-27-440BBS-L42 MONTHS/280 000 KMYes</v>
          </cell>
          <cell r="F381">
            <v>338529.41324667912</v>
          </cell>
        </row>
        <row r="382">
          <cell r="E382" t="str">
            <v>TGS-27-440BBS-L42 MONTHS/30 000 KMNo</v>
          </cell>
          <cell r="F382">
            <v>576040.3300553622</v>
          </cell>
        </row>
        <row r="383">
          <cell r="E383" t="str">
            <v>TGS-27-440BBS-L42 MONTHS/30 000 KMYes</v>
          </cell>
          <cell r="F383">
            <v>738513.24366072065</v>
          </cell>
        </row>
        <row r="384">
          <cell r="E384" t="str">
            <v>TGS-27-440BBS-L42 MONTHS/40 000 KMNo</v>
          </cell>
          <cell r="F384">
            <v>569209.81230767013</v>
          </cell>
        </row>
        <row r="385">
          <cell r="E385" t="str">
            <v>TGS-27-440BBS-L42 MONTHS/40 000 KMYes</v>
          </cell>
          <cell r="F385">
            <v>729756.16962521814</v>
          </cell>
        </row>
        <row r="386">
          <cell r="E386" t="str">
            <v>TGS-27-440BBS-L42 MONTHS/50 000 KMNo</v>
          </cell>
          <cell r="F386">
            <v>562460.28884157131</v>
          </cell>
        </row>
        <row r="387">
          <cell r="E387" t="str">
            <v>TGS-27-440BBS-L42 MONTHS/50 000 KMYes</v>
          </cell>
          <cell r="F387">
            <v>721102.93441227078</v>
          </cell>
        </row>
        <row r="388">
          <cell r="E388" t="str">
            <v>TGS-27-440BBS-L42 MONTHS/60 000 KMNo</v>
          </cell>
          <cell r="F388">
            <v>555790.79925056442</v>
          </cell>
        </row>
        <row r="389">
          <cell r="E389" t="str">
            <v>TGS-27-440BBS-L42 MONTHS/60 000 KMYes</v>
          </cell>
          <cell r="F389">
            <v>712552.30673149286</v>
          </cell>
        </row>
        <row r="390">
          <cell r="E390" t="str">
            <v>TGS-27-440BBS-L42 MONTHS/70 000 KMNo</v>
          </cell>
          <cell r="F390">
            <v>549743.61943675997</v>
          </cell>
        </row>
        <row r="391">
          <cell r="E391" t="str">
            <v>TGS-27-440BBS-L42 MONTHS/70 000 KMYes</v>
          </cell>
          <cell r="F391">
            <v>704799.5120984104</v>
          </cell>
        </row>
        <row r="392">
          <cell r="E392" t="str">
            <v>TGS-27-440BBS-L42 MONTHS/80 000 KMNo</v>
          </cell>
          <cell r="F392">
            <v>543762.23485337303</v>
          </cell>
        </row>
        <row r="393">
          <cell r="E393" t="str">
            <v>TGS-27-440BBS-L42 MONTHS/80 000 KMYes</v>
          </cell>
          <cell r="F393">
            <v>697131.07032483735</v>
          </cell>
        </row>
        <row r="394">
          <cell r="E394" t="str">
            <v>TGS-27-440BBS-L42 MONTHS/90 000 KMNo</v>
          </cell>
          <cell r="F394">
            <v>537845.9296274709</v>
          </cell>
        </row>
        <row r="395">
          <cell r="E395" t="str">
            <v>TGS-27-440BBS-L42 MONTHS/90 000 KMYes</v>
          </cell>
          <cell r="F395">
            <v>689546.06362496282</v>
          </cell>
        </row>
        <row r="396">
          <cell r="E396" t="str">
            <v>TGS-27-440BBS-L48 MONTHS/10 000 KMNo</v>
          </cell>
          <cell r="F396">
            <v>541572.4914659129</v>
          </cell>
        </row>
        <row r="397">
          <cell r="E397" t="str">
            <v>TGS-27-440BBS-L48 MONTHS/10 000 KMYes</v>
          </cell>
          <cell r="F397">
            <v>696651.7272884018</v>
          </cell>
        </row>
        <row r="398">
          <cell r="E398" t="str">
            <v>TGS-27-440BBS-L48 MONTHS/100 000 KMNo</v>
          </cell>
          <cell r="F398">
            <v>488370.4880296918</v>
          </cell>
        </row>
        <row r="399">
          <cell r="E399" t="str">
            <v>TGS-27-440BBS-L48 MONTHS/100 000 KMYes</v>
          </cell>
          <cell r="F399">
            <v>626665.71706383082</v>
          </cell>
        </row>
        <row r="400">
          <cell r="E400" t="str">
            <v>TGS-27-440BBS-L48 MONTHS/110 000 KMNo</v>
          </cell>
          <cell r="F400">
            <v>483056.86254173279</v>
          </cell>
        </row>
        <row r="401">
          <cell r="E401" t="str">
            <v>TGS-27-440BBS-L48 MONTHS/110 000 KMYes</v>
          </cell>
          <cell r="F401">
            <v>619847.39571100986</v>
          </cell>
        </row>
        <row r="402">
          <cell r="E402" t="str">
            <v>TGS-27-440BBS-L48 MONTHS/120 000 KMNo</v>
          </cell>
          <cell r="F402">
            <v>478274.12132844824</v>
          </cell>
        </row>
        <row r="403">
          <cell r="E403" t="str">
            <v>TGS-27-440BBS-L48 MONTHS/120 000 KMYes</v>
          </cell>
          <cell r="F403">
            <v>613710.29278317804</v>
          </cell>
        </row>
        <row r="404">
          <cell r="E404" t="str">
            <v>TGS-27-440BBS-L48 MONTHS/130 000 KMNo</v>
          </cell>
          <cell r="F404">
            <v>473538.73398856266</v>
          </cell>
        </row>
        <row r="405">
          <cell r="E405" t="str">
            <v>TGS-27-440BBS-L48 MONTHS/130 000 KMYes</v>
          </cell>
          <cell r="F405">
            <v>607633.95325067139</v>
          </cell>
        </row>
        <row r="406">
          <cell r="E406" t="str">
            <v>TGS-27-440BBS-L48 MONTHS/140 000 KMNo</v>
          </cell>
          <cell r="F406">
            <v>468850.2316718442</v>
          </cell>
        </row>
        <row r="407">
          <cell r="E407" t="str">
            <v>TGS-27-440BBS-L48 MONTHS/140 000 KMYes</v>
          </cell>
          <cell r="F407">
            <v>601617.77549571416</v>
          </cell>
        </row>
        <row r="408">
          <cell r="E408" t="str">
            <v>TGS-27-440BBS-L48 MONTHS/150 000 KMNo</v>
          </cell>
          <cell r="F408">
            <v>464208.15017014276</v>
          </cell>
        </row>
        <row r="409">
          <cell r="E409" t="str">
            <v>TGS-27-440BBS-L48 MONTHS/150 000 KMYes</v>
          </cell>
          <cell r="F409">
            <v>595661.16385714279</v>
          </cell>
        </row>
        <row r="410">
          <cell r="E410" t="str">
            <v>TGS-27-440BBS-L48 MONTHS/160 000 KMNo</v>
          </cell>
          <cell r="F410">
            <v>459612.0298714285</v>
          </cell>
        </row>
        <row r="411">
          <cell r="E411" t="str">
            <v>TGS-27-440BBS-L48 MONTHS/160 000 KMYes</v>
          </cell>
          <cell r="F411">
            <v>589763.5285714285</v>
          </cell>
        </row>
        <row r="412">
          <cell r="E412" t="str">
            <v>TGS-27-440BBS-L48 MONTHS/170 000 KMNo</v>
          </cell>
          <cell r="F412">
            <v>455061.41571428563</v>
          </cell>
        </row>
        <row r="413">
          <cell r="E413" t="str">
            <v>TGS-27-440BBS-L48 MONTHS/170 000 KMYes</v>
          </cell>
          <cell r="F413">
            <v>583924.28571428568</v>
          </cell>
        </row>
        <row r="414">
          <cell r="E414" t="str">
            <v>TGS-27-440BBS-L48 MONTHS/180 000 KMNo</v>
          </cell>
          <cell r="F414">
            <v>450555.8571428571</v>
          </cell>
        </row>
        <row r="415">
          <cell r="E415" t="str">
            <v>TGS-27-440BBS-L48 MONTHS/180 000 KMYes</v>
          </cell>
          <cell r="F415">
            <v>578142.85714285716</v>
          </cell>
        </row>
        <row r="416">
          <cell r="E416" t="str">
            <v>TGS-27-440BBS-L48 MONTHS/190 000 KMNo</v>
          </cell>
          <cell r="F416">
            <v>429100.81632653053</v>
          </cell>
        </row>
        <row r="417">
          <cell r="E417" t="str">
            <v>TGS-27-440BBS-L48 MONTHS/190 000 KMYes</v>
          </cell>
          <cell r="F417">
            <v>555906.59340659331</v>
          </cell>
        </row>
        <row r="418">
          <cell r="E418" t="str">
            <v>TGS-27-440BBS-L48 MONTHS/20 000 KMNo</v>
          </cell>
          <cell r="F418">
            <v>535150.68326671235</v>
          </cell>
        </row>
        <row r="419">
          <cell r="E419" t="str">
            <v>TGS-27-440BBS-L48 MONTHS/20 000 KMYes</v>
          </cell>
          <cell r="F419">
            <v>688051.08867990307</v>
          </cell>
        </row>
        <row r="420">
          <cell r="E420" t="str">
            <v>TGS-27-440BBS-L48 MONTHS/200 000 KMNo</v>
          </cell>
          <cell r="F420">
            <v>408667.44412050524</v>
          </cell>
        </row>
        <row r="421">
          <cell r="E421" t="str">
            <v>TGS-27-440BBS-L48 MONTHS/200 000 KMYes</v>
          </cell>
          <cell r="F421">
            <v>524440.18245905021</v>
          </cell>
        </row>
        <row r="422">
          <cell r="E422" t="str">
            <v>TGS-27-440BBS-L48 MONTHS/210 000 KMNo</v>
          </cell>
          <cell r="F422">
            <v>389207.08963857638</v>
          </cell>
        </row>
        <row r="423">
          <cell r="E423" t="str">
            <v>TGS-27-440BBS-L48 MONTHS/210 000 KMYes</v>
          </cell>
          <cell r="F423">
            <v>499466.84043719067</v>
          </cell>
        </row>
        <row r="424">
          <cell r="E424" t="str">
            <v>TGS-27-440BBS-L48 MONTHS/220 000 KMNo</v>
          </cell>
          <cell r="F424">
            <v>370673.41870340606</v>
          </cell>
        </row>
        <row r="425">
          <cell r="E425" t="str">
            <v>TGS-27-440BBS-L48 MONTHS/220 000 KMYes</v>
          </cell>
          <cell r="F425">
            <v>466791.43966092583</v>
          </cell>
        </row>
        <row r="426">
          <cell r="E426" t="str">
            <v>TGS-27-440BBS-L48 MONTHS/230 000 KMNo</v>
          </cell>
          <cell r="F426">
            <v>346423.75579757575</v>
          </cell>
        </row>
        <row r="427">
          <cell r="E427" t="str">
            <v>TGS-27-440BBS-L48 MONTHS/230 000 KMYes</v>
          </cell>
          <cell r="F427">
            <v>436253.68192609883</v>
          </cell>
        </row>
        <row r="428">
          <cell r="E428" t="str">
            <v>TGS-27-440BBS-L48 MONTHS/240 000 KMNo</v>
          </cell>
          <cell r="F428">
            <v>323760.51943698671</v>
          </cell>
        </row>
        <row r="429">
          <cell r="E429" t="str">
            <v>TGS-27-440BBS-L48 MONTHS/240 000 KMYes</v>
          </cell>
          <cell r="F429">
            <v>407713.7214262606</v>
          </cell>
        </row>
        <row r="430">
          <cell r="E430" t="str">
            <v>TGS-27-440BBS-L48 MONTHS/250 000 KMNo</v>
          </cell>
          <cell r="F430">
            <v>302579.92470746423</v>
          </cell>
        </row>
        <row r="431">
          <cell r="E431" t="str">
            <v>TGS-27-440BBS-L48 MONTHS/250 000 KMYes</v>
          </cell>
          <cell r="F431">
            <v>381040.86114603793</v>
          </cell>
        </row>
        <row r="432">
          <cell r="E432" t="str">
            <v>TGS-27-440BBS-L48 MONTHS/260 000 KMNo</v>
          </cell>
          <cell r="F432">
            <v>282784.97636211605</v>
          </cell>
        </row>
        <row r="433">
          <cell r="E433" t="str">
            <v>TGS-27-440BBS-L48 MONTHS/260 000 KMYes</v>
          </cell>
          <cell r="F433">
            <v>356112.95434209151</v>
          </cell>
        </row>
        <row r="434">
          <cell r="E434" t="str">
            <v>TGS-27-440BBS-L48 MONTHS/270 000 KMNo</v>
          </cell>
          <cell r="F434">
            <v>264285.02463749168</v>
          </cell>
        </row>
        <row r="435">
          <cell r="E435" t="str">
            <v>TGS-27-440BBS-L48 MONTHS/270 000 KMYes</v>
          </cell>
          <cell r="F435">
            <v>332815.84517952474</v>
          </cell>
        </row>
        <row r="436">
          <cell r="E436" t="str">
            <v>TGS-27-440BBS-L48 MONTHS/280 000 KMNo</v>
          </cell>
          <cell r="F436">
            <v>246995.35012849685</v>
          </cell>
        </row>
        <row r="437">
          <cell r="E437" t="str">
            <v>TGS-27-440BBS-L48 MONTHS/280 000 KMYes</v>
          </cell>
          <cell r="F437">
            <v>311042.84596217261</v>
          </cell>
        </row>
        <row r="438">
          <cell r="E438" t="str">
            <v>TGS-27-440BBS-L48 MONTHS/30 000 KMNo</v>
          </cell>
          <cell r="F438">
            <v>528805.02299082256</v>
          </cell>
        </row>
        <row r="439">
          <cell r="E439" t="str">
            <v>TGS-27-440BBS-L48 MONTHS/30 000 KMYes</v>
          </cell>
          <cell r="F439">
            <v>679556.63079496601</v>
          </cell>
        </row>
        <row r="440">
          <cell r="E440" t="str">
            <v>TGS-27-440BBS-L48 MONTHS/40 000 KMNo</v>
          </cell>
          <cell r="F440">
            <v>522534.60769844119</v>
          </cell>
        </row>
        <row r="441">
          <cell r="E441" t="str">
            <v>TGS-27-440BBS-L48 MONTHS/40 000 KMYes</v>
          </cell>
          <cell r="F441">
            <v>671167.04276046029</v>
          </cell>
        </row>
        <row r="442">
          <cell r="E442" t="str">
            <v>TGS-27-440BBS-L48 MONTHS/50 000 KMNo</v>
          </cell>
          <cell r="F442">
            <v>516338.54515656241</v>
          </cell>
        </row>
        <row r="443">
          <cell r="E443" t="str">
            <v>TGS-27-440BBS-L48 MONTHS/50 000 KMYes</v>
          </cell>
          <cell r="F443">
            <v>662881.02988687437</v>
          </cell>
        </row>
        <row r="444">
          <cell r="E444" t="str">
            <v>TGS-27-440BBS-L48 MONTHS/60 000 KMNo</v>
          </cell>
          <cell r="F444">
            <v>510215.95371201821</v>
          </cell>
        </row>
        <row r="445">
          <cell r="E445" t="str">
            <v>TGS-27-440BBS-L48 MONTHS/60 000 KMYes</v>
          </cell>
          <cell r="F445">
            <v>654697.31346851797</v>
          </cell>
        </row>
        <row r="446">
          <cell r="E446" t="str">
            <v>TGS-27-440BBS-L48 MONTHS/70 000 KMNo</v>
          </cell>
          <cell r="F446">
            <v>504664.64264294587</v>
          </cell>
        </row>
        <row r="447">
          <cell r="E447" t="str">
            <v>TGS-27-440BBS-L48 MONTHS/70 000 KMYes</v>
          </cell>
          <cell r="F447">
            <v>647573.99947430065</v>
          </cell>
        </row>
        <row r="448">
          <cell r="E448" t="str">
            <v>TGS-27-440BBS-L48 MONTHS/80 000 KMNo</v>
          </cell>
          <cell r="F448">
            <v>499173.73159539653</v>
          </cell>
        </row>
        <row r="449">
          <cell r="E449" t="str">
            <v>TGS-27-440BBS-L48 MONTHS/80 000 KMYes</v>
          </cell>
          <cell r="F449">
            <v>640528.18939099973</v>
          </cell>
        </row>
        <row r="450">
          <cell r="E450" t="str">
            <v>TGS-27-440BBS-L48 MONTHS/90 000 KMNo</v>
          </cell>
          <cell r="F450">
            <v>493742.56339801836</v>
          </cell>
        </row>
        <row r="451">
          <cell r="E451" t="str">
            <v>TGS-27-440BBS-L48 MONTHS/90 000 KMYes</v>
          </cell>
          <cell r="F451">
            <v>633559.03995153296</v>
          </cell>
        </row>
        <row r="452">
          <cell r="E452" t="str">
            <v>TGS-27-440BBS-L54 MONTHS/10 000 KMNo</v>
          </cell>
          <cell r="F452">
            <v>479267.69156275486</v>
          </cell>
        </row>
        <row r="453">
          <cell r="E453" t="str">
            <v>TGS-27-440BBS-L54 MONTHS/10 000 KMYes</v>
          </cell>
          <cell r="F453">
            <v>616505.95335256809</v>
          </cell>
        </row>
        <row r="454">
          <cell r="E454" t="str">
            <v>TGS-27-440BBS-L54 MONTHS/100 000 KMNo</v>
          </cell>
          <cell r="F454">
            <v>432186.27259264764</v>
          </cell>
        </row>
        <row r="455">
          <cell r="E455" t="str">
            <v>TGS-27-440BBS-L54 MONTHS/100 000 KMYes</v>
          </cell>
          <cell r="F455">
            <v>554571.43102993886</v>
          </cell>
        </row>
        <row r="456">
          <cell r="E456" t="str">
            <v>TGS-27-440BBS-L54 MONTHS/110 000 KMNo</v>
          </cell>
          <cell r="F456">
            <v>427483.94915197592</v>
          </cell>
        </row>
        <row r="457">
          <cell r="E457" t="str">
            <v>TGS-27-440BBS-L54 MONTHS/110 000 KMYes</v>
          </cell>
          <cell r="F457">
            <v>548537.51832832734</v>
          </cell>
        </row>
        <row r="458">
          <cell r="E458" t="str">
            <v>TGS-27-440BBS-L54 MONTHS/120 000 KMNo</v>
          </cell>
          <cell r="F458">
            <v>423251.43480393657</v>
          </cell>
        </row>
        <row r="459">
          <cell r="E459" t="str">
            <v>TGS-27-440BBS-L54 MONTHS/120 000 KMYes</v>
          </cell>
          <cell r="F459">
            <v>543106.45379042323</v>
          </cell>
        </row>
        <row r="460">
          <cell r="E460" t="str">
            <v>TGS-27-440BBS-L54 MONTHS/130 000 KMNo</v>
          </cell>
          <cell r="F460">
            <v>419060.82653855107</v>
          </cell>
        </row>
        <row r="461">
          <cell r="E461" t="str">
            <v>TGS-27-440BBS-L54 MONTHS/130 000 KMYes</v>
          </cell>
          <cell r="F461">
            <v>537729.16216873587</v>
          </cell>
        </row>
        <row r="462">
          <cell r="E462" t="str">
            <v>TGS-27-440BBS-L54 MONTHS/140 000 KMNo</v>
          </cell>
          <cell r="F462">
            <v>414911.70944410993</v>
          </cell>
        </row>
        <row r="463">
          <cell r="E463" t="str">
            <v>TGS-27-440BBS-L54 MONTHS/140 000 KMYes</v>
          </cell>
          <cell r="F463">
            <v>532405.11105815426</v>
          </cell>
        </row>
        <row r="464">
          <cell r="E464" t="str">
            <v>TGS-27-440BBS-L54 MONTHS/150 000 KMNo</v>
          </cell>
          <cell r="F464">
            <v>410803.67271694052</v>
          </cell>
        </row>
        <row r="465">
          <cell r="E465" t="str">
            <v>TGS-27-440BBS-L54 MONTHS/150 000 KMYes</v>
          </cell>
          <cell r="F465">
            <v>527133.7733249052</v>
          </cell>
        </row>
        <row r="466">
          <cell r="E466" t="str">
            <v>TGS-27-440BBS-L54 MONTHS/160 000 KMNo</v>
          </cell>
          <cell r="F466">
            <v>406736.3096207332</v>
          </cell>
        </row>
        <row r="467">
          <cell r="E467" t="str">
            <v>TGS-27-440BBS-L54 MONTHS/160 000 KMYes</v>
          </cell>
          <cell r="F467">
            <v>521914.62705436163</v>
          </cell>
        </row>
        <row r="468">
          <cell r="E468" t="str">
            <v>TGS-27-440BBS-L54 MONTHS/170 000 KMNo</v>
          </cell>
          <cell r="F468">
            <v>402709.21744627052</v>
          </cell>
        </row>
        <row r="469">
          <cell r="E469" t="str">
            <v>TGS-27-440BBS-L54 MONTHS/170 000 KMYes</v>
          </cell>
          <cell r="F469">
            <v>516747.15549936792</v>
          </cell>
        </row>
        <row r="470">
          <cell r="E470" t="str">
            <v>TGS-27-440BBS-L54 MONTHS/180 000 KMNo</v>
          </cell>
          <cell r="F470">
            <v>398721.99747155496</v>
          </cell>
        </row>
        <row r="471">
          <cell r="E471" t="str">
            <v>TGS-27-440BBS-L54 MONTHS/180 000 KMYes</v>
          </cell>
          <cell r="F471">
            <v>511630.84702907718</v>
          </cell>
        </row>
        <row r="472">
          <cell r="E472" t="str">
            <v>TGS-27-440BBS-L54 MONTHS/190 000 KMNo</v>
          </cell>
          <cell r="F472">
            <v>379735.23568719527</v>
          </cell>
        </row>
        <row r="473">
          <cell r="E473" t="str">
            <v>TGS-27-440BBS-L54 MONTHS/190 000 KMYes</v>
          </cell>
          <cell r="F473">
            <v>491952.73752795876</v>
          </cell>
        </row>
        <row r="474">
          <cell r="E474" t="str">
            <v>TGS-27-440BBS-L54 MONTHS/20 000 KMNo</v>
          </cell>
          <cell r="F474">
            <v>473584.67545726767</v>
          </cell>
        </row>
        <row r="475">
          <cell r="E475" t="str">
            <v>TGS-27-440BBS-L54 MONTHS/20 000 KMYes</v>
          </cell>
          <cell r="F475">
            <v>608894.76874327706</v>
          </cell>
        </row>
        <row r="476">
          <cell r="E476" t="str">
            <v>TGS-27-440BBS-L54 MONTHS/200 000 KMNo</v>
          </cell>
          <cell r="F476">
            <v>361652.60541637638</v>
          </cell>
        </row>
        <row r="477">
          <cell r="E477" t="str">
            <v>TGS-27-440BBS-L54 MONTHS/200 000 KMYes</v>
          </cell>
          <cell r="F477">
            <v>464106.35615845158</v>
          </cell>
        </row>
        <row r="478">
          <cell r="E478" t="str">
            <v>TGS-27-440BBS-L54 MONTHS/210 000 KMNo</v>
          </cell>
          <cell r="F478">
            <v>344431.05277750129</v>
          </cell>
        </row>
        <row r="479">
          <cell r="E479" t="str">
            <v>TGS-27-440BBS-L54 MONTHS/210 000 KMYes</v>
          </cell>
          <cell r="F479">
            <v>442006.05348423956</v>
          </cell>
        </row>
        <row r="480">
          <cell r="E480" t="str">
            <v>TGS-27-440BBS-L54 MONTHS/220 000 KMNo</v>
          </cell>
          <cell r="F480">
            <v>328029.57407381065</v>
          </cell>
        </row>
        <row r="481">
          <cell r="E481" t="str">
            <v>TGS-27-440BBS-L54 MONTHS/220 000 KMYes</v>
          </cell>
          <cell r="F481">
            <v>413089.76961143885</v>
          </cell>
        </row>
        <row r="482">
          <cell r="E482" t="str">
            <v>TGS-27-440BBS-L54 MONTHS/230 000 KMNo</v>
          </cell>
          <cell r="F482">
            <v>306569.6953960848</v>
          </cell>
        </row>
        <row r="483">
          <cell r="E483" t="str">
            <v>TGS-27-440BBS-L54 MONTHS/230 000 KMYes</v>
          </cell>
          <cell r="F483">
            <v>386065.20524433529</v>
          </cell>
        </row>
        <row r="484">
          <cell r="E484" t="str">
            <v>TGS-27-440BBS-L54 MONTHS/240 000 KMNo</v>
          </cell>
          <cell r="F484">
            <v>286513.73401503247</v>
          </cell>
        </row>
        <row r="485">
          <cell r="E485" t="str">
            <v>TGS-27-440BBS-L54 MONTHS/240 000 KMYes</v>
          </cell>
          <cell r="F485">
            <v>360808.60303208907</v>
          </cell>
        </row>
        <row r="486">
          <cell r="E486" t="str">
            <v>TGS-27-440BBS-L54 MONTHS/250 000 KMNo</v>
          </cell>
          <cell r="F486">
            <v>267769.84487386217</v>
          </cell>
        </row>
        <row r="487">
          <cell r="E487" t="str">
            <v>TGS-27-440BBS-L54 MONTHS/250 000 KMYes</v>
          </cell>
          <cell r="F487">
            <v>337204.30189914862</v>
          </cell>
        </row>
        <row r="488">
          <cell r="E488" t="str">
            <v>TGS-27-440BBS-L54 MONTHS/260 000 KMNo</v>
          </cell>
          <cell r="F488">
            <v>250252.19147089924</v>
          </cell>
        </row>
        <row r="489">
          <cell r="E489" t="str">
            <v>TGS-27-440BBS-L54 MONTHS/260 000 KMYes</v>
          </cell>
          <cell r="F489">
            <v>315144.20738238189</v>
          </cell>
        </row>
        <row r="490">
          <cell r="E490" t="str">
            <v>TGS-27-440BBS-L54 MONTHS/270 000 KMNo</v>
          </cell>
          <cell r="F490">
            <v>233880.5527765413</v>
          </cell>
        </row>
        <row r="491">
          <cell r="E491" t="str">
            <v>TGS-27-440BBS-L54 MONTHS/270 000 KMYes</v>
          </cell>
          <cell r="F491">
            <v>294527.29661904846</v>
          </cell>
        </row>
        <row r="492">
          <cell r="E492" t="str">
            <v>TGS-27-440BBS-L54 MONTHS/280 000 KMNo</v>
          </cell>
          <cell r="F492">
            <v>218579.95586592646</v>
          </cell>
        </row>
        <row r="493">
          <cell r="E493" t="str">
            <v>TGS-27-440BBS-L54 MONTHS/280 000 KMYes</v>
          </cell>
          <cell r="F493">
            <v>275259.15571873687</v>
          </cell>
        </row>
        <row r="494">
          <cell r="E494" t="str">
            <v>TGS-27-440BBS-L54 MONTHS/30 000 KMNo</v>
          </cell>
          <cell r="F494">
            <v>467969.04689453327</v>
          </cell>
        </row>
        <row r="495">
          <cell r="E495" t="str">
            <v>TGS-27-440BBS-L54 MONTHS/30 000 KMYes</v>
          </cell>
          <cell r="F495">
            <v>601377.5493760762</v>
          </cell>
        </row>
        <row r="496">
          <cell r="E496" t="str">
            <v>TGS-27-440BBS-L54 MONTHS/40 000 KMNo</v>
          </cell>
          <cell r="F496">
            <v>462420.00681277981</v>
          </cell>
        </row>
        <row r="497">
          <cell r="E497" t="str">
            <v>TGS-27-440BBS-L54 MONTHS/40 000 KMYes</v>
          </cell>
          <cell r="F497">
            <v>593953.13518624811</v>
          </cell>
        </row>
        <row r="498">
          <cell r="E498" t="str">
            <v>TGS-27-440BBS-L54 MONTHS/50 000 KMNo</v>
          </cell>
          <cell r="F498">
            <v>456936.76562527649</v>
          </cell>
        </row>
        <row r="499">
          <cell r="E499" t="str">
            <v>TGS-27-440BBS-L54 MONTHS/50 000 KMYes</v>
          </cell>
          <cell r="F499">
            <v>586620.38043086242</v>
          </cell>
        </row>
        <row r="500">
          <cell r="E500" t="str">
            <v>TGS-27-440BBS-L54 MONTHS/60 000 KMNo</v>
          </cell>
          <cell r="F500">
            <v>451518.54310798075</v>
          </cell>
        </row>
        <row r="501">
          <cell r="E501" t="str">
            <v>TGS-27-440BBS-L54 MONTHS/60 000 KMYes</v>
          </cell>
          <cell r="F501">
            <v>579378.15351196285</v>
          </cell>
        </row>
        <row r="502">
          <cell r="E502" t="str">
            <v>TGS-27-440BBS-L54 MONTHS/70 000 KMNo</v>
          </cell>
          <cell r="F502">
            <v>446605.87844508485</v>
          </cell>
        </row>
        <row r="503">
          <cell r="E503" t="str">
            <v>TGS-27-440BBS-L54 MONTHS/70 000 KMYes</v>
          </cell>
          <cell r="F503">
            <v>573074.33581796533</v>
          </cell>
        </row>
        <row r="504">
          <cell r="E504" t="str">
            <v>TGS-27-440BBS-L54 MONTHS/80 000 KMNo</v>
          </cell>
          <cell r="F504">
            <v>441746.66512866953</v>
          </cell>
        </row>
        <row r="505">
          <cell r="E505" t="str">
            <v>TGS-27-440BBS-L54 MONTHS/80 000 KMYes</v>
          </cell>
          <cell r="F505">
            <v>566839.10565575201</v>
          </cell>
        </row>
        <row r="506">
          <cell r="E506" t="str">
            <v>TGS-27-440BBS-L54 MONTHS/90 000 KMNo</v>
          </cell>
          <cell r="F506">
            <v>436940.32159116672</v>
          </cell>
        </row>
        <row r="507">
          <cell r="E507" t="str">
            <v>TGS-27-440BBS-L54 MONTHS/90 000 KMYes</v>
          </cell>
          <cell r="F507">
            <v>560671.71677126817</v>
          </cell>
        </row>
        <row r="508">
          <cell r="E508" t="str">
            <v>TGS-27-440BBS-L60 MONTHS/10 000 KMNo</v>
          </cell>
          <cell r="F508">
            <v>382286.46456417383</v>
          </cell>
        </row>
        <row r="509">
          <cell r="E509" t="str">
            <v>TGS-27-440BBS-L60 MONTHS/10 000 KMYes</v>
          </cell>
          <cell r="F509">
            <v>482767.42505073454</v>
          </cell>
        </row>
        <row r="510">
          <cell r="E510" t="str">
            <v>TGS-27-440BBS-L60 MONTHS/100 000 KMNo</v>
          </cell>
          <cell r="F510">
            <v>344732.10919742956</v>
          </cell>
        </row>
        <row r="511">
          <cell r="E511" t="str">
            <v>TGS-27-440BBS-L60 MONTHS/100 000 KMYes</v>
          </cell>
          <cell r="F511">
            <v>434268.34778984776</v>
          </cell>
        </row>
        <row r="512">
          <cell r="E512" t="str">
            <v>TGS-27-440BBS-L60 MONTHS/110 000 KMNo</v>
          </cell>
          <cell r="F512">
            <v>340981.31473534077</v>
          </cell>
        </row>
        <row r="513">
          <cell r="E513" t="str">
            <v>TGS-27-440BBS-L60 MONTHS/110 000 KMYes</v>
          </cell>
          <cell r="F513">
            <v>429543.3707120156</v>
          </cell>
        </row>
        <row r="514">
          <cell r="E514" t="str">
            <v>TGS-27-440BBS-L60 MONTHS/120 000 KMNo</v>
          </cell>
          <cell r="F514">
            <v>337605.26211419876</v>
          </cell>
        </row>
        <row r="515">
          <cell r="E515" t="str">
            <v>TGS-27-440BBS-L60 MONTHS/120 000 KMYes</v>
          </cell>
          <cell r="F515">
            <v>425290.46605150064</v>
          </cell>
        </row>
        <row r="516">
          <cell r="E516" t="str">
            <v>TGS-27-440BBS-L60 MONTHS/130 000 KMNo</v>
          </cell>
          <cell r="F516">
            <v>334262.63575663243</v>
          </cell>
        </row>
        <row r="517">
          <cell r="E517" t="str">
            <v>TGS-27-440BBS-L60 MONTHS/130 000 KMYes</v>
          </cell>
          <cell r="F517">
            <v>421079.66935792146</v>
          </cell>
        </row>
        <row r="518">
          <cell r="E518" t="str">
            <v>TGS-27-440BBS-L60 MONTHS/140 000 KMNo</v>
          </cell>
          <cell r="F518">
            <v>330953.10470953712</v>
          </cell>
        </row>
        <row r="519">
          <cell r="E519" t="str">
            <v>TGS-27-440BBS-L60 MONTHS/140 000 KMYes</v>
          </cell>
          <cell r="F519">
            <v>416910.56372071424</v>
          </cell>
        </row>
        <row r="520">
          <cell r="E520" t="str">
            <v>TGS-27-440BBS-L60 MONTHS/150 000 KMNo</v>
          </cell>
          <cell r="F520">
            <v>327676.34129657137</v>
          </cell>
        </row>
        <row r="521">
          <cell r="E521" t="str">
            <v>TGS-27-440BBS-L60 MONTHS/150 000 KMYes</v>
          </cell>
          <cell r="F521">
            <v>412782.73635714286</v>
          </cell>
        </row>
        <row r="522">
          <cell r="E522" t="str">
            <v>TGS-27-440BBS-L60 MONTHS/160 000 KMNo</v>
          </cell>
          <cell r="F522">
            <v>324432.02108571422</v>
          </cell>
        </row>
        <row r="523">
          <cell r="E523" t="str">
            <v>TGS-27-440BBS-L60 MONTHS/160 000 KMYes</v>
          </cell>
          <cell r="F523">
            <v>408695.77857142856</v>
          </cell>
        </row>
        <row r="524">
          <cell r="E524" t="str">
            <v>TGS-27-440BBS-L60 MONTHS/170 000 KMNo</v>
          </cell>
          <cell r="F524">
            <v>321219.82285714278</v>
          </cell>
        </row>
        <row r="525">
          <cell r="E525" t="str">
            <v>TGS-27-440BBS-L60 MONTHS/170 000 KMYes</v>
          </cell>
          <cell r="F525">
            <v>404649.28571428568</v>
          </cell>
        </row>
        <row r="526">
          <cell r="E526" t="str">
            <v>TGS-27-440BBS-L60 MONTHS/180 000 KMNo</v>
          </cell>
          <cell r="F526">
            <v>318039.42857142852</v>
          </cell>
        </row>
        <row r="527">
          <cell r="E527" t="str">
            <v>TGS-27-440BBS-L60 MONTHS/180 000 KMYes</v>
          </cell>
          <cell r="F527">
            <v>400642.8571428571</v>
          </cell>
        </row>
        <row r="528">
          <cell r="E528" t="str">
            <v>TGS-27-440BBS-L60 MONTHS/190 000 KMNo</v>
          </cell>
          <cell r="F528">
            <v>302894.69387755095</v>
          </cell>
        </row>
        <row r="529">
          <cell r="E529" t="str">
            <v>TGS-27-440BBS-L60 MONTHS/190 000 KMYes</v>
          </cell>
          <cell r="F529">
            <v>385233.51648351649</v>
          </cell>
        </row>
        <row r="530">
          <cell r="E530" t="str">
            <v>TGS-27-440BBS-L60 MONTHS/20 000 KMNo</v>
          </cell>
          <cell r="F530">
            <v>377753.42348238517</v>
          </cell>
        </row>
        <row r="531">
          <cell r="E531" t="str">
            <v>TGS-27-440BBS-L60 MONTHS/20 000 KMYes</v>
          </cell>
          <cell r="F531">
            <v>476807.33338344161</v>
          </cell>
        </row>
        <row r="532">
          <cell r="E532" t="str">
            <v>TGS-27-440BBS-L60 MONTHS/200 000 KMNo</v>
          </cell>
          <cell r="F532">
            <v>288471.13702623901</v>
          </cell>
        </row>
        <row r="533">
          <cell r="E533" t="str">
            <v>TGS-27-440BBS-L60 MONTHS/200 000 KMYes</v>
          </cell>
          <cell r="F533">
            <v>363427.84573916649</v>
          </cell>
        </row>
        <row r="534">
          <cell r="E534" t="str">
            <v>TGS-27-440BBS-L60 MONTHS/210 000 KMNo</v>
          </cell>
          <cell r="F534">
            <v>274734.4162154657</v>
          </cell>
        </row>
        <row r="535">
          <cell r="E535" t="str">
            <v>TGS-27-440BBS-L60 MONTHS/210 000 KMYes</v>
          </cell>
          <cell r="F535">
            <v>346121.75784682523</v>
          </cell>
        </row>
        <row r="536">
          <cell r="E536" t="str">
            <v>TGS-27-440BBS-L60 MONTHS/220 000 KMNo</v>
          </cell>
          <cell r="F536">
            <v>261651.82496711018</v>
          </cell>
        </row>
        <row r="537">
          <cell r="E537" t="str">
            <v>TGS-27-440BBS-L60 MONTHS/220 000 KMYes</v>
          </cell>
          <cell r="F537">
            <v>323478.27836151887</v>
          </cell>
        </row>
        <row r="538">
          <cell r="E538" t="str">
            <v>TGS-27-440BBS-L60 MONTHS/230 000 KMNo</v>
          </cell>
          <cell r="F538">
            <v>244534.4158571123</v>
          </cell>
        </row>
        <row r="539">
          <cell r="E539" t="str">
            <v>TGS-27-440BBS-L60 MONTHS/230 000 KMYes</v>
          </cell>
          <cell r="F539">
            <v>302316.1480014195</v>
          </cell>
        </row>
        <row r="540">
          <cell r="E540" t="str">
            <v>TGS-27-440BBS-L60 MONTHS/240 000 KMNo</v>
          </cell>
          <cell r="F540">
            <v>228536.83724963764</v>
          </cell>
        </row>
        <row r="541">
          <cell r="E541" t="str">
            <v>TGS-27-440BBS-L60 MONTHS/240 000 KMYes</v>
          </cell>
          <cell r="F541">
            <v>282538.45607609296</v>
          </cell>
        </row>
        <row r="542">
          <cell r="E542" t="str">
            <v>TGS-27-440BBS-L60 MONTHS/250 000 KMNo</v>
          </cell>
          <cell r="F542">
            <v>213585.82920526882</v>
          </cell>
        </row>
        <row r="543">
          <cell r="E543" t="str">
            <v>TGS-27-440BBS-L60 MONTHS/250 000 KMYes</v>
          </cell>
          <cell r="F543">
            <v>264054.63184681587</v>
          </cell>
        </row>
        <row r="544">
          <cell r="E544" t="str">
            <v>TGS-27-440BBS-L60 MONTHS/260 000 KMNo</v>
          </cell>
          <cell r="F544">
            <v>199612.92449090543</v>
          </cell>
        </row>
        <row r="545">
          <cell r="E545" t="str">
            <v>TGS-27-440BBS-L60 MONTHS/260 000 KMYes</v>
          </cell>
          <cell r="F545">
            <v>246780.02976337928</v>
          </cell>
        </row>
        <row r="546">
          <cell r="E546" t="str">
            <v>TGS-27-440BBS-L60 MONTHS/270 000 KMNo</v>
          </cell>
          <cell r="F546">
            <v>186554.13503822937</v>
          </cell>
        </row>
        <row r="547">
          <cell r="E547" t="str">
            <v>TGS-27-440BBS-L60 MONTHS/270 000 KMYes</v>
          </cell>
          <cell r="F547">
            <v>230635.54183493389</v>
          </cell>
        </row>
        <row r="548">
          <cell r="E548" t="str">
            <v>TGS-27-440BBS-L60 MONTHS/280 000 KMNo</v>
          </cell>
          <cell r="F548">
            <v>174349.65891423303</v>
          </cell>
        </row>
        <row r="549">
          <cell r="E549" t="str">
            <v>TGS-27-440BBS-L60 MONTHS/280 000 KMYes</v>
          </cell>
          <cell r="F549">
            <v>215547.2353597513</v>
          </cell>
        </row>
        <row r="550">
          <cell r="E550" t="str">
            <v>TGS-27-440BBS-L60 MONTHS/30 000 KMNo</v>
          </cell>
          <cell r="F550">
            <v>373274.13387587469</v>
          </cell>
        </row>
        <row r="551">
          <cell r="E551" t="str">
            <v>TGS-27-440BBS-L60 MONTHS/30 000 KMYes</v>
          </cell>
          <cell r="F551">
            <v>470920.82309475716</v>
          </cell>
        </row>
        <row r="552">
          <cell r="E552" t="str">
            <v>TGS-27-440BBS-L60 MONTHS/40 000 KMNo</v>
          </cell>
          <cell r="F552">
            <v>368847.95837537025</v>
          </cell>
        </row>
        <row r="553">
          <cell r="E553" t="str">
            <v>TGS-27-440BBS-L60 MONTHS/40 000 KMYes</v>
          </cell>
          <cell r="F553">
            <v>465106.9857725997</v>
          </cell>
        </row>
        <row r="554">
          <cell r="E554" t="str">
            <v>TGS-27-440BBS-L60 MONTHS/50 000 KMNo</v>
          </cell>
          <cell r="F554">
            <v>364474.26716933819</v>
          </cell>
        </row>
        <row r="555">
          <cell r="E555" t="str">
            <v>TGS-27-440BBS-L60 MONTHS/50 000 KMYes</v>
          </cell>
          <cell r="F555">
            <v>459364.92421985156</v>
          </cell>
        </row>
        <row r="556">
          <cell r="E556" t="str">
            <v>TGS-27-440BBS-L60 MONTHS/60 000 KMNo</v>
          </cell>
          <cell r="F556">
            <v>360152.43791436579</v>
          </cell>
        </row>
        <row r="557">
          <cell r="E557" t="str">
            <v>TGS-27-440BBS-L60 MONTHS/60 000 KMYes</v>
          </cell>
          <cell r="F557">
            <v>453693.75231590279</v>
          </cell>
        </row>
        <row r="558">
          <cell r="E558" t="str">
            <v>TGS-27-440BBS-L60 MONTHS/70 000 KMNo</v>
          </cell>
          <cell r="F558">
            <v>356233.86539502064</v>
          </cell>
        </row>
        <row r="559">
          <cell r="E559" t="str">
            <v>TGS-27-440BBS-L60 MONTHS/70 000 KMYes</v>
          </cell>
          <cell r="F559">
            <v>448757.42068833119</v>
          </cell>
        </row>
        <row r="560">
          <cell r="E560" t="str">
            <v>TGS-27-440BBS-L60 MONTHS/80 000 KMNo</v>
          </cell>
          <cell r="F560">
            <v>352357.92818498582</v>
          </cell>
        </row>
        <row r="561">
          <cell r="E561" t="str">
            <v>TGS-27-440BBS-L60 MONTHS/80 000 KMYes</v>
          </cell>
          <cell r="F561">
            <v>443874.79791130684</v>
          </cell>
        </row>
        <row r="562">
          <cell r="E562" t="str">
            <v>TGS-27-440BBS-L60 MONTHS/90 000 KMNo</v>
          </cell>
          <cell r="F562">
            <v>348524.16239860124</v>
          </cell>
        </row>
        <row r="563">
          <cell r="E563" t="str">
            <v>TGS-27-440BBS-L60 MONTHS/90 000 KMYes</v>
          </cell>
          <cell r="F563">
            <v>439045.299615536</v>
          </cell>
        </row>
        <row r="564">
          <cell r="E564" t="str">
            <v>TGS-33-440BBS-L36 MONTHS/10 000 KMNo</v>
          </cell>
          <cell r="F564">
            <v>556863.19681176334</v>
          </cell>
        </row>
        <row r="565">
          <cell r="E565" t="str">
            <v>TGS-33-440BBS-L36 MONTHS/10 000 KMYes</v>
          </cell>
          <cell r="F565">
            <v>714984.66748020204</v>
          </cell>
        </row>
        <row r="566">
          <cell r="E566" t="str">
            <v>TGS-33-440BBS-L36 MONTHS/100 000 KMNo</v>
          </cell>
          <cell r="F566">
            <v>502159.09315595723</v>
          </cell>
        </row>
        <row r="567">
          <cell r="E567" t="str">
            <v>TGS-33-440BBS-L36 MONTHS/100 000 KMYes</v>
          </cell>
          <cell r="F567">
            <v>643156.92014445818</v>
          </cell>
        </row>
        <row r="568">
          <cell r="E568" t="str">
            <v>TGS-33-440BBS-L36 MONTHS/110 000 KMNo</v>
          </cell>
          <cell r="F568">
            <v>496695.44327987859</v>
          </cell>
        </row>
        <row r="569">
          <cell r="E569" t="str">
            <v>TGS-33-440BBS-L36 MONTHS/110 000 KMYes</v>
          </cell>
          <cell r="F569">
            <v>636159.16928235232</v>
          </cell>
        </row>
        <row r="570">
          <cell r="E570" t="str">
            <v>TGS-33-440BBS-L36 MONTHS/120 000 KMNo</v>
          </cell>
          <cell r="F570">
            <v>491291.23964379687</v>
          </cell>
        </row>
        <row r="571">
          <cell r="E571" t="str">
            <v>TGS-33-440BBS-L36 MONTHS/120 000 KMYes</v>
          </cell>
          <cell r="F571">
            <v>629860.56364589336</v>
          </cell>
        </row>
        <row r="572">
          <cell r="E572" t="str">
            <v>TGS-33-440BBS-L36 MONTHS/130 000 KMNo</v>
          </cell>
          <cell r="F572">
            <v>486426.96994435333</v>
          </cell>
        </row>
        <row r="573">
          <cell r="E573" t="str">
            <v>TGS-33-440BBS-L36 MONTHS/130 000 KMYes</v>
          </cell>
          <cell r="F573">
            <v>623624.32044147851</v>
          </cell>
        </row>
        <row r="574">
          <cell r="E574" t="str">
            <v>TGS-33-440BBS-L36 MONTHS/140 000 KMYes</v>
          </cell>
          <cell r="F574">
            <v>617449.82221928565</v>
          </cell>
        </row>
        <row r="575">
          <cell r="E575" t="str">
            <v>TGS-33-440BBS-L36 MONTHS/150 000 KMNo</v>
          </cell>
          <cell r="F575">
            <v>476842.43696142861</v>
          </cell>
        </row>
        <row r="576">
          <cell r="E576" t="str">
            <v>TGS-33-440BBS-L36 MONTHS/150 000 KMYes</v>
          </cell>
          <cell r="F576">
            <v>611336.4576428571</v>
          </cell>
        </row>
        <row r="577">
          <cell r="E577" t="str">
            <v>TGS-33-440BBS-L36 MONTHS/160 000 KMNo</v>
          </cell>
          <cell r="F577">
            <v>472121.22471428575</v>
          </cell>
        </row>
        <row r="578">
          <cell r="E578" t="str">
            <v>TGS-33-440BBS-L36 MONTHS/160 000 KMYes</v>
          </cell>
          <cell r="F578">
            <v>605283.62142857141</v>
          </cell>
        </row>
        <row r="579">
          <cell r="E579" t="str">
            <v>TGS-33-440BBS-L36 MONTHS/170 000 KMNo</v>
          </cell>
          <cell r="F579">
            <v>467446.75714285712</v>
          </cell>
        </row>
        <row r="580">
          <cell r="E580" t="str">
            <v>TGS-33-440BBS-L36 MONTHS/170 000 KMYes</v>
          </cell>
          <cell r="F580">
            <v>599290.7142857142</v>
          </cell>
        </row>
        <row r="581">
          <cell r="E581" t="str">
            <v>TGS-33-440BBS-L36 MONTHS/180 000 KMNo</v>
          </cell>
          <cell r="F581">
            <v>462818.57142857142</v>
          </cell>
        </row>
        <row r="582">
          <cell r="E582" t="str">
            <v>TGS-33-440BBS-L36 MONTHS/180 000 KMYes</v>
          </cell>
          <cell r="F582">
            <v>593357.14285714284</v>
          </cell>
        </row>
        <row r="583">
          <cell r="E583" t="str">
            <v>TGS-33-440BBS-L36 MONTHS/190 000 KMNo</v>
          </cell>
          <cell r="F583">
            <v>440779.59183673467</v>
          </cell>
        </row>
        <row r="584">
          <cell r="E584" t="str">
            <v>TGS-33-440BBS-L36 MONTHS/190 000 KMYes</v>
          </cell>
          <cell r="F584">
            <v>565102.04081632651</v>
          </cell>
        </row>
        <row r="585">
          <cell r="E585" t="str">
            <v>TGS-33-440BBS-L36 MONTHS/20 000 KMNo</v>
          </cell>
          <cell r="F585">
            <v>550260.07590095187</v>
          </cell>
        </row>
        <row r="586">
          <cell r="E586" t="str">
            <v>TGS-33-440BBS-L36 MONTHS/20 000 KMYes</v>
          </cell>
          <cell r="F586">
            <v>706157.69627674285</v>
          </cell>
        </row>
        <row r="587">
          <cell r="E587" t="str">
            <v>TGS-33-440BBS-L36 MONTHS/200 000 KMNo</v>
          </cell>
          <cell r="F587">
            <v>419790.08746355679</v>
          </cell>
        </row>
        <row r="588">
          <cell r="E588" t="str">
            <v>TGS-33-440BBS-L36 MONTHS/200 000 KMYes</v>
          </cell>
          <cell r="F588">
            <v>533115.13284559106</v>
          </cell>
        </row>
        <row r="589">
          <cell r="E589" t="str">
            <v>TGS-33-440BBS-L36 MONTHS/210 000 KMNo</v>
          </cell>
          <cell r="F589">
            <v>399800.08329862548</v>
          </cell>
        </row>
        <row r="590">
          <cell r="E590" t="str">
            <v>TGS-33-440BBS-L36 MONTHS/210 000 KMYes</v>
          </cell>
          <cell r="F590">
            <v>502938.80457131221</v>
          </cell>
        </row>
        <row r="591">
          <cell r="E591" t="str">
            <v>TGS-33-440BBS-L36 MONTHS/220 000 KMNo</v>
          </cell>
          <cell r="F591">
            <v>380761.984093929</v>
          </cell>
        </row>
        <row r="592">
          <cell r="E592" t="str">
            <v>TGS-33-440BBS-L36 MONTHS/220 000 KMYes</v>
          </cell>
          <cell r="F592">
            <v>478989.33768696402</v>
          </cell>
        </row>
        <row r="593">
          <cell r="E593" t="str">
            <v>TGS-33-440BBS-L36 MONTHS/230 000 KMNo</v>
          </cell>
          <cell r="F593">
            <v>355852.32158311119</v>
          </cell>
        </row>
        <row r="594">
          <cell r="E594" t="str">
            <v>TGS-33-440BBS-L36 MONTHS/230 000 KMYes</v>
          </cell>
          <cell r="F594">
            <v>447653.58662333083</v>
          </cell>
        </row>
        <row r="595">
          <cell r="E595" t="str">
            <v>TGS-33-440BBS-L36 MONTHS/240 000 KMNo</v>
          </cell>
          <cell r="F595">
            <v>332572.26316178613</v>
          </cell>
        </row>
        <row r="596">
          <cell r="E596" t="str">
            <v>TGS-33-440BBS-L36 MONTHS/240 000 KMYes</v>
          </cell>
          <cell r="F596">
            <v>418367.8379657297</v>
          </cell>
        </row>
        <row r="597">
          <cell r="E597" t="str">
            <v>TGS-33-440BBS-L36 MONTHS/250 000 KMNo</v>
          </cell>
          <cell r="F597">
            <v>310815.19921662257</v>
          </cell>
        </row>
        <row r="598">
          <cell r="E598" t="str">
            <v>TGS-33-440BBS-L36 MONTHS/250 000 KMYes</v>
          </cell>
          <cell r="F598">
            <v>390997.97940722405</v>
          </cell>
        </row>
        <row r="599">
          <cell r="E599" t="str">
            <v>TGS-33-440BBS-L36 MONTHS/260 000 KMNo</v>
          </cell>
          <cell r="F599">
            <v>290481.49459497439</v>
          </cell>
        </row>
        <row r="600">
          <cell r="E600" t="str">
            <v>TGS-33-440BBS-L36 MONTHS/260 000 KMYes</v>
          </cell>
          <cell r="F600">
            <v>365418.67234320001</v>
          </cell>
        </row>
        <row r="601">
          <cell r="E601" t="str">
            <v>TGS-33-440BBS-L36 MONTHS/270 000 KMNo</v>
          </cell>
          <cell r="F601">
            <v>271478.03233175172</v>
          </cell>
        </row>
        <row r="602">
          <cell r="E602" t="str">
            <v>TGS-33-440BBS-L36 MONTHS/270 000 KMYes</v>
          </cell>
          <cell r="F602">
            <v>341512.77789084113</v>
          </cell>
        </row>
        <row r="603">
          <cell r="E603" t="str">
            <v>TGS-33-440BBS-L36 MONTHS/280 000 KMNo</v>
          </cell>
          <cell r="F603">
            <v>253717.78722593616</v>
          </cell>
        </row>
        <row r="604">
          <cell r="E604" t="str">
            <v>TGS-33-440BBS-L36 MONTHS/280 000 KMYes</v>
          </cell>
          <cell r="F604">
            <v>319170.82045872998</v>
          </cell>
        </row>
        <row r="605">
          <cell r="E605" t="str">
            <v>TGS-33-440BBS-L36 MONTHS/30 000 KMNo</v>
          </cell>
          <cell r="F605">
            <v>543735.25286655326</v>
          </cell>
        </row>
        <row r="606">
          <cell r="E606" t="str">
            <v>TGS-33-440BBS-L36 MONTHS/30 000 KMYes</v>
          </cell>
          <cell r="F606">
            <v>697439.70002641261</v>
          </cell>
        </row>
        <row r="607">
          <cell r="E607" t="str">
            <v>TGS-33-440BBS-L36 MONTHS/40 000 KMNo</v>
          </cell>
          <cell r="F607">
            <v>537287.79927525029</v>
          </cell>
        </row>
        <row r="608">
          <cell r="E608" t="str">
            <v>TGS-33-440BBS-L36 MONTHS/40 000 KMYes</v>
          </cell>
          <cell r="F608">
            <v>688829.33335941995</v>
          </cell>
        </row>
        <row r="609">
          <cell r="E609" t="str">
            <v>TGS-33-440BBS-L36 MONTHS/50 000 KMNo</v>
          </cell>
          <cell r="F609">
            <v>530916.79770281643</v>
          </cell>
        </row>
        <row r="610">
          <cell r="E610" t="str">
            <v>TGS-33-440BBS-L36 MONTHS/50 000 KMYes</v>
          </cell>
          <cell r="F610">
            <v>680325.26751547644</v>
          </cell>
        </row>
        <row r="611">
          <cell r="E611" t="str">
            <v>TGS-33-440BBS-L36 MONTHS/60 000 KMNo</v>
          </cell>
          <cell r="F611">
            <v>524621.34160357364</v>
          </cell>
        </row>
        <row r="612">
          <cell r="E612" t="str">
            <v>TGS-33-440BBS-L36 MONTHS/60 000 KMYes</v>
          </cell>
          <cell r="F612">
            <v>671926.19013874221</v>
          </cell>
        </row>
        <row r="613">
          <cell r="E613" t="str">
            <v>TGS-33-440BBS-L36 MONTHS/70 000 KMNo</v>
          </cell>
          <cell r="F613">
            <v>518913.29535467224</v>
          </cell>
        </row>
        <row r="614">
          <cell r="E614" t="str">
            <v>TGS-33-440BBS-L36 MONTHS/70 000 KMYes</v>
          </cell>
          <cell r="F614">
            <v>664615.42051309813</v>
          </cell>
        </row>
        <row r="615">
          <cell r="E615" t="str">
            <v>TGS-33-440BBS-L36 MONTHS/80 000 KMNo</v>
          </cell>
          <cell r="F615">
            <v>513267.3544556601</v>
          </cell>
        </row>
        <row r="616">
          <cell r="E616" t="str">
            <v>TGS-33-440BBS-L36 MONTHS/80 000 KMYes</v>
          </cell>
          <cell r="F616">
            <v>657384.19437497354</v>
          </cell>
        </row>
        <row r="617">
          <cell r="E617" t="str">
            <v>TGS-33-440BBS-L36 MONTHS/90 000 KMNo</v>
          </cell>
          <cell r="F617">
            <v>507682.84318067273</v>
          </cell>
        </row>
        <row r="618">
          <cell r="E618" t="str">
            <v>TGS-33-440BBS-L36 MONTHS/90 000 KMYes</v>
          </cell>
          <cell r="F618">
            <v>650231.64626604703</v>
          </cell>
        </row>
        <row r="619">
          <cell r="E619" t="str">
            <v>TGS-33-440BBS-L42 MONTHS/10 000 KMNo</v>
          </cell>
          <cell r="F619">
            <v>515614.07112200308</v>
          </cell>
        </row>
        <row r="620">
          <cell r="E620" t="str">
            <v>TGS-33-440BBS-L42 MONTHS/10 000 KMYes</v>
          </cell>
          <cell r="F620">
            <v>662022.8402594463</v>
          </cell>
        </row>
        <row r="621">
          <cell r="E621" t="str">
            <v>TGS-33-440BBS-L42 MONTHS/100 000 KMNo</v>
          </cell>
          <cell r="F621">
            <v>464962.12329255295</v>
          </cell>
        </row>
        <row r="622">
          <cell r="E622" t="str">
            <v>TGS-33-440BBS-L42 MONTHS/100 000 KMYes</v>
          </cell>
          <cell r="F622">
            <v>595515.66680042411</v>
          </cell>
        </row>
        <row r="623">
          <cell r="E623" t="str">
            <v>TGS-33-440BBS-L42 MONTHS/110 000 KMNo</v>
          </cell>
          <cell r="F623">
            <v>459903.18822210981</v>
          </cell>
        </row>
        <row r="624">
          <cell r="E624" t="str">
            <v>TGS-33-440BBS-L42 MONTHS/110 000 KMYes</v>
          </cell>
          <cell r="F624">
            <v>589036.26785402978</v>
          </cell>
        </row>
        <row r="625">
          <cell r="E625" t="str">
            <v>TGS-33-440BBS-L42 MONTHS/120 000 KMNo</v>
          </cell>
          <cell r="F625">
            <v>454899.29596647859</v>
          </cell>
        </row>
        <row r="626">
          <cell r="E626" t="str">
            <v>TGS-33-440BBS-L42 MONTHS/120 000 KMYes</v>
          </cell>
          <cell r="F626">
            <v>583204.22559804935</v>
          </cell>
        </row>
        <row r="627">
          <cell r="E627" t="str">
            <v>TGS-33-440BBS-L42 MONTHS/130 000 KMNo</v>
          </cell>
          <cell r="F627">
            <v>450395.34254106786</v>
          </cell>
        </row>
        <row r="628">
          <cell r="E628" t="str">
            <v>TGS-33-440BBS-L42 MONTHS/130 000 KMYes</v>
          </cell>
          <cell r="F628">
            <v>577429.92633470229</v>
          </cell>
        </row>
        <row r="629">
          <cell r="E629" t="str">
            <v>TGS-33-440BBS-L42 MONTHS/140 000 KMNo</v>
          </cell>
          <cell r="F629">
            <v>445935.98271392862</v>
          </cell>
        </row>
        <row r="630">
          <cell r="E630" t="str">
            <v>TGS-33-440BBS-L42 MONTHS/140 000 KMYes</v>
          </cell>
          <cell r="F630">
            <v>571712.7983511904</v>
          </cell>
        </row>
        <row r="631">
          <cell r="E631" t="str">
            <v>TGS-33-440BBS-L42 MONTHS/150 000 KMNo</v>
          </cell>
          <cell r="F631">
            <v>441520.77496428572</v>
          </cell>
        </row>
        <row r="632">
          <cell r="E632" t="str">
            <v>TGS-33-440BBS-L42 MONTHS/150 000 KMYes</v>
          </cell>
          <cell r="F632">
            <v>566052.27559523797</v>
          </cell>
        </row>
        <row r="633">
          <cell r="E633" t="str">
            <v>TGS-33-440BBS-L42 MONTHS/160 000 KMNo</v>
          </cell>
          <cell r="F633">
            <v>437149.28214285715</v>
          </cell>
        </row>
        <row r="634">
          <cell r="E634" t="str">
            <v>TGS-33-440BBS-L42 MONTHS/160 000 KMYes</v>
          </cell>
          <cell r="F634">
            <v>560447.79761904757</v>
          </cell>
        </row>
        <row r="635">
          <cell r="E635" t="str">
            <v>TGS-33-440BBS-L42 MONTHS/170 000 KMNo</v>
          </cell>
          <cell r="F635">
            <v>432821.07142857142</v>
          </cell>
        </row>
        <row r="636">
          <cell r="E636" t="str">
            <v>TGS-33-440BBS-L42 MONTHS/170 000 KMYes</v>
          </cell>
          <cell r="F636">
            <v>554898.80952380947</v>
          </cell>
        </row>
        <row r="637">
          <cell r="E637" t="str">
            <v>TGS-33-440BBS-L42 MONTHS/180 000 KMNo</v>
          </cell>
          <cell r="F637">
            <v>428535.7142857142</v>
          </cell>
        </row>
        <row r="638">
          <cell r="E638" t="str">
            <v>TGS-33-440BBS-L42 MONTHS/180 000 KMYes</v>
          </cell>
          <cell r="F638">
            <v>549404.76190476189</v>
          </cell>
        </row>
        <row r="639">
          <cell r="E639" t="str">
            <v>TGS-33-440BBS-L42 MONTHS/190 000 KMNo</v>
          </cell>
          <cell r="F639">
            <v>408129.25170068024</v>
          </cell>
        </row>
        <row r="640">
          <cell r="E640" t="str">
            <v>TGS-33-440BBS-L42 MONTHS/190 000 KMYes</v>
          </cell>
          <cell r="F640">
            <v>523242.63038548752</v>
          </cell>
        </row>
        <row r="641">
          <cell r="E641" t="str">
            <v>TGS-33-440BBS-L42 MONTHS/20 000 KMNo</v>
          </cell>
          <cell r="F641">
            <v>509500.07027865917</v>
          </cell>
        </row>
        <row r="642">
          <cell r="E642" t="str">
            <v>TGS-33-440BBS-L42 MONTHS/20 000 KMYes</v>
          </cell>
          <cell r="F642">
            <v>653849.71877476189</v>
          </cell>
        </row>
        <row r="643">
          <cell r="E643" t="str">
            <v>TGS-33-440BBS-L42 MONTHS/200 000 KMNo</v>
          </cell>
          <cell r="F643">
            <v>388694.52542921924</v>
          </cell>
        </row>
        <row r="644">
          <cell r="E644" t="str">
            <v>TGS-33-440BBS-L42 MONTHS/200 000 KMYes</v>
          </cell>
          <cell r="F644">
            <v>493625.12300517684</v>
          </cell>
        </row>
        <row r="645">
          <cell r="E645" t="str">
            <v>TGS-33-440BBS-L42 MONTHS/210 000 KMNo</v>
          </cell>
          <cell r="F645">
            <v>370185.26231354213</v>
          </cell>
        </row>
        <row r="646">
          <cell r="E646" t="str">
            <v>TGS-33-440BBS-L42 MONTHS/210 000 KMYes</v>
          </cell>
          <cell r="F646">
            <v>465684.07830677053</v>
          </cell>
        </row>
        <row r="647">
          <cell r="E647" t="str">
            <v>TGS-33-440BBS-L42 MONTHS/220 000 KMNo</v>
          </cell>
          <cell r="F647">
            <v>352557.39267956384</v>
          </cell>
        </row>
        <row r="648">
          <cell r="E648" t="str">
            <v>TGS-33-440BBS-L42 MONTHS/220 000 KMYes</v>
          </cell>
          <cell r="F648">
            <v>443508.64600644814</v>
          </cell>
        </row>
        <row r="649">
          <cell r="E649" t="str">
            <v>TGS-33-440BBS-L42 MONTHS/230 000 KMNo</v>
          </cell>
          <cell r="F649">
            <v>329492.89035473258</v>
          </cell>
        </row>
        <row r="650">
          <cell r="E650" t="str">
            <v>TGS-33-440BBS-L42 MONTHS/230 000 KMYes</v>
          </cell>
          <cell r="F650">
            <v>414494.06168826926</v>
          </cell>
        </row>
        <row r="651">
          <cell r="E651" t="str">
            <v>TGS-33-440BBS-L42 MONTHS/240 000 KMNo</v>
          </cell>
          <cell r="F651">
            <v>307937.28070535749</v>
          </cell>
        </row>
        <row r="652">
          <cell r="E652" t="str">
            <v>TGS-33-440BBS-L42 MONTHS/240 000 KMYes</v>
          </cell>
          <cell r="F652">
            <v>387377.62774604606</v>
          </cell>
        </row>
        <row r="653">
          <cell r="E653" t="str">
            <v>TGS-33-440BBS-L42 MONTHS/250 000 KMNo</v>
          </cell>
          <cell r="F653">
            <v>287791.85112650233</v>
          </cell>
        </row>
        <row r="654">
          <cell r="E654" t="str">
            <v>TGS-33-440BBS-L42 MONTHS/250 000 KMYes</v>
          </cell>
          <cell r="F654">
            <v>362035.16611779999</v>
          </cell>
        </row>
        <row r="655">
          <cell r="E655" t="str">
            <v>TGS-33-440BBS-L42 MONTHS/260 000 KMNo</v>
          </cell>
          <cell r="F655">
            <v>268964.34684719844</v>
          </cell>
        </row>
        <row r="656">
          <cell r="E656" t="str">
            <v>TGS-33-440BBS-L42 MONTHS/260 000 KMYes</v>
          </cell>
          <cell r="F656">
            <v>338350.62254000001</v>
          </cell>
        </row>
        <row r="657">
          <cell r="E657" t="str">
            <v>TGS-33-440BBS-L42 MONTHS/270 000 KMNo</v>
          </cell>
          <cell r="F657">
            <v>251368.54845532565</v>
          </cell>
        </row>
        <row r="658">
          <cell r="E658" t="str">
            <v>TGS-33-440BBS-L42 MONTHS/270 000 KMYes</v>
          </cell>
          <cell r="F658">
            <v>316215.53508411208</v>
          </cell>
        </row>
        <row r="659">
          <cell r="E659" t="str">
            <v>TGS-33-440BBS-L42 MONTHS/280 000 KMNo</v>
          </cell>
          <cell r="F659">
            <v>234923.87706105199</v>
          </cell>
        </row>
        <row r="660">
          <cell r="E660" t="str">
            <v>TGS-33-440BBS-L42 MONTHS/280 000 KMYes</v>
          </cell>
          <cell r="F660">
            <v>295528.53746178705</v>
          </cell>
        </row>
        <row r="661">
          <cell r="E661" t="str">
            <v>TGS-33-440BBS-L42 MONTHS/30 000 KMNo</v>
          </cell>
          <cell r="F661">
            <v>503458.56746903074</v>
          </cell>
        </row>
        <row r="662">
          <cell r="E662" t="str">
            <v>TGS-33-440BBS-L42 MONTHS/30 000 KMYes</v>
          </cell>
          <cell r="F662">
            <v>645777.50002445618</v>
          </cell>
        </row>
        <row r="663">
          <cell r="E663" t="str">
            <v>TGS-33-440BBS-L42 MONTHS/40 000 KMNo</v>
          </cell>
          <cell r="F663">
            <v>497488.70303263905</v>
          </cell>
        </row>
        <row r="664">
          <cell r="E664" t="str">
            <v>TGS-33-440BBS-L42 MONTHS/40 000 KMYes</v>
          </cell>
          <cell r="F664">
            <v>637804.93829575914</v>
          </cell>
        </row>
        <row r="665">
          <cell r="E665" t="str">
            <v>TGS-33-440BBS-L42 MONTHS/50 000 KMNo</v>
          </cell>
          <cell r="F665">
            <v>491589.62750260782</v>
          </cell>
        </row>
        <row r="666">
          <cell r="E666" t="str">
            <v>TGS-33-440BBS-L42 MONTHS/50 000 KMYes</v>
          </cell>
          <cell r="F666">
            <v>629930.80325507082</v>
          </cell>
        </row>
        <row r="667">
          <cell r="E667" t="str">
            <v>TGS-33-440BBS-L42 MONTHS/60 000 KMNo</v>
          </cell>
          <cell r="F667">
            <v>485760.50148479035</v>
          </cell>
        </row>
        <row r="668">
          <cell r="E668" t="str">
            <v>TGS-33-440BBS-L42 MONTHS/60 000 KMYes</v>
          </cell>
          <cell r="F668">
            <v>622153.87975809455</v>
          </cell>
        </row>
        <row r="669">
          <cell r="E669" t="str">
            <v>TGS-33-440BBS-L42 MONTHS/70 000 KMNo</v>
          </cell>
          <cell r="F669">
            <v>480475.27347654832</v>
          </cell>
        </row>
        <row r="670">
          <cell r="E670" t="str">
            <v>TGS-33-440BBS-L42 MONTHS/70 000 KMYes</v>
          </cell>
          <cell r="F670">
            <v>615384.6486232389</v>
          </cell>
        </row>
        <row r="671">
          <cell r="E671" t="str">
            <v>TGS-33-440BBS-L42 MONTHS/80 000 KMNo</v>
          </cell>
          <cell r="F671">
            <v>475247.55042190745</v>
          </cell>
        </row>
        <row r="672">
          <cell r="E672" t="str">
            <v>TGS-33-440BBS-L42 MONTHS/80 000 KMYes</v>
          </cell>
          <cell r="F672">
            <v>608689.06886571611</v>
          </cell>
        </row>
        <row r="673">
          <cell r="E673" t="str">
            <v>TGS-33-440BBS-L42 MONTHS/90 000 KMNo</v>
          </cell>
          <cell r="F673">
            <v>470076.70664877101</v>
          </cell>
        </row>
        <row r="674">
          <cell r="E674" t="str">
            <v>TGS-33-440BBS-L42 MONTHS/90 000 KMYes</v>
          </cell>
          <cell r="F674">
            <v>602066.33913522877</v>
          </cell>
        </row>
        <row r="675">
          <cell r="E675" t="str">
            <v>TGS-33-440BBS-L48 MONTHS/10 000 KMNo</v>
          </cell>
          <cell r="F675">
            <v>472865.53359337163</v>
          </cell>
        </row>
        <row r="676">
          <cell r="E676" t="str">
            <v>TGS-33-440BBS-L48 MONTHS/10 000 KMYes</v>
          </cell>
          <cell r="F676">
            <v>580543.10607366834</v>
          </cell>
        </row>
        <row r="677">
          <cell r="E677" t="str">
            <v>TGS-33-440BBS-L48 MONTHS/100 000 KMNo</v>
          </cell>
          <cell r="F677">
            <v>426413.03805577569</v>
          </cell>
        </row>
        <row r="678">
          <cell r="E678" t="str">
            <v>TGS-33-440BBS-L48 MONTHS/100 000 KMYes</v>
          </cell>
          <cell r="F678">
            <v>522221.43088652595</v>
          </cell>
        </row>
        <row r="679">
          <cell r="E679" t="str">
            <v>TGS-33-440BBS-L48 MONTHS/110 000 KMNo</v>
          </cell>
          <cell r="F679">
            <v>421773.52923419949</v>
          </cell>
        </row>
        <row r="680">
          <cell r="E680" t="str">
            <v>TGS-33-440BBS-L48 MONTHS/110 000 KMYes</v>
          </cell>
          <cell r="F680">
            <v>516539.4964258417</v>
          </cell>
        </row>
        <row r="681">
          <cell r="E681" t="str">
            <v>TGS-33-440BBS-L48 MONTHS/120 000 KMNo</v>
          </cell>
          <cell r="F681">
            <v>417597.55369722727</v>
          </cell>
        </row>
        <row r="682">
          <cell r="E682" t="str">
            <v>TGS-33-440BBS-L48 MONTHS/120 000 KMYes</v>
          </cell>
          <cell r="F682">
            <v>511425.24398598186</v>
          </cell>
        </row>
        <row r="683">
          <cell r="E683" t="str">
            <v>TGS-33-440BBS-L48 MONTHS/130 000 KMNo</v>
          </cell>
          <cell r="F683">
            <v>413462.92445270024</v>
          </cell>
        </row>
        <row r="684">
          <cell r="E684" t="str">
            <v>TGS-33-440BBS-L48 MONTHS/130 000 KMYes</v>
          </cell>
          <cell r="F684">
            <v>506361.62770889286</v>
          </cell>
        </row>
        <row r="685">
          <cell r="E685" t="str">
            <v>TGS-33-440BBS-L48 MONTHS/140 000 KMNo</v>
          </cell>
          <cell r="F685">
            <v>409369.23213138641</v>
          </cell>
        </row>
        <row r="686">
          <cell r="E686" t="str">
            <v>TGS-33-440BBS-L48 MONTHS/140 000 KMYes</v>
          </cell>
          <cell r="F686">
            <v>501348.1462464286</v>
          </cell>
        </row>
        <row r="687">
          <cell r="E687" t="str">
            <v>TGS-33-440BBS-L48 MONTHS/150 000 KMNo</v>
          </cell>
          <cell r="F687">
            <v>405316.07141721429</v>
          </cell>
        </row>
        <row r="688">
          <cell r="E688" t="str">
            <v>TGS-33-440BBS-L48 MONTHS/150 000 KMYes</v>
          </cell>
          <cell r="F688">
            <v>496384.30321428576</v>
          </cell>
        </row>
        <row r="689">
          <cell r="E689" t="str">
            <v>TGS-33-440BBS-L48 MONTHS/160 000 KMNo</v>
          </cell>
          <cell r="F689">
            <v>401303.04100714286</v>
          </cell>
        </row>
        <row r="690">
          <cell r="E690" t="str">
            <v>TGS-33-440BBS-L48 MONTHS/160 000 KMYes</v>
          </cell>
          <cell r="F690">
            <v>491469.60714285716</v>
          </cell>
        </row>
        <row r="691">
          <cell r="E691" t="str">
            <v>TGS-33-440BBS-L48 MONTHS/170 000 KMNo</v>
          </cell>
          <cell r="F691">
            <v>397329.74357142852</v>
          </cell>
        </row>
        <row r="692">
          <cell r="E692" t="str">
            <v>TGS-33-440BBS-L48 MONTHS/170 000 KMYes</v>
          </cell>
          <cell r="F692">
            <v>486603.57142857142</v>
          </cell>
        </row>
        <row r="693">
          <cell r="E693" t="str">
            <v>TGS-33-440BBS-L48 MONTHS/180 000 KMNo</v>
          </cell>
          <cell r="F693">
            <v>393395.78571428568</v>
          </cell>
        </row>
        <row r="694">
          <cell r="E694" t="str">
            <v>TGS-33-440BBS-L48 MONTHS/180 000 KMYes</v>
          </cell>
          <cell r="F694">
            <v>481785.71428571426</v>
          </cell>
        </row>
        <row r="695">
          <cell r="E695" t="str">
            <v>TGS-33-440BBS-L48 MONTHS/190 000 KMNo</v>
          </cell>
          <cell r="F695">
            <v>374662.65306122444</v>
          </cell>
        </row>
        <row r="696">
          <cell r="E696" t="str">
            <v>TGS-33-440BBS-L48 MONTHS/190 000 KMYes</v>
          </cell>
          <cell r="F696">
            <v>458843.53741496592</v>
          </cell>
        </row>
        <row r="697">
          <cell r="E697" t="str">
            <v>TGS-33-440BBS-L48 MONTHS/20 000 KMNo</v>
          </cell>
          <cell r="F697">
            <v>467258.43240451737</v>
          </cell>
        </row>
        <row r="698">
          <cell r="E698" t="str">
            <v>TGS-33-440BBS-L48 MONTHS/20 000 KMYes</v>
          </cell>
          <cell r="F698">
            <v>573375.90723325277</v>
          </cell>
        </row>
        <row r="699">
          <cell r="E699" t="str">
            <v>TGS-33-440BBS-L48 MONTHS/200 000 KMNo</v>
          </cell>
          <cell r="F699">
            <v>356821.57434402325</v>
          </cell>
        </row>
        <row r="700">
          <cell r="E700" t="str">
            <v>TGS-33-440BBS-L48 MONTHS/200 000 KMYes</v>
          </cell>
          <cell r="F700">
            <v>432871.26171223202</v>
          </cell>
        </row>
        <row r="701">
          <cell r="E701" t="str">
            <v>TGS-33-440BBS-L48 MONTHS/210 000 KMNo</v>
          </cell>
          <cell r="F701">
            <v>339830.07080383162</v>
          </cell>
        </row>
        <row r="702">
          <cell r="E702" t="str">
            <v>TGS-33-440BBS-L48 MONTHS/210 000 KMYes</v>
          </cell>
          <cell r="F702">
            <v>408369.1148228604</v>
          </cell>
        </row>
        <row r="703">
          <cell r="E703" t="str">
            <v>TGS-33-440BBS-L48 MONTHS/220 000 KMNo</v>
          </cell>
          <cell r="F703">
            <v>323647.68647983961</v>
          </cell>
        </row>
        <row r="704">
          <cell r="E704" t="str">
            <v>TGS-33-440BBS-L48 MONTHS/220 000 KMYes</v>
          </cell>
          <cell r="F704">
            <v>388922.96649796225</v>
          </cell>
        </row>
        <row r="705">
          <cell r="E705" t="str">
            <v>TGS-33-440BBS-L48 MONTHS/230 000 KMNo</v>
          </cell>
          <cell r="F705">
            <v>302474.47334564448</v>
          </cell>
        </row>
        <row r="706">
          <cell r="E706" t="str">
            <v>TGS-33-440BBS-L48 MONTHS/230 000 KMYes</v>
          </cell>
          <cell r="F706">
            <v>363479.4079420208</v>
          </cell>
        </row>
        <row r="707">
          <cell r="E707" t="str">
            <v>TGS-33-440BBS-L48 MONTHS/240 000 KMNo</v>
          </cell>
          <cell r="F707">
            <v>282686.42368751823</v>
          </cell>
        </row>
        <row r="708">
          <cell r="E708" t="str">
            <v>TGS-33-440BBS-L48 MONTHS/240 000 KMYes</v>
          </cell>
          <cell r="F708">
            <v>339700.38125422504</v>
          </cell>
        </row>
        <row r="709">
          <cell r="E709" t="str">
            <v>TGS-33-440BBS-L48 MONTHS/250 000 KMNo</v>
          </cell>
          <cell r="F709">
            <v>264192.9193341292</v>
          </cell>
        </row>
        <row r="710">
          <cell r="E710" t="str">
            <v>TGS-33-440BBS-L48 MONTHS/250 000 KMYes</v>
          </cell>
          <cell r="F710">
            <v>317476.99182637857</v>
          </cell>
        </row>
        <row r="711">
          <cell r="E711" t="str">
            <v>TGS-33-440BBS-L48 MONTHS/260 000 KMNo</v>
          </cell>
          <cell r="F711">
            <v>246909.27040572817</v>
          </cell>
        </row>
        <row r="712">
          <cell r="E712" t="str">
            <v>TGS-33-440BBS-L48 MONTHS/260 000 KMYes</v>
          </cell>
          <cell r="F712">
            <v>296707.46899661544</v>
          </cell>
        </row>
        <row r="713">
          <cell r="E713" t="str">
            <v>TGS-33-440BBS-L48 MONTHS/270 000 KMNo</v>
          </cell>
          <cell r="F713">
            <v>230756.32748198893</v>
          </cell>
        </row>
        <row r="714">
          <cell r="E714" t="str">
            <v>TGS-33-440BBS-L48 MONTHS/270 000 KMYes</v>
          </cell>
          <cell r="F714">
            <v>277296.69999683683</v>
          </cell>
        </row>
        <row r="715">
          <cell r="E715" t="str">
            <v>TGS-33-440BBS-L48 MONTHS/280 000 KMNo</v>
          </cell>
          <cell r="F715">
            <v>215660.11914204573</v>
          </cell>
        </row>
        <row r="716">
          <cell r="E716" t="str">
            <v>TGS-33-440BBS-L48 MONTHS/280 000 KMYes</v>
          </cell>
          <cell r="F716">
            <v>259155.79438956713</v>
          </cell>
        </row>
        <row r="717">
          <cell r="E717" t="str">
            <v>TGS-33-440BBS-L48 MONTHS/30 000 KMNo</v>
          </cell>
          <cell r="F717">
            <v>461717.81858153892</v>
          </cell>
        </row>
        <row r="718">
          <cell r="E718" t="str">
            <v>TGS-33-440BBS-L48 MONTHS/30 000 KMYes</v>
          </cell>
          <cell r="F718">
            <v>566297.19232913863</v>
          </cell>
        </row>
        <row r="719">
          <cell r="E719" t="str">
            <v>TGS-33-440BBS-L48 MONTHS/40 000 KMNo</v>
          </cell>
          <cell r="F719">
            <v>456242.9037366985</v>
          </cell>
        </row>
        <row r="720">
          <cell r="E720" t="str">
            <v>TGS-33-440BBS-L48 MONTHS/40 000 KMYes</v>
          </cell>
          <cell r="F720">
            <v>559305.86896705045</v>
          </cell>
        </row>
        <row r="721">
          <cell r="E721" t="str">
            <v>TGS-33-440BBS-L48 MONTHS/50 000 KMNo</v>
          </cell>
          <cell r="F721">
            <v>450832.90883072978</v>
          </cell>
        </row>
        <row r="722">
          <cell r="E722" t="str">
            <v>TGS-33-440BBS-L48 MONTHS/50 000 KMYes</v>
          </cell>
          <cell r="F722">
            <v>552400.85823906225</v>
          </cell>
        </row>
        <row r="723">
          <cell r="E723" t="str">
            <v>TGS-33-440BBS-L48 MONTHS/60 000 KMNo</v>
          </cell>
          <cell r="F723">
            <v>445487.06406198593</v>
          </cell>
        </row>
        <row r="724">
          <cell r="E724" t="str">
            <v>TGS-33-440BBS-L48 MONTHS/60 000 KMYes</v>
          </cell>
          <cell r="F724">
            <v>545581.09455709858</v>
          </cell>
        </row>
        <row r="725">
          <cell r="E725" t="str">
            <v>TGS-33-440BBS-L48 MONTHS/70 000 KMNo</v>
          </cell>
          <cell r="F725">
            <v>440640.02380018396</v>
          </cell>
        </row>
        <row r="726">
          <cell r="E726" t="str">
            <v>TGS-33-440BBS-L48 MONTHS/70 000 KMYes</v>
          </cell>
          <cell r="F726">
            <v>539644.9995619175</v>
          </cell>
        </row>
        <row r="727">
          <cell r="E727" t="str">
            <v>TGS-33-440BBS-L48 MONTHS/80 000 KMNo</v>
          </cell>
          <cell r="F727">
            <v>435845.72087060736</v>
          </cell>
        </row>
        <row r="728">
          <cell r="E728" t="str">
            <v>TGS-33-440BBS-L48 MONTHS/80 000 KMYes</v>
          </cell>
          <cell r="F728">
            <v>533773.49115916668</v>
          </cell>
        </row>
        <row r="729">
          <cell r="E729" t="str">
            <v>TGS-33-440BBS-L48 MONTHS/90 000 KMNo</v>
          </cell>
          <cell r="F729">
            <v>431103.58147438912</v>
          </cell>
        </row>
        <row r="730">
          <cell r="E730" t="str">
            <v>TGS-33-440BBS-L48 MONTHS/90 000 KMYes</v>
          </cell>
          <cell r="F730">
            <v>527965.86662627768</v>
          </cell>
        </row>
        <row r="731">
          <cell r="E731" t="str">
            <v>TGS-33-440BBS-L54 MONTHS/10 000 KMNo</v>
          </cell>
          <cell r="F731">
            <v>418465.07397643512</v>
          </cell>
        </row>
        <row r="732">
          <cell r="E732" t="str">
            <v>TGS-33-440BBS-L54 MONTHS/10 000 KMYes</v>
          </cell>
          <cell r="F732">
            <v>513754.96112714021</v>
          </cell>
        </row>
        <row r="733">
          <cell r="E733" t="str">
            <v>TGS-33-440BBS-L54 MONTHS/100 000 KMNo</v>
          </cell>
          <cell r="F733">
            <v>377356.67084581923</v>
          </cell>
        </row>
        <row r="734">
          <cell r="E734" t="str">
            <v>TGS-33-440BBS-L54 MONTHS/100 000 KMYes</v>
          </cell>
          <cell r="F734">
            <v>462142.85919161595</v>
          </cell>
        </row>
        <row r="735">
          <cell r="E735" t="str">
            <v>TGS-33-440BBS-L54 MONTHS/110 000 KMNo</v>
          </cell>
          <cell r="F735">
            <v>373250.91082672524</v>
          </cell>
        </row>
        <row r="736">
          <cell r="E736" t="str">
            <v>TGS-33-440BBS-L54 MONTHS/110 000 KMYes</v>
          </cell>
          <cell r="F736">
            <v>457114.5986069396</v>
          </cell>
        </row>
        <row r="737">
          <cell r="E737" t="str">
            <v>TGS-33-440BBS-L54 MONTHS/120 000 KMNo</v>
          </cell>
          <cell r="F737">
            <v>369555.35725418344</v>
          </cell>
        </row>
        <row r="738">
          <cell r="E738" t="str">
            <v>TGS-33-440BBS-L54 MONTHS/120 000 KMYes</v>
          </cell>
          <cell r="F738">
            <v>452588.71149201936</v>
          </cell>
        </row>
        <row r="739">
          <cell r="E739" t="str">
            <v>TGS-33-440BBS-L54 MONTHS/130 000 KMNo</v>
          </cell>
          <cell r="F739">
            <v>365896.39332097373</v>
          </cell>
        </row>
        <row r="740">
          <cell r="E740" t="str">
            <v>TGS-33-440BBS-L54 MONTHS/130 000 KMYes</v>
          </cell>
          <cell r="F740">
            <v>448107.63514061319</v>
          </cell>
        </row>
        <row r="741">
          <cell r="E741" t="str">
            <v>TGS-33-440BBS-L54 MONTHS/140 000 KMNo</v>
          </cell>
          <cell r="F741">
            <v>362273.65675343934</v>
          </cell>
        </row>
        <row r="742">
          <cell r="E742" t="str">
            <v>TGS-33-440BBS-L54 MONTHS/140 000 KMYes</v>
          </cell>
          <cell r="F742">
            <v>443670.92588179529</v>
          </cell>
        </row>
        <row r="743">
          <cell r="E743" t="str">
            <v>TGS-33-440BBS-L54 MONTHS/150 000 KMNo</v>
          </cell>
          <cell r="F743">
            <v>358686.78886479145</v>
          </cell>
        </row>
        <row r="744">
          <cell r="E744" t="str">
            <v>TGS-33-440BBS-L54 MONTHS/150 000 KMYes</v>
          </cell>
          <cell r="F744">
            <v>439278.14443742106</v>
          </cell>
        </row>
        <row r="745">
          <cell r="E745" t="str">
            <v>TGS-33-440BBS-L54 MONTHS/160 000 KMNo</v>
          </cell>
          <cell r="F745">
            <v>355135.43451959547</v>
          </cell>
        </row>
        <row r="746">
          <cell r="E746" t="str">
            <v>TGS-33-440BBS-L54 MONTHS/160 000 KMYes</v>
          </cell>
          <cell r="F746">
            <v>434928.85587863467</v>
          </cell>
        </row>
        <row r="747">
          <cell r="E747" t="str">
            <v>TGS-33-440BBS-L54 MONTHS/170 000 KMNo</v>
          </cell>
          <cell r="F747">
            <v>351619.24209860933</v>
          </cell>
        </row>
        <row r="748">
          <cell r="E748" t="str">
            <v>TGS-33-440BBS-L54 MONTHS/170 000 KMYes</v>
          </cell>
          <cell r="F748">
            <v>430622.62958280655</v>
          </cell>
        </row>
        <row r="749">
          <cell r="E749" t="str">
            <v>TGS-33-440BBS-L54 MONTHS/180 000 KMNo</v>
          </cell>
          <cell r="F749">
            <v>348137.86346396967</v>
          </cell>
        </row>
        <row r="750">
          <cell r="E750" t="str">
            <v>TGS-33-440BBS-L54 MONTHS/180 000 KMYes</v>
          </cell>
          <cell r="F750">
            <v>426359.0391908976</v>
          </cell>
        </row>
        <row r="751">
          <cell r="E751" t="str">
            <v>TGS-33-440BBS-L54 MONTHS/190 000 KMNo</v>
          </cell>
          <cell r="F751">
            <v>331559.86996568536</v>
          </cell>
        </row>
        <row r="752">
          <cell r="E752" t="str">
            <v>TGS-33-440BBS-L54 MONTHS/190 000 KMYes</v>
          </cell>
          <cell r="F752">
            <v>406056.22780085483</v>
          </cell>
        </row>
        <row r="753">
          <cell r="E753" t="str">
            <v>TGS-33-440BBS-L54 MONTHS/20 000 KMNo</v>
          </cell>
          <cell r="F753">
            <v>413503.0375261216</v>
          </cell>
        </row>
        <row r="754">
          <cell r="E754" t="str">
            <v>TGS-33-440BBS-L54 MONTHS/20 000 KMYes</v>
          </cell>
          <cell r="F754">
            <v>507412.30728606449</v>
          </cell>
        </row>
        <row r="755">
          <cell r="E755" t="str">
            <v>TGS-33-440BBS-L54 MONTHS/200 000 KMNo</v>
          </cell>
          <cell r="F755">
            <v>315771.30472922412</v>
          </cell>
        </row>
        <row r="756">
          <cell r="E756" t="str">
            <v>TGS-33-440BBS-L54 MONTHS/200 000 KMYes</v>
          </cell>
          <cell r="F756">
            <v>383071.91301967436</v>
          </cell>
        </row>
        <row r="757">
          <cell r="E757" t="str">
            <v>TGS-33-440BBS-L54 MONTHS/210 000 KMNo</v>
          </cell>
          <cell r="F757">
            <v>300734.57593259437</v>
          </cell>
        </row>
        <row r="758">
          <cell r="E758" t="str">
            <v>TGS-33-440BBS-L54 MONTHS/210 000 KMYes</v>
          </cell>
          <cell r="F758">
            <v>361388.59718837211</v>
          </cell>
        </row>
        <row r="759">
          <cell r="E759" t="str">
            <v>TGS-33-440BBS-L54 MONTHS/220 000 KMNo</v>
          </cell>
          <cell r="F759">
            <v>286413.88184056606</v>
          </cell>
        </row>
        <row r="760">
          <cell r="E760" t="str">
            <v>TGS-33-440BBS-L54 MONTHS/220 000 KMYes</v>
          </cell>
          <cell r="F760">
            <v>344179.61636987812</v>
          </cell>
        </row>
        <row r="761">
          <cell r="E761" t="str">
            <v>TGS-33-440BBS-L54 MONTHS/230 000 KMNo</v>
          </cell>
          <cell r="F761">
            <v>267676.52508464118</v>
          </cell>
        </row>
        <row r="762">
          <cell r="E762" t="str">
            <v>TGS-33-440BBS-L54 MONTHS/230 000 KMYes</v>
          </cell>
          <cell r="F762">
            <v>321663.19286904501</v>
          </cell>
        </row>
        <row r="763">
          <cell r="E763" t="str">
            <v>TGS-33-440BBS-L54 MONTHS/240 000 KMNo</v>
          </cell>
          <cell r="F763">
            <v>250164.97671461789</v>
          </cell>
        </row>
        <row r="764">
          <cell r="E764" t="str">
            <v>TGS-33-440BBS-L54 MONTHS/240 000 KMYes</v>
          </cell>
          <cell r="F764">
            <v>300619.80641966825</v>
          </cell>
        </row>
        <row r="765">
          <cell r="E765" t="str">
            <v>TGS-33-440BBS-L54 MONTHS/250 000 KMNo</v>
          </cell>
          <cell r="F765">
            <v>233799.0436585214</v>
          </cell>
        </row>
        <row r="766">
          <cell r="E766" t="str">
            <v>TGS-33-440BBS-L54 MONTHS/250 000 KMYes</v>
          </cell>
          <cell r="F766">
            <v>280953.09011183947</v>
          </cell>
        </row>
        <row r="767">
          <cell r="E767" t="str">
            <v>TGS-33-440BBS-L54 MONTHS/260 000 KMNo</v>
          </cell>
          <cell r="F767">
            <v>218503.77912011347</v>
          </cell>
        </row>
        <row r="768">
          <cell r="E768" t="str">
            <v>TGS-33-440BBS-L54 MONTHS/260 000 KMYes</v>
          </cell>
          <cell r="F768">
            <v>262572.98141293402</v>
          </cell>
        </row>
        <row r="769">
          <cell r="E769" t="str">
            <v>TGS-33-440BBS-L54 MONTHS/270 000 KMNo</v>
          </cell>
          <cell r="F769">
            <v>204209.139364592</v>
          </cell>
        </row>
        <row r="770">
          <cell r="E770" t="str">
            <v>TGS-33-440BBS-L54 MONTHS/270 000 KMYes</v>
          </cell>
          <cell r="F770">
            <v>245395.30973171405</v>
          </cell>
        </row>
        <row r="771">
          <cell r="E771" t="str">
            <v>TGS-33-440BBS-L54 MONTHS/280 000 KMNo</v>
          </cell>
          <cell r="F771">
            <v>190849.6629575626</v>
          </cell>
        </row>
        <row r="772">
          <cell r="E772" t="str">
            <v>TGS-33-440BBS-L54 MONTHS/280 000 KMYes</v>
          </cell>
          <cell r="F772">
            <v>229341.41096421875</v>
          </cell>
        </row>
        <row r="773">
          <cell r="E773" t="str">
            <v>TGS-33-440BBS-L54 MONTHS/30 000 KMNo</v>
          </cell>
          <cell r="F773">
            <v>408599.83945268928</v>
          </cell>
        </row>
        <row r="774">
          <cell r="E774" t="str">
            <v>TGS-33-440BBS-L54 MONTHS/30 000 KMYes</v>
          </cell>
          <cell r="F774">
            <v>501147.95781339705</v>
          </cell>
        </row>
        <row r="775">
          <cell r="E775" t="str">
            <v>TGS-33-440BBS-L54 MONTHS/40 000 KMNo</v>
          </cell>
          <cell r="F775">
            <v>403754.78206787485</v>
          </cell>
        </row>
        <row r="776">
          <cell r="E776" t="str">
            <v>TGS-33-440BBS-L54 MONTHS/40 000 KMYes</v>
          </cell>
          <cell r="F776">
            <v>494960.9459885403</v>
          </cell>
        </row>
        <row r="777">
          <cell r="E777" t="str">
            <v>TGS-33-440BBS-L54 MONTHS/50 000 KMNo</v>
          </cell>
          <cell r="F777">
            <v>398967.17595639807</v>
          </cell>
        </row>
        <row r="778">
          <cell r="E778" t="str">
            <v>TGS-33-440BBS-L54 MONTHS/50 000 KMYes</v>
          </cell>
          <cell r="F778">
            <v>488850.31702571892</v>
          </cell>
        </row>
        <row r="779">
          <cell r="E779" t="str">
            <v>TGS-33-440BBS-L54 MONTHS/60 000 KMNo</v>
          </cell>
          <cell r="F779">
            <v>394236.33987786371</v>
          </cell>
        </row>
        <row r="780">
          <cell r="E780" t="str">
            <v>TGS-33-440BBS-L54 MONTHS/60 000 KMYes</v>
          </cell>
          <cell r="F780">
            <v>482815.12792663591</v>
          </cell>
        </row>
        <row r="781">
          <cell r="E781" t="str">
            <v>TGS-33-440BBS-L54 MONTHS/70 000 KMNo</v>
          </cell>
          <cell r="F781">
            <v>389946.92371697701</v>
          </cell>
        </row>
        <row r="782">
          <cell r="E782" t="str">
            <v>TGS-33-440BBS-L54 MONTHS/70 000 KMYes</v>
          </cell>
          <cell r="F782">
            <v>477561.94651497126</v>
          </cell>
        </row>
        <row r="783">
          <cell r="E783" t="str">
            <v>TGS-33-440BBS-L54 MONTHS/80 000 KMNo</v>
          </cell>
          <cell r="F783">
            <v>385704.17776159948</v>
          </cell>
        </row>
        <row r="784">
          <cell r="E784" t="str">
            <v>TGS-33-440BBS-L54 MONTHS/80 000 KMYes</v>
          </cell>
          <cell r="F784">
            <v>472365.92137979361</v>
          </cell>
        </row>
        <row r="785">
          <cell r="E785" t="str">
            <v>TGS-33-440BBS-L54 MONTHS/90 000 KMNo</v>
          </cell>
          <cell r="F785">
            <v>381507.59422512318</v>
          </cell>
        </row>
        <row r="786">
          <cell r="E786" t="str">
            <v>TGS-33-440BBS-L54 MONTHS/90 000 KMYes</v>
          </cell>
          <cell r="F786">
            <v>467226.43064272363</v>
          </cell>
        </row>
        <row r="787">
          <cell r="E787" t="str">
            <v>TGS-33-440BBS-L60 MONTHS/10 000 KMNo</v>
          </cell>
          <cell r="F787">
            <v>333787.43547767418</v>
          </cell>
        </row>
        <row r="788">
          <cell r="E788" t="str">
            <v>TGS-33-440BBS-L60 MONTHS/10 000 KMYes</v>
          </cell>
          <cell r="F788">
            <v>427768.60447533458</v>
          </cell>
        </row>
        <row r="789">
          <cell r="E789" t="str">
            <v>TGS-33-440BBS-L60 MONTHS/100 000 KMNo</v>
          </cell>
          <cell r="F789">
            <v>300997.43862760637</v>
          </cell>
        </row>
        <row r="790">
          <cell r="E790" t="str">
            <v>TGS-33-440BBS-L60 MONTHS/100 000 KMYes</v>
          </cell>
          <cell r="F790">
            <v>384794.73854796641</v>
          </cell>
        </row>
        <row r="791">
          <cell r="E791" t="str">
            <v>TGS-33-440BBS-L60 MONTHS/110 000 KMNo</v>
          </cell>
          <cell r="F791">
            <v>297722.49122414086</v>
          </cell>
        </row>
        <row r="792">
          <cell r="E792" t="str">
            <v>TGS-33-440BBS-L60 MONTHS/110 000 KMYes</v>
          </cell>
          <cell r="F792">
            <v>380608.04999798862</v>
          </cell>
        </row>
        <row r="793">
          <cell r="E793" t="str">
            <v>TGS-33-440BBS-L60 MONTHS/120 000 KMNo</v>
          </cell>
          <cell r="F793">
            <v>294774.74378627812</v>
          </cell>
        </row>
        <row r="794">
          <cell r="E794" t="str">
            <v>TGS-33-440BBS-L60 MONTHS/120 000 KMYes</v>
          </cell>
          <cell r="F794">
            <v>376839.65346335503</v>
          </cell>
        </row>
        <row r="795">
          <cell r="E795" t="str">
            <v>TGS-33-440BBS-L60 MONTHS/130 000 KMNo</v>
          </cell>
          <cell r="F795">
            <v>291856.181966612</v>
          </cell>
        </row>
        <row r="796">
          <cell r="E796" t="str">
            <v>TGS-33-440BBS-L60 MONTHS/130 000 KMYes</v>
          </cell>
          <cell r="F796">
            <v>373108.56778550002</v>
          </cell>
        </row>
        <row r="797">
          <cell r="E797" t="str">
            <v>TGS-33-440BBS-L60 MONTHS/140 000 KMNo</v>
          </cell>
          <cell r="F797">
            <v>481610.86133104295</v>
          </cell>
        </row>
        <row r="798">
          <cell r="E798" t="str">
            <v>TGS-33-440BBS-L60 MONTHS/140 000 KMNo</v>
          </cell>
          <cell r="F798">
            <v>288966.5167986257</v>
          </cell>
        </row>
        <row r="799">
          <cell r="E799" t="str">
            <v>TGS-33-440BBS-L60 MONTHS/140 000 KMYes</v>
          </cell>
          <cell r="F799">
            <v>369414.42355000001</v>
          </cell>
        </row>
        <row r="800">
          <cell r="E800" t="str">
            <v>TGS-33-440BBS-L60 MONTHS/150 000 KMNo</v>
          </cell>
          <cell r="F800">
            <v>286105.46217685717</v>
          </cell>
        </row>
        <row r="801">
          <cell r="E801" t="str">
            <v>TGS-33-440BBS-L60 MONTHS/150 000 KMYes</v>
          </cell>
          <cell r="F801">
            <v>365756.85500000004</v>
          </cell>
        </row>
        <row r="802">
          <cell r="E802" t="str">
            <v>TGS-33-440BBS-L60 MONTHS/160 000 KMNo</v>
          </cell>
          <cell r="F802">
            <v>283272.73482857144</v>
          </cell>
        </row>
        <row r="803">
          <cell r="E803" t="str">
            <v>TGS-33-440BBS-L60 MONTHS/160 000 KMYes</v>
          </cell>
          <cell r="F803">
            <v>362135.5</v>
          </cell>
        </row>
        <row r="804">
          <cell r="E804" t="str">
            <v>TGS-33-440BBS-L60 MONTHS/170 000 KMNo</v>
          </cell>
          <cell r="F804">
            <v>280468.05428571429</v>
          </cell>
        </row>
        <row r="805">
          <cell r="E805" t="str">
            <v>TGS-33-440BBS-L60 MONTHS/170 000 KMYes</v>
          </cell>
          <cell r="F805">
            <v>358550</v>
          </cell>
        </row>
        <row r="806">
          <cell r="E806" t="str">
            <v>TGS-33-440BBS-L60 MONTHS/180 000 KMNo</v>
          </cell>
          <cell r="F806">
            <v>277691.14285714284</v>
          </cell>
        </row>
        <row r="807">
          <cell r="E807" t="str">
            <v>TGS-33-440BBS-L60 MONTHS/180 000 KMYes</v>
          </cell>
          <cell r="F807">
            <v>355000</v>
          </cell>
        </row>
        <row r="808">
          <cell r="E808" t="str">
            <v>TGS-33-440BBS-L60 MONTHS/190 000 KMNo</v>
          </cell>
          <cell r="F808">
            <v>264467.75510204077</v>
          </cell>
        </row>
        <row r="809">
          <cell r="E809" t="str">
            <v>TGS-33-440BBS-L60 MONTHS/190 000 KMYes</v>
          </cell>
          <cell r="F809">
            <v>338095.23809523811</v>
          </cell>
        </row>
        <row r="810">
          <cell r="E810" t="str">
            <v>TGS-33-440BBS-L60 MONTHS/20 000 KMNo</v>
          </cell>
          <cell r="F810">
            <v>329829.48169730644</v>
          </cell>
        </row>
        <row r="811">
          <cell r="E811" t="str">
            <v>TGS-33-440BBS-L60 MONTHS/20 000 KMYes</v>
          </cell>
          <cell r="F811">
            <v>422487.51059292309</v>
          </cell>
        </row>
        <row r="812">
          <cell r="E812" t="str">
            <v>TGS-33-440BBS-L60 MONTHS/200 000 KMNo</v>
          </cell>
          <cell r="F812">
            <v>251874.05247813405</v>
          </cell>
        </row>
        <row r="813">
          <cell r="E813" t="str">
            <v>TGS-33-440BBS-L60 MONTHS/200 000 KMYes</v>
          </cell>
          <cell r="F813">
            <v>318957.77178796043</v>
          </cell>
        </row>
        <row r="814">
          <cell r="E814" t="str">
            <v>TGS-33-440BBS-L60 MONTHS/210 000 KMNo</v>
          </cell>
          <cell r="F814">
            <v>239880.04997917527</v>
          </cell>
        </row>
        <row r="815">
          <cell r="E815" t="str">
            <v>TGS-33-440BBS-L60 MONTHS/210 000 KMYes</v>
          </cell>
          <cell r="F815">
            <v>300903.55829052872</v>
          </cell>
        </row>
        <row r="816">
          <cell r="E816" t="str">
            <v>TGS-33-440BBS-L60 MONTHS/220 000 KMNo</v>
          </cell>
          <cell r="F816">
            <v>228457.19045635738</v>
          </cell>
        </row>
        <row r="817">
          <cell r="E817" t="str">
            <v>TGS-33-440BBS-L60 MONTHS/220 000 KMYes</v>
          </cell>
          <cell r="F817">
            <v>286574.81741955114</v>
          </cell>
        </row>
        <row r="818">
          <cell r="E818" t="str">
            <v>TGS-33-440BBS-L60 MONTHS/230 000 KMNo</v>
          </cell>
          <cell r="F818">
            <v>213511.39294986671</v>
          </cell>
        </row>
        <row r="819">
          <cell r="E819" t="str">
            <v>TGS-33-440BBS-L60 MONTHS/230 000 KMYes</v>
          </cell>
          <cell r="F819">
            <v>267826.93216780474</v>
          </cell>
        </row>
        <row r="820">
          <cell r="E820" t="str">
            <v>TGS-33-440BBS-L60 MONTHS/240 000 KMNo</v>
          </cell>
          <cell r="F820">
            <v>199543.35789707166</v>
          </cell>
        </row>
        <row r="821">
          <cell r="E821" t="str">
            <v>TGS-33-440BBS-L60 MONTHS/240 000 KMYes</v>
          </cell>
          <cell r="F821">
            <v>250305.54408206049</v>
          </cell>
        </row>
        <row r="822">
          <cell r="E822" t="str">
            <v>TGS-33-440BBS-L60 MONTHS/250 000 KMNo</v>
          </cell>
          <cell r="F822">
            <v>186489.11952997351</v>
          </cell>
        </row>
        <row r="823">
          <cell r="E823" t="str">
            <v>TGS-33-440BBS-L60 MONTHS/250 000 KMYes</v>
          </cell>
          <cell r="F823">
            <v>233930.41502996304</v>
          </cell>
        </row>
        <row r="824">
          <cell r="E824" t="str">
            <v>TGS-33-440BBS-L60 MONTHS/260 000 KMNo</v>
          </cell>
          <cell r="F824">
            <v>174288.89675698458</v>
          </cell>
        </row>
        <row r="825">
          <cell r="E825" t="str">
            <v>TGS-33-440BBS-L60 MONTHS/260 000 KMYes</v>
          </cell>
          <cell r="F825">
            <v>218626.55610276919</v>
          </cell>
        </row>
        <row r="826">
          <cell r="E826" t="str">
            <v>TGS-33-440BBS-L60 MONTHS/270 000 KMNo</v>
          </cell>
          <cell r="F826">
            <v>162886.81939905102</v>
          </cell>
        </row>
        <row r="827">
          <cell r="E827" t="str">
            <v>TGS-33-440BBS-L60 MONTHS/270 000 KMYes</v>
          </cell>
          <cell r="F827">
            <v>204323.88420819549</v>
          </cell>
        </row>
        <row r="828">
          <cell r="E828" t="str">
            <v>TGS-33-440BBS-L60 MONTHS/280 000 KMNo</v>
          </cell>
          <cell r="F828">
            <v>152230.67233556169</v>
          </cell>
        </row>
        <row r="829">
          <cell r="E829" t="str">
            <v>TGS-33-440BBS-L60 MONTHS/280 000 KMYes</v>
          </cell>
          <cell r="F829">
            <v>190956.90112915466</v>
          </cell>
        </row>
        <row r="830">
          <cell r="E830" t="str">
            <v>TGS-33-440BBS-L60 MONTHS/30 000 KMNo</v>
          </cell>
          <cell r="F830">
            <v>325918.46017520403</v>
          </cell>
        </row>
        <row r="831">
          <cell r="E831" t="str">
            <v>TGS-33-440BBS-L60 MONTHS/30 000 KMYes</v>
          </cell>
          <cell r="F831">
            <v>417271.61540041788</v>
          </cell>
        </row>
        <row r="832">
          <cell r="E832" t="str">
            <v>TGS-33-440BBS-L60 MONTHS/40 000 KMNo</v>
          </cell>
          <cell r="F832">
            <v>322053.81440237549</v>
          </cell>
        </row>
        <row r="833">
          <cell r="E833" t="str">
            <v>TGS-33-440BBS-L60 MONTHS/40 000 KMYes</v>
          </cell>
          <cell r="F833">
            <v>412120.11397572141</v>
          </cell>
        </row>
        <row r="834">
          <cell r="E834" t="str">
            <v>TGS-33-440BBS-L60 MONTHS/50 000 KMNo</v>
          </cell>
          <cell r="F834">
            <v>318234.99446875049</v>
          </cell>
        </row>
        <row r="835">
          <cell r="E835" t="str">
            <v>TGS-33-440BBS-L60 MONTHS/50 000 KMYes</v>
          </cell>
          <cell r="F835">
            <v>407032.2113340458</v>
          </cell>
        </row>
        <row r="836">
          <cell r="E836" t="str">
            <v>TGS-33-440BBS-L60 MONTHS/60 000 KMNo</v>
          </cell>
          <cell r="F836">
            <v>314461.45698493131</v>
          </cell>
        </row>
        <row r="837">
          <cell r="E837" t="str">
            <v>TGS-33-440BBS-L60 MONTHS/60 000 KMYes</v>
          </cell>
          <cell r="F837">
            <v>402007.12230523041</v>
          </cell>
        </row>
        <row r="838">
          <cell r="E838" t="str">
            <v>TGS-33-440BBS-L60 MONTHS/70 000 KMNo</v>
          </cell>
          <cell r="F838">
            <v>311040.0168001299</v>
          </cell>
        </row>
        <row r="839">
          <cell r="E839" t="str">
            <v>TGS-33-440BBS-L60 MONTHS/70 000 KMYes</v>
          </cell>
          <cell r="F839">
            <v>397633.15757193911</v>
          </cell>
        </row>
        <row r="840">
          <cell r="E840" t="str">
            <v>TGS-33-440BBS-L60 MONTHS/80 000 KMNo</v>
          </cell>
          <cell r="F840">
            <v>307655.8029674876</v>
          </cell>
        </row>
        <row r="841">
          <cell r="E841" t="str">
            <v>TGS-33-440BBS-L60 MONTHS/80 000 KMYes</v>
          </cell>
          <cell r="F841">
            <v>393306.78295938589</v>
          </cell>
        </row>
        <row r="842">
          <cell r="E842" t="str">
            <v>TGS-33-440BBS-L60 MONTHS/90 000 KMNo</v>
          </cell>
          <cell r="F842">
            <v>304308.41045251006</v>
          </cell>
        </row>
        <row r="843">
          <cell r="E843" t="str">
            <v>TGS-33-440BBS-L60 MONTHS/90 000 KMYes</v>
          </cell>
          <cell r="F843">
            <v>389027.48067199398</v>
          </cell>
        </row>
      </sheetData>
      <sheetData sheetId="3">
        <row r="4">
          <cell r="E4" t="str">
            <v>TGS-26-440BLS-LX36 MONTHS/10 000 KMNo</v>
          </cell>
          <cell r="F4">
            <v>683978.9543228409</v>
          </cell>
        </row>
        <row r="5">
          <cell r="E5" t="str">
            <v>TGS-26-440BLS-LX36 MONTHS/10 000 KMYes</v>
          </cell>
          <cell r="F5">
            <v>879064.48219681252</v>
          </cell>
        </row>
        <row r="6">
          <cell r="E6" t="str">
            <v>TGS-26-440BLS-LX36 MONTHS/100 000 KMNo</v>
          </cell>
          <cell r="F6">
            <v>616787.48641853547</v>
          </cell>
        </row>
        <row r="7">
          <cell r="E7" t="str">
            <v>TGS-26-440BLS-LX36 MONTHS/100 000 KMYes</v>
          </cell>
          <cell r="F7">
            <v>790753.18771607103</v>
          </cell>
        </row>
        <row r="8">
          <cell r="E8" t="str">
            <v>TGS-26-440BLS-LX36 MONTHS/110 000 KMNo</v>
          </cell>
          <cell r="F8">
            <v>610076.64334177598</v>
          </cell>
        </row>
        <row r="9">
          <cell r="E9" t="str">
            <v>TGS-26-440BLS-LX36 MONTHS/110 000 KMYes</v>
          </cell>
          <cell r="F9">
            <v>782149.54274586658</v>
          </cell>
        </row>
        <row r="10">
          <cell r="E10" t="str">
            <v>TGS-26-440BLS-LX36 MONTHS/120 000 KMNo</v>
          </cell>
          <cell r="F10">
            <v>604036.28053641191</v>
          </cell>
        </row>
        <row r="11">
          <cell r="E11" t="str">
            <v>TGS-26-440BLS-LX36 MONTHS/120 000 KMYes</v>
          </cell>
          <cell r="F11">
            <v>774405.48786719458</v>
          </cell>
        </row>
        <row r="12">
          <cell r="E12" t="str">
            <v>TGS-26-440BLS-LX36 MONTHS/130 000 KMNo</v>
          </cell>
          <cell r="F12">
            <v>598055.72330337809</v>
          </cell>
        </row>
        <row r="13">
          <cell r="E13" t="str">
            <v>TGS-26-440BLS-LX36 MONTHS/130 000 KMYes</v>
          </cell>
          <cell r="F13">
            <v>766738.10679920251</v>
          </cell>
        </row>
        <row r="14">
          <cell r="E14" t="str">
            <v>TGS-26-440BLS-LX36 MONTHS/140 000 KMNo</v>
          </cell>
          <cell r="F14">
            <v>592134.3795082951</v>
          </cell>
        </row>
        <row r="15">
          <cell r="E15" t="str">
            <v>TGS-26-440BLS-LX36 MONTHS/140 000 KMYes</v>
          </cell>
          <cell r="F15">
            <v>759146.64039525006</v>
          </cell>
        </row>
        <row r="16">
          <cell r="E16" t="str">
            <v>TGS-26-440BLS-LX36 MONTHS/150 000 KMNo</v>
          </cell>
          <cell r="F16">
            <v>586271.66287950007</v>
          </cell>
        </row>
        <row r="17">
          <cell r="E17" t="str">
            <v>TGS-26-440BLS-LX36 MONTHS/150 000 KMYes</v>
          </cell>
          <cell r="F17">
            <v>751630.33702500002</v>
          </cell>
        </row>
        <row r="18">
          <cell r="E18" t="str">
            <v>TGS-26-440BLS-LX36 MONTHS/160 000 KMNo</v>
          </cell>
          <cell r="F18">
            <v>580466.9929500001</v>
          </cell>
        </row>
        <row r="19">
          <cell r="E19" t="str">
            <v>TGS-26-440BLS-LX36 MONTHS/160 000 KMYes</v>
          </cell>
          <cell r="F19">
            <v>744188.45250000001</v>
          </cell>
        </row>
        <row r="20">
          <cell r="E20" t="str">
            <v>TGS-26-440BLS-LX36 MONTHS/170 000 KMNo</v>
          </cell>
          <cell r="F20">
            <v>574719.79500000004</v>
          </cell>
        </row>
        <row r="21">
          <cell r="E21" t="str">
            <v>TGS-26-440BLS-LX36 MONTHS/170 000 KMYes</v>
          </cell>
          <cell r="F21">
            <v>736820.25</v>
          </cell>
        </row>
        <row r="22">
          <cell r="E22" t="str">
            <v>TGS-26-440BLS-LX36 MONTHS/180 000 KMNo</v>
          </cell>
          <cell r="F22">
            <v>569029.5</v>
          </cell>
        </row>
        <row r="23">
          <cell r="E23" t="str">
            <v>TGS-26-440BLS-LX36 MONTHS/180 000 KMYes</v>
          </cell>
          <cell r="F23">
            <v>729525</v>
          </cell>
        </row>
        <row r="24">
          <cell r="E24" t="str">
            <v>TGS-26-440BLS-LX36 MONTHS/190 000 KMNo</v>
          </cell>
          <cell r="F24">
            <v>541932.85714285716</v>
          </cell>
        </row>
        <row r="25">
          <cell r="E25" t="str">
            <v>TGS-26-440BLS-LX36 MONTHS/190 000 KMYes</v>
          </cell>
          <cell r="F25">
            <v>701466.34615384613</v>
          </cell>
        </row>
        <row r="26">
          <cell r="E26" t="str">
            <v>TGS-26-440BLS-LX36 MONTHS/20 000 KMNo</v>
          </cell>
          <cell r="F26">
            <v>675868.53193956614</v>
          </cell>
        </row>
        <row r="27">
          <cell r="E27" t="str">
            <v>TGS-26-440BLS-LX36 MONTHS/20 000 KMYes</v>
          </cell>
          <cell r="F27">
            <v>868211.83426845679</v>
          </cell>
        </row>
        <row r="28">
          <cell r="E28" t="str">
            <v>TGS-26-440BLS-LX36 MONTHS/200 000 KMNo</v>
          </cell>
          <cell r="F28">
            <v>516126.53061224491</v>
          </cell>
        </row>
        <row r="29">
          <cell r="E29" t="str">
            <v>TGS-26-440BLS-LX36 MONTHS/200 000 KMYes</v>
          </cell>
          <cell r="F29">
            <v>668063.18681318674</v>
          </cell>
        </row>
        <row r="30">
          <cell r="E30" t="str">
            <v>TGS-26-440BLS-LX36 MONTHS/210 000 KMNo</v>
          </cell>
          <cell r="F30">
            <v>491549.07677356654</v>
          </cell>
        </row>
        <row r="31">
          <cell r="E31" t="str">
            <v>TGS-26-440BLS-LX36 MONTHS/210 000 KMYes</v>
          </cell>
          <cell r="F31">
            <v>636250.65410779684</v>
          </cell>
        </row>
        <row r="32">
          <cell r="E32" t="str">
            <v>TGS-26-440BLS-LX36 MONTHS/220 000 KMNo</v>
          </cell>
          <cell r="F32">
            <v>468141.97787958715</v>
          </cell>
        </row>
        <row r="33">
          <cell r="E33" t="str">
            <v>TGS-26-440BLS-LX36 MONTHS/220 000 KMYes</v>
          </cell>
          <cell r="F33">
            <v>600236.466139431</v>
          </cell>
        </row>
        <row r="34">
          <cell r="E34" t="str">
            <v>TGS-26-440BLS-LX36 MONTHS/230 000 KMNo</v>
          </cell>
          <cell r="F34">
            <v>437515.86717718421</v>
          </cell>
        </row>
        <row r="35">
          <cell r="E35" t="str">
            <v>TGS-26-440BLS-LX36 MONTHS/230 000 KMYes</v>
          </cell>
          <cell r="F35">
            <v>560968.65994339343</v>
          </cell>
        </row>
        <row r="36">
          <cell r="E36" t="str">
            <v>TGS-26-440BLS-LX36 MONTHS/240 000 KMNo</v>
          </cell>
          <cell r="F36">
            <v>408893.33381045249</v>
          </cell>
        </row>
        <row r="37">
          <cell r="E37" t="str">
            <v>TGS-26-440BLS-LX36 MONTHS/240 000 KMYes</v>
          </cell>
          <cell r="F37">
            <v>524269.77564803121</v>
          </cell>
        </row>
        <row r="38">
          <cell r="E38" t="str">
            <v>TGS-26-440BLS-LX36 MONTHS/250 000 KMNo</v>
          </cell>
          <cell r="F38">
            <v>382143.30262659106</v>
          </cell>
        </row>
        <row r="39">
          <cell r="E39" t="str">
            <v>TGS-26-440BLS-LX36 MONTHS/250 000 KMYes</v>
          </cell>
          <cell r="F39">
            <v>489971.75294208521</v>
          </cell>
        </row>
        <row r="40">
          <cell r="E40" t="str">
            <v>TGS-26-440BLS-LX36 MONTHS/260 000 KMNo</v>
          </cell>
          <cell r="F40">
            <v>357143.27348279534</v>
          </cell>
        </row>
        <row r="41">
          <cell r="E41" t="str">
            <v>TGS-26-440BLS-LX36 MONTHS/260 000 KMYes</v>
          </cell>
          <cell r="F41">
            <v>457917.52611409832</v>
          </cell>
        </row>
        <row r="42">
          <cell r="E42" t="str">
            <v>TGS-26-440BLS-LX36 MONTHS/270 000 KMNo</v>
          </cell>
          <cell r="F42">
            <v>333778.76026429469</v>
          </cell>
        </row>
        <row r="43">
          <cell r="E43" t="str">
            <v>TGS-26-440BLS-LX36 MONTHS/270 000 KMYes</v>
          </cell>
          <cell r="F43">
            <v>427960.30477953114</v>
          </cell>
        </row>
        <row r="44">
          <cell r="E44" t="str">
            <v>TGS-26-440BLS-LX36 MONTHS/280 000 KMNo</v>
          </cell>
          <cell r="F44">
            <v>311942.76660214458</v>
          </cell>
        </row>
        <row r="45">
          <cell r="E45" t="str">
            <v>TGS-26-440BLS-LX36 MONTHS/280 000 KMYes</v>
          </cell>
          <cell r="F45">
            <v>399962.90166311321</v>
          </cell>
        </row>
        <row r="46">
          <cell r="E46" t="str">
            <v>TGS-26-440BLS-LX36 MONTHS/30 000 KMNo</v>
          </cell>
          <cell r="F46">
            <v>667854.28057269379</v>
          </cell>
        </row>
        <row r="47">
          <cell r="E47" t="str">
            <v>TGS-26-440BLS-LX36 MONTHS/30 000 KMYes</v>
          </cell>
          <cell r="F47">
            <v>857493.16964785859</v>
          </cell>
        </row>
        <row r="48">
          <cell r="E48" t="str">
            <v>TGS-26-440BLS-LX36 MONTHS/40 000 KMNo</v>
          </cell>
          <cell r="F48">
            <v>659935.05985444051</v>
          </cell>
        </row>
        <row r="49">
          <cell r="E49" t="str">
            <v>TGS-26-440BLS-LX36 MONTHS/40 000 KMYes</v>
          </cell>
          <cell r="F49">
            <v>846906.8342201073</v>
          </cell>
        </row>
        <row r="50">
          <cell r="E50" t="str">
            <v>TGS-26-440BLS-LX36 MONTHS/50 000 KMNo</v>
          </cell>
          <cell r="F50">
            <v>652109.74293917045</v>
          </cell>
        </row>
        <row r="51">
          <cell r="E51" t="str">
            <v>TGS-26-440BLS-LX36 MONTHS/50 000 KMYes</v>
          </cell>
          <cell r="F51">
            <v>836451.19429146405</v>
          </cell>
        </row>
        <row r="52">
          <cell r="E52" t="str">
            <v>TGS-26-440BLS-LX36 MONTHS/60 000 KMNo</v>
          </cell>
          <cell r="F52">
            <v>644377.21634305385</v>
          </cell>
        </row>
        <row r="53">
          <cell r="E53" t="str">
            <v>TGS-26-440BLS-LX36 MONTHS/60 000 KMYes</v>
          </cell>
          <cell r="F53">
            <v>826124.63633724849</v>
          </cell>
        </row>
        <row r="54">
          <cell r="E54" t="str">
            <v>TGS-26-440BLS-LX36 MONTHS/70 000 KMNo</v>
          </cell>
          <cell r="F54">
            <v>637366.18827206129</v>
          </cell>
        </row>
        <row r="55">
          <cell r="E55" t="str">
            <v>TGS-26-440BLS-LX36 MONTHS/70 000 KMYes</v>
          </cell>
          <cell r="F55">
            <v>817136.13881033484</v>
          </cell>
        </row>
        <row r="56">
          <cell r="E56" t="str">
            <v>TGS-26-440BLS-LX36 MONTHS/80 000 KMNo</v>
          </cell>
          <cell r="F56">
            <v>630431.44240559975</v>
          </cell>
        </row>
        <row r="57">
          <cell r="E57" t="str">
            <v>TGS-26-440BLS-LX36 MONTHS/80 000 KMYes</v>
          </cell>
          <cell r="F57">
            <v>808245.43898153806</v>
          </cell>
        </row>
        <row r="58">
          <cell r="E58" t="str">
            <v>TGS-26-440BLS-LX36 MONTHS/90 000 KMNo</v>
          </cell>
          <cell r="F58">
            <v>623572.14876913931</v>
          </cell>
        </row>
        <row r="59">
          <cell r="E59" t="str">
            <v>TGS-26-440BLS-LX36 MONTHS/90 000 KMYes</v>
          </cell>
          <cell r="F59">
            <v>799451.47278094769</v>
          </cell>
        </row>
        <row r="60">
          <cell r="E60" t="str">
            <v>TGS-26-440BLS-LX42 MONTHS/10 000 KMNo</v>
          </cell>
          <cell r="F60">
            <v>633313.84659522306</v>
          </cell>
        </row>
        <row r="61">
          <cell r="E61" t="str">
            <v>TGS-26-440BLS-LX42 MONTHS/10 000 KMYes</v>
          </cell>
          <cell r="F61">
            <v>813948.59462667815</v>
          </cell>
        </row>
        <row r="62">
          <cell r="E62" t="str">
            <v>TGS-26-440BLS-LX42 MONTHS/100 000 KMNo</v>
          </cell>
          <cell r="F62">
            <v>571099.52446160687</v>
          </cell>
        </row>
        <row r="63">
          <cell r="E63" t="str">
            <v>TGS-26-440BLS-LX42 MONTHS/100 000 KMYes</v>
          </cell>
          <cell r="F63">
            <v>732178.8775148805</v>
          </cell>
        </row>
        <row r="64">
          <cell r="E64" t="str">
            <v>TGS-26-440BLS-LX42 MONTHS/110 000 KMNo</v>
          </cell>
          <cell r="F64">
            <v>564885.78087201482</v>
          </cell>
        </row>
        <row r="65">
          <cell r="E65" t="str">
            <v>TGS-26-440BLS-LX42 MONTHS/110 000 KMYes</v>
          </cell>
          <cell r="F65">
            <v>724212.53957950603</v>
          </cell>
        </row>
        <row r="66">
          <cell r="E66" t="str">
            <v>TGS-26-440BLS-LX42 MONTHS/120 000 KMNo</v>
          </cell>
          <cell r="F66">
            <v>559292.8523485295</v>
          </cell>
        </row>
        <row r="67">
          <cell r="E67" t="str">
            <v>TGS-26-440BLS-LX42 MONTHS/120 000 KMYes</v>
          </cell>
          <cell r="F67">
            <v>717042.11839555053</v>
          </cell>
        </row>
        <row r="68">
          <cell r="E68" t="str">
            <v>TGS-26-440BLS-LX42 MONTHS/130 000 KMNo</v>
          </cell>
          <cell r="F68">
            <v>553755.29935497965</v>
          </cell>
        </row>
        <row r="69">
          <cell r="E69" t="str">
            <v>TGS-26-440BLS-LX42 MONTHS/130 000 KMYes</v>
          </cell>
          <cell r="F69">
            <v>709942.691480743</v>
          </cell>
        </row>
        <row r="70">
          <cell r="E70" t="str">
            <v>TGS-26-440BLS-LX42 MONTHS/140 000 KMNo</v>
          </cell>
          <cell r="F70">
            <v>548272.57361879176</v>
          </cell>
        </row>
        <row r="71">
          <cell r="E71" t="str">
            <v>TGS-26-440BLS-LX42 MONTHS/140 000 KMYes</v>
          </cell>
          <cell r="F71">
            <v>702913.55592152779</v>
          </cell>
        </row>
        <row r="72">
          <cell r="E72" t="str">
            <v>TGS-26-440BLS-LX42 MONTHS/150 000 KMNo</v>
          </cell>
          <cell r="F72">
            <v>542844.13229583332</v>
          </cell>
        </row>
        <row r="73">
          <cell r="E73" t="str">
            <v>TGS-26-440BLS-LX42 MONTHS/150 000 KMYes</v>
          </cell>
          <cell r="F73">
            <v>695954.01576388883</v>
          </cell>
        </row>
        <row r="74">
          <cell r="E74" t="str">
            <v>TGS-26-440BLS-LX42 MONTHS/160 000 KMNo</v>
          </cell>
          <cell r="F74">
            <v>537469.43791666673</v>
          </cell>
        </row>
        <row r="75">
          <cell r="E75" t="str">
            <v>TGS-26-440BLS-LX42 MONTHS/160 000 KMYes</v>
          </cell>
          <cell r="F75">
            <v>689063.38194444438</v>
          </cell>
        </row>
        <row r="76">
          <cell r="E76" t="str">
            <v>TGS-26-440BLS-LX42 MONTHS/170 000 KMNo</v>
          </cell>
          <cell r="F76">
            <v>532147.95833333337</v>
          </cell>
        </row>
        <row r="77">
          <cell r="E77" t="str">
            <v>TGS-26-440BLS-LX42 MONTHS/170 000 KMYes</v>
          </cell>
          <cell r="F77">
            <v>682240.97222222213</v>
          </cell>
        </row>
        <row r="78">
          <cell r="E78" t="str">
            <v>TGS-26-440BLS-LX42 MONTHS/180 000 KMNo</v>
          </cell>
          <cell r="F78">
            <v>526879.16666666663</v>
          </cell>
        </row>
        <row r="79">
          <cell r="E79" t="str">
            <v>TGS-26-440BLS-LX42 MONTHS/180 000 KMYes</v>
          </cell>
          <cell r="F79">
            <v>675486.11111111112</v>
          </cell>
        </row>
        <row r="80">
          <cell r="E80" t="str">
            <v>TGS-26-440BLS-LX42 MONTHS/190 000 KMNo</v>
          </cell>
          <cell r="F80">
            <v>501789.68253968254</v>
          </cell>
        </row>
        <row r="81">
          <cell r="E81" t="str">
            <v>TGS-26-440BLS-LX42 MONTHS/190 000 KMYes</v>
          </cell>
          <cell r="F81">
            <v>649505.876068376</v>
          </cell>
        </row>
        <row r="82">
          <cell r="E82" t="str">
            <v>TGS-26-440BLS-LX42 MONTHS/20 000 KMNo</v>
          </cell>
          <cell r="F82">
            <v>625804.19624033896</v>
          </cell>
        </row>
        <row r="83">
          <cell r="E83" t="str">
            <v>TGS-26-440BLS-LX42 MONTHS/20 000 KMYes</v>
          </cell>
          <cell r="F83">
            <v>803899.84654486738</v>
          </cell>
        </row>
        <row r="84">
          <cell r="E84" t="str">
            <v>TGS-26-440BLS-LX42 MONTHS/200 000 KMNo</v>
          </cell>
          <cell r="F84">
            <v>477894.9357520786</v>
          </cell>
        </row>
        <row r="85">
          <cell r="E85" t="str">
            <v>TGS-26-440BLS-LX42 MONTHS/200 000 KMYes</v>
          </cell>
          <cell r="F85">
            <v>618577.02482702467</v>
          </cell>
        </row>
        <row r="86">
          <cell r="E86" t="str">
            <v>TGS-26-440BLS-LX42 MONTHS/210 000 KMNo</v>
          </cell>
          <cell r="F86">
            <v>455138.03404959862</v>
          </cell>
        </row>
        <row r="87">
          <cell r="E87" t="str">
            <v>TGS-26-440BLS-LX42 MONTHS/210 000 KMYes</v>
          </cell>
          <cell r="F87">
            <v>589120.97602573782</v>
          </cell>
        </row>
        <row r="88">
          <cell r="E88" t="str">
            <v>TGS-26-440BLS-LX42 MONTHS/220 000 KMNo</v>
          </cell>
          <cell r="F88">
            <v>433464.79433295102</v>
          </cell>
        </row>
        <row r="89">
          <cell r="E89" t="str">
            <v>TGS-26-440BLS-LX42 MONTHS/220 000 KMYes</v>
          </cell>
          <cell r="F89">
            <v>555774.5056846583</v>
          </cell>
        </row>
        <row r="90">
          <cell r="E90" t="str">
            <v>TGS-26-440BLS-LX42 MONTHS/230 000 KMNo</v>
          </cell>
          <cell r="F90">
            <v>405107.28442331869</v>
          </cell>
        </row>
        <row r="91">
          <cell r="E91" t="str">
            <v>TGS-26-440BLS-LX42 MONTHS/230 000 KMYes</v>
          </cell>
          <cell r="F91">
            <v>519415.4258735124</v>
          </cell>
        </row>
        <row r="92">
          <cell r="E92" t="str">
            <v>TGS-26-440BLS-LX42 MONTHS/240 000 KMNo</v>
          </cell>
          <cell r="F92">
            <v>378604.93871338188</v>
          </cell>
        </row>
        <row r="93">
          <cell r="E93" t="str">
            <v>TGS-26-440BLS-LX42 MONTHS/240 000 KMYes</v>
          </cell>
          <cell r="F93">
            <v>485434.9774518807</v>
          </cell>
        </row>
        <row r="94">
          <cell r="E94" t="str">
            <v>TGS-26-440BLS-LX42 MONTHS/250 000 KMNo</v>
          </cell>
          <cell r="F94">
            <v>353836.39132091764</v>
          </cell>
        </row>
        <row r="95">
          <cell r="E95" t="str">
            <v>TGS-26-440BLS-LX42 MONTHS/250 000 KMYes</v>
          </cell>
          <cell r="F95">
            <v>453677.54902044922</v>
          </cell>
        </row>
        <row r="96">
          <cell r="E96" t="str">
            <v>TGS-26-440BLS-LX42 MONTHS/260 000 KMNo</v>
          </cell>
          <cell r="F96">
            <v>330688.21618777345</v>
          </cell>
        </row>
        <row r="97">
          <cell r="E97" t="str">
            <v>TGS-26-440BLS-LX42 MONTHS/260 000 KMYes</v>
          </cell>
          <cell r="F97">
            <v>423997.70936490584</v>
          </cell>
        </row>
        <row r="98">
          <cell r="E98" t="str">
            <v>TGS-26-440BLS-LX42 MONTHS/270 000 KMNo</v>
          </cell>
          <cell r="F98">
            <v>309054.4076521247</v>
          </cell>
        </row>
        <row r="99">
          <cell r="E99" t="str">
            <v>TGS-26-440BLS-LX42 MONTHS/270 000 KMYes</v>
          </cell>
          <cell r="F99">
            <v>396259.54146252881</v>
          </cell>
        </row>
        <row r="100">
          <cell r="E100" t="str">
            <v>TGS-26-440BLS-LX42 MONTHS/280 000 KMNo</v>
          </cell>
          <cell r="F100">
            <v>288835.89500198571</v>
          </cell>
        </row>
        <row r="101">
          <cell r="E101" t="str">
            <v>TGS-26-440BLS-LX42 MONTHS/280 000 KMYes</v>
          </cell>
          <cell r="F101">
            <v>370336.02005843812</v>
          </cell>
        </row>
        <row r="102">
          <cell r="E102" t="str">
            <v>TGS-26-440BLS-LX42 MONTHS/30 000 KMNo</v>
          </cell>
          <cell r="F102">
            <v>618383.59312286461</v>
          </cell>
        </row>
        <row r="103">
          <cell r="E103" t="str">
            <v>TGS-26-440BLS-LX42 MONTHS/30 000 KMYes</v>
          </cell>
          <cell r="F103">
            <v>793975.15708135045</v>
          </cell>
        </row>
        <row r="104">
          <cell r="E104" t="str">
            <v>TGS-26-440BLS-LX42 MONTHS/40 000 KMNo</v>
          </cell>
          <cell r="F104">
            <v>611050.98134670418</v>
          </cell>
        </row>
        <row r="105">
          <cell r="E105" t="str">
            <v>TGS-26-440BLS-LX42 MONTHS/40 000 KMYes</v>
          </cell>
          <cell r="F105">
            <v>784172.99464824749</v>
          </cell>
        </row>
        <row r="106">
          <cell r="E106" t="str">
            <v>TGS-26-440BLS-LX42 MONTHS/50 000 KMNo</v>
          </cell>
          <cell r="F106">
            <v>603805.31753626885</v>
          </cell>
        </row>
        <row r="107">
          <cell r="E107" t="str">
            <v>TGS-26-440BLS-LX42 MONTHS/50 000 KMYes</v>
          </cell>
          <cell r="F107">
            <v>774491.84656617034</v>
          </cell>
        </row>
        <row r="108">
          <cell r="E108" t="str">
            <v>TGS-26-440BLS-LX42 MONTHS/60 000 KMNo</v>
          </cell>
          <cell r="F108">
            <v>596645.57068801275</v>
          </cell>
        </row>
        <row r="109">
          <cell r="E109" t="str">
            <v>TGS-26-440BLS-LX42 MONTHS/60 000 KMYes</v>
          </cell>
          <cell r="F109">
            <v>764930.2188307856</v>
          </cell>
        </row>
        <row r="110">
          <cell r="E110" t="str">
            <v>TGS-26-440BLS-LX42 MONTHS/70 000 KMNo</v>
          </cell>
          <cell r="F110">
            <v>590153.8780296864</v>
          </cell>
        </row>
        <row r="111">
          <cell r="E111" t="str">
            <v>TGS-26-440BLS-LX42 MONTHS/70 000 KMYes</v>
          </cell>
          <cell r="F111">
            <v>756607.53593549517</v>
          </cell>
        </row>
        <row r="112">
          <cell r="E112" t="str">
            <v>TGS-26-440BLS-LX42 MONTHS/80 000 KMNo</v>
          </cell>
          <cell r="F112">
            <v>583732.8170422219</v>
          </cell>
        </row>
        <row r="113">
          <cell r="E113" t="str">
            <v>TGS-26-440BLS-LX42 MONTHS/80 000 KMYes</v>
          </cell>
          <cell r="F113">
            <v>748375.40646438708</v>
          </cell>
        </row>
        <row r="114">
          <cell r="E114" t="str">
            <v>TGS-26-440BLS-LX42 MONTHS/90 000 KMNo</v>
          </cell>
          <cell r="F114">
            <v>577381.61923068448</v>
          </cell>
        </row>
        <row r="115">
          <cell r="E115" t="str">
            <v>TGS-26-440BLS-LX42 MONTHS/90 000 KMYes</v>
          </cell>
          <cell r="F115">
            <v>740232.84516754409</v>
          </cell>
        </row>
        <row r="116">
          <cell r="E116" t="str">
            <v>TGS-26-440BLS-LX48 MONTHS/10 000 KMNo</v>
          </cell>
          <cell r="F116">
            <v>579085.29576353973</v>
          </cell>
        </row>
        <row r="117">
          <cell r="E117" t="str">
            <v>TGS-26-440BLS-LX48 MONTHS/10 000 KMYes</v>
          </cell>
          <cell r="F117">
            <v>750733.90085421223</v>
          </cell>
        </row>
        <row r="118">
          <cell r="E118" t="str">
            <v>TGS-26-440BLS-LX48 MONTHS/100 000 KMNo</v>
          </cell>
          <cell r="F118">
            <v>524269.36345575511</v>
          </cell>
        </row>
        <row r="119">
          <cell r="E119" t="str">
            <v>TGS-26-440BLS-LX48 MONTHS/100 000 KMYes</v>
          </cell>
          <cell r="F119">
            <v>675314.76615168108</v>
          </cell>
        </row>
        <row r="120">
          <cell r="E120" t="str">
            <v>TGS-26-440BLS-LX48 MONTHS/110 000 KMNo</v>
          </cell>
          <cell r="F120">
            <v>518565.14684050955</v>
          </cell>
        </row>
        <row r="121">
          <cell r="E121" t="str">
            <v>TGS-26-440BLS-LX48 MONTHS/110 000 KMYes</v>
          </cell>
          <cell r="F121">
            <v>667967.12774646992</v>
          </cell>
        </row>
        <row r="122">
          <cell r="E122" t="str">
            <v>TGS-26-440BLS-LX48 MONTHS/120 000 KMNo</v>
          </cell>
          <cell r="F122">
            <v>513430.83845595003</v>
          </cell>
        </row>
        <row r="123">
          <cell r="E123" t="str">
            <v>TGS-26-440BLS-LX48 MONTHS/120 000 KMYes</v>
          </cell>
          <cell r="F123">
            <v>661353.59182818804</v>
          </cell>
        </row>
        <row r="124">
          <cell r="E124" t="str">
            <v>TGS-26-440BLS-LX48 MONTHS/130 000 KMNo</v>
          </cell>
          <cell r="F124">
            <v>508347.36480787129</v>
          </cell>
        </row>
        <row r="125">
          <cell r="E125" t="str">
            <v>TGS-26-440BLS-LX48 MONTHS/130 000 KMYes</v>
          </cell>
          <cell r="F125">
            <v>654805.5364635525</v>
          </cell>
        </row>
        <row r="126">
          <cell r="E126" t="str">
            <v>TGS-26-440BLS-LX48 MONTHS/140 000 KMNo</v>
          </cell>
          <cell r="F126">
            <v>503314.22258205077</v>
          </cell>
        </row>
        <row r="127">
          <cell r="E127" t="str">
            <v>TGS-26-440BLS-LX48 MONTHS/140 000 KMYes</v>
          </cell>
          <cell r="F127">
            <v>648322.31333024998</v>
          </cell>
        </row>
        <row r="128">
          <cell r="E128" t="str">
            <v>TGS-26-440BLS-LX48 MONTHS/150 000 KMNo</v>
          </cell>
          <cell r="F128">
            <v>498330.913447575</v>
          </cell>
        </row>
        <row r="129">
          <cell r="E129" t="str">
            <v>TGS-26-440BLS-LX48 MONTHS/150 000 KMYes</v>
          </cell>
          <cell r="F129">
            <v>641903.28052499995</v>
          </cell>
        </row>
        <row r="130">
          <cell r="E130" t="str">
            <v>TGS-26-440BLS-LX48 MONTHS/160 000 KMNo</v>
          </cell>
          <cell r="F130">
            <v>493396.94400750002</v>
          </cell>
        </row>
        <row r="131">
          <cell r="E131" t="str">
            <v>TGS-26-440BLS-LX48 MONTHS/160 000 KMYes</v>
          </cell>
          <cell r="F131">
            <v>635547.80249999999</v>
          </cell>
        </row>
        <row r="132">
          <cell r="E132" t="str">
            <v>TGS-26-440BLS-LX48 MONTHS/170 000 KMNo</v>
          </cell>
          <cell r="F132">
            <v>488511.82575000002</v>
          </cell>
        </row>
        <row r="133">
          <cell r="E133" t="str">
            <v>TGS-26-440BLS-LX48 MONTHS/170 000 KMYes</v>
          </cell>
          <cell r="F133">
            <v>629255.25</v>
          </cell>
        </row>
        <row r="134">
          <cell r="E134" t="str">
            <v>TGS-26-440BLS-LX48 MONTHS/180 000 KMNo</v>
          </cell>
          <cell r="F134">
            <v>483675.07500000001</v>
          </cell>
        </row>
        <row r="135">
          <cell r="E135" t="str">
            <v>TGS-26-440BLS-LX48 MONTHS/180 000 KMYes</v>
          </cell>
          <cell r="F135">
            <v>623025</v>
          </cell>
        </row>
        <row r="136">
          <cell r="E136" t="str">
            <v>TGS-26-440BLS-LX48 MONTHS/190 000 KMNo</v>
          </cell>
          <cell r="F136">
            <v>460642.92857142858</v>
          </cell>
        </row>
        <row r="137">
          <cell r="E137" t="str">
            <v>TGS-26-440BLS-LX48 MONTHS/190 000 KMYes</v>
          </cell>
          <cell r="F137">
            <v>599062.5</v>
          </cell>
        </row>
        <row r="138">
          <cell r="E138" t="str">
            <v>TGS-26-440BLS-LX48 MONTHS/20 000 KMNo</v>
          </cell>
          <cell r="F138">
            <v>572218.67170310253</v>
          </cell>
        </row>
        <row r="139">
          <cell r="E139" t="str">
            <v>TGS-26-440BLS-LX48 MONTHS/20 000 KMYes</v>
          </cell>
          <cell r="F139">
            <v>741465.58109057997</v>
          </cell>
        </row>
        <row r="140">
          <cell r="E140" t="str">
            <v>TGS-26-440BLS-LX48 MONTHS/200 000 KMNo</v>
          </cell>
          <cell r="F140">
            <v>438707.55102040817</v>
          </cell>
        </row>
        <row r="141">
          <cell r="E141" t="str">
            <v>TGS-26-440BLS-LX48 MONTHS/200 000 KMYes</v>
          </cell>
          <cell r="F141">
            <v>570535.71428571432</v>
          </cell>
        </row>
        <row r="142">
          <cell r="E142" t="str">
            <v>TGS-26-440BLS-LX48 MONTHS/210 000 KMNo</v>
          </cell>
          <cell r="F142">
            <v>417816.71525753156</v>
          </cell>
        </row>
        <row r="143">
          <cell r="E143" t="str">
            <v>TGS-26-440BLS-LX48 MONTHS/210 000 KMYes</v>
          </cell>
          <cell r="F143">
            <v>543367.3469387755</v>
          </cell>
        </row>
        <row r="144">
          <cell r="E144" t="str">
            <v>TGS-26-440BLS-LX48 MONTHS/220 000 KMNo</v>
          </cell>
          <cell r="F144">
            <v>397920.6811976491</v>
          </cell>
        </row>
        <row r="145">
          <cell r="E145" t="str">
            <v>TGS-26-440BLS-LX48 MONTHS/220 000 KMYes</v>
          </cell>
          <cell r="F145">
            <v>507819.95041007054</v>
          </cell>
        </row>
        <row r="146">
          <cell r="E146" t="str">
            <v>TGS-26-440BLS-LX48 MONTHS/230 000 KMNo</v>
          </cell>
          <cell r="F146">
            <v>371888.48710060661</v>
          </cell>
        </row>
        <row r="147">
          <cell r="E147" t="str">
            <v>TGS-26-440BLS-LX48 MONTHS/230 000 KMYes</v>
          </cell>
          <cell r="F147">
            <v>474598.08449539298</v>
          </cell>
        </row>
        <row r="148">
          <cell r="E148" t="str">
            <v>TGS-26-440BLS-LX48 MONTHS/240 000 KMNo</v>
          </cell>
          <cell r="F148">
            <v>347559.33373888466</v>
          </cell>
        </row>
        <row r="149">
          <cell r="E149" t="str">
            <v>TGS-26-440BLS-LX48 MONTHS/240 000 KMYes</v>
          </cell>
          <cell r="F149">
            <v>443549.61167793733</v>
          </cell>
        </row>
        <row r="150">
          <cell r="E150" t="str">
            <v>TGS-26-440BLS-LX48 MONTHS/250 000 KMNo</v>
          </cell>
          <cell r="F150">
            <v>324821.80723260244</v>
          </cell>
        </row>
        <row r="151">
          <cell r="E151" t="str">
            <v>TGS-26-440BLS-LX48 MONTHS/250 000 KMYes</v>
          </cell>
          <cell r="F151">
            <v>414532.34736255824</v>
          </cell>
        </row>
        <row r="152">
          <cell r="E152" t="str">
            <v>TGS-26-440BLS-LX48 MONTHS/260 000 KMNo</v>
          </cell>
          <cell r="F152">
            <v>303571.7824603761</v>
          </cell>
        </row>
        <row r="153">
          <cell r="E153" t="str">
            <v>TGS-26-440BLS-LX48 MONTHS/260 000 KMYes</v>
          </cell>
          <cell r="F153">
            <v>387413.40875005443</v>
          </cell>
        </row>
        <row r="154">
          <cell r="E154" t="str">
            <v>TGS-26-440BLS-LX48 MONTHS/270 000 KMNo</v>
          </cell>
          <cell r="F154">
            <v>283711.94622465054</v>
          </cell>
        </row>
        <row r="155">
          <cell r="E155" t="str">
            <v>TGS-26-440BLS-LX48 MONTHS/270 000 KMYes</v>
          </cell>
          <cell r="F155">
            <v>362068.60630846204</v>
          </cell>
        </row>
        <row r="156">
          <cell r="E156" t="str">
            <v>TGS-26-440BLS-LX48 MONTHS/280 000 KMNo</v>
          </cell>
          <cell r="F156">
            <v>265151.3516118229</v>
          </cell>
        </row>
        <row r="157">
          <cell r="E157" t="str">
            <v>TGS-26-440BLS-LX48 MONTHS/280 000 KMYes</v>
          </cell>
          <cell r="F157">
            <v>338381.87505463738</v>
          </cell>
        </row>
        <row r="158">
          <cell r="E158" t="str">
            <v>TGS-26-440BLS-LX48 MONTHS/30 000 KMNo</v>
          </cell>
          <cell r="F158">
            <v>565433.47006235423</v>
          </cell>
        </row>
        <row r="159">
          <cell r="E159" t="str">
            <v>TGS-26-440BLS-LX48 MONTHS/30 000 KMYes</v>
          </cell>
          <cell r="F159">
            <v>732311.68502773333</v>
          </cell>
        </row>
        <row r="160">
          <cell r="E160" t="str">
            <v>TGS-26-440BLS-LX48 MONTHS/40 000 KMNo</v>
          </cell>
          <cell r="F160">
            <v>558728.72535805753</v>
          </cell>
        </row>
        <row r="161">
          <cell r="E161" t="str">
            <v>TGS-26-440BLS-LX48 MONTHS/40 000 KMYes</v>
          </cell>
          <cell r="F161">
            <v>723270.80002739094</v>
          </cell>
        </row>
        <row r="162">
          <cell r="E162" t="str">
            <v>TGS-26-440BLS-LX48 MONTHS/50 000 KMNo</v>
          </cell>
          <cell r="F162">
            <v>552103.48355539283</v>
          </cell>
        </row>
        <row r="163">
          <cell r="E163" t="str">
            <v>TGS-26-440BLS-LX48 MONTHS/50 000 KMYes</v>
          </cell>
          <cell r="F163">
            <v>714341.53089125035</v>
          </cell>
        </row>
        <row r="164">
          <cell r="E164" t="str">
            <v>TGS-26-440BLS-LX48 MONTHS/60 000 KMNo</v>
          </cell>
          <cell r="F164">
            <v>545556.80193220638</v>
          </cell>
        </row>
        <row r="165">
          <cell r="E165" t="str">
            <v>TGS-26-440BLS-LX48 MONTHS/60 000 KMYes</v>
          </cell>
          <cell r="F165">
            <v>705522.49964567937</v>
          </cell>
        </row>
        <row r="166">
          <cell r="E166" t="str">
            <v>TGS-26-440BLS-LX48 MONTHS/70 000 KMNo</v>
          </cell>
          <cell r="F166">
            <v>540155.24943782808</v>
          </cell>
        </row>
        <row r="167">
          <cell r="E167" t="str">
            <v>TGS-26-440BLS-LX48 MONTHS/70 000 KMYes</v>
          </cell>
          <cell r="F167">
            <v>697846.1915387531</v>
          </cell>
        </row>
        <row r="168">
          <cell r="E168" t="str">
            <v>TGS-26-440BLS-LX48 MONTHS/80 000 KMNo</v>
          </cell>
          <cell r="F168">
            <v>534807.17766121589</v>
          </cell>
        </row>
        <row r="169">
          <cell r="E169" t="str">
            <v>TGS-26-440BLS-LX48 MONTHS/80 000 KMYes</v>
          </cell>
          <cell r="F169">
            <v>690253.40409372223</v>
          </cell>
        </row>
        <row r="170">
          <cell r="E170" t="str">
            <v>TGS-26-440BLS-LX48 MONTHS/90 000 KMNo</v>
          </cell>
          <cell r="F170">
            <v>529512.05709031271</v>
          </cell>
        </row>
        <row r="171">
          <cell r="E171" t="str">
            <v>TGS-26-440BLS-LX48 MONTHS/90 000 KMYes</v>
          </cell>
          <cell r="F171">
            <v>682743.22857934947</v>
          </cell>
        </row>
        <row r="172">
          <cell r="E172" t="str">
            <v>TGS-26-440BLS-LX54 MONTHS/10 000 KMNo</v>
          </cell>
          <cell r="F172">
            <v>512464.86350755731</v>
          </cell>
        </row>
        <row r="173">
          <cell r="E173" t="str">
            <v>TGS-26-440BLS-LX54 MONTHS/10 000 KMYes</v>
          </cell>
          <cell r="F173">
            <v>664366.2839417808</v>
          </cell>
        </row>
        <row r="174">
          <cell r="E174" t="str">
            <v>TGS-26-440BLS-LX54 MONTHS/100 000 KMNo</v>
          </cell>
          <cell r="F174">
            <v>463955.18889889837</v>
          </cell>
        </row>
        <row r="175">
          <cell r="E175" t="str">
            <v>TGS-26-440BLS-LX54 MONTHS/100 000 KMYes</v>
          </cell>
          <cell r="F175">
            <v>597623.68685989478</v>
          </cell>
        </row>
        <row r="176">
          <cell r="E176" t="str">
            <v>TGS-26-440BLS-LX54 MONTHS/110 000 KMNo</v>
          </cell>
          <cell r="F176">
            <v>458907.20959337131</v>
          </cell>
        </row>
        <row r="177">
          <cell r="E177" t="str">
            <v>TGS-26-440BLS-LX54 MONTHS/110 000 KMYes</v>
          </cell>
          <cell r="F177">
            <v>591121.35198802652</v>
          </cell>
        </row>
        <row r="178">
          <cell r="E178" t="str">
            <v>TGS-26-440BLS-LX54 MONTHS/120 000 KMNo</v>
          </cell>
          <cell r="F178">
            <v>454363.57385482307</v>
          </cell>
        </row>
        <row r="179">
          <cell r="E179" t="str">
            <v>TGS-26-440BLS-LX54 MONTHS/120 000 KMYes</v>
          </cell>
          <cell r="F179">
            <v>585268.66533467977</v>
          </cell>
        </row>
        <row r="180">
          <cell r="E180" t="str">
            <v>TGS-26-440BLS-LX54 MONTHS/130 000 KMNo</v>
          </cell>
          <cell r="F180">
            <v>449864.92460873572</v>
          </cell>
        </row>
        <row r="181">
          <cell r="E181" t="str">
            <v>TGS-26-440BLS-LX54 MONTHS/130 000 KMYes</v>
          </cell>
          <cell r="F181">
            <v>579473.92607394035</v>
          </cell>
        </row>
        <row r="182">
          <cell r="E182" t="str">
            <v>TGS-26-440BLS-LX54 MONTHS/140 000 KMNo</v>
          </cell>
          <cell r="F182">
            <v>445410.81644429278</v>
          </cell>
        </row>
        <row r="183">
          <cell r="E183" t="str">
            <v>TGS-26-440BLS-LX54 MONTHS/140 000 KMYes</v>
          </cell>
          <cell r="F183">
            <v>573736.56046924787</v>
          </cell>
        </row>
        <row r="184">
          <cell r="E184" t="str">
            <v>TGS-26-440BLS-LX54 MONTHS/150 000 KMNo</v>
          </cell>
          <cell r="F184">
            <v>441000.80836068589</v>
          </cell>
        </row>
        <row r="185">
          <cell r="E185" t="str">
            <v>TGS-26-440BLS-LX54 MONTHS/150 000 KMYes</v>
          </cell>
          <cell r="F185">
            <v>568056.00046460179</v>
          </cell>
        </row>
        <row r="186">
          <cell r="E186" t="str">
            <v>TGS-26-440BLS-LX54 MONTHS/160 000 KMNo</v>
          </cell>
          <cell r="F186">
            <v>436634.46372345136</v>
          </cell>
        </row>
        <row r="187">
          <cell r="E187" t="str">
            <v>TGS-26-440BLS-LX54 MONTHS/160 000 KMYes</v>
          </cell>
          <cell r="F187">
            <v>562431.6836283186</v>
          </cell>
        </row>
        <row r="188">
          <cell r="E188" t="str">
            <v>TGS-26-440BLS-LX54 MONTHS/170 000 KMNo</v>
          </cell>
          <cell r="F188">
            <v>432311.35022123897</v>
          </cell>
        </row>
        <row r="189">
          <cell r="E189" t="str">
            <v>TGS-26-440BLS-LX54 MONTHS/170 000 KMYes</v>
          </cell>
          <cell r="F189">
            <v>556863.05309734517</v>
          </cell>
        </row>
        <row r="190">
          <cell r="E190" t="str">
            <v>TGS-26-440BLS-LX54 MONTHS/180 000 KMNo</v>
          </cell>
          <cell r="F190">
            <v>428031.03982300888</v>
          </cell>
        </row>
        <row r="191">
          <cell r="E191" t="str">
            <v>TGS-26-440BLS-LX54 MONTHS/180 000 KMYes</v>
          </cell>
          <cell r="F191">
            <v>551349.55752212391</v>
          </cell>
        </row>
        <row r="192">
          <cell r="E192" t="str">
            <v>TGS-26-440BLS-LX54 MONTHS/190 000 KMNo</v>
          </cell>
          <cell r="F192">
            <v>407648.60935524659</v>
          </cell>
        </row>
        <row r="193">
          <cell r="E193" t="str">
            <v>TGS-26-440BLS-LX54 MONTHS/190 000 KMYes</v>
          </cell>
          <cell r="F193">
            <v>530143.80530973454</v>
          </cell>
        </row>
        <row r="194">
          <cell r="E194" t="str">
            <v>TGS-26-440BLS-LX54 MONTHS/20 000 KMNo</v>
          </cell>
          <cell r="F194">
            <v>506388.20504699345</v>
          </cell>
        </row>
        <row r="195">
          <cell r="E195" t="str">
            <v>TGS-26-440BLS-LX54 MONTHS/20 000 KMYes</v>
          </cell>
          <cell r="F195">
            <v>656164.23105361068</v>
          </cell>
        </row>
        <row r="196">
          <cell r="E196" t="str">
            <v>TGS-26-440BLS-LX54 MONTHS/200 000 KMNo</v>
          </cell>
          <cell r="F196">
            <v>388236.77081452054</v>
          </cell>
        </row>
        <row r="197">
          <cell r="E197" t="str">
            <v>TGS-26-440BLS-LX54 MONTHS/200 000 KMYes</v>
          </cell>
          <cell r="F197">
            <v>504898.86219974724</v>
          </cell>
        </row>
        <row r="198">
          <cell r="E198" t="str">
            <v>TGS-26-440BLS-LX54 MONTHS/210 000 KMNo</v>
          </cell>
          <cell r="F198">
            <v>369749.3055376386</v>
          </cell>
        </row>
        <row r="199">
          <cell r="E199" t="str">
            <v>TGS-26-440BLS-LX54 MONTHS/210 000 KMYes</v>
          </cell>
          <cell r="F199">
            <v>480856.0592378545</v>
          </cell>
        </row>
        <row r="200">
          <cell r="E200" t="str">
            <v>TGS-26-440BLS-LX54 MONTHS/220 000 KMNo</v>
          </cell>
          <cell r="F200">
            <v>352142.19575013197</v>
          </cell>
        </row>
        <row r="201">
          <cell r="E201" t="str">
            <v>TGS-26-440BLS-LX54 MONTHS/220 000 KMYes</v>
          </cell>
          <cell r="F201">
            <v>449398.18620360229</v>
          </cell>
        </row>
        <row r="202">
          <cell r="E202" t="str">
            <v>TGS-26-440BLS-LX54 MONTHS/230 000 KMNo</v>
          </cell>
          <cell r="F202">
            <v>329104.8558412448</v>
          </cell>
        </row>
        <row r="203">
          <cell r="E203" t="str">
            <v>TGS-26-440BLS-LX54 MONTHS/230 000 KMYes</v>
          </cell>
          <cell r="F203">
            <v>419998.30486317968</v>
          </cell>
        </row>
        <row r="204">
          <cell r="E204" t="str">
            <v>TGS-26-440BLS-LX54 MONTHS/240 000 KMNo</v>
          </cell>
          <cell r="F204">
            <v>307574.6316273316</v>
          </cell>
        </row>
        <row r="205">
          <cell r="E205" t="str">
            <v>TGS-26-440BLS-LX54 MONTHS/240 000 KMYes</v>
          </cell>
          <cell r="F205">
            <v>392521.78024596226</v>
          </cell>
        </row>
        <row r="206">
          <cell r="E206" t="str">
            <v>TGS-26-440BLS-LX54 MONTHS/250 000 KMNo</v>
          </cell>
          <cell r="F206">
            <v>287452.92675451544</v>
          </cell>
        </row>
        <row r="207">
          <cell r="E207" t="str">
            <v>TGS-26-440BLS-LX54 MONTHS/250 000 KMYes</v>
          </cell>
          <cell r="F207">
            <v>366842.78527660028</v>
          </cell>
        </row>
        <row r="208">
          <cell r="E208" t="str">
            <v>TGS-26-440BLS-LX54 MONTHS/260 000 KMNo</v>
          </cell>
          <cell r="F208">
            <v>268647.59509767802</v>
          </cell>
        </row>
        <row r="209">
          <cell r="E209" t="str">
            <v>TGS-26-440BLS-LX54 MONTHS/260 000 KMYes</v>
          </cell>
          <cell r="F209">
            <v>342843.7245575703</v>
          </cell>
        </row>
        <row r="210">
          <cell r="E210" t="str">
            <v>TGS-26-440BLS-LX54 MONTHS/270 000 KMNo</v>
          </cell>
          <cell r="F210">
            <v>251072.51878287661</v>
          </cell>
        </row>
        <row r="211">
          <cell r="E211" t="str">
            <v>TGS-26-440BLS-LX54 MONTHS/270 000 KMYes</v>
          </cell>
          <cell r="F211">
            <v>320414.69584819651</v>
          </cell>
        </row>
        <row r="212">
          <cell r="E212" t="str">
            <v>TGS-26-440BLS-LX54 MONTHS/280 000 KMNo</v>
          </cell>
          <cell r="F212">
            <v>234647.2138157725</v>
          </cell>
        </row>
        <row r="213">
          <cell r="E213" t="str">
            <v>TGS-26-440BLS-LX54 MONTHS/280 000 KMYes</v>
          </cell>
          <cell r="F213">
            <v>299452.98677401541</v>
          </cell>
        </row>
        <row r="214">
          <cell r="E214" t="str">
            <v>TGS-26-440BLS-LX54 MONTHS/30 000 KMNo</v>
          </cell>
          <cell r="F214">
            <v>500383.60182509228</v>
          </cell>
        </row>
        <row r="215">
          <cell r="E215" t="str">
            <v>TGS-26-440BLS-LX54 MONTHS/30 000 KMYes</v>
          </cell>
          <cell r="F215">
            <v>648063.43807764014</v>
          </cell>
        </row>
        <row r="216">
          <cell r="E216" t="str">
            <v>TGS-26-440BLS-LX54 MONTHS/40 000 KMNo</v>
          </cell>
          <cell r="F216">
            <v>494450.19943190936</v>
          </cell>
        </row>
        <row r="217">
          <cell r="E217" t="str">
            <v>TGS-26-440BLS-LX54 MONTHS/40 000 KMYes</v>
          </cell>
          <cell r="F217">
            <v>640062.65489149652</v>
          </cell>
        </row>
        <row r="218">
          <cell r="E218" t="str">
            <v>TGS-26-440BLS-LX54 MONTHS/50 000 KMNo</v>
          </cell>
          <cell r="F218">
            <v>488587.15358884324</v>
          </cell>
        </row>
        <row r="219">
          <cell r="E219" t="str">
            <v>TGS-26-440BLS-LX54 MONTHS/50 000 KMYes</v>
          </cell>
          <cell r="F219">
            <v>632160.64680641633</v>
          </cell>
        </row>
        <row r="220">
          <cell r="E220" t="str">
            <v>TGS-26-440BLS-LX54 MONTHS/60 000 KMNo</v>
          </cell>
          <cell r="F220">
            <v>482793.63002850127</v>
          </cell>
        </row>
        <row r="221">
          <cell r="E221" t="str">
            <v>TGS-26-440BLS-LX54 MONTHS/60 000 KMYes</v>
          </cell>
          <cell r="F221">
            <v>624356.19437670743</v>
          </cell>
        </row>
        <row r="222">
          <cell r="E222" t="str">
            <v>TGS-26-440BLS-LX54 MONTHS/70 000 KMNo</v>
          </cell>
          <cell r="F222">
            <v>478013.49507772399</v>
          </cell>
        </row>
        <row r="223">
          <cell r="E223" t="str">
            <v>TGS-26-440BLS-LX54 MONTHS/70 000 KMYes</v>
          </cell>
          <cell r="F223">
            <v>617563.00136172841</v>
          </cell>
        </row>
        <row r="224">
          <cell r="E224" t="str">
            <v>TGS-26-440BLS-LX54 MONTHS/80 000 KMNo</v>
          </cell>
          <cell r="F224">
            <v>473280.6881957663</v>
          </cell>
        </row>
        <row r="225">
          <cell r="E225" t="str">
            <v>TGS-26-440BLS-LX54 MONTHS/80 000 KMYes</v>
          </cell>
          <cell r="F225">
            <v>610843.72043692239</v>
          </cell>
        </row>
        <row r="226">
          <cell r="E226" t="str">
            <v>TGS-26-440BLS-LX54 MONTHS/90 000 KMNo</v>
          </cell>
          <cell r="F226">
            <v>468594.74078788742</v>
          </cell>
        </row>
        <row r="227">
          <cell r="E227" t="str">
            <v>TGS-26-440BLS-LX54 MONTHS/90 000 KMYes</v>
          </cell>
          <cell r="F227">
            <v>604197.54741535359</v>
          </cell>
        </row>
        <row r="228">
          <cell r="E228" t="str">
            <v>TGS-26-440BLS-LX60 MONTHS/10 000 KMNo</v>
          </cell>
          <cell r="F228">
            <v>410387.37259370455</v>
          </cell>
        </row>
        <row r="229">
          <cell r="E229" t="str">
            <v>TGS-26-440BLS-LX60 MONTHS/10 000 KMYes</v>
          </cell>
          <cell r="F229">
            <v>526155.38350466138</v>
          </cell>
        </row>
        <row r="230">
          <cell r="E230" t="str">
            <v>TGS-26-440BLS-LX60 MONTHS/100 000 KMNo</v>
          </cell>
          <cell r="F230">
            <v>370072.49185112125</v>
          </cell>
        </row>
        <row r="231">
          <cell r="E231" t="str">
            <v>TGS-26-440BLS-LX60 MONTHS/100 000 KMYes</v>
          </cell>
          <cell r="F231">
            <v>473297.52841399866</v>
          </cell>
        </row>
        <row r="232">
          <cell r="E232" t="str">
            <v>TGS-26-440BLS-LX60 MONTHS/110 000 KMNo</v>
          </cell>
          <cell r="F232">
            <v>366045.98600506556</v>
          </cell>
        </row>
        <row r="233">
          <cell r="E233" t="str">
            <v>TGS-26-440BLS-LX60 MONTHS/110 000 KMYes</v>
          </cell>
          <cell r="F233">
            <v>468147.90149752592</v>
          </cell>
        </row>
        <row r="234">
          <cell r="E234" t="str">
            <v>TGS-26-440BLS-LX60 MONTHS/120 000 KMNo</v>
          </cell>
          <cell r="F234">
            <v>362421.76832184708</v>
          </cell>
        </row>
        <row r="235">
          <cell r="E235" t="str">
            <v>TGS-26-440BLS-LX60 MONTHS/120 000 KMYes</v>
          </cell>
          <cell r="F235">
            <v>463512.77375992667</v>
          </cell>
        </row>
        <row r="236">
          <cell r="E236" t="str">
            <v>TGS-26-440BLS-LX60 MONTHS/130 000 KMNo</v>
          </cell>
          <cell r="F236">
            <v>358833.43398202682</v>
          </cell>
        </row>
        <row r="237">
          <cell r="E237" t="str">
            <v>TGS-26-440BLS-LX60 MONTHS/130 000 KMYes</v>
          </cell>
          <cell r="F237">
            <v>458923.53837616503</v>
          </cell>
        </row>
        <row r="238">
          <cell r="E238" t="str">
            <v>TGS-26-440BLS-LX60 MONTHS/140 000 KMNo</v>
          </cell>
          <cell r="F238">
            <v>355280.62770497706</v>
          </cell>
        </row>
        <row r="239">
          <cell r="E239" t="str">
            <v>TGS-26-440BLS-LX60 MONTHS/140 000 KMYes</v>
          </cell>
          <cell r="F239">
            <v>454379.74096650002</v>
          </cell>
        </row>
        <row r="240">
          <cell r="E240" t="str">
            <v>TGS-26-440BLS-LX60 MONTHS/150 000 KMNo</v>
          </cell>
          <cell r="F240">
            <v>351762.99772770004</v>
          </cell>
        </row>
        <row r="241">
          <cell r="E241" t="str">
            <v>TGS-26-440BLS-LX60 MONTHS/150 000 KMYes</v>
          </cell>
          <cell r="F241">
            <v>449880.93164999998</v>
          </cell>
        </row>
        <row r="242">
          <cell r="E242" t="str">
            <v>TGS-26-440BLS-LX60 MONTHS/160 000 KMNo</v>
          </cell>
          <cell r="F242">
            <v>348280.19577000005</v>
          </cell>
        </row>
        <row r="243">
          <cell r="E243" t="str">
            <v>TGS-26-440BLS-LX60 MONTHS/160 000 KMYes</v>
          </cell>
          <cell r="F243">
            <v>445426.66499999998</v>
          </cell>
        </row>
        <row r="244">
          <cell r="E244" t="str">
            <v>TGS-26-440BLS-LX60 MONTHS/170 000 KMNo</v>
          </cell>
          <cell r="F244">
            <v>344831.87700000004</v>
          </cell>
        </row>
        <row r="245">
          <cell r="E245" t="str">
            <v>TGS-26-440BLS-LX60 MONTHS/170 000 KMYes</v>
          </cell>
          <cell r="F245">
            <v>441016.5</v>
          </cell>
        </row>
        <row r="246">
          <cell r="E246" t="str">
            <v>TGS-26-440BLS-LX60 MONTHS/180 000 KMNo</v>
          </cell>
          <cell r="F246">
            <v>341417.7</v>
          </cell>
        </row>
        <row r="247">
          <cell r="E247" t="str">
            <v>TGS-26-440BLS-LX60 MONTHS/180 000 KMYes</v>
          </cell>
          <cell r="F247">
            <v>436650</v>
          </cell>
        </row>
        <row r="248">
          <cell r="E248" t="str">
            <v>TGS-26-440BLS-LX60 MONTHS/190 000 KMNo</v>
          </cell>
          <cell r="F248">
            <v>325159.71428571426</v>
          </cell>
        </row>
        <row r="249">
          <cell r="E249" t="str">
            <v>TGS-26-440BLS-LX60 MONTHS/190 000 KMYes</v>
          </cell>
          <cell r="F249">
            <v>419855.76923076919</v>
          </cell>
        </row>
        <row r="250">
          <cell r="E250" t="str">
            <v>TGS-26-440BLS-LX60 MONTHS/20 000 KMNo</v>
          </cell>
          <cell r="F250">
            <v>405521.11916373967</v>
          </cell>
        </row>
        <row r="251">
          <cell r="E251" t="str">
            <v>TGS-26-440BLS-LX60 MONTHS/20 000 KMYes</v>
          </cell>
          <cell r="F251">
            <v>519659.63802929525</v>
          </cell>
        </row>
        <row r="252">
          <cell r="E252" t="str">
            <v>TGS-26-440BLS-LX60 MONTHS/200 000 KMNo</v>
          </cell>
          <cell r="F252">
            <v>309675.91836734692</v>
          </cell>
        </row>
        <row r="253">
          <cell r="E253" t="str">
            <v>TGS-26-440BLS-LX60 MONTHS/200 000 KMYes</v>
          </cell>
          <cell r="F253">
            <v>399862.63736263732</v>
          </cell>
        </row>
        <row r="254">
          <cell r="E254" t="str">
            <v>TGS-26-440BLS-LX60 MONTHS/210 000 KMNo</v>
          </cell>
          <cell r="F254">
            <v>294929.44606413989</v>
          </cell>
        </row>
        <row r="255">
          <cell r="E255" t="str">
            <v>TGS-26-440BLS-LX60 MONTHS/210 000 KMYes</v>
          </cell>
          <cell r="F255">
            <v>380821.55939298793</v>
          </cell>
        </row>
        <row r="256">
          <cell r="E256" t="str">
            <v>TGS-26-440BLS-LX60 MONTHS/220 000 KMNo</v>
          </cell>
          <cell r="F256">
            <v>280885.18672775227</v>
          </cell>
        </row>
        <row r="257">
          <cell r="E257" t="str">
            <v>TGS-26-440BLS-LX60 MONTHS/220 000 KMYes</v>
          </cell>
          <cell r="F257">
            <v>355907.999432699</v>
          </cell>
        </row>
        <row r="258">
          <cell r="E258" t="str">
            <v>TGS-26-440BLS-LX60 MONTHS/230 000 KMNo</v>
          </cell>
          <cell r="F258">
            <v>262509.5203063105</v>
          </cell>
        </row>
        <row r="259">
          <cell r="E259" t="str">
            <v>TGS-26-440BLS-LX60 MONTHS/230 000 KMYes</v>
          </cell>
          <cell r="F259">
            <v>332624.29853523267</v>
          </cell>
        </row>
        <row r="260">
          <cell r="E260" t="str">
            <v>TGS-26-440BLS-LX60 MONTHS/240 000 KMNo</v>
          </cell>
          <cell r="F260">
            <v>245336.00028627148</v>
          </cell>
        </row>
        <row r="261">
          <cell r="E261" t="str">
            <v>TGS-26-440BLS-LX60 MONTHS/240 000 KMYes</v>
          </cell>
          <cell r="F261">
            <v>310863.83040675946</v>
          </cell>
        </row>
        <row r="262">
          <cell r="E262" t="str">
            <v>TGS-26-440BLS-LX60 MONTHS/250 000 KMNo</v>
          </cell>
          <cell r="F262">
            <v>229285.98157595465</v>
          </cell>
        </row>
        <row r="263">
          <cell r="E263" t="str">
            <v>TGS-26-440BLS-LX60 MONTHS/250 000 KMYes</v>
          </cell>
          <cell r="F263">
            <v>290526.94430538267</v>
          </cell>
        </row>
        <row r="264">
          <cell r="E264" t="str">
            <v>TGS-26-440BLS-LX60 MONTHS/260 000 KMNo</v>
          </cell>
          <cell r="F264">
            <v>214285.96408967723</v>
          </cell>
        </row>
        <row r="265">
          <cell r="E265" t="str">
            <v>TGS-26-440BLS-LX60 MONTHS/260 000 KMYes</v>
          </cell>
          <cell r="F265">
            <v>271520.5086966193</v>
          </cell>
        </row>
        <row r="266">
          <cell r="E266" t="str">
            <v>TGS-26-440BLS-LX60 MONTHS/270 000 KMNo</v>
          </cell>
          <cell r="F266">
            <v>200267.25615857684</v>
          </cell>
        </row>
        <row r="267">
          <cell r="E267" t="str">
            <v>TGS-26-440BLS-LX60 MONTHS/270 000 KMYes</v>
          </cell>
          <cell r="F267">
            <v>253757.48476319559</v>
          </cell>
        </row>
        <row r="268">
          <cell r="E268" t="str">
            <v>TGS-26-440BLS-LX60 MONTHS/280 000 KMNo</v>
          </cell>
          <cell r="F268">
            <v>187165.65996128676</v>
          </cell>
        </row>
        <row r="269">
          <cell r="E269" t="str">
            <v>TGS-26-440BLS-LX60 MONTHS/280 000 KMYes</v>
          </cell>
          <cell r="F269">
            <v>237156.52781607062</v>
          </cell>
        </row>
        <row r="270">
          <cell r="E270" t="str">
            <v>TGS-26-440BLS-LX60 MONTHS/30 000 KMNo</v>
          </cell>
          <cell r="F270">
            <v>400712.56834361627</v>
          </cell>
        </row>
        <row r="271">
          <cell r="E271" t="str">
            <v>TGS-26-440BLS-LX60 MONTHS/30 000 KMYes</v>
          </cell>
          <cell r="F271">
            <v>513244.08694251388</v>
          </cell>
        </row>
        <row r="272">
          <cell r="E272" t="str">
            <v>TGS-26-440BLS-LX60 MONTHS/40 000 KMNo</v>
          </cell>
          <cell r="F272">
            <v>395961.03591266432</v>
          </cell>
        </row>
        <row r="273">
          <cell r="E273" t="str">
            <v>TGS-26-440BLS-LX60 MONTHS/40 000 KMYes</v>
          </cell>
          <cell r="F273">
            <v>506907.74019013718</v>
          </cell>
        </row>
        <row r="274">
          <cell r="E274" t="str">
            <v>TGS-26-440BLS-LX60 MONTHS/50 000 KMNo</v>
          </cell>
          <cell r="F274">
            <v>391265.84576350229</v>
          </cell>
        </row>
        <row r="275">
          <cell r="E275" t="str">
            <v>TGS-26-440BLS-LX60 MONTHS/50 000 KMYes</v>
          </cell>
          <cell r="F275">
            <v>500649.61994087626</v>
          </cell>
        </row>
        <row r="276">
          <cell r="E276" t="str">
            <v>TGS-26-440BLS-LX60 MONTHS/60 000 KMNo</v>
          </cell>
          <cell r="F276">
            <v>386626.3298058323</v>
          </cell>
        </row>
        <row r="277">
          <cell r="E277" t="str">
            <v>TGS-26-440BLS-LX60 MONTHS/60 000 KMYes</v>
          </cell>
          <cell r="F277">
            <v>494468.76043543336</v>
          </cell>
        </row>
        <row r="278">
          <cell r="E278" t="str">
            <v>TGS-26-440BLS-LX60 MONTHS/70 000 KMNo</v>
          </cell>
          <cell r="F278">
            <v>382419.71296323673</v>
          </cell>
        </row>
        <row r="279">
          <cell r="E279" t="str">
            <v>TGS-26-440BLS-LX60 MONTHS/70 000 KMYes</v>
          </cell>
          <cell r="F279">
            <v>489088.78381348506</v>
          </cell>
        </row>
        <row r="280">
          <cell r="E280" t="str">
            <v>TGS-26-440BLS-LX60 MONTHS/80 000 KMNo</v>
          </cell>
          <cell r="F280">
            <v>378258.86544335983</v>
          </cell>
        </row>
        <row r="281">
          <cell r="E281" t="str">
            <v>TGS-26-440BLS-LX60 MONTHS/80 000 KMYes</v>
          </cell>
          <cell r="F281">
            <v>483767.34304004459</v>
          </cell>
        </row>
        <row r="282">
          <cell r="E282" t="str">
            <v>TGS-26-440BLS-LX60 MONTHS/90 000 KMNo</v>
          </cell>
          <cell r="F282">
            <v>374143.28926148353</v>
          </cell>
        </row>
        <row r="283">
          <cell r="E283" t="str">
            <v>TGS-26-440BLS-LX60 MONTHS/90 000 KMYes</v>
          </cell>
          <cell r="F283">
            <v>478503.80122655258</v>
          </cell>
        </row>
        <row r="284">
          <cell r="E284" t="str">
            <v>TGS-27-440BBS-L36 MONTHS/10 000 KMNo</v>
          </cell>
          <cell r="F284">
            <v>669001.31298730429</v>
          </cell>
        </row>
        <row r="285">
          <cell r="E285" t="str">
            <v>TGS-27-440BBS-L36 MONTHS/10 000 KMYes</v>
          </cell>
          <cell r="F285">
            <v>857693.99100936437</v>
          </cell>
        </row>
        <row r="286">
          <cell r="E286" t="str">
            <v>TGS-27-440BBS-L36 MONTHS/100 000 KMNo</v>
          </cell>
          <cell r="F286">
            <v>603281.19109550165</v>
          </cell>
        </row>
        <row r="287">
          <cell r="E287" t="str">
            <v>TGS-27-440BBS-L36 MONTHS/100 000 KMYes</v>
          </cell>
          <cell r="F287">
            <v>790753.18771607103</v>
          </cell>
        </row>
        <row r="288">
          <cell r="E288" t="str">
            <v>TGS-27-440BBS-L36 MONTHS/110 000 KMNo</v>
          </cell>
          <cell r="F288">
            <v>596717.30078684643</v>
          </cell>
        </row>
        <row r="289">
          <cell r="E289" t="str">
            <v>TGS-27-440BBS-L36 MONTHS/110 000 KMYes</v>
          </cell>
          <cell r="F289">
            <v>782149.54274586658</v>
          </cell>
        </row>
        <row r="290">
          <cell r="E290" t="str">
            <v>TGS-27-440BBS-L36 MONTHS/120 000 KMNo</v>
          </cell>
          <cell r="F290">
            <v>590809.20869984792</v>
          </cell>
        </row>
        <row r="291">
          <cell r="E291" t="str">
            <v>TGS-27-440BBS-L36 MONTHS/120 000 KMYes</v>
          </cell>
          <cell r="F291">
            <v>774405.48786719458</v>
          </cell>
        </row>
        <row r="292">
          <cell r="E292" t="str">
            <v>TGS-27-440BBS-L36 MONTHS/130 000 KMNo</v>
          </cell>
          <cell r="F292">
            <v>584959.6125741069</v>
          </cell>
        </row>
        <row r="293">
          <cell r="E293" t="str">
            <v>TGS-27-440BBS-L36 MONTHS/130 000 KMYes</v>
          </cell>
          <cell r="F293">
            <v>766738.10679920251</v>
          </cell>
        </row>
        <row r="294">
          <cell r="E294" t="str">
            <v>TGS-27-440BBS-L36 MONTHS/140 000 KMNo</v>
          </cell>
          <cell r="F294">
            <v>579167.93324169004</v>
          </cell>
        </row>
        <row r="295">
          <cell r="E295" t="str">
            <v>TGS-27-440BBS-L36 MONTHS/140 000 KMYes</v>
          </cell>
          <cell r="F295">
            <v>759146.64039525006</v>
          </cell>
        </row>
        <row r="296">
          <cell r="E296" t="str">
            <v>TGS-27-440BBS-L36 MONTHS/150 000 KMNo</v>
          </cell>
          <cell r="F296">
            <v>573433.59726900002</v>
          </cell>
        </row>
        <row r="297">
          <cell r="E297" t="str">
            <v>TGS-27-440BBS-L36 MONTHS/150 000 KMYes</v>
          </cell>
          <cell r="F297">
            <v>751630.33702500002</v>
          </cell>
        </row>
        <row r="298">
          <cell r="E298" t="str">
            <v>TGS-27-440BBS-L36 MONTHS/160 000 KMNo</v>
          </cell>
          <cell r="F298">
            <v>567756.03690000006</v>
          </cell>
        </row>
        <row r="299">
          <cell r="E299" t="str">
            <v>TGS-27-440BBS-L36 MONTHS/160 000 KMYes</v>
          </cell>
          <cell r="F299">
            <v>744188.45250000001</v>
          </cell>
        </row>
        <row r="300">
          <cell r="E300" t="str">
            <v>TGS-27-440BBS-L36 MONTHS/170 000 KMNo</v>
          </cell>
          <cell r="F300">
            <v>562134.69000000006</v>
          </cell>
        </row>
        <row r="301">
          <cell r="E301" t="str">
            <v>TGS-27-440BBS-L36 MONTHS/170 000 KMYes</v>
          </cell>
          <cell r="F301">
            <v>736820.25</v>
          </cell>
        </row>
        <row r="302">
          <cell r="E302" t="str">
            <v>TGS-27-440BBS-L36 MONTHS/180 000 KMNo</v>
          </cell>
          <cell r="F302">
            <v>556569</v>
          </cell>
        </row>
        <row r="303">
          <cell r="E303" t="str">
            <v>TGS-27-440BBS-L36 MONTHS/180 000 KMYes</v>
          </cell>
          <cell r="F303">
            <v>729525</v>
          </cell>
        </row>
        <row r="304">
          <cell r="E304" t="str">
            <v>TGS-27-440BBS-L36 MONTHS/190 000 KMNo</v>
          </cell>
          <cell r="F304">
            <v>530065.71428571432</v>
          </cell>
        </row>
        <row r="305">
          <cell r="E305" t="str">
            <v>TGS-27-440BBS-L36 MONTHS/190 000 KMYes</v>
          </cell>
          <cell r="F305">
            <v>701466.34615384613</v>
          </cell>
        </row>
        <row r="306">
          <cell r="E306" t="str">
            <v>TGS-27-440BBS-L36 MONTHS/20 000 KMNo</v>
          </cell>
          <cell r="F306">
            <v>661068.49109417421</v>
          </cell>
        </row>
        <row r="307">
          <cell r="E307" t="str">
            <v>TGS-27-440BBS-L36 MONTHS/20 000 KMYes</v>
          </cell>
          <cell r="F307">
            <v>847523.70653099241</v>
          </cell>
        </row>
        <row r="308">
          <cell r="E308" t="str">
            <v>TGS-27-440BBS-L36 MONTHS/200 000 KMNo</v>
          </cell>
          <cell r="F308">
            <v>504824.4897959184</v>
          </cell>
        </row>
        <row r="309">
          <cell r="E309" t="str">
            <v>TGS-27-440BBS-L36 MONTHS/200 000 KMYes</v>
          </cell>
          <cell r="F309">
            <v>668063.18681318674</v>
          </cell>
        </row>
        <row r="310">
          <cell r="E310" t="str">
            <v>TGS-27-440BBS-L36 MONTHS/210 000 KMNo</v>
          </cell>
          <cell r="F310">
            <v>480785.2283770651</v>
          </cell>
        </row>
        <row r="311">
          <cell r="E311" t="str">
            <v>TGS-27-440BBS-L36 MONTHS/210 000 KMYes</v>
          </cell>
          <cell r="F311">
            <v>636250.65410779684</v>
          </cell>
        </row>
        <row r="312">
          <cell r="E312" t="str">
            <v>TGS-27-440BBS-L36 MONTHS/220 000 KMNo</v>
          </cell>
          <cell r="F312">
            <v>468141.97787958715</v>
          </cell>
        </row>
        <row r="313">
          <cell r="E313" t="str">
            <v>TGS-27-440BBS-L36 MONTHS/220 000 KMYes</v>
          </cell>
          <cell r="F313">
            <v>600236.466139431</v>
          </cell>
        </row>
        <row r="314">
          <cell r="E314" t="str">
            <v>TGS-27-440BBS-L36 MONTHS/230 000 KMNo</v>
          </cell>
          <cell r="F314">
            <v>427935.22774994659</v>
          </cell>
        </row>
        <row r="315">
          <cell r="E315" t="str">
            <v>TGS-27-440BBS-L36 MONTHS/230 000 KMYes</v>
          </cell>
          <cell r="F315">
            <v>560968.65994339343</v>
          </cell>
        </row>
        <row r="316">
          <cell r="E316" t="str">
            <v>TGS-27-440BBS-L36 MONTHS/240 000 KMNo</v>
          </cell>
          <cell r="F316">
            <v>399939.46518686594</v>
          </cell>
        </row>
        <row r="317">
          <cell r="E317" t="str">
            <v>TGS-27-440BBS-L36 MONTHS/240 000 KMYes</v>
          </cell>
          <cell r="F317">
            <v>524269.77564803121</v>
          </cell>
        </row>
        <row r="318">
          <cell r="E318" t="str">
            <v>TGS-27-440BBS-L36 MONTHS/250 000 KMNo</v>
          </cell>
          <cell r="F318">
            <v>382143.30262659106</v>
          </cell>
        </row>
        <row r="319">
          <cell r="E319" t="str">
            <v>TGS-27-440BBS-L36 MONTHS/250 000 KMYes</v>
          </cell>
          <cell r="F319">
            <v>489971.75294208521</v>
          </cell>
        </row>
        <row r="320">
          <cell r="E320" t="str">
            <v>TGS-27-440BBS-L36 MONTHS/260 000 KMNo</v>
          </cell>
          <cell r="F320">
            <v>349322.61785908457</v>
          </cell>
        </row>
        <row r="321">
          <cell r="E321" t="str">
            <v>TGS-27-440BBS-L36 MONTHS/260 000 KMYes</v>
          </cell>
          <cell r="F321">
            <v>457917.52611409832</v>
          </cell>
        </row>
        <row r="322">
          <cell r="E322" t="str">
            <v>TGS-27-440BBS-L36 MONTHS/270 000 KMNo</v>
          </cell>
          <cell r="F322">
            <v>326469.73631690146</v>
          </cell>
        </row>
        <row r="323">
          <cell r="E323" t="str">
            <v>TGS-27-440BBS-L36 MONTHS/270 000 KMYes</v>
          </cell>
          <cell r="F323">
            <v>427960.30477953114</v>
          </cell>
        </row>
        <row r="324">
          <cell r="E324" t="str">
            <v>TGS-27-440BBS-L36 MONTHS/280 000 KMNo</v>
          </cell>
          <cell r="F324">
            <v>305111.90309990791</v>
          </cell>
        </row>
        <row r="325">
          <cell r="E325" t="str">
            <v>TGS-27-440BBS-L36 MONTHS/280 000 KMYes</v>
          </cell>
          <cell r="F325">
            <v>399962.90166311321</v>
          </cell>
        </row>
        <row r="326">
          <cell r="E326" t="str">
            <v>TGS-27-440BBS-L36 MONTHS/30 000 KMNo</v>
          </cell>
          <cell r="F326">
            <v>653229.73428278079</v>
          </cell>
        </row>
        <row r="327">
          <cell r="E327" t="str">
            <v>TGS-27-440BBS-L36 MONTHS/30 000 KMYes</v>
          </cell>
          <cell r="F327">
            <v>857493.16964785859</v>
          </cell>
        </row>
        <row r="328">
          <cell r="E328" t="str">
            <v>TGS-27-440BBS-L36 MONTHS/40 000 KMNo</v>
          </cell>
          <cell r="F328">
            <v>645483.92715689796</v>
          </cell>
        </row>
        <row r="329">
          <cell r="E329" t="str">
            <v>TGS-27-440BBS-L36 MONTHS/40 000 KMYes</v>
          </cell>
          <cell r="F329">
            <v>827543.49635499739</v>
          </cell>
        </row>
        <row r="330">
          <cell r="E330" t="str">
            <v>TGS-27-440BBS-L36 MONTHS/50 000 KMNo</v>
          </cell>
          <cell r="F330">
            <v>637829.96754634182</v>
          </cell>
        </row>
        <row r="331">
          <cell r="E331" t="str">
            <v>TGS-27-440BBS-L36 MONTHS/50 000 KMYes</v>
          </cell>
          <cell r="F331">
            <v>836451.19429146405</v>
          </cell>
        </row>
        <row r="332">
          <cell r="E332" t="str">
            <v>TGS-27-440BBS-L36 MONTHS/60 000 KMNo</v>
          </cell>
          <cell r="F332">
            <v>630266.7663501401</v>
          </cell>
        </row>
        <row r="333">
          <cell r="E333" t="str">
            <v>TGS-27-440BBS-L36 MONTHS/60 000 KMYes</v>
          </cell>
          <cell r="F333">
            <v>826124.63633724849</v>
          </cell>
        </row>
        <row r="334">
          <cell r="E334" t="str">
            <v>TGS-27-440BBS-L36 MONTHS/70 000 KMNo</v>
          </cell>
          <cell r="F334">
            <v>623409.26444128598</v>
          </cell>
        </row>
        <row r="335">
          <cell r="E335" t="str">
            <v>TGS-27-440BBS-L36 MONTHS/70 000 KMYes</v>
          </cell>
          <cell r="F335">
            <v>817136.13881033484</v>
          </cell>
        </row>
        <row r="336">
          <cell r="E336" t="str">
            <v>TGS-27-440BBS-L36 MONTHS/80 000 KMNo</v>
          </cell>
          <cell r="F336">
            <v>616626.37432372512</v>
          </cell>
        </row>
        <row r="337">
          <cell r="E337" t="str">
            <v>TGS-27-440BBS-L36 MONTHS/80 000 KMYes</v>
          </cell>
          <cell r="F337">
            <v>808245.43898153806</v>
          </cell>
        </row>
        <row r="338">
          <cell r="E338" t="str">
            <v>TGS-27-440BBS-L36 MONTHS/90 000 KMNo</v>
          </cell>
          <cell r="F338">
            <v>609917.28419755213</v>
          </cell>
        </row>
        <row r="339">
          <cell r="E339" t="str">
            <v>TGS-27-440BBS-L36 MONTHS/90 000 KMYes</v>
          </cell>
          <cell r="F339">
            <v>799451.47278094769</v>
          </cell>
        </row>
        <row r="340">
          <cell r="E340" t="str">
            <v>TGS-27-440BBS-L42 MONTHS/10 000 KMNo</v>
          </cell>
          <cell r="F340">
            <v>619445.66017342987</v>
          </cell>
        </row>
        <row r="341">
          <cell r="E341" t="str">
            <v>TGS-27-440BBS-L42 MONTHS/10 000 KMYes</v>
          </cell>
          <cell r="F341">
            <v>794161.10278644843</v>
          </cell>
        </row>
        <row r="342">
          <cell r="E342" t="str">
            <v>TGS-27-440BBS-L42 MONTHS/100 000 KMNo</v>
          </cell>
          <cell r="F342">
            <v>558593.69545879774</v>
          </cell>
        </row>
        <row r="343">
          <cell r="E343" t="str">
            <v>TGS-27-440BBS-L42 MONTHS/100 000 KMYes</v>
          </cell>
          <cell r="F343">
            <v>732178.8775148805</v>
          </cell>
        </row>
        <row r="344">
          <cell r="E344" t="str">
            <v>TGS-27-440BBS-L42 MONTHS/110 000 KMNo</v>
          </cell>
          <cell r="F344">
            <v>552516.01924707997</v>
          </cell>
        </row>
        <row r="345">
          <cell r="E345" t="str">
            <v>TGS-27-440BBS-L42 MONTHS/110 000 KMYes</v>
          </cell>
          <cell r="F345">
            <v>724212.53957950603</v>
          </cell>
        </row>
        <row r="346">
          <cell r="E346" t="str">
            <v>TGS-27-440BBS-L42 MONTHS/120 000 KMNo</v>
          </cell>
          <cell r="F346">
            <v>547045.56361097028</v>
          </cell>
        </row>
        <row r="347">
          <cell r="E347" t="str">
            <v>TGS-27-440BBS-L42 MONTHS/120 000 KMYes</v>
          </cell>
          <cell r="F347">
            <v>717042.11839555053</v>
          </cell>
        </row>
        <row r="348">
          <cell r="E348" t="str">
            <v>TGS-27-440BBS-L42 MONTHS/130 000 KMNo</v>
          </cell>
          <cell r="F348">
            <v>541629.27090195077</v>
          </cell>
        </row>
        <row r="349">
          <cell r="E349" t="str">
            <v>TGS-27-440BBS-L42 MONTHS/130 000 KMYes</v>
          </cell>
          <cell r="F349">
            <v>709942.691480743</v>
          </cell>
        </row>
        <row r="350">
          <cell r="E350" t="str">
            <v>TGS-27-440BBS-L42 MONTHS/140 000 KMNo</v>
          </cell>
          <cell r="F350">
            <v>536266.60485341668</v>
          </cell>
        </row>
        <row r="351">
          <cell r="E351" t="str">
            <v>TGS-27-440BBS-L42 MONTHS/140 000 KMYes</v>
          </cell>
          <cell r="F351">
            <v>702913.55592152779</v>
          </cell>
        </row>
        <row r="352">
          <cell r="E352" t="str">
            <v>TGS-27-440BBS-L42 MONTHS/150 000 KMNo</v>
          </cell>
          <cell r="F352">
            <v>530957.03450833331</v>
          </cell>
        </row>
        <row r="353">
          <cell r="E353" t="str">
            <v>TGS-27-440BBS-L42 MONTHS/150 000 KMYes</v>
          </cell>
          <cell r="F353">
            <v>695954.01576388883</v>
          </cell>
        </row>
        <row r="354">
          <cell r="E354" t="str">
            <v>TGS-27-440BBS-L42 MONTHS/160 000 KMNo</v>
          </cell>
          <cell r="F354">
            <v>525700.03416666668</v>
          </cell>
        </row>
        <row r="355">
          <cell r="E355" t="str">
            <v>TGS-27-440BBS-L42 MONTHS/160 000 KMYes</v>
          </cell>
          <cell r="F355">
            <v>689063.38194444438</v>
          </cell>
        </row>
        <row r="356">
          <cell r="E356" t="str">
            <v>TGS-27-440BBS-L42 MONTHS/170 000 KMNo</v>
          </cell>
          <cell r="F356">
            <v>520495.08333333337</v>
          </cell>
        </row>
        <row r="357">
          <cell r="E357" t="str">
            <v>TGS-27-440BBS-L42 MONTHS/170 000 KMYes</v>
          </cell>
          <cell r="F357">
            <v>682240.97222222213</v>
          </cell>
        </row>
        <row r="358">
          <cell r="E358" t="str">
            <v>TGS-27-440BBS-L42 MONTHS/180 000 KMNo</v>
          </cell>
          <cell r="F358">
            <v>515341.66666666663</v>
          </cell>
        </row>
        <row r="359">
          <cell r="E359" t="str">
            <v>TGS-27-440BBS-L42 MONTHS/180 000 KMYes</v>
          </cell>
          <cell r="F359">
            <v>675486.11111111112</v>
          </cell>
        </row>
        <row r="360">
          <cell r="E360" t="str">
            <v>TGS-27-440BBS-L42 MONTHS/190 000 KMNo</v>
          </cell>
          <cell r="F360">
            <v>490801.58730158728</v>
          </cell>
        </row>
        <row r="361">
          <cell r="E361" t="str">
            <v>TGS-27-440BBS-L42 MONTHS/190 000 KMYes</v>
          </cell>
          <cell r="F361">
            <v>649505.876068376</v>
          </cell>
        </row>
        <row r="362">
          <cell r="E362" t="str">
            <v>TGS-27-440BBS-L42 MONTHS/20 000 KMNo</v>
          </cell>
          <cell r="F362">
            <v>612100.45471682795</v>
          </cell>
        </row>
        <row r="363">
          <cell r="E363" t="str">
            <v>TGS-27-440BBS-L42 MONTHS/20 000 KMYes</v>
          </cell>
          <cell r="F363">
            <v>784744.17271388182</v>
          </cell>
        </row>
        <row r="364">
          <cell r="E364" t="str">
            <v>TGS-27-440BBS-L42 MONTHS/200 000 KMNo</v>
          </cell>
          <cell r="F364">
            <v>467430.08314436884</v>
          </cell>
        </row>
        <row r="365">
          <cell r="E365" t="str">
            <v>TGS-27-440BBS-L42 MONTHS/200 000 KMYes</v>
          </cell>
          <cell r="F365">
            <v>618577.02482702467</v>
          </cell>
        </row>
        <row r="366">
          <cell r="E366" t="str">
            <v>TGS-27-440BBS-L42 MONTHS/210 000 KMNo</v>
          </cell>
          <cell r="F366">
            <v>445171.50775654172</v>
          </cell>
        </row>
        <row r="367">
          <cell r="E367" t="str">
            <v>TGS-27-440BBS-L42 MONTHS/210 000 KMYes</v>
          </cell>
          <cell r="F367">
            <v>589120.97602573782</v>
          </cell>
        </row>
        <row r="368">
          <cell r="E368" t="str">
            <v>TGS-27-440BBS-L42 MONTHS/220 000 KMNo</v>
          </cell>
          <cell r="F368">
            <v>433464.79433295102</v>
          </cell>
        </row>
        <row r="369">
          <cell r="E369" t="str">
            <v>TGS-27-440BBS-L42 MONTHS/220 000 KMYes</v>
          </cell>
          <cell r="F369">
            <v>555774.5056846583</v>
          </cell>
        </row>
        <row r="370">
          <cell r="E370" t="str">
            <v>TGS-27-440BBS-L42 MONTHS/230 000 KMNo</v>
          </cell>
          <cell r="F370">
            <v>396236.32199069124</v>
          </cell>
        </row>
        <row r="371">
          <cell r="E371" t="str">
            <v>TGS-27-440BBS-L42 MONTHS/230 000 KMYes</v>
          </cell>
          <cell r="F371">
            <v>519415.4258735124</v>
          </cell>
        </row>
        <row r="372">
          <cell r="E372" t="str">
            <v>TGS-27-440BBS-L42 MONTHS/240 000 KMNo</v>
          </cell>
          <cell r="F372">
            <v>370314.31961746846</v>
          </cell>
        </row>
        <row r="373">
          <cell r="E373" t="str">
            <v>TGS-27-440BBS-L42 MONTHS/240 000 KMYes</v>
          </cell>
          <cell r="F373">
            <v>485434.9774518807</v>
          </cell>
        </row>
        <row r="374">
          <cell r="E374" t="str">
            <v>TGS-27-440BBS-L42 MONTHS/250 000 KMNo</v>
          </cell>
          <cell r="F374">
            <v>353836.39132091764</v>
          </cell>
        </row>
        <row r="375">
          <cell r="E375" t="str">
            <v>TGS-27-440BBS-L42 MONTHS/250 000 KMYes</v>
          </cell>
          <cell r="F375">
            <v>453677.54902044922</v>
          </cell>
        </row>
        <row r="376">
          <cell r="E376" t="str">
            <v>TGS-27-440BBS-L42 MONTHS/260 000 KMNo</v>
          </cell>
          <cell r="F376">
            <v>323446.86838804127</v>
          </cell>
        </row>
        <row r="377">
          <cell r="E377" t="str">
            <v>TGS-27-440BBS-L42 MONTHS/260 000 KMYes</v>
          </cell>
          <cell r="F377">
            <v>423997.70936490584</v>
          </cell>
        </row>
        <row r="378">
          <cell r="E378" t="str">
            <v>TGS-27-440BBS-L42 MONTHS/270 000 KMNo</v>
          </cell>
          <cell r="F378">
            <v>302286.79288601986</v>
          </cell>
        </row>
        <row r="379">
          <cell r="E379" t="str">
            <v>TGS-27-440BBS-L42 MONTHS/270 000 KMYes</v>
          </cell>
          <cell r="F379">
            <v>396259.54146252881</v>
          </cell>
        </row>
        <row r="380">
          <cell r="E380" t="str">
            <v>TGS-27-440BBS-L42 MONTHS/280 000 KMNo</v>
          </cell>
          <cell r="F380">
            <v>282511.02138880361</v>
          </cell>
        </row>
        <row r="381">
          <cell r="E381" t="str">
            <v>TGS-27-440BBS-L42 MONTHS/280 000 KMYes</v>
          </cell>
          <cell r="F381">
            <v>370336.02005843812</v>
          </cell>
        </row>
        <row r="382">
          <cell r="E382" t="str">
            <v>TGS-27-440BBS-L42 MONTHS/30 000 KMNo</v>
          </cell>
          <cell r="F382">
            <v>604842.34655813035</v>
          </cell>
        </row>
        <row r="383">
          <cell r="E383" t="str">
            <v>TGS-27-440BBS-L42 MONTHS/30 000 KMYes</v>
          </cell>
          <cell r="F383">
            <v>793975.15708135045</v>
          </cell>
        </row>
        <row r="384">
          <cell r="E384" t="str">
            <v>TGS-27-440BBS-L42 MONTHS/40 000 KMNo</v>
          </cell>
          <cell r="F384">
            <v>597670.30292305362</v>
          </cell>
        </row>
        <row r="385">
          <cell r="E385" t="str">
            <v>TGS-27-440BBS-L42 MONTHS/40 000 KMYes</v>
          </cell>
          <cell r="F385">
            <v>766243.97810647904</v>
          </cell>
        </row>
        <row r="386">
          <cell r="E386" t="str">
            <v>TGS-27-440BBS-L42 MONTHS/50 000 KMNo</v>
          </cell>
          <cell r="F386">
            <v>590583.30328364985</v>
          </cell>
        </row>
        <row r="387">
          <cell r="E387" t="str">
            <v>TGS-27-440BBS-L42 MONTHS/50 000 KMYes</v>
          </cell>
          <cell r="F387">
            <v>774491.84656617034</v>
          </cell>
        </row>
        <row r="388">
          <cell r="E388" t="str">
            <v>TGS-27-440BBS-L42 MONTHS/60 000 KMNo</v>
          </cell>
          <cell r="F388">
            <v>583580.33921309269</v>
          </cell>
        </row>
        <row r="389">
          <cell r="E389" t="str">
            <v>TGS-27-440BBS-L42 MONTHS/60 000 KMYes</v>
          </cell>
          <cell r="F389">
            <v>764930.2188307856</v>
          </cell>
        </row>
        <row r="390">
          <cell r="E390" t="str">
            <v>TGS-27-440BBS-L42 MONTHS/70 000 KMNo</v>
          </cell>
          <cell r="F390">
            <v>577230.80040859804</v>
          </cell>
        </row>
        <row r="391">
          <cell r="E391" t="str">
            <v>TGS-27-440BBS-L42 MONTHS/70 000 KMYes</v>
          </cell>
          <cell r="F391">
            <v>756607.53593549517</v>
          </cell>
        </row>
        <row r="392">
          <cell r="E392" t="str">
            <v>TGS-27-440BBS-L42 MONTHS/80 000 KMNo</v>
          </cell>
          <cell r="F392">
            <v>570950.34659604169</v>
          </cell>
        </row>
        <row r="393">
          <cell r="E393" t="str">
            <v>TGS-27-440BBS-L42 MONTHS/80 000 KMYes</v>
          </cell>
          <cell r="F393">
            <v>748375.40646438708</v>
          </cell>
        </row>
        <row r="394">
          <cell r="E394" t="str">
            <v>TGS-27-440BBS-L42 MONTHS/90 000 KMNo</v>
          </cell>
          <cell r="F394">
            <v>564738.22610884451</v>
          </cell>
        </row>
        <row r="395">
          <cell r="E395" t="str">
            <v>TGS-27-440BBS-L42 MONTHS/90 000 KMYes</v>
          </cell>
          <cell r="F395">
            <v>740232.84516754409</v>
          </cell>
        </row>
        <row r="396">
          <cell r="E396" t="str">
            <v>TGS-27-440BBS-L48 MONTHS/10 000 KMNo</v>
          </cell>
          <cell r="F396">
            <v>568651.1160392086</v>
          </cell>
        </row>
        <row r="397">
          <cell r="E397" t="str">
            <v>TGS-27-440BBS-L48 MONTHS/10 000 KMYes</v>
          </cell>
          <cell r="F397">
            <v>731484.31365282193</v>
          </cell>
        </row>
        <row r="398">
          <cell r="E398" t="str">
            <v>TGS-27-440BBS-L48 MONTHS/100 000 KMNo</v>
          </cell>
          <cell r="F398">
            <v>512789.01243117638</v>
          </cell>
        </row>
        <row r="399">
          <cell r="E399" t="str">
            <v>TGS-27-440BBS-L48 MONTHS/100 000 KMYes</v>
          </cell>
          <cell r="F399">
            <v>675314.76615168108</v>
          </cell>
        </row>
        <row r="400">
          <cell r="E400" t="str">
            <v>TGS-27-440BBS-L48 MONTHS/110 000 KMNo</v>
          </cell>
          <cell r="F400">
            <v>507209.70566881943</v>
          </cell>
        </row>
        <row r="401">
          <cell r="E401" t="str">
            <v>TGS-27-440BBS-L48 MONTHS/110 000 KMYes</v>
          </cell>
          <cell r="F401">
            <v>667967.12774646992</v>
          </cell>
        </row>
        <row r="402">
          <cell r="E402" t="str">
            <v>TGS-27-440BBS-L48 MONTHS/120 000 KMNo</v>
          </cell>
          <cell r="F402">
            <v>502187.82739487069</v>
          </cell>
        </row>
        <row r="403">
          <cell r="E403" t="str">
            <v>TGS-27-440BBS-L48 MONTHS/120 000 KMYes</v>
          </cell>
          <cell r="F403">
            <v>661353.59182818804</v>
          </cell>
        </row>
        <row r="404">
          <cell r="E404" t="str">
            <v>TGS-27-440BBS-L48 MONTHS/130 000 KMNo</v>
          </cell>
          <cell r="F404">
            <v>497215.67068799079</v>
          </cell>
        </row>
        <row r="405">
          <cell r="E405" t="str">
            <v>TGS-27-440BBS-L48 MONTHS/130 000 KMYes</v>
          </cell>
          <cell r="F405">
            <v>654805.5364635525</v>
          </cell>
        </row>
        <row r="406">
          <cell r="E406" t="str">
            <v>TGS-27-440BBS-L48 MONTHS/140 000 KMNo</v>
          </cell>
          <cell r="F406">
            <v>492292.74325543642</v>
          </cell>
        </row>
        <row r="407">
          <cell r="E407" t="str">
            <v>TGS-27-440BBS-L48 MONTHS/140 000 KMYes</v>
          </cell>
          <cell r="F407">
            <v>648322.31333024998</v>
          </cell>
        </row>
        <row r="408">
          <cell r="E408" t="str">
            <v>TGS-27-440BBS-L48 MONTHS/150 000 KMNo</v>
          </cell>
          <cell r="F408">
            <v>487418.5576786499</v>
          </cell>
        </row>
        <row r="409">
          <cell r="E409" t="str">
            <v>TGS-27-440BBS-L48 MONTHS/150 000 KMYes</v>
          </cell>
          <cell r="F409">
            <v>641903.28052499995</v>
          </cell>
        </row>
        <row r="410">
          <cell r="E410" t="str">
            <v>TGS-27-440BBS-L48 MONTHS/160 000 KMNo</v>
          </cell>
          <cell r="F410">
            <v>482592.63136499992</v>
          </cell>
        </row>
        <row r="411">
          <cell r="E411" t="str">
            <v>TGS-27-440BBS-L48 MONTHS/160 000 KMYes</v>
          </cell>
          <cell r="F411">
            <v>635547.80249999999</v>
          </cell>
        </row>
        <row r="412">
          <cell r="E412" t="str">
            <v>TGS-27-440BBS-L48 MONTHS/170 000 KMNo</v>
          </cell>
          <cell r="F412">
            <v>477814.48649999994</v>
          </cell>
        </row>
        <row r="413">
          <cell r="E413" t="str">
            <v>TGS-27-440BBS-L48 MONTHS/170 000 KMYes</v>
          </cell>
          <cell r="F413">
            <v>629255.25</v>
          </cell>
        </row>
        <row r="414">
          <cell r="E414" t="str">
            <v>TGS-27-440BBS-L48 MONTHS/180 000 KMNo</v>
          </cell>
          <cell r="F414">
            <v>473083.64999999997</v>
          </cell>
        </row>
        <row r="415">
          <cell r="E415" t="str">
            <v>TGS-27-440BBS-L48 MONTHS/180 000 KMYes</v>
          </cell>
          <cell r="F415">
            <v>623025</v>
          </cell>
        </row>
        <row r="416">
          <cell r="E416" t="str">
            <v>TGS-27-440BBS-L48 MONTHS/190 000 KMNo</v>
          </cell>
          <cell r="F416">
            <v>450555.8571428571</v>
          </cell>
        </row>
        <row r="417">
          <cell r="E417" t="str">
            <v>TGS-27-440BBS-L48 MONTHS/190 000 KMYes</v>
          </cell>
          <cell r="F417">
            <v>599062.5</v>
          </cell>
        </row>
        <row r="418">
          <cell r="E418" t="str">
            <v>TGS-27-440BBS-L48 MONTHS/20 000 KMNo</v>
          </cell>
          <cell r="F418">
            <v>561908.21743004804</v>
          </cell>
        </row>
        <row r="419">
          <cell r="E419" t="str">
            <v>TGS-27-440BBS-L48 MONTHS/20 000 KMYes</v>
          </cell>
          <cell r="F419">
            <v>722453.64311389823</v>
          </cell>
        </row>
        <row r="420">
          <cell r="E420" t="str">
            <v>TGS-27-440BBS-L48 MONTHS/200 000 KMNo</v>
          </cell>
          <cell r="F420">
            <v>429100.81632653053</v>
          </cell>
        </row>
        <row r="421">
          <cell r="E421" t="str">
            <v>TGS-27-440BBS-L48 MONTHS/200 000 KMYes</v>
          </cell>
          <cell r="F421">
            <v>570535.71428571432</v>
          </cell>
        </row>
        <row r="422">
          <cell r="E422" t="str">
            <v>TGS-27-440BBS-L48 MONTHS/210 000 KMNo</v>
          </cell>
          <cell r="F422">
            <v>408667.44412050524</v>
          </cell>
        </row>
        <row r="423">
          <cell r="E423" t="str">
            <v>TGS-27-440BBS-L48 MONTHS/210 000 KMYes</v>
          </cell>
          <cell r="F423">
            <v>543367.3469387755</v>
          </cell>
        </row>
        <row r="424">
          <cell r="E424" t="str">
            <v>TGS-27-440BBS-L48 MONTHS/220 000 KMNo</v>
          </cell>
          <cell r="F424">
            <v>397920.6811976491</v>
          </cell>
        </row>
        <row r="425">
          <cell r="E425" t="str">
            <v>TGS-27-440BBS-L48 MONTHS/220 000 KMYes</v>
          </cell>
          <cell r="F425">
            <v>507819.95041007054</v>
          </cell>
        </row>
        <row r="426">
          <cell r="E426" t="str">
            <v>TGS-27-440BBS-L48 MONTHS/230 000 KMNo</v>
          </cell>
          <cell r="F426">
            <v>363744.94358745456</v>
          </cell>
        </row>
        <row r="427">
          <cell r="E427" t="str">
            <v>TGS-27-440BBS-L48 MONTHS/230 000 KMYes</v>
          </cell>
          <cell r="F427">
            <v>474598.08449539298</v>
          </cell>
        </row>
        <row r="428">
          <cell r="E428" t="str">
            <v>TGS-27-440BBS-L48 MONTHS/240 000 KMNo</v>
          </cell>
          <cell r="F428">
            <v>339948.54540883604</v>
          </cell>
        </row>
        <row r="429">
          <cell r="E429" t="str">
            <v>TGS-27-440BBS-L48 MONTHS/240 000 KMYes</v>
          </cell>
          <cell r="F429">
            <v>443549.61167793733</v>
          </cell>
        </row>
        <row r="430">
          <cell r="E430" t="str">
            <v>TGS-27-440BBS-L48 MONTHS/250 000 KMNo</v>
          </cell>
          <cell r="F430">
            <v>324821.80723260244</v>
          </cell>
        </row>
        <row r="431">
          <cell r="E431" t="str">
            <v>TGS-27-440BBS-L48 MONTHS/250 000 KMYes</v>
          </cell>
          <cell r="F431">
            <v>414532.34736255824</v>
          </cell>
        </row>
        <row r="432">
          <cell r="E432" t="str">
            <v>TGS-27-440BBS-L48 MONTHS/260 000 KMNo</v>
          </cell>
          <cell r="F432">
            <v>296924.2251802219</v>
          </cell>
        </row>
        <row r="433">
          <cell r="E433" t="str">
            <v>TGS-27-440BBS-L48 MONTHS/260 000 KMYes</v>
          </cell>
          <cell r="F433">
            <v>387413.40875005443</v>
          </cell>
        </row>
        <row r="434">
          <cell r="E434" t="str">
            <v>TGS-27-440BBS-L48 MONTHS/270 000 KMNo</v>
          </cell>
          <cell r="F434">
            <v>277499.27586936625</v>
          </cell>
        </row>
        <row r="435">
          <cell r="E435" t="str">
            <v>TGS-27-440BBS-L48 MONTHS/270 000 KMYes</v>
          </cell>
          <cell r="F435">
            <v>362068.60630846204</v>
          </cell>
        </row>
        <row r="436">
          <cell r="E436" t="str">
            <v>TGS-27-440BBS-L48 MONTHS/280 000 KMNo</v>
          </cell>
          <cell r="F436">
            <v>259345.11763492171</v>
          </cell>
        </row>
        <row r="437">
          <cell r="E437" t="str">
            <v>TGS-27-440BBS-L48 MONTHS/280 000 KMYes</v>
          </cell>
          <cell r="F437">
            <v>338381.87505463738</v>
          </cell>
        </row>
        <row r="438">
          <cell r="E438" t="str">
            <v>TGS-27-440BBS-L48 MONTHS/30 000 KMNo</v>
          </cell>
          <cell r="F438">
            <v>555245.27414036368</v>
          </cell>
        </row>
        <row r="439">
          <cell r="E439" t="str">
            <v>TGS-27-440BBS-L48 MONTHS/30 000 KMYes</v>
          </cell>
          <cell r="F439">
            <v>732311.68502773333</v>
          </cell>
        </row>
        <row r="440">
          <cell r="E440" t="str">
            <v>TGS-27-440BBS-L48 MONTHS/40 000 KMNo</v>
          </cell>
          <cell r="F440">
            <v>548661.33808336325</v>
          </cell>
        </row>
        <row r="441">
          <cell r="E441" t="str">
            <v>TGS-27-440BBS-L48 MONTHS/40 000 KMYes</v>
          </cell>
          <cell r="F441">
            <v>704725.3948984833</v>
          </cell>
        </row>
        <row r="442">
          <cell r="E442" t="str">
            <v>TGS-27-440BBS-L48 MONTHS/50 000 KMNo</v>
          </cell>
          <cell r="F442">
            <v>542155.47241439053</v>
          </cell>
        </row>
        <row r="443">
          <cell r="E443" t="str">
            <v>TGS-27-440BBS-L48 MONTHS/50 000 KMYes</v>
          </cell>
          <cell r="F443">
            <v>714341.53089125035</v>
          </cell>
        </row>
        <row r="444">
          <cell r="E444" t="str">
            <v>TGS-27-440BBS-L48 MONTHS/60 000 KMNo</v>
          </cell>
          <cell r="F444">
            <v>535726.75139761914</v>
          </cell>
        </row>
        <row r="445">
          <cell r="E445" t="str">
            <v>TGS-27-440BBS-L48 MONTHS/60 000 KMYes</v>
          </cell>
          <cell r="F445">
            <v>705522.49964567937</v>
          </cell>
        </row>
        <row r="446">
          <cell r="E446" t="str">
            <v>TGS-27-440BBS-L48 MONTHS/70 000 KMNo</v>
          </cell>
          <cell r="F446">
            <v>529897.87477509317</v>
          </cell>
        </row>
        <row r="447">
          <cell r="E447" t="str">
            <v>TGS-27-440BBS-L48 MONTHS/70 000 KMYes</v>
          </cell>
          <cell r="F447">
            <v>697846.1915387531</v>
          </cell>
        </row>
        <row r="448">
          <cell r="E448" t="str">
            <v>TGS-27-440BBS-L48 MONTHS/80 000 KMNo</v>
          </cell>
          <cell r="F448">
            <v>524132.41817516636</v>
          </cell>
        </row>
        <row r="449">
          <cell r="E449" t="str">
            <v>TGS-27-440BBS-L48 MONTHS/80 000 KMYes</v>
          </cell>
          <cell r="F449">
            <v>690253.40409372223</v>
          </cell>
        </row>
        <row r="450">
          <cell r="E450" t="str">
            <v>TGS-27-440BBS-L48 MONTHS/90 000 KMNo</v>
          </cell>
          <cell r="F450">
            <v>518429.69156791928</v>
          </cell>
        </row>
        <row r="451">
          <cell r="E451" t="str">
            <v>TGS-27-440BBS-L48 MONTHS/90 000 KMYes</v>
          </cell>
          <cell r="F451">
            <v>682743.22857934947</v>
          </cell>
        </row>
        <row r="452">
          <cell r="E452" t="str">
            <v>TGS-27-440BBS-L54 MONTHS/10 000 KMNo</v>
          </cell>
          <cell r="F452">
            <v>503231.07614089263</v>
          </cell>
        </row>
        <row r="453">
          <cell r="E453" t="str">
            <v>TGS-27-440BBS-L54 MONTHS/10 000 KMYes</v>
          </cell>
          <cell r="F453">
            <v>647331.25102019648</v>
          </cell>
        </row>
        <row r="454">
          <cell r="E454" t="str">
            <v>TGS-27-440BBS-L54 MONTHS/100 000 KMNo</v>
          </cell>
          <cell r="F454">
            <v>453795.58622228005</v>
          </cell>
        </row>
        <row r="455">
          <cell r="E455" t="str">
            <v>TGS-27-440BBS-L54 MONTHS/100 000 KMYes</v>
          </cell>
          <cell r="F455">
            <v>597623.68685989478</v>
          </cell>
        </row>
        <row r="456">
          <cell r="E456" t="str">
            <v>TGS-27-440BBS-L54 MONTHS/110 000 KMNo</v>
          </cell>
          <cell r="F456">
            <v>448858.14660957473</v>
          </cell>
        </row>
        <row r="457">
          <cell r="E457" t="str">
            <v>TGS-27-440BBS-L54 MONTHS/110 000 KMYes</v>
          </cell>
          <cell r="F457">
            <v>591121.35198802652</v>
          </cell>
        </row>
        <row r="458">
          <cell r="E458" t="str">
            <v>TGS-27-440BBS-L54 MONTHS/120 000 KMNo</v>
          </cell>
          <cell r="F458">
            <v>444414.00654413342</v>
          </cell>
        </row>
        <row r="459">
          <cell r="E459" t="str">
            <v>TGS-27-440BBS-L54 MONTHS/120 000 KMYes</v>
          </cell>
          <cell r="F459">
            <v>585268.66533467977</v>
          </cell>
        </row>
        <row r="460">
          <cell r="E460" t="str">
            <v>TGS-27-440BBS-L54 MONTHS/130 000 KMNo</v>
          </cell>
          <cell r="F460">
            <v>440013.86786547862</v>
          </cell>
        </row>
        <row r="461">
          <cell r="E461" t="str">
            <v>TGS-27-440BBS-L54 MONTHS/130 000 KMYes</v>
          </cell>
          <cell r="F461">
            <v>579473.92607394035</v>
          </cell>
        </row>
        <row r="462">
          <cell r="E462" t="str">
            <v>TGS-27-440BBS-L54 MONTHS/140 000 KMNo</v>
          </cell>
          <cell r="F462">
            <v>435657.29491631547</v>
          </cell>
        </row>
        <row r="463">
          <cell r="E463" t="str">
            <v>TGS-27-440BBS-L54 MONTHS/140 000 KMYes</v>
          </cell>
          <cell r="F463">
            <v>573736.56046924787</v>
          </cell>
        </row>
        <row r="464">
          <cell r="E464" t="str">
            <v>TGS-27-440BBS-L54 MONTHS/150 000 KMNo</v>
          </cell>
          <cell r="F464">
            <v>431343.85635278758</v>
          </cell>
        </row>
        <row r="465">
          <cell r="E465" t="str">
            <v>TGS-27-440BBS-L54 MONTHS/150 000 KMYes</v>
          </cell>
          <cell r="F465">
            <v>568056.00046460179</v>
          </cell>
        </row>
        <row r="466">
          <cell r="E466" t="str">
            <v>TGS-27-440BBS-L54 MONTHS/160 000 KMNo</v>
          </cell>
          <cell r="F466">
            <v>427073.12510176987</v>
          </cell>
        </row>
        <row r="467">
          <cell r="E467" t="str">
            <v>TGS-27-440BBS-L54 MONTHS/160 000 KMYes</v>
          </cell>
          <cell r="F467">
            <v>562431.6836283186</v>
          </cell>
        </row>
        <row r="468">
          <cell r="E468" t="str">
            <v>TGS-27-440BBS-L54 MONTHS/170 000 KMNo</v>
          </cell>
          <cell r="F468">
            <v>422844.67831858405</v>
          </cell>
        </row>
        <row r="469">
          <cell r="E469" t="str">
            <v>TGS-27-440BBS-L54 MONTHS/170 000 KMYes</v>
          </cell>
          <cell r="F469">
            <v>556863.05309734517</v>
          </cell>
        </row>
        <row r="470">
          <cell r="E470" t="str">
            <v>TGS-27-440BBS-L54 MONTHS/180 000 KMNo</v>
          </cell>
          <cell r="F470">
            <v>418658.09734513273</v>
          </cell>
        </row>
        <row r="471">
          <cell r="E471" t="str">
            <v>TGS-27-440BBS-L54 MONTHS/180 000 KMYes</v>
          </cell>
          <cell r="F471">
            <v>551349.55752212391</v>
          </cell>
        </row>
        <row r="472">
          <cell r="E472" t="str">
            <v>TGS-27-440BBS-L54 MONTHS/190 000 KMNo</v>
          </cell>
          <cell r="F472">
            <v>398721.99747155502</v>
          </cell>
        </row>
        <row r="473">
          <cell r="E473" t="str">
            <v>TGS-27-440BBS-L54 MONTHS/190 000 KMYes</v>
          </cell>
          <cell r="F473">
            <v>530143.80530973454</v>
          </cell>
        </row>
        <row r="474">
          <cell r="E474" t="str">
            <v>TGS-27-440BBS-L54 MONTHS/20 000 KMNo</v>
          </cell>
          <cell r="F474">
            <v>497263.90923013107</v>
          </cell>
        </row>
        <row r="475">
          <cell r="E475" t="str">
            <v>TGS-27-440BBS-L54 MONTHS/20 000 KMYes</v>
          </cell>
          <cell r="F475">
            <v>639339.50718044094</v>
          </cell>
        </row>
        <row r="476">
          <cell r="E476" t="str">
            <v>TGS-27-440BBS-L54 MONTHS/200 000 KMNo</v>
          </cell>
          <cell r="F476">
            <v>379735.23568719521</v>
          </cell>
        </row>
        <row r="477">
          <cell r="E477" t="str">
            <v>TGS-27-440BBS-L54 MONTHS/200 000 KMYes</v>
          </cell>
          <cell r="F477">
            <v>504898.86219974724</v>
          </cell>
        </row>
        <row r="478">
          <cell r="E478" t="str">
            <v>TGS-27-440BBS-L54 MONTHS/210 000 KMNo</v>
          </cell>
          <cell r="F478">
            <v>361652.60541637638</v>
          </cell>
        </row>
        <row r="479">
          <cell r="E479" t="str">
            <v>TGS-27-440BBS-L54 MONTHS/210 000 KMYes</v>
          </cell>
          <cell r="F479">
            <v>480856.0592378545</v>
          </cell>
        </row>
        <row r="480">
          <cell r="E480" t="str">
            <v>TGS-27-440BBS-L54 MONTHS/220 000 KMNo</v>
          </cell>
          <cell r="F480">
            <v>352142.19575013197</v>
          </cell>
        </row>
        <row r="481">
          <cell r="E481" t="str">
            <v>TGS-27-440BBS-L54 MONTHS/220 000 KMYes</v>
          </cell>
          <cell r="F481">
            <v>449398.18620360229</v>
          </cell>
        </row>
        <row r="482">
          <cell r="E482" t="str">
            <v>TGS-27-440BBS-L54 MONTHS/230 000 KMNo</v>
          </cell>
          <cell r="F482">
            <v>321898.18016588903</v>
          </cell>
        </row>
        <row r="483">
          <cell r="E483" t="str">
            <v>TGS-27-440BBS-L54 MONTHS/230 000 KMYes</v>
          </cell>
          <cell r="F483">
            <v>419998.30486317968</v>
          </cell>
        </row>
        <row r="484">
          <cell r="E484" t="str">
            <v>TGS-27-440BBS-L54 MONTHS/240 000 KMNo</v>
          </cell>
          <cell r="F484">
            <v>300839.42071578413</v>
          </cell>
        </row>
        <row r="485">
          <cell r="E485" t="str">
            <v>TGS-27-440BBS-L54 MONTHS/240 000 KMYes</v>
          </cell>
          <cell r="F485">
            <v>392521.78024596226</v>
          </cell>
        </row>
        <row r="486">
          <cell r="E486" t="str">
            <v>TGS-27-440BBS-L54 MONTHS/250 000 KMNo</v>
          </cell>
          <cell r="F486">
            <v>287452.92675451544</v>
          </cell>
        </row>
        <row r="487">
          <cell r="E487" t="str">
            <v>TGS-27-440BBS-L54 MONTHS/250 000 KMYes</v>
          </cell>
          <cell r="F487">
            <v>366842.78527660028</v>
          </cell>
        </row>
        <row r="488">
          <cell r="E488" t="str">
            <v>TGS-27-440BBS-L54 MONTHS/260 000 KMNo</v>
          </cell>
          <cell r="F488">
            <v>262764.8010444442</v>
          </cell>
        </row>
        <row r="489">
          <cell r="E489" t="str">
            <v>TGS-27-440BBS-L54 MONTHS/260 000 KMYes</v>
          </cell>
          <cell r="F489">
            <v>342843.7245575703</v>
          </cell>
        </row>
        <row r="490">
          <cell r="E490" t="str">
            <v>TGS-27-440BBS-L54 MONTHS/270 000 KMNo</v>
          </cell>
          <cell r="F490">
            <v>245574.58041536837</v>
          </cell>
        </row>
        <row r="491">
          <cell r="E491" t="str">
            <v>TGS-27-440BBS-L54 MONTHS/270 000 KMYes</v>
          </cell>
          <cell r="F491">
            <v>320414.69584819651</v>
          </cell>
        </row>
        <row r="492">
          <cell r="E492" t="str">
            <v>TGS-27-440BBS-L54 MONTHS/280 000 KMNo</v>
          </cell>
          <cell r="F492">
            <v>229508.95365922278</v>
          </cell>
        </row>
        <row r="493">
          <cell r="E493" t="str">
            <v>TGS-27-440BBS-L54 MONTHS/280 000 KMYes</v>
          </cell>
          <cell r="F493">
            <v>299452.98677401541</v>
          </cell>
        </row>
        <row r="494">
          <cell r="E494" t="str">
            <v>TGS-27-440BBS-L54 MONTHS/30 000 KMNo</v>
          </cell>
          <cell r="F494">
            <v>491367.49923925992</v>
          </cell>
        </row>
        <row r="495">
          <cell r="E495" t="str">
            <v>TGS-27-440BBS-L54 MONTHS/30 000 KMYes</v>
          </cell>
          <cell r="F495">
            <v>648063.43807764014</v>
          </cell>
        </row>
        <row r="496">
          <cell r="E496" t="str">
            <v>TGS-27-440BBS-L54 MONTHS/40 000 KMNo</v>
          </cell>
          <cell r="F496">
            <v>485541.00715341885</v>
          </cell>
        </row>
        <row r="497">
          <cell r="E497" t="str">
            <v>TGS-27-440BBS-L54 MONTHS/40 000 KMYes</v>
          </cell>
          <cell r="F497">
            <v>623650.79194556049</v>
          </cell>
        </row>
        <row r="498">
          <cell r="E498" t="str">
            <v>TGS-27-440BBS-L54 MONTHS/50 000 KMNo</v>
          </cell>
          <cell r="F498">
            <v>479783.60390654032</v>
          </cell>
        </row>
        <row r="499">
          <cell r="E499" t="str">
            <v>TGS-27-440BBS-L54 MONTHS/50 000 KMYes</v>
          </cell>
          <cell r="F499">
            <v>632160.64680641633</v>
          </cell>
        </row>
        <row r="500">
          <cell r="E500" t="str">
            <v>TGS-27-440BBS-L54 MONTHS/60 000 KMNo</v>
          </cell>
          <cell r="F500">
            <v>474094.4702633798</v>
          </cell>
        </row>
        <row r="501">
          <cell r="E501" t="str">
            <v>TGS-27-440BBS-L54 MONTHS/60 000 KMYes</v>
          </cell>
          <cell r="F501">
            <v>624356.19437670743</v>
          </cell>
        </row>
        <row r="502">
          <cell r="E502" t="str">
            <v>TGS-27-440BBS-L54 MONTHS/70 000 KMNo</v>
          </cell>
          <cell r="F502">
            <v>468936.17236733914</v>
          </cell>
        </row>
        <row r="503">
          <cell r="E503" t="str">
            <v>TGS-27-440BBS-L54 MONTHS/70 000 KMYes</v>
          </cell>
          <cell r="F503">
            <v>617563.00136172841</v>
          </cell>
        </row>
        <row r="504">
          <cell r="E504" t="str">
            <v>TGS-27-440BBS-L54 MONTHS/80 000 KMNo</v>
          </cell>
          <cell r="F504">
            <v>463833.99838510301</v>
          </cell>
        </row>
        <row r="505">
          <cell r="E505" t="str">
            <v>TGS-27-440BBS-L54 MONTHS/80 000 KMYes</v>
          </cell>
          <cell r="F505">
            <v>610843.72043692239</v>
          </cell>
        </row>
        <row r="506">
          <cell r="E506" t="str">
            <v>TGS-27-440BBS-L54 MONTHS/90 000 KMNo</v>
          </cell>
          <cell r="F506">
            <v>458787.33767072507</v>
          </cell>
        </row>
        <row r="507">
          <cell r="E507" t="str">
            <v>TGS-27-440BBS-L54 MONTHS/90 000 KMYes</v>
          </cell>
          <cell r="F507">
            <v>604197.54741535359</v>
          </cell>
        </row>
        <row r="508">
          <cell r="E508" t="str">
            <v>TGS-27-440BBS-L60 MONTHS/10 000 KMNo</v>
          </cell>
          <cell r="F508">
            <v>401400.78779238253</v>
          </cell>
        </row>
        <row r="509">
          <cell r="E509" t="str">
            <v>TGS-27-440BBS-L60 MONTHS/10 000 KMYes</v>
          </cell>
          <cell r="F509">
            <v>506905.79630327132</v>
          </cell>
        </row>
        <row r="510">
          <cell r="E510" t="str">
            <v>TGS-27-440BBS-L60 MONTHS/100 000 KMNo</v>
          </cell>
          <cell r="F510">
            <v>361968.71465730102</v>
          </cell>
        </row>
        <row r="511">
          <cell r="E511" t="str">
            <v>TGS-27-440BBS-L60 MONTHS/100 000 KMYes</v>
          </cell>
          <cell r="F511">
            <v>473297.52841399866</v>
          </cell>
        </row>
        <row r="512">
          <cell r="E512" t="str">
            <v>TGS-27-440BBS-L60 MONTHS/110 000 KMNo</v>
          </cell>
          <cell r="F512">
            <v>358030.38047210785</v>
          </cell>
        </row>
        <row r="513">
          <cell r="E513" t="str">
            <v>TGS-27-440BBS-L60 MONTHS/110 000 KMYes</v>
          </cell>
          <cell r="F513">
            <v>468147.90149752592</v>
          </cell>
        </row>
        <row r="514">
          <cell r="E514" t="str">
            <v>TGS-27-440BBS-L60 MONTHS/120 000 KMNo</v>
          </cell>
          <cell r="F514">
            <v>354485.52521990874</v>
          </cell>
        </row>
        <row r="515">
          <cell r="E515" t="str">
            <v>TGS-27-440BBS-L60 MONTHS/120 000 KMYes</v>
          </cell>
          <cell r="F515">
            <v>463512.77375992667</v>
          </cell>
        </row>
        <row r="516">
          <cell r="E516" t="str">
            <v>TGS-27-440BBS-L60 MONTHS/130 000 KMNo</v>
          </cell>
          <cell r="F516">
            <v>350975.76754446409</v>
          </cell>
        </row>
        <row r="517">
          <cell r="E517" t="str">
            <v>TGS-27-440BBS-L60 MONTHS/130 000 KMYes</v>
          </cell>
          <cell r="F517">
            <v>458923.53837616503</v>
          </cell>
        </row>
        <row r="518">
          <cell r="E518" t="str">
            <v>TGS-27-440BBS-L60 MONTHS/140 000 KMNo</v>
          </cell>
          <cell r="F518">
            <v>347500.75994501397</v>
          </cell>
        </row>
        <row r="519">
          <cell r="E519" t="str">
            <v>TGS-27-440BBS-L60 MONTHS/140 000 KMYes</v>
          </cell>
          <cell r="F519">
            <v>454379.74096650002</v>
          </cell>
        </row>
        <row r="520">
          <cell r="E520" t="str">
            <v>TGS-27-440BBS-L60 MONTHS/150 000 KMNo</v>
          </cell>
          <cell r="F520">
            <v>344060.15836139995</v>
          </cell>
        </row>
        <row r="521">
          <cell r="E521" t="str">
            <v>TGS-27-440BBS-L60 MONTHS/150 000 KMYes</v>
          </cell>
          <cell r="F521">
            <v>449880.93164999998</v>
          </cell>
        </row>
        <row r="522">
          <cell r="E522" t="str">
            <v>TGS-27-440BBS-L60 MONTHS/160 000 KMNo</v>
          </cell>
          <cell r="F522">
            <v>340653.62213999993</v>
          </cell>
        </row>
        <row r="523">
          <cell r="E523" t="str">
            <v>TGS-27-440BBS-L60 MONTHS/160 000 KMYes</v>
          </cell>
          <cell r="F523">
            <v>445426.66499999998</v>
          </cell>
        </row>
        <row r="524">
          <cell r="E524" t="str">
            <v>TGS-27-440BBS-L60 MONTHS/170 000 KMNo</v>
          </cell>
          <cell r="F524">
            <v>337280.81399999995</v>
          </cell>
        </row>
        <row r="525">
          <cell r="E525" t="str">
            <v>TGS-27-440BBS-L60 MONTHS/170 000 KMYes</v>
          </cell>
          <cell r="F525">
            <v>441016.5</v>
          </cell>
        </row>
        <row r="526">
          <cell r="E526" t="str">
            <v>TGS-27-440BBS-L60 MONTHS/180 000 KMNo</v>
          </cell>
          <cell r="F526">
            <v>333941.39999999997</v>
          </cell>
        </row>
        <row r="527">
          <cell r="E527" t="str">
            <v>TGS-27-440BBS-L60 MONTHS/180 000 KMYes</v>
          </cell>
          <cell r="F527">
            <v>436650</v>
          </cell>
        </row>
        <row r="528">
          <cell r="E528" t="str">
            <v>TGS-27-440BBS-L60 MONTHS/190 000 KMNo</v>
          </cell>
          <cell r="F528">
            <v>318039.42857142852</v>
          </cell>
        </row>
        <row r="529">
          <cell r="E529" t="str">
            <v>TGS-27-440BBS-L60 MONTHS/190 000 KMYes</v>
          </cell>
          <cell r="F529">
            <v>419855.76923076919</v>
          </cell>
        </row>
        <row r="530">
          <cell r="E530" t="str">
            <v>TGS-27-440BBS-L60 MONTHS/20 000 KMNo</v>
          </cell>
          <cell r="F530">
            <v>396641.09465650446</v>
          </cell>
        </row>
        <row r="531">
          <cell r="E531" t="str">
            <v>TGS-27-440BBS-L60 MONTHS/20 000 KMYes</v>
          </cell>
          <cell r="F531">
            <v>500647.70005261368</v>
          </cell>
        </row>
        <row r="532">
          <cell r="E532" t="str">
            <v>TGS-27-440BBS-L60 MONTHS/200 000 KMNo</v>
          </cell>
          <cell r="F532">
            <v>302894.69387755095</v>
          </cell>
        </row>
        <row r="533">
          <cell r="E533" t="str">
            <v>TGS-27-440BBS-L60 MONTHS/200 000 KMYes</v>
          </cell>
          <cell r="F533">
            <v>399862.63736263732</v>
          </cell>
        </row>
        <row r="534">
          <cell r="E534" t="str">
            <v>TGS-27-440BBS-L60 MONTHS/210 000 KMNo</v>
          </cell>
          <cell r="F534">
            <v>288471.13702623901</v>
          </cell>
        </row>
        <row r="535">
          <cell r="E535" t="str">
            <v>TGS-27-440BBS-L60 MONTHS/210 000 KMYes</v>
          </cell>
          <cell r="F535">
            <v>380821.55939298793</v>
          </cell>
        </row>
        <row r="536">
          <cell r="E536" t="str">
            <v>TGS-27-440BBS-L60 MONTHS/220 000 KMNo</v>
          </cell>
          <cell r="F536">
            <v>280885.18672775227</v>
          </cell>
        </row>
        <row r="537">
          <cell r="E537" t="str">
            <v>TGS-27-440BBS-L60 MONTHS/220 000 KMYes</v>
          </cell>
          <cell r="F537">
            <v>355907.999432699</v>
          </cell>
        </row>
        <row r="538">
          <cell r="E538" t="str">
            <v>TGS-27-440BBS-L60 MONTHS/230 000 KMNo</v>
          </cell>
          <cell r="F538">
            <v>256761.13664996793</v>
          </cell>
        </row>
        <row r="539">
          <cell r="E539" t="str">
            <v>TGS-27-440BBS-L60 MONTHS/230 000 KMYes</v>
          </cell>
          <cell r="F539">
            <v>332624.29853523267</v>
          </cell>
        </row>
        <row r="540">
          <cell r="E540" t="str">
            <v>TGS-27-440BBS-L60 MONTHS/240 000 KMNo</v>
          </cell>
          <cell r="F540">
            <v>239963.67911211954</v>
          </cell>
        </row>
        <row r="541">
          <cell r="E541" t="str">
            <v>TGS-27-440BBS-L60 MONTHS/240 000 KMYes</v>
          </cell>
          <cell r="F541">
            <v>310863.83040675946</v>
          </cell>
        </row>
        <row r="542">
          <cell r="E542" t="str">
            <v>TGS-27-440BBS-L60 MONTHS/250 000 KMNo</v>
          </cell>
          <cell r="F542">
            <v>229285.98157595465</v>
          </cell>
        </row>
        <row r="543">
          <cell r="E543" t="str">
            <v>TGS-27-440BBS-L60 MONTHS/250 000 KMYes</v>
          </cell>
          <cell r="F543">
            <v>290526.94430538267</v>
          </cell>
        </row>
        <row r="544">
          <cell r="E544" t="str">
            <v>TGS-27-440BBS-L60 MONTHS/260 000 KMNo</v>
          </cell>
          <cell r="F544">
            <v>209593.57071545071</v>
          </cell>
        </row>
        <row r="545">
          <cell r="E545" t="str">
            <v>TGS-27-440BBS-L60 MONTHS/260 000 KMYes</v>
          </cell>
          <cell r="F545">
            <v>271520.5086966193</v>
          </cell>
        </row>
        <row r="546">
          <cell r="E546" t="str">
            <v>TGS-27-440BBS-L60 MONTHS/270 000 KMNo</v>
          </cell>
          <cell r="F546">
            <v>195881.84179014084</v>
          </cell>
        </row>
        <row r="547">
          <cell r="E547" t="str">
            <v>TGS-27-440BBS-L60 MONTHS/270 000 KMYes</v>
          </cell>
          <cell r="F547">
            <v>253757.48476319559</v>
          </cell>
        </row>
        <row r="548">
          <cell r="E548" t="str">
            <v>TGS-27-440BBS-L60 MONTHS/280 000 KMNo</v>
          </cell>
          <cell r="F548">
            <v>183067.14185994471</v>
          </cell>
        </row>
        <row r="549">
          <cell r="E549" t="str">
            <v>TGS-27-440BBS-L60 MONTHS/280 000 KMYes</v>
          </cell>
          <cell r="F549">
            <v>237156.52781607062</v>
          </cell>
        </row>
        <row r="550">
          <cell r="E550" t="str">
            <v>TGS-27-440BBS-L60 MONTHS/30 000 KMNo</v>
          </cell>
          <cell r="F550">
            <v>391937.84056966845</v>
          </cell>
        </row>
        <row r="551">
          <cell r="E551" t="str">
            <v>TGS-27-440BBS-L60 MONTHS/30 000 KMYes</v>
          </cell>
          <cell r="F551">
            <v>513244.08694251388</v>
          </cell>
        </row>
        <row r="552">
          <cell r="E552" t="str">
            <v>TGS-27-440BBS-L60 MONTHS/40 000 KMNo</v>
          </cell>
          <cell r="F552">
            <v>387290.35629413876</v>
          </cell>
        </row>
        <row r="553">
          <cell r="E553" t="str">
            <v>TGS-27-440BBS-L60 MONTHS/40 000 KMYes</v>
          </cell>
          <cell r="F553">
            <v>488362.33506122971</v>
          </cell>
        </row>
        <row r="554">
          <cell r="E554" t="str">
            <v>TGS-27-440BBS-L60 MONTHS/50 000 KMNo</v>
          </cell>
          <cell r="F554">
            <v>382697.98052780511</v>
          </cell>
        </row>
        <row r="555">
          <cell r="E555" t="str">
            <v>TGS-27-440BBS-L60 MONTHS/50 000 KMYes</v>
          </cell>
          <cell r="F555">
            <v>500649.61994087626</v>
          </cell>
        </row>
        <row r="556">
          <cell r="E556" t="str">
            <v>TGS-27-440BBS-L60 MONTHS/60 000 KMNo</v>
          </cell>
          <cell r="F556">
            <v>378160.05981008412</v>
          </cell>
        </row>
        <row r="557">
          <cell r="E557" t="str">
            <v>TGS-27-440BBS-L60 MONTHS/60 000 KMYes</v>
          </cell>
          <cell r="F557">
            <v>494468.76043543336</v>
          </cell>
        </row>
        <row r="558">
          <cell r="E558" t="str">
            <v>TGS-27-440BBS-L60 MONTHS/70 000 KMNo</v>
          </cell>
          <cell r="F558">
            <v>374045.55866477167</v>
          </cell>
        </row>
        <row r="559">
          <cell r="E559" t="str">
            <v>TGS-27-440BBS-L60 MONTHS/70 000 KMYes</v>
          </cell>
          <cell r="F559">
            <v>489088.78381348506</v>
          </cell>
        </row>
        <row r="560">
          <cell r="E560" t="str">
            <v>TGS-27-440BBS-L60 MONTHS/80 000 KMNo</v>
          </cell>
          <cell r="F560">
            <v>369975.82459423511</v>
          </cell>
        </row>
        <row r="561">
          <cell r="E561" t="str">
            <v>TGS-27-440BBS-L60 MONTHS/80 000 KMYes</v>
          </cell>
          <cell r="F561">
            <v>483767.34304004459</v>
          </cell>
        </row>
        <row r="562">
          <cell r="E562" t="str">
            <v>TGS-27-440BBS-L60 MONTHS/90 000 KMNo</v>
          </cell>
          <cell r="F562">
            <v>365950.3705185313</v>
          </cell>
        </row>
        <row r="563">
          <cell r="E563" t="str">
            <v>TGS-27-440BBS-L60 MONTHS/90 000 KMYes</v>
          </cell>
          <cell r="F563">
            <v>478503.80122655258</v>
          </cell>
        </row>
        <row r="564">
          <cell r="E564" t="str">
            <v>TGS-33-440BBS-L36 MONTHS/10 000 KMNo</v>
          </cell>
          <cell r="F564">
            <v>584706.35665235156</v>
          </cell>
        </row>
        <row r="565">
          <cell r="E565" t="str">
            <v>TGS-33-440BBS-L36 MONTHS/10 000 KMYes</v>
          </cell>
          <cell r="F565">
            <v>750733.90085421223</v>
          </cell>
        </row>
        <row r="566">
          <cell r="E566" t="str">
            <v>TGS-33-440BBS-L36 MONTHS/100 000 KMNo</v>
          </cell>
          <cell r="F566">
            <v>527267.04781375511</v>
          </cell>
        </row>
        <row r="567">
          <cell r="E567" t="str">
            <v>TGS-33-440BBS-L36 MONTHS/100 000 KMYes</v>
          </cell>
          <cell r="F567">
            <v>675314.76615168108</v>
          </cell>
        </row>
        <row r="568">
          <cell r="E568" t="str">
            <v>TGS-33-440BBS-L36 MONTHS/110 000 KMNo</v>
          </cell>
          <cell r="F568">
            <v>521530.21544387256</v>
          </cell>
        </row>
        <row r="569">
          <cell r="E569" t="str">
            <v>TGS-33-440BBS-L36 MONTHS/110 000 KMYes</v>
          </cell>
          <cell r="F569">
            <v>667967.12774646992</v>
          </cell>
        </row>
        <row r="570">
          <cell r="E570" t="str">
            <v>TGS-33-440BBS-L36 MONTHS/120 000 KMNo</v>
          </cell>
          <cell r="F570">
            <v>515855.80162598676</v>
          </cell>
        </row>
        <row r="571">
          <cell r="E571" t="str">
            <v>TGS-33-440BBS-L36 MONTHS/120 000 KMYes</v>
          </cell>
          <cell r="F571">
            <v>661353.59182818804</v>
          </cell>
        </row>
        <row r="572">
          <cell r="E572" t="str">
            <v>TGS-33-440BBS-L36 MONTHS/130 000 KMNo</v>
          </cell>
          <cell r="F572">
            <v>510748.31844157103</v>
          </cell>
        </row>
        <row r="573">
          <cell r="E573" t="str">
            <v>TGS-33-440BBS-L36 MONTHS/130 000 KMYes</v>
          </cell>
          <cell r="F573">
            <v>654805.5364635525</v>
          </cell>
        </row>
        <row r="574">
          <cell r="E574" t="str">
            <v>TGS-33-440BBS-L36 MONTHS/140 000 KMNo</v>
          </cell>
          <cell r="F574">
            <v>505691.40439759509</v>
          </cell>
        </row>
        <row r="575">
          <cell r="E575" t="str">
            <v>TGS-33-440BBS-L36 MONTHS/140 000 KMYes</v>
          </cell>
          <cell r="F575">
            <v>648322.31333024998</v>
          </cell>
        </row>
        <row r="576">
          <cell r="E576" t="str">
            <v>TGS-33-440BBS-L36 MONTHS/150 000 KMNo</v>
          </cell>
          <cell r="F576">
            <v>500684.55880950007</v>
          </cell>
        </row>
        <row r="577">
          <cell r="E577" t="str">
            <v>TGS-33-440BBS-L36 MONTHS/150 000 KMYes</v>
          </cell>
          <cell r="F577">
            <v>641903.28052499995</v>
          </cell>
        </row>
        <row r="578">
          <cell r="E578" t="str">
            <v>TGS-33-440BBS-L36 MONTHS/160 000 KMNo</v>
          </cell>
          <cell r="F578">
            <v>495727.28595000005</v>
          </cell>
        </row>
        <row r="579">
          <cell r="E579" t="str">
            <v>TGS-33-440BBS-L36 MONTHS/160 000 KMYes</v>
          </cell>
          <cell r="F579">
            <v>635547.80249999999</v>
          </cell>
        </row>
        <row r="580">
          <cell r="E580" t="str">
            <v>TGS-33-440BBS-L36 MONTHS/170 000 KMNo</v>
          </cell>
          <cell r="F580">
            <v>490819.09500000003</v>
          </cell>
        </row>
        <row r="581">
          <cell r="E581" t="str">
            <v>TGS-33-440BBS-L36 MONTHS/170 000 KMYes</v>
          </cell>
          <cell r="F581">
            <v>629255.25</v>
          </cell>
        </row>
        <row r="582">
          <cell r="E582" t="str">
            <v>TGS-33-440BBS-L36 MONTHS/180 000 KMNo</v>
          </cell>
          <cell r="F582">
            <v>485959.5</v>
          </cell>
        </row>
        <row r="583">
          <cell r="E583" t="str">
            <v>TGS-33-440BBS-L36 MONTHS/180 000 KMYes</v>
          </cell>
          <cell r="F583">
            <v>623025</v>
          </cell>
        </row>
        <row r="584">
          <cell r="E584" t="str">
            <v>TGS-33-440BBS-L36 MONTHS/190 000 KMNo</v>
          </cell>
          <cell r="F584">
            <v>462818.57142857142</v>
          </cell>
        </row>
        <row r="585">
          <cell r="E585" t="str">
            <v>TGS-33-440BBS-L36 MONTHS/190 000 KMYes</v>
          </cell>
          <cell r="F585">
            <v>593357.14285714284</v>
          </cell>
        </row>
        <row r="586">
          <cell r="E586" t="str">
            <v>TGS-33-440BBS-L36 MONTHS/20 000 KMNo</v>
          </cell>
          <cell r="F586">
            <v>577773.07969599951</v>
          </cell>
        </row>
        <row r="587">
          <cell r="E587" t="str">
            <v>TGS-33-440BBS-L36 MONTHS/20 000 KMYes</v>
          </cell>
          <cell r="F587">
            <v>741465.58109057997</v>
          </cell>
        </row>
        <row r="588">
          <cell r="E588" t="str">
            <v>TGS-33-440BBS-L36 MONTHS/200 000 KMNo</v>
          </cell>
          <cell r="F588">
            <v>440779.59183673467</v>
          </cell>
        </row>
        <row r="589">
          <cell r="E589" t="str">
            <v>TGS-33-440BBS-L36 MONTHS/200 000 KMYes</v>
          </cell>
          <cell r="F589">
            <v>559770.88948787062</v>
          </cell>
        </row>
        <row r="590">
          <cell r="E590" t="str">
            <v>TGS-33-440BBS-L36 MONTHS/210 000 KMNo</v>
          </cell>
          <cell r="F590">
            <v>419790.08746355679</v>
          </cell>
        </row>
        <row r="591">
          <cell r="E591" t="str">
            <v>TGS-33-440BBS-L36 MONTHS/210 000 KMYes</v>
          </cell>
          <cell r="F591">
            <v>528085.74479987787</v>
          </cell>
        </row>
        <row r="592">
          <cell r="E592" t="str">
            <v>TGS-33-440BBS-L36 MONTHS/220 000 KMNo</v>
          </cell>
          <cell r="F592">
            <v>399800.08329862548</v>
          </cell>
        </row>
        <row r="593">
          <cell r="E593" t="str">
            <v>TGS-33-440BBS-L36 MONTHS/220 000 KMYes</v>
          </cell>
          <cell r="F593">
            <v>502938.80457131221</v>
          </cell>
        </row>
        <row r="594">
          <cell r="E594" t="str">
            <v>TGS-33-440BBS-L36 MONTHS/230 000 KMNo</v>
          </cell>
          <cell r="F594">
            <v>373644.93766226678</v>
          </cell>
        </row>
        <row r="595">
          <cell r="E595" t="str">
            <v>TGS-33-440BBS-L36 MONTHS/230 000 KMYes</v>
          </cell>
          <cell r="F595">
            <v>470036.26595449739</v>
          </cell>
        </row>
        <row r="596">
          <cell r="E596" t="str">
            <v>TGS-33-440BBS-L36 MONTHS/240 000 KMNo</v>
          </cell>
          <cell r="F596">
            <v>349200.87631987548</v>
          </cell>
        </row>
        <row r="597">
          <cell r="E597" t="str">
            <v>TGS-33-440BBS-L36 MONTHS/240 000 KMYes</v>
          </cell>
          <cell r="F597">
            <v>439286.22986401623</v>
          </cell>
        </row>
        <row r="598">
          <cell r="E598" t="str">
            <v>TGS-33-440BBS-L36 MONTHS/250 000 KMNo</v>
          </cell>
          <cell r="F598">
            <v>326355.95917745371</v>
          </cell>
        </row>
        <row r="599">
          <cell r="E599" t="str">
            <v>TGS-33-440BBS-L36 MONTHS/250 000 KMYes</v>
          </cell>
          <cell r="F599">
            <v>410547.87837758526</v>
          </cell>
        </row>
        <row r="600">
          <cell r="E600" t="str">
            <v>TGS-33-440BBS-L36 MONTHS/260 000 KMNo</v>
          </cell>
          <cell r="F600">
            <v>305005.5693247231</v>
          </cell>
        </row>
        <row r="601">
          <cell r="E601" t="str">
            <v>TGS-33-440BBS-L36 MONTHS/260 000 KMYes</v>
          </cell>
          <cell r="F601">
            <v>383689.60596036003</v>
          </cell>
        </row>
        <row r="602">
          <cell r="E602" t="str">
            <v>TGS-33-440BBS-L36 MONTHS/270 000 KMNo</v>
          </cell>
          <cell r="F602">
            <v>285051.93394833931</v>
          </cell>
        </row>
        <row r="603">
          <cell r="E603" t="str">
            <v>TGS-33-440BBS-L36 MONTHS/270 000 KMYes</v>
          </cell>
          <cell r="F603">
            <v>358588.41678538319</v>
          </cell>
        </row>
        <row r="604">
          <cell r="E604" t="str">
            <v>TGS-33-440BBS-L36 MONTHS/280 000 KMNo</v>
          </cell>
          <cell r="F604">
            <v>266403.67658723297</v>
          </cell>
        </row>
        <row r="605">
          <cell r="E605" t="str">
            <v>TGS-33-440BBS-L36 MONTHS/280 000 KMYes</v>
          </cell>
          <cell r="F605">
            <v>335129.36148166651</v>
          </cell>
        </row>
        <row r="606">
          <cell r="E606" t="str">
            <v>TGS-33-440BBS-L36 MONTHS/30 000 KMNo</v>
          </cell>
          <cell r="F606">
            <v>570922.01550988096</v>
          </cell>
        </row>
        <row r="607">
          <cell r="E607" t="str">
            <v>TGS-33-440BBS-L36 MONTHS/30 000 KMYes</v>
          </cell>
          <cell r="F607">
            <v>732311.68502773333</v>
          </cell>
        </row>
        <row r="608">
          <cell r="E608" t="str">
            <v>TGS-33-440BBS-L36 MONTHS/40 000 KMNo</v>
          </cell>
          <cell r="F608">
            <v>564152.18923901278</v>
          </cell>
        </row>
        <row r="609">
          <cell r="E609" t="str">
            <v>TGS-33-440BBS-L36 MONTHS/40 000 KMYes</v>
          </cell>
          <cell r="F609">
            <v>723270.80002739094</v>
          </cell>
        </row>
        <row r="610">
          <cell r="E610" t="str">
            <v>TGS-33-440BBS-L36 MONTHS/50 000 KMNo</v>
          </cell>
          <cell r="F610">
            <v>557462.63758795732</v>
          </cell>
        </row>
        <row r="611">
          <cell r="E611" t="str">
            <v>TGS-33-440BBS-L36 MONTHS/50 000 KMYes</v>
          </cell>
          <cell r="F611">
            <v>714341.53089125035</v>
          </cell>
        </row>
        <row r="612">
          <cell r="E612" t="str">
            <v>TGS-33-440BBS-L36 MONTHS/60 000 KMNo</v>
          </cell>
          <cell r="F612">
            <v>550852.40868375229</v>
          </cell>
        </row>
        <row r="613">
          <cell r="E613" t="str">
            <v>TGS-33-440BBS-L36 MONTHS/60 000 KMYes</v>
          </cell>
          <cell r="F613">
            <v>705522.49964567937</v>
          </cell>
        </row>
        <row r="614">
          <cell r="E614" t="str">
            <v>TGS-33-440BBS-L36 MONTHS/70 000 KMNo</v>
          </cell>
          <cell r="F614">
            <v>544858.9601224059</v>
          </cell>
        </row>
        <row r="615">
          <cell r="E615" t="str">
            <v>TGS-33-440BBS-L36 MONTHS/70 000 KMYes</v>
          </cell>
          <cell r="F615">
            <v>697846.1915387531</v>
          </cell>
        </row>
        <row r="616">
          <cell r="E616" t="str">
            <v>TGS-33-440BBS-L36 MONTHS/80 000 KMNo</v>
          </cell>
          <cell r="F616">
            <v>538930.7221784431</v>
          </cell>
        </row>
        <row r="617">
          <cell r="E617" t="str">
            <v>TGS-33-440BBS-L36 MONTHS/80 000 KMYes</v>
          </cell>
          <cell r="F617">
            <v>690253.40409372223</v>
          </cell>
        </row>
        <row r="618">
          <cell r="E618" t="str">
            <v>TGS-33-440BBS-L36 MONTHS/90 000 KMNo</v>
          </cell>
          <cell r="F618">
            <v>533066.98533970641</v>
          </cell>
        </row>
        <row r="619">
          <cell r="E619" t="str">
            <v>TGS-33-440BBS-L36 MONTHS/90 000 KMYes</v>
          </cell>
          <cell r="F619">
            <v>682743.22857934947</v>
          </cell>
        </row>
        <row r="620">
          <cell r="E620" t="str">
            <v>TGS-33-440BBS-L42 MONTHS/10 000 KMNo</v>
          </cell>
          <cell r="F620">
            <v>541394.77467810328</v>
          </cell>
        </row>
        <row r="621">
          <cell r="E621" t="str">
            <v>TGS-33-440BBS-L42 MONTHS/10 000 KMYes</v>
          </cell>
          <cell r="F621">
            <v>695123.98227241868</v>
          </cell>
        </row>
        <row r="622">
          <cell r="E622" t="str">
            <v>TGS-33-440BBS-L42 MONTHS/100 000 KMNo</v>
          </cell>
          <cell r="F622">
            <v>488210.2294571806</v>
          </cell>
        </row>
        <row r="623">
          <cell r="E623" t="str">
            <v>TGS-33-440BBS-L42 MONTHS/100 000 KMYes</v>
          </cell>
          <cell r="F623">
            <v>625291.45014044538</v>
          </cell>
        </row>
        <row r="624">
          <cell r="E624" t="str">
            <v>TGS-33-440BBS-L42 MONTHS/110 000 KMNo</v>
          </cell>
          <cell r="F624">
            <v>482898.34763321531</v>
          </cell>
        </row>
        <row r="625">
          <cell r="E625" t="str">
            <v>TGS-33-440BBS-L42 MONTHS/110 000 KMYes</v>
          </cell>
          <cell r="F625">
            <v>618488.08124673134</v>
          </cell>
        </row>
        <row r="626">
          <cell r="E626" t="str">
            <v>TGS-33-440BBS-L42 MONTHS/120 000 KMNo</v>
          </cell>
          <cell r="F626">
            <v>477644.26076480252</v>
          </cell>
        </row>
        <row r="627">
          <cell r="E627" t="str">
            <v>TGS-33-440BBS-L42 MONTHS/120 000 KMYes</v>
          </cell>
          <cell r="F627">
            <v>612364.43687795184</v>
          </cell>
        </row>
        <row r="628">
          <cell r="E628" t="str">
            <v>TGS-33-440BBS-L42 MONTHS/130 000 KMNo</v>
          </cell>
          <cell r="F628">
            <v>472915.10966812127</v>
          </cell>
        </row>
        <row r="629">
          <cell r="E629" t="str">
            <v>TGS-33-440BBS-L42 MONTHS/130 000 KMYes</v>
          </cell>
          <cell r="F629">
            <v>606301.42265143746</v>
          </cell>
        </row>
        <row r="630">
          <cell r="E630" t="str">
            <v>TGS-33-440BBS-L42 MONTHS/140 000 KMNo</v>
          </cell>
          <cell r="F630">
            <v>468232.78184962505</v>
          </cell>
        </row>
        <row r="631">
          <cell r="E631" t="str">
            <v>TGS-33-440BBS-L42 MONTHS/140 000 KMYes</v>
          </cell>
          <cell r="F631">
            <v>600298.43826874997</v>
          </cell>
        </row>
        <row r="632">
          <cell r="E632" t="str">
            <v>TGS-33-440BBS-L42 MONTHS/150 000 KMNo</v>
          </cell>
          <cell r="F632">
            <v>463596.81371250004</v>
          </cell>
        </row>
        <row r="633">
          <cell r="E633" t="str">
            <v>TGS-33-440BBS-L42 MONTHS/150 000 KMYes</v>
          </cell>
          <cell r="F633">
            <v>594354.88937499991</v>
          </cell>
        </row>
        <row r="634">
          <cell r="E634" t="str">
            <v>TGS-33-440BBS-L42 MONTHS/160 000 KMNo</v>
          </cell>
          <cell r="F634">
            <v>459006.74625000003</v>
          </cell>
        </row>
        <row r="635">
          <cell r="E635" t="str">
            <v>TGS-33-440BBS-L42 MONTHS/160 000 KMYes</v>
          </cell>
          <cell r="F635">
            <v>588470.1875</v>
          </cell>
        </row>
        <row r="636">
          <cell r="E636" t="str">
            <v>TGS-33-440BBS-L42 MONTHS/170 000 KMNo</v>
          </cell>
          <cell r="F636">
            <v>454462.125</v>
          </cell>
        </row>
        <row r="637">
          <cell r="E637" t="str">
            <v>TGS-33-440BBS-L42 MONTHS/170 000 KMYes</v>
          </cell>
          <cell r="F637">
            <v>582643.75</v>
          </cell>
        </row>
        <row r="638">
          <cell r="E638" t="str">
            <v>TGS-33-440BBS-L42 MONTHS/180 000 KMNo</v>
          </cell>
          <cell r="F638">
            <v>449962.49999999994</v>
          </cell>
        </row>
        <row r="639">
          <cell r="E639" t="str">
            <v>TGS-33-440BBS-L42 MONTHS/180 000 KMYes</v>
          </cell>
          <cell r="F639">
            <v>576875</v>
          </cell>
        </row>
        <row r="640">
          <cell r="E640" t="str">
            <v>TGS-33-440BBS-L42 MONTHS/190 000 KMNo</v>
          </cell>
          <cell r="F640">
            <v>428535.71428571426</v>
          </cell>
        </row>
        <row r="641">
          <cell r="E641" t="str">
            <v>TGS-33-440BBS-L42 MONTHS/190 000 KMYes</v>
          </cell>
          <cell r="F641">
            <v>549404.76190476189</v>
          </cell>
        </row>
        <row r="642">
          <cell r="E642" t="str">
            <v>TGS-33-440BBS-L42 MONTHS/20 000 KMNo</v>
          </cell>
          <cell r="F642">
            <v>534975.07379259216</v>
          </cell>
        </row>
        <row r="643">
          <cell r="E643" t="str">
            <v>TGS-33-440BBS-L42 MONTHS/20 000 KMYes</v>
          </cell>
          <cell r="F643">
            <v>686542.20471349999</v>
          </cell>
        </row>
        <row r="644">
          <cell r="E644" t="str">
            <v>TGS-33-440BBS-L42 MONTHS/200 000 KMNo</v>
          </cell>
          <cell r="F644">
            <v>408129.25170068024</v>
          </cell>
        </row>
        <row r="645">
          <cell r="E645" t="str">
            <v>TGS-33-440BBS-L42 MONTHS/200 000 KMYes</v>
          </cell>
          <cell r="F645">
            <v>518306.37915543572</v>
          </cell>
        </row>
        <row r="646">
          <cell r="E646" t="str">
            <v>TGS-33-440BBS-L42 MONTHS/210 000 KMNo</v>
          </cell>
          <cell r="F646">
            <v>388694.52542921924</v>
          </cell>
        </row>
        <row r="647">
          <cell r="E647" t="str">
            <v>TGS-33-440BBS-L42 MONTHS/210 000 KMYes</v>
          </cell>
          <cell r="F647">
            <v>488968.28222210909</v>
          </cell>
        </row>
        <row r="648">
          <cell r="E648" t="str">
            <v>TGS-33-440BBS-L42 MONTHS/220 000 KMNo</v>
          </cell>
          <cell r="F648">
            <v>370185.26231354207</v>
          </cell>
        </row>
        <row r="649">
          <cell r="E649" t="str">
            <v>TGS-33-440BBS-L42 MONTHS/220 000 KMYes</v>
          </cell>
          <cell r="F649">
            <v>465684.07830677053</v>
          </cell>
        </row>
        <row r="650">
          <cell r="E650" t="str">
            <v>TGS-33-440BBS-L42 MONTHS/230 000 KMNo</v>
          </cell>
          <cell r="F650">
            <v>345967.5348724692</v>
          </cell>
        </row>
        <row r="651">
          <cell r="E651" t="str">
            <v>TGS-33-440BBS-L42 MONTHS/230 000 KMYes</v>
          </cell>
          <cell r="F651">
            <v>435218.76477268274</v>
          </cell>
        </row>
        <row r="652">
          <cell r="E652" t="str">
            <v>TGS-33-440BBS-L42 MONTHS/240 000 KMNo</v>
          </cell>
          <cell r="F652">
            <v>323334.1447406254</v>
          </cell>
        </row>
        <row r="653">
          <cell r="E653" t="str">
            <v>TGS-33-440BBS-L42 MONTHS/240 000 KMYes</v>
          </cell>
          <cell r="F653">
            <v>406746.50913334836</v>
          </cell>
        </row>
        <row r="654">
          <cell r="E654" t="str">
            <v>TGS-33-440BBS-L42 MONTHS/250 000 KMNo</v>
          </cell>
          <cell r="F654">
            <v>302181.44368282746</v>
          </cell>
        </row>
        <row r="655">
          <cell r="E655" t="str">
            <v>TGS-33-440BBS-L42 MONTHS/250 000 KMYes</v>
          </cell>
          <cell r="F655">
            <v>380136.92442369001</v>
          </cell>
        </row>
        <row r="656">
          <cell r="E656" t="str">
            <v>TGS-33-440BBS-L42 MONTHS/260 000 KMNo</v>
          </cell>
          <cell r="F656">
            <v>282412.56418955838</v>
          </cell>
        </row>
        <row r="657">
          <cell r="E657" t="str">
            <v>TGS-33-440BBS-L42 MONTHS/260 000 KMYes</v>
          </cell>
          <cell r="F657">
            <v>355268.15366700001</v>
          </cell>
        </row>
        <row r="658">
          <cell r="E658" t="str">
            <v>TGS-33-440BBS-L42 MONTHS/270 000 KMNo</v>
          </cell>
          <cell r="F658">
            <v>263936.97587809194</v>
          </cell>
        </row>
        <row r="659">
          <cell r="E659" t="str">
            <v>TGS-33-440BBS-L42 MONTHS/270 000 KMYes</v>
          </cell>
          <cell r="F659">
            <v>332026.31183831772</v>
          </cell>
        </row>
        <row r="660">
          <cell r="E660" t="str">
            <v>TGS-33-440BBS-L42 MONTHS/280 000 KMNo</v>
          </cell>
          <cell r="F660">
            <v>246670.07091410458</v>
          </cell>
        </row>
        <row r="661">
          <cell r="E661" t="str">
            <v>TGS-33-440BBS-L42 MONTHS/280 000 KMYes</v>
          </cell>
          <cell r="F661">
            <v>310304.96433487639</v>
          </cell>
        </row>
        <row r="662">
          <cell r="E662" t="str">
            <v>TGS-33-440BBS-L42 MONTHS/30 000 KMNo</v>
          </cell>
          <cell r="F662">
            <v>528631.49584248231</v>
          </cell>
        </row>
        <row r="663">
          <cell r="E663" t="str">
            <v>TGS-33-440BBS-L42 MONTHS/30 000 KMYes</v>
          </cell>
          <cell r="F663">
            <v>678066.37502567901</v>
          </cell>
        </row>
        <row r="664">
          <cell r="E664" t="str">
            <v>TGS-33-440BBS-L42 MONTHS/40 000 KMNo</v>
          </cell>
          <cell r="F664">
            <v>522363.13818427105</v>
          </cell>
        </row>
        <row r="665">
          <cell r="E665" t="str">
            <v>TGS-33-440BBS-L42 MONTHS/40 000 KMYes</v>
          </cell>
          <cell r="F665">
            <v>669695.18521054718</v>
          </cell>
        </row>
        <row r="666">
          <cell r="E666" t="str">
            <v>TGS-33-440BBS-L42 MONTHS/50 000 KMNo</v>
          </cell>
          <cell r="F666">
            <v>516169.10887773824</v>
          </cell>
        </row>
        <row r="667">
          <cell r="E667" t="str">
            <v>TGS-33-440BBS-L42 MONTHS/50 000 KMYes</v>
          </cell>
          <cell r="F667">
            <v>661427.34341782436</v>
          </cell>
        </row>
        <row r="668">
          <cell r="E668" t="str">
            <v>TGS-33-440BBS-L42 MONTHS/60 000 KMNo</v>
          </cell>
          <cell r="F668">
            <v>510048.52655902988</v>
          </cell>
        </row>
        <row r="669">
          <cell r="E669" t="str">
            <v>TGS-33-440BBS-L42 MONTHS/60 000 KMYes</v>
          </cell>
          <cell r="F669">
            <v>653261.57374599937</v>
          </cell>
        </row>
        <row r="670">
          <cell r="E670" t="str">
            <v>TGS-33-440BBS-L42 MONTHS/70 000 KMNo</v>
          </cell>
          <cell r="F670">
            <v>504499.03715037578</v>
          </cell>
        </row>
        <row r="671">
          <cell r="E671" t="str">
            <v>TGS-33-440BBS-L42 MONTHS/70 000 KMYes</v>
          </cell>
          <cell r="F671">
            <v>646153.88105440093</v>
          </cell>
        </row>
        <row r="672">
          <cell r="E672" t="str">
            <v>TGS-33-440BBS-L42 MONTHS/80 000 KMNo</v>
          </cell>
          <cell r="F672">
            <v>499009.92794300284</v>
          </cell>
        </row>
        <row r="673">
          <cell r="E673" t="str">
            <v>TGS-33-440BBS-L42 MONTHS/80 000 KMYes</v>
          </cell>
          <cell r="F673">
            <v>639123.522309002</v>
          </cell>
        </row>
        <row r="674">
          <cell r="E674" t="str">
            <v>TGS-33-440BBS-L42 MONTHS/90 000 KMNo</v>
          </cell>
          <cell r="F674">
            <v>493580.54198120959</v>
          </cell>
        </row>
        <row r="675">
          <cell r="E675" t="str">
            <v>TGS-33-440BBS-L42 MONTHS/90 000 KMYes</v>
          </cell>
          <cell r="F675">
            <v>632169.65609199018</v>
          </cell>
        </row>
        <row r="676">
          <cell r="E676" t="str">
            <v>TGS-33-440BBS-L48 MONTHS/10 000 KMNo</v>
          </cell>
          <cell r="F676">
            <v>496508.8102730402</v>
          </cell>
        </row>
        <row r="677">
          <cell r="E677" t="str">
            <v>TGS-33-440BBS-L48 MONTHS/10 000 KMYes</v>
          </cell>
          <cell r="F677">
            <v>609570.26137735182</v>
          </cell>
        </row>
        <row r="678">
          <cell r="E678" t="str">
            <v>TGS-33-440BBS-L48 MONTHS/100 000 KMNo</v>
          </cell>
          <cell r="F678">
            <v>447733.68995856447</v>
          </cell>
        </row>
        <row r="679">
          <cell r="E679" t="str">
            <v>TGS-33-440BBS-L48 MONTHS/100 000 KMYes</v>
          </cell>
          <cell r="F679">
            <v>548332.50243085227</v>
          </cell>
        </row>
        <row r="680">
          <cell r="E680" t="str">
            <v>TGS-33-440BBS-L48 MONTHS/110 000 KMNo</v>
          </cell>
          <cell r="F680">
            <v>442862.20569590951</v>
          </cell>
        </row>
        <row r="681">
          <cell r="E681" t="str">
            <v>TGS-33-440BBS-L48 MONTHS/110 000 KMYes</v>
          </cell>
          <cell r="F681">
            <v>542366.4712471338</v>
          </cell>
        </row>
        <row r="682">
          <cell r="E682" t="str">
            <v>TGS-33-440BBS-L48 MONTHS/120 000 KMNo</v>
          </cell>
          <cell r="F682">
            <v>438477.43138208863</v>
          </cell>
        </row>
        <row r="683">
          <cell r="E683" t="str">
            <v>TGS-33-440BBS-L48 MONTHS/120 000 KMYes</v>
          </cell>
          <cell r="F683">
            <v>536996.50618528097</v>
          </cell>
        </row>
        <row r="684">
          <cell r="E684" t="str">
            <v>TGS-33-440BBS-L48 MONTHS/130 000 KMNo</v>
          </cell>
          <cell r="F684">
            <v>434136.0706753353</v>
          </cell>
        </row>
        <row r="685">
          <cell r="E685" t="str">
            <v>TGS-33-440BBS-L48 MONTHS/130 000 KMYes</v>
          </cell>
          <cell r="F685">
            <v>531679.70909433754</v>
          </cell>
        </row>
        <row r="686">
          <cell r="E686" t="str">
            <v>TGS-33-440BBS-L48 MONTHS/140 000 KMNo</v>
          </cell>
          <cell r="F686">
            <v>429837.69373795576</v>
          </cell>
        </row>
        <row r="687">
          <cell r="E687" t="str">
            <v>TGS-33-440BBS-L48 MONTHS/140 000 KMYes</v>
          </cell>
          <cell r="F687">
            <v>526415.55355875008</v>
          </cell>
        </row>
        <row r="688">
          <cell r="E688" t="str">
            <v>TGS-33-440BBS-L48 MONTHS/150 000 KMNo</v>
          </cell>
          <cell r="F688">
            <v>425581.874988075</v>
          </cell>
        </row>
        <row r="689">
          <cell r="E689" t="str">
            <v>TGS-33-440BBS-L48 MONTHS/150 000 KMYes</v>
          </cell>
          <cell r="F689">
            <v>521203.51837500004</v>
          </cell>
        </row>
        <row r="690">
          <cell r="E690" t="str">
            <v>TGS-33-440BBS-L48 MONTHS/160 000 KMNo</v>
          </cell>
          <cell r="F690">
            <v>421368.1930575</v>
          </cell>
        </row>
        <row r="691">
          <cell r="E691" t="str">
            <v>TGS-33-440BBS-L48 MONTHS/160 000 KMYes</v>
          </cell>
          <cell r="F691">
            <v>516043.08750000002</v>
          </cell>
        </row>
        <row r="692">
          <cell r="E692" t="str">
            <v>TGS-33-440BBS-L48 MONTHS/170 000 KMNo</v>
          </cell>
          <cell r="F692">
            <v>417196.23074999999</v>
          </cell>
        </row>
        <row r="693">
          <cell r="E693" t="str">
            <v>TGS-33-440BBS-L48 MONTHS/170 000 KMYes</v>
          </cell>
          <cell r="F693">
            <v>510933.75</v>
          </cell>
        </row>
        <row r="694">
          <cell r="E694" t="str">
            <v>TGS-33-440BBS-L48 MONTHS/180 000 KMNo</v>
          </cell>
          <cell r="F694">
            <v>413065.57500000001</v>
          </cell>
        </row>
        <row r="695">
          <cell r="E695" t="str">
            <v>TGS-33-440BBS-L48 MONTHS/180 000 KMYes</v>
          </cell>
          <cell r="F695">
            <v>505875</v>
          </cell>
        </row>
        <row r="696">
          <cell r="E696" t="str">
            <v>TGS-33-440BBS-L48 MONTHS/190 000 KMNo</v>
          </cell>
          <cell r="F696">
            <v>393395.78571428568</v>
          </cell>
        </row>
        <row r="697">
          <cell r="E697" t="str">
            <v>TGS-33-440BBS-L48 MONTHS/190 000 KMYes</v>
          </cell>
          <cell r="F697">
            <v>481785.71428571426</v>
          </cell>
        </row>
        <row r="698">
          <cell r="E698" t="str">
            <v>TGS-33-440BBS-L48 MONTHS/20 000 KMNo</v>
          </cell>
          <cell r="F698">
            <v>490621.35402474325</v>
          </cell>
        </row>
        <row r="699">
          <cell r="E699" t="str">
            <v>TGS-33-440BBS-L48 MONTHS/20 000 KMYes</v>
          </cell>
          <cell r="F699">
            <v>602044.7025949154</v>
          </cell>
        </row>
        <row r="700">
          <cell r="E700" t="str">
            <v>TGS-33-440BBS-L48 MONTHS/200 000 KMNo</v>
          </cell>
          <cell r="F700">
            <v>374662.65306122444</v>
          </cell>
        </row>
        <row r="701">
          <cell r="E701" t="str">
            <v>TGS-33-440BBS-L48 MONTHS/200 000 KMYes</v>
          </cell>
          <cell r="F701">
            <v>454514.82479784364</v>
          </cell>
        </row>
        <row r="702">
          <cell r="E702" t="str">
            <v>TGS-33-440BBS-L48 MONTHS/210 000 KMNo</v>
          </cell>
          <cell r="F702">
            <v>356821.57434402325</v>
          </cell>
        </row>
        <row r="703">
          <cell r="E703" t="str">
            <v>TGS-33-440BBS-L48 MONTHS/210 000 KMYes</v>
          </cell>
          <cell r="F703">
            <v>428787.57056400343</v>
          </cell>
        </row>
        <row r="704">
          <cell r="E704" t="str">
            <v>TGS-33-440BBS-L48 MONTHS/220 000 KMNo</v>
          </cell>
          <cell r="F704">
            <v>339830.07080383162</v>
          </cell>
        </row>
        <row r="705">
          <cell r="E705" t="str">
            <v>TGS-33-440BBS-L48 MONTHS/220 000 KMYes</v>
          </cell>
          <cell r="F705">
            <v>408369.1148228604</v>
          </cell>
        </row>
        <row r="706">
          <cell r="E706" t="str">
            <v>TGS-33-440BBS-L48 MONTHS/230 000 KMNo</v>
          </cell>
          <cell r="F706">
            <v>317598.19701292674</v>
          </cell>
        </row>
        <row r="707">
          <cell r="E707" t="str">
            <v>TGS-33-440BBS-L48 MONTHS/230 000 KMYes</v>
          </cell>
          <cell r="F707">
            <v>381653.37833912187</v>
          </cell>
        </row>
        <row r="708">
          <cell r="E708" t="str">
            <v>TGS-33-440BBS-L48 MONTHS/240 000 KMNo</v>
          </cell>
          <cell r="F708">
            <v>296820.74487189413</v>
          </cell>
        </row>
        <row r="709">
          <cell r="E709" t="str">
            <v>TGS-33-440BBS-L48 MONTHS/240 000 KMYes</v>
          </cell>
          <cell r="F709">
            <v>356685.40031693631</v>
          </cell>
        </row>
        <row r="710">
          <cell r="E710" t="str">
            <v>TGS-33-440BBS-L48 MONTHS/250 000 KMNo</v>
          </cell>
          <cell r="F710">
            <v>277402.56530083565</v>
          </cell>
        </row>
        <row r="711">
          <cell r="E711" t="str">
            <v>TGS-33-440BBS-L48 MONTHS/250 000 KMYes</v>
          </cell>
          <cell r="F711">
            <v>333350.84141769749</v>
          </cell>
        </row>
        <row r="712">
          <cell r="E712" t="str">
            <v>TGS-33-440BBS-L48 MONTHS/260 000 KMNo</v>
          </cell>
          <cell r="F712">
            <v>259254.7339260146</v>
          </cell>
        </row>
        <row r="713">
          <cell r="E713" t="str">
            <v>TGS-33-440BBS-L48 MONTHS/260 000 KMYes</v>
          </cell>
          <cell r="F713">
            <v>311542.84244644624</v>
          </cell>
        </row>
        <row r="714">
          <cell r="E714" t="str">
            <v>TGS-33-440BBS-L48 MONTHS/270 000 KMNo</v>
          </cell>
          <cell r="F714">
            <v>242294.1438560884</v>
          </cell>
        </row>
        <row r="715">
          <cell r="E715" t="str">
            <v>TGS-33-440BBS-L48 MONTHS/270 000 KMYes</v>
          </cell>
          <cell r="F715">
            <v>291161.5349966787</v>
          </cell>
        </row>
        <row r="716">
          <cell r="E716" t="str">
            <v>TGS-33-440BBS-L48 MONTHS/280 000 KMNo</v>
          </cell>
          <cell r="F716">
            <v>226443.12509914802</v>
          </cell>
        </row>
        <row r="717">
          <cell r="E717" t="str">
            <v>TGS-33-440BBS-L48 MONTHS/280 000 KMYes</v>
          </cell>
          <cell r="F717">
            <v>272113.58410904551</v>
          </cell>
        </row>
        <row r="718">
          <cell r="E718" t="str">
            <v>TGS-33-440BBS-L48 MONTHS/30 000 KMNo</v>
          </cell>
          <cell r="F718">
            <v>484803.70951061585</v>
          </cell>
        </row>
        <row r="719">
          <cell r="E719" t="str">
            <v>TGS-33-440BBS-L48 MONTHS/30 000 KMYes</v>
          </cell>
          <cell r="F719">
            <v>594612.05194559554</v>
          </cell>
        </row>
        <row r="720">
          <cell r="E720" t="str">
            <v>TGS-33-440BBS-L48 MONTHS/40 000 KMNo</v>
          </cell>
          <cell r="F720">
            <v>479055.04892353347</v>
          </cell>
        </row>
        <row r="721">
          <cell r="E721" t="str">
            <v>TGS-33-440BBS-L48 MONTHS/40 000 KMYes</v>
          </cell>
          <cell r="F721">
            <v>587271.16241540306</v>
          </cell>
        </row>
        <row r="722">
          <cell r="E722" t="str">
            <v>TGS-33-440BBS-L48 MONTHS/50 000 KMNo</v>
          </cell>
          <cell r="F722">
            <v>473374.55427226628</v>
          </cell>
        </row>
        <row r="723">
          <cell r="E723" t="str">
            <v>TGS-33-440BBS-L48 MONTHS/50 000 KMYes</v>
          </cell>
          <cell r="F723">
            <v>580020.90115101542</v>
          </cell>
        </row>
        <row r="724">
          <cell r="E724" t="str">
            <v>TGS-33-440BBS-L48 MONTHS/60 000 KMNo</v>
          </cell>
          <cell r="F724">
            <v>467761.41726508527</v>
          </cell>
        </row>
        <row r="725">
          <cell r="E725" t="str">
            <v>TGS-33-440BBS-L48 MONTHS/60 000 KMYes</v>
          </cell>
          <cell r="F725">
            <v>572860.14928495348</v>
          </cell>
        </row>
        <row r="726">
          <cell r="E726" t="str">
            <v>TGS-33-440BBS-L48 MONTHS/70 000 KMNo</v>
          </cell>
          <cell r="F726">
            <v>462672.0249901932</v>
          </cell>
        </row>
        <row r="727">
          <cell r="E727" t="str">
            <v>TGS-33-440BBS-L48 MONTHS/70 000 KMYes</v>
          </cell>
          <cell r="F727">
            <v>566627.24954001338</v>
          </cell>
        </row>
        <row r="728">
          <cell r="E728" t="str">
            <v>TGS-33-440BBS-L48 MONTHS/80 000 KMNo</v>
          </cell>
          <cell r="F728">
            <v>457638.00691413775</v>
          </cell>
        </row>
        <row r="729">
          <cell r="E729" t="str">
            <v>TGS-33-440BBS-L48 MONTHS/80 000 KMYes</v>
          </cell>
          <cell r="F729">
            <v>560462.16571712506</v>
          </cell>
        </row>
        <row r="730">
          <cell r="E730" t="str">
            <v>TGS-33-440BBS-L48 MONTHS/90 000 KMNo</v>
          </cell>
          <cell r="F730">
            <v>452658.76054810861</v>
          </cell>
        </row>
        <row r="731">
          <cell r="E731" t="str">
            <v>TGS-33-440BBS-L48 MONTHS/90 000 KMYes</v>
          </cell>
          <cell r="F731">
            <v>554364.15995759156</v>
          </cell>
        </row>
        <row r="732">
          <cell r="E732" t="str">
            <v>TGS-33-440BBS-L54 MONTHS/10 000 KMNo</v>
          </cell>
          <cell r="F732">
            <v>439388.32767525688</v>
          </cell>
        </row>
        <row r="733">
          <cell r="E733" t="str">
            <v>TGS-33-440BBS-L54 MONTHS/10 000 KMYes</v>
          </cell>
          <cell r="F733">
            <v>539442.70918349724</v>
          </cell>
        </row>
        <row r="734">
          <cell r="E734" t="str">
            <v>TGS-33-440BBS-L54 MONTHS/100 000 KMNo</v>
          </cell>
          <cell r="F734">
            <v>396224.50438811019</v>
          </cell>
        </row>
        <row r="735">
          <cell r="E735" t="str">
            <v>TGS-33-440BBS-L54 MONTHS/100 000 KMYes</v>
          </cell>
          <cell r="F735">
            <v>485250.00215119676</v>
          </cell>
        </row>
        <row r="736">
          <cell r="E736" t="str">
            <v>TGS-33-440BBS-L54 MONTHS/110 000 KMNo</v>
          </cell>
          <cell r="F736">
            <v>391913.45636806154</v>
          </cell>
        </row>
        <row r="737">
          <cell r="E737" t="str">
            <v>TGS-33-440BBS-L54 MONTHS/110 000 KMYes</v>
          </cell>
          <cell r="F737">
            <v>479970.32853728661</v>
          </cell>
        </row>
        <row r="738">
          <cell r="E738" t="str">
            <v>TGS-33-440BBS-L54 MONTHS/120 000 KMNo</v>
          </cell>
          <cell r="F738">
            <v>388033.12511689262</v>
          </cell>
        </row>
        <row r="739">
          <cell r="E739" t="str">
            <v>TGS-33-440BBS-L54 MONTHS/120 000 KMYes</v>
          </cell>
          <cell r="F739">
            <v>475218.14706662035</v>
          </cell>
        </row>
        <row r="740">
          <cell r="E740" t="str">
            <v>TGS-33-440BBS-L54 MONTHS/130 000 KMNo</v>
          </cell>
          <cell r="F740">
            <v>384191.21298702242</v>
          </cell>
        </row>
        <row r="741">
          <cell r="E741" t="str">
            <v>TGS-33-440BBS-L54 MONTHS/130 000 KMYes</v>
          </cell>
          <cell r="F741">
            <v>470513.01689764386</v>
          </cell>
        </row>
        <row r="742">
          <cell r="E742" t="str">
            <v>TGS-33-440BBS-L54 MONTHS/140 000 KMNo</v>
          </cell>
          <cell r="F742">
            <v>380387.33959111135</v>
          </cell>
        </row>
        <row r="743">
          <cell r="E743" t="str">
            <v>TGS-33-440BBS-L54 MONTHS/140 000 KMYes</v>
          </cell>
          <cell r="F743">
            <v>465854.47217588505</v>
          </cell>
        </row>
        <row r="744">
          <cell r="E744" t="str">
            <v>TGS-33-440BBS-L54 MONTHS/150 000 KMNo</v>
          </cell>
          <cell r="F744">
            <v>376621.12830803101</v>
          </cell>
        </row>
        <row r="745">
          <cell r="E745" t="str">
            <v>TGS-33-440BBS-L54 MONTHS/150 000 KMYes</v>
          </cell>
          <cell r="F745">
            <v>461242.05165929213</v>
          </cell>
        </row>
        <row r="746">
          <cell r="E746" t="str">
            <v>TGS-33-440BBS-L54 MONTHS/160 000 KMNo</v>
          </cell>
          <cell r="F746">
            <v>372892.20624557527</v>
          </cell>
        </row>
        <row r="747">
          <cell r="E747" t="str">
            <v>TGS-33-440BBS-L54 MONTHS/160 000 KMYes</v>
          </cell>
          <cell r="F747">
            <v>456675.29867256642</v>
          </cell>
        </row>
        <row r="748">
          <cell r="E748" t="str">
            <v>TGS-33-440BBS-L54 MONTHS/170 000 KMNo</v>
          </cell>
          <cell r="F748">
            <v>369200.20420353982</v>
          </cell>
        </row>
        <row r="749">
          <cell r="E749" t="str">
            <v>TGS-33-440BBS-L54 MONTHS/170 000 KMYes</v>
          </cell>
          <cell r="F749">
            <v>452153.76106194692</v>
          </cell>
        </row>
        <row r="750">
          <cell r="E750" t="str">
            <v>TGS-33-440BBS-L54 MONTHS/180 000 KMNo</v>
          </cell>
          <cell r="F750">
            <v>365544.75663716818</v>
          </cell>
        </row>
        <row r="751">
          <cell r="E751" t="str">
            <v>TGS-33-440BBS-L54 MONTHS/180 000 KMYes</v>
          </cell>
          <cell r="F751">
            <v>447676.99115044251</v>
          </cell>
        </row>
        <row r="752">
          <cell r="E752" t="str">
            <v>TGS-33-440BBS-L54 MONTHS/190 000 KMNo</v>
          </cell>
          <cell r="F752">
            <v>348137.86346396967</v>
          </cell>
        </row>
        <row r="753">
          <cell r="E753" t="str">
            <v>TGS-33-440BBS-L54 MONTHS/190 000 KMYes</v>
          </cell>
          <cell r="F753">
            <v>426359.0391908976</v>
          </cell>
        </row>
        <row r="754">
          <cell r="E754" t="str">
            <v>TGS-33-440BBS-L54 MONTHS/20 000 KMNo</v>
          </cell>
          <cell r="F754">
            <v>434178.1894024277</v>
          </cell>
        </row>
        <row r="755">
          <cell r="E755" t="str">
            <v>TGS-33-440BBS-L54 MONTHS/20 000 KMYes</v>
          </cell>
          <cell r="F755">
            <v>532782.92265036772</v>
          </cell>
        </row>
        <row r="756">
          <cell r="E756" t="str">
            <v>TGS-33-440BBS-L54 MONTHS/200 000 KMNo</v>
          </cell>
          <cell r="F756">
            <v>331559.86996568536</v>
          </cell>
        </row>
        <row r="757">
          <cell r="E757" t="str">
            <v>TGS-33-440BBS-L54 MONTHS/200 000 KMYes</v>
          </cell>
          <cell r="F757">
            <v>402225.50867065811</v>
          </cell>
        </row>
        <row r="758">
          <cell r="E758" t="str">
            <v>TGS-33-440BBS-L54 MONTHS/210 000 KMNo</v>
          </cell>
          <cell r="F758">
            <v>315771.30472922412</v>
          </cell>
        </row>
        <row r="759">
          <cell r="E759" t="str">
            <v>TGS-33-440BBS-L54 MONTHS/210 000 KMYes</v>
          </cell>
          <cell r="F759">
            <v>379458.0270477907</v>
          </cell>
        </row>
        <row r="760">
          <cell r="E760" t="str">
            <v>TGS-33-440BBS-L54 MONTHS/220 000 KMNo</v>
          </cell>
          <cell r="F760">
            <v>300734.57593259437</v>
          </cell>
        </row>
        <row r="761">
          <cell r="E761" t="str">
            <v>TGS-33-440BBS-L54 MONTHS/220 000 KMYes</v>
          </cell>
          <cell r="F761">
            <v>361388.59718837205</v>
          </cell>
        </row>
        <row r="762">
          <cell r="E762" t="str">
            <v>TGS-33-440BBS-L54 MONTHS/230 000 KMNo</v>
          </cell>
          <cell r="F762">
            <v>281060.35133887327</v>
          </cell>
        </row>
        <row r="763">
          <cell r="E763" t="str">
            <v>TGS-33-440BBS-L54 MONTHS/230 000 KMYes</v>
          </cell>
          <cell r="F763">
            <v>337746.35251249728</v>
          </cell>
        </row>
        <row r="764">
          <cell r="E764" t="str">
            <v>TGS-33-440BBS-L54 MONTHS/240 000 KMNo</v>
          </cell>
          <cell r="F764">
            <v>262673.22555034881</v>
          </cell>
        </row>
        <row r="765">
          <cell r="E765" t="str">
            <v>TGS-33-440BBS-L54 MONTHS/240 000 KMYes</v>
          </cell>
          <cell r="F765">
            <v>315650.79674065165</v>
          </cell>
        </row>
        <row r="766">
          <cell r="E766" t="str">
            <v>TGS-33-440BBS-L54 MONTHS/250 000 KMNo</v>
          </cell>
          <cell r="F766">
            <v>245488.9958414475</v>
          </cell>
        </row>
        <row r="767">
          <cell r="E767" t="str">
            <v>TGS-33-440BBS-L54 MONTHS/250 000 KMYes</v>
          </cell>
          <cell r="F767">
            <v>295000.74461743142</v>
          </cell>
        </row>
        <row r="768">
          <cell r="E768" t="str">
            <v>TGS-33-440BBS-L54 MONTHS/260 000 KMNo</v>
          </cell>
          <cell r="F768">
            <v>229428.96807611914</v>
          </cell>
        </row>
        <row r="769">
          <cell r="E769" t="str">
            <v>TGS-33-440BBS-L54 MONTHS/260 000 KMYes</v>
          </cell>
          <cell r="F769">
            <v>275701.63048358075</v>
          </cell>
        </row>
        <row r="770">
          <cell r="E770" t="str">
            <v>TGS-33-440BBS-L54 MONTHS/270 000 KMNo</v>
          </cell>
          <cell r="F770">
            <v>214419.59633282162</v>
          </cell>
        </row>
        <row r="771">
          <cell r="E771" t="str">
            <v>TGS-33-440BBS-L54 MONTHS/270 000 KMYes</v>
          </cell>
          <cell r="F771">
            <v>257665.07521829975</v>
          </cell>
        </row>
        <row r="772">
          <cell r="E772" t="str">
            <v>TGS-33-440BBS-L54 MONTHS/280 000 KMNo</v>
          </cell>
          <cell r="F772">
            <v>200392.14610544074</v>
          </cell>
        </row>
        <row r="773">
          <cell r="E773" t="str">
            <v>TGS-33-440BBS-L54 MONTHS/280 000 KMYes</v>
          </cell>
          <cell r="F773">
            <v>240808.48151242969</v>
          </cell>
        </row>
        <row r="774">
          <cell r="E774" t="str">
            <v>TGS-33-440BBS-L54 MONTHS/30 000 KMNo</v>
          </cell>
          <cell r="F774">
            <v>429029.83142532379</v>
          </cell>
        </row>
        <row r="775">
          <cell r="E775" t="str">
            <v>TGS-33-440BBS-L54 MONTHS/30 000 KMYes</v>
          </cell>
          <cell r="F775">
            <v>526205.35570406693</v>
          </cell>
        </row>
        <row r="776">
          <cell r="E776" t="str">
            <v>TGS-33-440BBS-L54 MONTHS/40 000 KMNo</v>
          </cell>
          <cell r="F776">
            <v>423942.5211712686</v>
          </cell>
        </row>
        <row r="777">
          <cell r="E777" t="str">
            <v>TGS-33-440BBS-L54 MONTHS/40 000 KMYes</v>
          </cell>
          <cell r="F777">
            <v>519708.99328796734</v>
          </cell>
        </row>
        <row r="778">
          <cell r="E778" t="str">
            <v>TGS-33-440BBS-L54 MONTHS/50 000 KMNo</v>
          </cell>
          <cell r="F778">
            <v>418915.53475421801</v>
          </cell>
        </row>
        <row r="779">
          <cell r="E779" t="str">
            <v>TGS-33-440BBS-L54 MONTHS/50 000 KMYes</v>
          </cell>
          <cell r="F779">
            <v>513292.83287700487</v>
          </cell>
        </row>
        <row r="780">
          <cell r="E780" t="str">
            <v>TGS-33-440BBS-L54 MONTHS/60 000 KMNo</v>
          </cell>
          <cell r="F780">
            <v>413948.15687175689</v>
          </cell>
        </row>
        <row r="781">
          <cell r="E781" t="str">
            <v>TGS-33-440BBS-L54 MONTHS/60 000 KMYes</v>
          </cell>
          <cell r="F781">
            <v>506955.88432296773</v>
          </cell>
        </row>
        <row r="782">
          <cell r="E782" t="str">
            <v>TGS-33-440BBS-L54 MONTHS/70 000 KMNo</v>
          </cell>
          <cell r="F782">
            <v>409444.26990282588</v>
          </cell>
        </row>
        <row r="783">
          <cell r="E783" t="str">
            <v>TGS-33-440BBS-L54 MONTHS/70 000 KMYes</v>
          </cell>
          <cell r="F783">
            <v>501440.04384071985</v>
          </cell>
        </row>
        <row r="784">
          <cell r="E784" t="str">
            <v>TGS-33-440BBS-L54 MONTHS/80 000 KMNo</v>
          </cell>
          <cell r="F784">
            <v>404989.38664967945</v>
          </cell>
        </row>
        <row r="785">
          <cell r="E785" t="str">
            <v>TGS-33-440BBS-L54 MONTHS/80 000 KMYes</v>
          </cell>
          <cell r="F785">
            <v>495984.21744878328</v>
          </cell>
        </row>
        <row r="786">
          <cell r="E786" t="str">
            <v>TGS-33-440BBS-L54 MONTHS/90 000 KMNo</v>
          </cell>
          <cell r="F786">
            <v>400582.97393637936</v>
          </cell>
        </row>
        <row r="787">
          <cell r="E787" t="str">
            <v>TGS-33-440BBS-L54 MONTHS/90 000 KMYes</v>
          </cell>
          <cell r="F787">
            <v>490587.75217485981</v>
          </cell>
        </row>
        <row r="788">
          <cell r="E788" t="str">
            <v>TGS-33-440BBS-L60 MONTHS/10 000 KMNo</v>
          </cell>
          <cell r="F788">
            <v>350476.80725155788</v>
          </cell>
        </row>
        <row r="789">
          <cell r="E789" t="str">
            <v>TGS-33-440BBS-L60 MONTHS/10 000 KMYes</v>
          </cell>
          <cell r="F789">
            <v>449157.03469910135</v>
          </cell>
        </row>
        <row r="790">
          <cell r="E790" t="str">
            <v>TGS-33-440BBS-L60 MONTHS/100 000 KMNo</v>
          </cell>
          <cell r="F790">
            <v>316047.31055898673</v>
          </cell>
        </row>
        <row r="791">
          <cell r="E791" t="str">
            <v>TGS-33-440BBS-L60 MONTHS/100 000 KMYes</v>
          </cell>
          <cell r="F791">
            <v>404034.47547536477</v>
          </cell>
        </row>
        <row r="792">
          <cell r="E792" t="str">
            <v>TGS-33-440BBS-L60 MONTHS/110 000 KMNo</v>
          </cell>
          <cell r="F792">
            <v>312608.61578534794</v>
          </cell>
        </row>
        <row r="793">
          <cell r="E793" t="str">
            <v>TGS-33-440BBS-L60 MONTHS/110 000 KMYes</v>
          </cell>
          <cell r="F793">
            <v>399638.45249788807</v>
          </cell>
        </row>
        <row r="794">
          <cell r="E794" t="str">
            <v>TGS-33-440BBS-L60 MONTHS/120 000 KMNo</v>
          </cell>
          <cell r="F794">
            <v>309513.48097559204</v>
          </cell>
        </row>
        <row r="795">
          <cell r="E795" t="str">
            <v>TGS-33-440BBS-L60 MONTHS/120 000 KMYes</v>
          </cell>
          <cell r="F795">
            <v>395681.63613652281</v>
          </cell>
        </row>
        <row r="796">
          <cell r="E796" t="str">
            <v>TGS-33-440BBS-L60 MONTHS/130 000 KMNo</v>
          </cell>
          <cell r="F796">
            <v>306448.99106494262</v>
          </cell>
        </row>
        <row r="797">
          <cell r="E797" t="str">
            <v>TGS-33-440BBS-L60 MONTHS/130 000 KMYes</v>
          </cell>
          <cell r="F797">
            <v>391763.99617477506</v>
          </cell>
        </row>
        <row r="798">
          <cell r="E798" t="str">
            <v>TGS-33-440BBS-L60 MONTHS/140 000 KMNo</v>
          </cell>
          <cell r="F798">
            <v>303414.84263855702</v>
          </cell>
        </row>
        <row r="799">
          <cell r="E799" t="str">
            <v>TGS-33-440BBS-L60 MONTHS/140 000 KMYes</v>
          </cell>
          <cell r="F799">
            <v>387885.14472750004</v>
          </cell>
        </row>
        <row r="800">
          <cell r="E800" t="str">
            <v>TGS-33-440BBS-L60 MONTHS/150 000 KMNo</v>
          </cell>
          <cell r="F800">
            <v>300410.73528570001</v>
          </cell>
        </row>
        <row r="801">
          <cell r="E801" t="str">
            <v>TGS-33-440BBS-L60 MONTHS/150 000 KMYes</v>
          </cell>
          <cell r="F801">
            <v>384044.69775000005</v>
          </cell>
        </row>
        <row r="802">
          <cell r="E802" t="str">
            <v>TGS-33-440BBS-L60 MONTHS/160 000 KMNo</v>
          </cell>
          <cell r="F802">
            <v>297436.37157000002</v>
          </cell>
        </row>
        <row r="803">
          <cell r="E803" t="str">
            <v>TGS-33-440BBS-L60 MONTHS/160 000 KMYes</v>
          </cell>
          <cell r="F803">
            <v>380242.27500000002</v>
          </cell>
        </row>
        <row r="804">
          <cell r="E804" t="str">
            <v>TGS-33-440BBS-L60 MONTHS/170 000 KMNo</v>
          </cell>
          <cell r="F804">
            <v>294491.45699999999</v>
          </cell>
        </row>
        <row r="805">
          <cell r="E805" t="str">
            <v>TGS-33-440BBS-L60 MONTHS/170 000 KMYes</v>
          </cell>
          <cell r="F805">
            <v>376477.5</v>
          </cell>
        </row>
        <row r="806">
          <cell r="E806" t="str">
            <v>TGS-33-440BBS-L60 MONTHS/180 000 KMNo</v>
          </cell>
          <cell r="F806">
            <v>291575.7</v>
          </cell>
        </row>
        <row r="807">
          <cell r="E807" t="str">
            <v>TGS-33-440BBS-L60 MONTHS/180 000 KMYes</v>
          </cell>
          <cell r="F807">
            <v>372750</v>
          </cell>
        </row>
        <row r="808">
          <cell r="E808" t="str">
            <v>TGS-33-440BBS-L60 MONTHS/190 000 KMNo</v>
          </cell>
          <cell r="F808">
            <v>277691.14285714284</v>
          </cell>
        </row>
        <row r="809">
          <cell r="E809" t="str">
            <v>TGS-33-440BBS-L60 MONTHS/190 000 KMYes</v>
          </cell>
          <cell r="F809">
            <v>355000</v>
          </cell>
        </row>
        <row r="810">
          <cell r="E810" t="str">
            <v>TGS-33-440BBS-L60 MONTHS/20 000 KMNo</v>
          </cell>
          <cell r="F810">
            <v>346320.9557821718</v>
          </cell>
        </row>
        <row r="811">
          <cell r="E811" t="str">
            <v>TGS-33-440BBS-L60 MONTHS/20 000 KMYes</v>
          </cell>
          <cell r="F811">
            <v>443611.88612256927</v>
          </cell>
        </row>
        <row r="812">
          <cell r="E812" t="str">
            <v>TGS-33-440BBS-L60 MONTHS/200 000 KMNo</v>
          </cell>
          <cell r="F812">
            <v>264467.75510204077</v>
          </cell>
        </row>
        <row r="813">
          <cell r="E813" t="str">
            <v>TGS-33-440BBS-L60 MONTHS/200 000 KMYes</v>
          </cell>
          <cell r="F813">
            <v>334905.66037735849</v>
          </cell>
        </row>
        <row r="814">
          <cell r="E814" t="str">
            <v>TGS-33-440BBS-L60 MONTHS/210 000 KMNo</v>
          </cell>
          <cell r="F814">
            <v>251874.05247813405</v>
          </cell>
        </row>
        <row r="815">
          <cell r="E815" t="str">
            <v>TGS-33-440BBS-L60 MONTHS/210 000 KMYes</v>
          </cell>
          <cell r="F815">
            <v>315948.73620505515</v>
          </cell>
        </row>
        <row r="816">
          <cell r="E816" t="str">
            <v>TGS-33-440BBS-L60 MONTHS/220 000 KMNo</v>
          </cell>
          <cell r="F816">
            <v>239880.04997917527</v>
          </cell>
        </row>
        <row r="817">
          <cell r="E817" t="str">
            <v>TGS-33-440BBS-L60 MONTHS/220 000 KMYes</v>
          </cell>
          <cell r="F817">
            <v>300903.55829052872</v>
          </cell>
        </row>
        <row r="818">
          <cell r="E818" t="str">
            <v>TGS-33-440BBS-L60 MONTHS/230 000 KMNo</v>
          </cell>
          <cell r="F818">
            <v>224186.96259736005</v>
          </cell>
        </row>
        <row r="819">
          <cell r="E819" t="str">
            <v>TGS-33-440BBS-L60 MONTHS/230 000 KMYes</v>
          </cell>
          <cell r="F819">
            <v>281218.27877619502</v>
          </cell>
        </row>
        <row r="820">
          <cell r="E820" t="str">
            <v>TGS-33-440BBS-L60 MONTHS/240 000 KMNo</v>
          </cell>
          <cell r="F820">
            <v>209520.52579192526</v>
          </cell>
        </row>
        <row r="821">
          <cell r="E821" t="str">
            <v>TGS-33-440BBS-L60 MONTHS/240 000 KMYes</v>
          </cell>
          <cell r="F821">
            <v>262820.82128616353</v>
          </cell>
        </row>
        <row r="822">
          <cell r="E822" t="str">
            <v>TGS-33-440BBS-L60 MONTHS/250 000 KMNo</v>
          </cell>
          <cell r="F822">
            <v>195813.5755064722</v>
          </cell>
        </row>
        <row r="823">
          <cell r="E823" t="str">
            <v>TGS-33-440BBS-L60 MONTHS/250 000 KMYes</v>
          </cell>
          <cell r="F823">
            <v>245626.93578146122</v>
          </cell>
        </row>
        <row r="824">
          <cell r="E824" t="str">
            <v>TGS-33-440BBS-L60 MONTHS/260 000 KMNo</v>
          </cell>
          <cell r="F824">
            <v>183003.34159483382</v>
          </cell>
        </row>
        <row r="825">
          <cell r="E825" t="str">
            <v>TGS-33-440BBS-L60 MONTHS/260 000 KMYes</v>
          </cell>
          <cell r="F825">
            <v>229557.88390790767</v>
          </cell>
        </row>
        <row r="826">
          <cell r="E826" t="str">
            <v>TGS-33-440BBS-L60 MONTHS/270 000 KMNo</v>
          </cell>
          <cell r="F826">
            <v>171031.16036900357</v>
          </cell>
        </row>
        <row r="827">
          <cell r="E827" t="str">
            <v>TGS-33-440BBS-L60 MONTHS/270 000 KMYes</v>
          </cell>
          <cell r="F827">
            <v>214540.07841860529</v>
          </cell>
        </row>
        <row r="828">
          <cell r="E828" t="str">
            <v>TGS-33-440BBS-L60 MONTHS/280 000 KMNo</v>
          </cell>
          <cell r="F828">
            <v>159842.20595233978</v>
          </cell>
        </row>
        <row r="829">
          <cell r="E829" t="str">
            <v>TGS-33-440BBS-L60 MONTHS/280 000 KMYes</v>
          </cell>
          <cell r="F829">
            <v>200504.7461856124</v>
          </cell>
        </row>
        <row r="830">
          <cell r="E830" t="str">
            <v>TGS-33-440BBS-L60 MONTHS/30 000 KMNo</v>
          </cell>
          <cell r="F830">
            <v>342214.38318396424</v>
          </cell>
        </row>
        <row r="831">
          <cell r="E831" t="str">
            <v>TGS-33-440BBS-L60 MONTHS/30 000 KMYes</v>
          </cell>
          <cell r="F831">
            <v>438135.19617043878</v>
          </cell>
        </row>
        <row r="832">
          <cell r="E832" t="str">
            <v>TGS-33-440BBS-L60 MONTHS/40 000 KMNo</v>
          </cell>
          <cell r="F832">
            <v>338156.5051224943</v>
          </cell>
        </row>
        <row r="833">
          <cell r="E833" t="str">
            <v>TGS-33-440BBS-L60 MONTHS/40 000 KMYes</v>
          </cell>
          <cell r="F833">
            <v>432726.11967450747</v>
          </cell>
        </row>
        <row r="834">
          <cell r="E834" t="str">
            <v>TGS-33-440BBS-L60 MONTHS/50 000 KMNo</v>
          </cell>
          <cell r="F834">
            <v>334146.74419218802</v>
          </cell>
        </row>
        <row r="835">
          <cell r="E835" t="str">
            <v>TGS-33-440BBS-L60 MONTHS/50 000 KMYes</v>
          </cell>
          <cell r="F835">
            <v>427383.82190074812</v>
          </cell>
        </row>
        <row r="836">
          <cell r="E836" t="str">
            <v>TGS-33-440BBS-L60 MONTHS/60 000 KMNo</v>
          </cell>
          <cell r="F836">
            <v>330184.52983417787</v>
          </cell>
        </row>
        <row r="837">
          <cell r="E837" t="str">
            <v>TGS-33-440BBS-L60 MONTHS/60 000 KMYes</v>
          </cell>
          <cell r="F837">
            <v>422107.47842049197</v>
          </cell>
        </row>
        <row r="838">
          <cell r="E838" t="str">
            <v>TGS-33-440BBS-L60 MONTHS/70 000 KMNo</v>
          </cell>
          <cell r="F838">
            <v>326592.01764013642</v>
          </cell>
        </row>
        <row r="839">
          <cell r="E839" t="str">
            <v>TGS-33-440BBS-L60 MONTHS/70 000 KMYes</v>
          </cell>
          <cell r="F839">
            <v>417514.81545053609</v>
          </cell>
        </row>
        <row r="840">
          <cell r="E840" t="str">
            <v>TGS-33-440BBS-L60 MONTHS/80 000 KMNo</v>
          </cell>
          <cell r="F840">
            <v>323039</v>
          </cell>
        </row>
        <row r="841">
          <cell r="E841" t="str">
            <v>TGS-33-440BBS-L60 MONTHS/80 000 KMYes</v>
          </cell>
          <cell r="F841">
            <v>412972</v>
          </cell>
        </row>
        <row r="842">
          <cell r="E842" t="str">
            <v>TGS-33-440BBS-L60 MONTHS/90 000 KMNo</v>
          </cell>
          <cell r="F842">
            <v>319524</v>
          </cell>
        </row>
        <row r="843">
          <cell r="E843" t="str">
            <v>TGS-33-440BBS-L60 MONTHS/90 000 KMYes</v>
          </cell>
          <cell r="F843">
            <v>408479</v>
          </cell>
        </row>
      </sheetData>
      <sheetData sheetId="4">
        <row r="4">
          <cell r="F4" t="str">
            <v>CLA4X224 MONTHS/200 000 KMEntire VehicleNo</v>
          </cell>
          <cell r="G4">
            <v>11060</v>
          </cell>
        </row>
        <row r="5">
          <cell r="F5" t="str">
            <v>CLA4X224 MONTHS/200 000 KMEntire VehicleYes</v>
          </cell>
          <cell r="G5">
            <v>11060</v>
          </cell>
        </row>
        <row r="6">
          <cell r="F6" t="str">
            <v>CLA4X236 MONTHS/300 000 KMDrivelineNo</v>
          </cell>
          <cell r="G6">
            <v>12640</v>
          </cell>
        </row>
        <row r="7">
          <cell r="F7" t="str">
            <v>CLA4X236 MONTHS/300 000 KMDrivelineYes</v>
          </cell>
          <cell r="G7">
            <v>12640</v>
          </cell>
        </row>
        <row r="8">
          <cell r="F8" t="str">
            <v>CLA4X236 MONTHS/300 000 KMEntire VehicleNo</v>
          </cell>
          <cell r="G8">
            <v>33180</v>
          </cell>
        </row>
        <row r="9">
          <cell r="F9" t="str">
            <v>CLA4X236 MONTHS/300 000 KMEntire VehicleYes</v>
          </cell>
          <cell r="G9">
            <v>33180</v>
          </cell>
        </row>
        <row r="10">
          <cell r="F10" t="str">
            <v>CLA4X248 MONTHS/400 000 KMDrivelineNo</v>
          </cell>
          <cell r="G10">
            <v>23700</v>
          </cell>
        </row>
        <row r="11">
          <cell r="F11" t="str">
            <v>CLA4X248 MONTHS/400 000 KMDrivelineYes</v>
          </cell>
          <cell r="G11">
            <v>23700</v>
          </cell>
        </row>
        <row r="12">
          <cell r="F12" t="str">
            <v>CLA6X424 MONTHS/200 000 KMEntire VehicleNo</v>
          </cell>
          <cell r="G12">
            <v>17380</v>
          </cell>
        </row>
        <row r="13">
          <cell r="F13" t="str">
            <v>CLA6X424 MONTHS/200 000 KMEntire VehicleYes</v>
          </cell>
          <cell r="G13">
            <v>17380</v>
          </cell>
        </row>
        <row r="14">
          <cell r="F14" t="str">
            <v>CLA6X436 MONTHS/300 000 KMDrivelineNo</v>
          </cell>
          <cell r="G14">
            <v>25280</v>
          </cell>
        </row>
        <row r="15">
          <cell r="F15" t="str">
            <v>CLA6X436 MONTHS/300 000 KMDrivelineYes</v>
          </cell>
          <cell r="G15">
            <v>25280</v>
          </cell>
        </row>
        <row r="16">
          <cell r="F16" t="str">
            <v>CLA6X436 MONTHS/300 000 KMEntire VehicleNo</v>
          </cell>
          <cell r="G16">
            <v>54510</v>
          </cell>
        </row>
        <row r="17">
          <cell r="F17" t="str">
            <v>CLA6X436 MONTHS/300 000 KMEntire VehicleYes</v>
          </cell>
          <cell r="G17">
            <v>54510</v>
          </cell>
        </row>
        <row r="18">
          <cell r="F18" t="str">
            <v>CLA6X448 MONTHS/400 000 KMDrivelineNo</v>
          </cell>
          <cell r="G18">
            <v>44240</v>
          </cell>
        </row>
        <row r="19">
          <cell r="F19" t="str">
            <v>CLA6X448 MONTHS/400 000 KMDrivelineYes</v>
          </cell>
          <cell r="G19">
            <v>44240</v>
          </cell>
        </row>
      </sheetData>
      <sheetData sheetId="5">
        <row r="5">
          <cell r="F5" t="str">
            <v>TGM4X224 MONTHS/100 000 KMEntire VehicleNo</v>
          </cell>
          <cell r="G5">
            <v>5530</v>
          </cell>
          <cell r="N5" t="str">
            <v>TGM4X236 MONTHS/150 000 KMDrivelineNo</v>
          </cell>
          <cell r="O5">
            <v>9480</v>
          </cell>
          <cell r="W5" t="str">
            <v>TGM4X224 MONTHS/200 000 KM36 MONTHS/300 000 KMCombinationNo</v>
          </cell>
          <cell r="X5">
            <v>22120</v>
          </cell>
          <cell r="AD5" t="str">
            <v>TGM4X224 MONTHS/300 000 KM</v>
          </cell>
          <cell r="AE5">
            <v>1580</v>
          </cell>
        </row>
        <row r="6">
          <cell r="F6" t="str">
            <v>TGM4X224 MONTHS/100 000 KMEntire VehicleYes</v>
          </cell>
          <cell r="G6">
            <v>4740</v>
          </cell>
          <cell r="N6" t="str">
            <v>TGM4X236 MONTHS/150 000 KMDrivelineYes</v>
          </cell>
          <cell r="O6">
            <v>7900</v>
          </cell>
          <cell r="W6" t="str">
            <v>TGM4X224 MONTHS/200 000 KM36 MONTHS/300 000 KMCombinationYes</v>
          </cell>
          <cell r="X6">
            <v>18170</v>
          </cell>
          <cell r="AD6" t="str">
            <v>TGM4X236 MONTHS/75 000 KM</v>
          </cell>
          <cell r="AE6">
            <v>1580</v>
          </cell>
        </row>
        <row r="7">
          <cell r="F7" t="str">
            <v>TGM4X224 MONTHS/150 000 KMEntire VehicleNo</v>
          </cell>
          <cell r="G7">
            <v>7110</v>
          </cell>
          <cell r="N7" t="str">
            <v>TGM4X236 MONTHS/225 000 KMDrivelineNo</v>
          </cell>
          <cell r="O7">
            <v>11060</v>
          </cell>
          <cell r="W7" t="str">
            <v>TGM4X224 MONTHS/300 000 KM36 MONTHS/450 000 KMCombinationNo</v>
          </cell>
          <cell r="X7">
            <v>29230</v>
          </cell>
          <cell r="AD7" t="str">
            <v>TGM4X236 MONTHS/150 000 KM</v>
          </cell>
          <cell r="AE7">
            <v>1580</v>
          </cell>
        </row>
        <row r="8">
          <cell r="F8" t="str">
            <v>TGM4X224 MONTHS/150 000 KMEntire VehicleYes</v>
          </cell>
          <cell r="G8">
            <v>6320</v>
          </cell>
          <cell r="N8" t="str">
            <v>TGM4X236 MONTHS/225 000 KMDrivelineYes</v>
          </cell>
          <cell r="O8">
            <v>9480</v>
          </cell>
          <cell r="W8" t="str">
            <v>TGM4X224 MONTHS/300 000 KM36 MONTHS/450 000 KMCombinationYes</v>
          </cell>
          <cell r="X8">
            <v>23700</v>
          </cell>
          <cell r="AD8" t="str">
            <v>TGM4X236 MONTHS/225 000 KM</v>
          </cell>
          <cell r="AE8">
            <v>1580</v>
          </cell>
        </row>
        <row r="9">
          <cell r="F9" t="str">
            <v>TGM4X224 MONTHS/200 000 KMEntire VehicleNo</v>
          </cell>
          <cell r="G9">
            <v>7900</v>
          </cell>
          <cell r="N9" t="str">
            <v>TGM4X236 MONTHS/300 000 KMDrivelineNo</v>
          </cell>
          <cell r="O9">
            <v>14220</v>
          </cell>
          <cell r="W9" t="str">
            <v>TGM4X224 MONTHS/150 000 KM48 MONTHS/300 000 KMCombinationNo</v>
          </cell>
          <cell r="X9">
            <v>34760</v>
          </cell>
          <cell r="AD9" t="str">
            <v>TGM4X236 MONTHS/300 000 KM</v>
          </cell>
          <cell r="AE9">
            <v>2370</v>
          </cell>
        </row>
        <row r="10">
          <cell r="F10" t="str">
            <v>TGM4X224 MONTHS/200 000 KMEntire VehicleYes</v>
          </cell>
          <cell r="G10">
            <v>7110</v>
          </cell>
          <cell r="N10" t="str">
            <v>TGM4X236 MONTHS/300 000 KMDrivelineYes</v>
          </cell>
          <cell r="O10">
            <v>11850</v>
          </cell>
          <cell r="W10" t="str">
            <v>TGM4X224 MONTHS/150 000 KM48 MONTHS/300 000 KMCombinationYes</v>
          </cell>
          <cell r="X10">
            <v>28440</v>
          </cell>
          <cell r="AD10" t="str">
            <v>TGM4X236 MONTHS/375 000 KM</v>
          </cell>
          <cell r="AE10">
            <v>2370</v>
          </cell>
        </row>
        <row r="11">
          <cell r="F11" t="str">
            <v>TGM4X224 MONTHS/250 000 KMEntire VehicleNo</v>
          </cell>
          <cell r="G11">
            <v>9480</v>
          </cell>
          <cell r="N11" t="str">
            <v>TGM4X236 MONTHS/375 000 KMDrivelineNo</v>
          </cell>
          <cell r="O11">
            <v>16590</v>
          </cell>
          <cell r="W11" t="str">
            <v>TGM4X224 MONTHS/300 000 KM48 MONTHS/600 000 KMCombinationNo</v>
          </cell>
          <cell r="X11">
            <v>49770</v>
          </cell>
          <cell r="AD11" t="str">
            <v>TGM4X236 MONTHS/450 000 KM</v>
          </cell>
          <cell r="AE11">
            <v>3160</v>
          </cell>
        </row>
        <row r="12">
          <cell r="F12" t="str">
            <v>TGM4X224 MONTHS/250 000 KMEntire VehicleYes</v>
          </cell>
          <cell r="G12">
            <v>7900</v>
          </cell>
          <cell r="N12" t="str">
            <v>TGM4X236 MONTHS/375 000 KMDrivelineYes</v>
          </cell>
          <cell r="O12">
            <v>13430</v>
          </cell>
          <cell r="W12" t="str">
            <v>TGM4X224 MONTHS/300 000 KM48 MONTHS/600 000 KMCombinationYes</v>
          </cell>
          <cell r="X12">
            <v>40290</v>
          </cell>
          <cell r="AD12" t="str">
            <v>TGM4X248 MONTHS/100 000 KM</v>
          </cell>
          <cell r="AE12">
            <v>2370</v>
          </cell>
        </row>
        <row r="13">
          <cell r="F13" t="str">
            <v>TGM4X224 MONTHS/300 000 KMEntire VehicleNo</v>
          </cell>
          <cell r="G13">
            <v>11060</v>
          </cell>
          <cell r="N13" t="str">
            <v>TGM4X236 MONTHS/450 000 KMDrivelineNo</v>
          </cell>
          <cell r="O13">
            <v>18170</v>
          </cell>
          <cell r="W13" t="str">
            <v>TGM4X236 MONTHS/300 000 KM48 MONTHS/400 000 KMCombinationNo</v>
          </cell>
          <cell r="X13">
            <v>37920</v>
          </cell>
          <cell r="AD13" t="str">
            <v>TGM4X248 MONTHS/200 000 KM</v>
          </cell>
          <cell r="AE13">
            <v>3160</v>
          </cell>
        </row>
        <row r="14">
          <cell r="F14" t="str">
            <v>TGM4X224 MONTHS/300 000 KMEntire VehicleYes</v>
          </cell>
          <cell r="G14">
            <v>9480</v>
          </cell>
          <cell r="N14" t="str">
            <v>TGM4X236 MONTHS/450 000 KMDrivelineYes</v>
          </cell>
          <cell r="O14">
            <v>15010</v>
          </cell>
          <cell r="W14" t="str">
            <v>TGM4X236 MONTHS/300 000 KM48 MONTHS/400 000 KMCombinationYes</v>
          </cell>
          <cell r="X14">
            <v>30810</v>
          </cell>
          <cell r="AD14" t="str">
            <v>TGM4X248 MONTHS/300 000 KM</v>
          </cell>
          <cell r="AE14">
            <v>3950</v>
          </cell>
        </row>
        <row r="15">
          <cell r="F15" t="str">
            <v>TGM4X224 MONTHS/50 000 KMEntire VehicleNo</v>
          </cell>
          <cell r="G15">
            <v>4740</v>
          </cell>
          <cell r="N15" t="str">
            <v>TGM4X236 MONTHS/75 000 KMDrivelineNo</v>
          </cell>
          <cell r="O15">
            <v>8690</v>
          </cell>
          <cell r="W15" t="str">
            <v>TGM4X236 MONTHS/450 000 KM48 MONTHS/600 000 KMCombinationNo</v>
          </cell>
          <cell r="X15">
            <v>56090</v>
          </cell>
          <cell r="AD15" t="str">
            <v>TGM4X248 MONTHS/400 000 KM</v>
          </cell>
          <cell r="AE15">
            <v>4740</v>
          </cell>
        </row>
        <row r="16">
          <cell r="F16" t="str">
            <v>TGM4X224 MONTHS/50 000 KMEntire VehicleYes</v>
          </cell>
          <cell r="G16">
            <v>3950</v>
          </cell>
          <cell r="N16" t="str">
            <v>TGM4X236 MONTHS/75 000 KMDrivelineYes</v>
          </cell>
          <cell r="O16">
            <v>7110</v>
          </cell>
          <cell r="W16" t="str">
            <v>TGM4X236 MONTHS/450 000 KM48 MONTHS/600 000 KMCombinationYes</v>
          </cell>
          <cell r="X16">
            <v>45030</v>
          </cell>
          <cell r="AD16" t="str">
            <v>TGM4X248 MONTHS/500 000 KM</v>
          </cell>
          <cell r="AE16">
            <v>5530</v>
          </cell>
        </row>
        <row r="17">
          <cell r="F17" t="str">
            <v>TGM4X236 MONTHS/150 000 KMEntire VehicleNo</v>
          </cell>
          <cell r="G17">
            <v>17380</v>
          </cell>
          <cell r="N17" t="str">
            <v>TGM4X248 MONTHS/100 000 KMDrivelineNo</v>
          </cell>
          <cell r="O17">
            <v>15010</v>
          </cell>
          <cell r="W17" t="str">
            <v>TGM4X224 MONTHS/200 000 KM60 MONTHS/500 000 KMCombinationNo</v>
          </cell>
          <cell r="X17">
            <v>61620</v>
          </cell>
          <cell r="AD17" t="str">
            <v>TGM4X248 MONTHS/600 000 KM</v>
          </cell>
          <cell r="AE17">
            <v>6320</v>
          </cell>
        </row>
        <row r="18">
          <cell r="F18" t="str">
            <v>TGM4X236 MONTHS/150 000 KMEntire VehicleYes</v>
          </cell>
          <cell r="G18">
            <v>14220</v>
          </cell>
          <cell r="N18" t="str">
            <v>TGM4X248 MONTHS/100 000 KMDrivelineYes</v>
          </cell>
          <cell r="O18">
            <v>12640</v>
          </cell>
          <cell r="W18" t="str">
            <v>TGM4X224 MONTHS/200 000 KM60 MONTHS/500 000 KMCombinationYes</v>
          </cell>
          <cell r="X18">
            <v>49770</v>
          </cell>
          <cell r="AD18" t="str">
            <v>TGM4X260 MONTHS/125 000 KM</v>
          </cell>
          <cell r="AE18">
            <v>4740</v>
          </cell>
        </row>
        <row r="19">
          <cell r="F19" t="str">
            <v>TGM4X236 MONTHS/225 000 KMEntire VehicleNo</v>
          </cell>
          <cell r="G19">
            <v>20540</v>
          </cell>
          <cell r="N19" t="str">
            <v>TGM4X248 MONTHS/200 000 KMDrivelineNo</v>
          </cell>
          <cell r="O19">
            <v>18170</v>
          </cell>
          <cell r="W19" t="str">
            <v>TGM4X224 MONTHS/300 000 KM60 MONTHS/750 000 KMCombinationNo</v>
          </cell>
          <cell r="X19">
            <v>90850</v>
          </cell>
          <cell r="AD19" t="str">
            <v>TGM4X260 MONTHS/250 000 KM</v>
          </cell>
          <cell r="AE19">
            <v>5530</v>
          </cell>
        </row>
        <row r="20">
          <cell r="F20" t="str">
            <v>TGM4X236 MONTHS/225 000 KMEntire VehicleYes</v>
          </cell>
          <cell r="G20">
            <v>16590</v>
          </cell>
          <cell r="N20" t="str">
            <v>TGM4X248 MONTHS/200 000 KMDrivelineYes</v>
          </cell>
          <cell r="O20">
            <v>15010</v>
          </cell>
          <cell r="W20" t="str">
            <v>TGM4X224 MONTHS/300 000 KM60 MONTHS/750 000 KMCombinationYes</v>
          </cell>
          <cell r="X20">
            <v>72680</v>
          </cell>
          <cell r="AD20" t="str">
            <v>TGM4X260 MONTHS/375 000 KM</v>
          </cell>
          <cell r="AE20">
            <v>6320</v>
          </cell>
        </row>
        <row r="21">
          <cell r="F21" t="str">
            <v>TGM4X236 MONTHS/300 000 KMEntire VehicleNo</v>
          </cell>
          <cell r="G21">
            <v>25280</v>
          </cell>
          <cell r="N21" t="str">
            <v>TGM4X248 MONTHS/300 000 KMDrivelineNo</v>
          </cell>
          <cell r="O21">
            <v>22120</v>
          </cell>
          <cell r="W21" t="str">
            <v>TGM4X236 MONTHS/300 000 KM60 MONTHS/500 000 KMCombinationNo</v>
          </cell>
          <cell r="X21">
            <v>64780</v>
          </cell>
          <cell r="AD21" t="str">
            <v>TGM4X260 MONTHS/500 000 KM</v>
          </cell>
          <cell r="AE21">
            <v>7900</v>
          </cell>
        </row>
        <row r="22">
          <cell r="F22" t="str">
            <v>TGM4X236 MONTHS/300 000 KMEntire VehicleYes</v>
          </cell>
          <cell r="G22">
            <v>20540</v>
          </cell>
          <cell r="N22" t="str">
            <v>TGM4X248 MONTHS/300 000 KMDrivelineYes</v>
          </cell>
          <cell r="O22">
            <v>18170</v>
          </cell>
          <cell r="W22" t="str">
            <v>TGM4X236 MONTHS/300 000 KM60 MONTHS/500 000 KMCombinationYes</v>
          </cell>
          <cell r="X22">
            <v>52140</v>
          </cell>
          <cell r="AD22" t="str">
            <v>TGM4X260 MONTHS/625 000 KM</v>
          </cell>
          <cell r="AE22">
            <v>9480</v>
          </cell>
        </row>
        <row r="23">
          <cell r="F23" t="str">
            <v>TGM4X236 MONTHS/375 000 KMEntire VehicleNo</v>
          </cell>
          <cell r="G23">
            <v>29230</v>
          </cell>
          <cell r="N23" t="str">
            <v>TGM4X248 MONTHS/400 000 KMDrivelineNo</v>
          </cell>
          <cell r="O23">
            <v>26860</v>
          </cell>
          <cell r="W23" t="str">
            <v>TGM4X236 MONTHS/450 000 KM60 MONTHS/750 000 KMCombinationNo</v>
          </cell>
          <cell r="X23">
            <v>97170</v>
          </cell>
          <cell r="AD23" t="str">
            <v>TGM4X260 MONTHS/750 000 KM</v>
          </cell>
          <cell r="AE23">
            <v>11060</v>
          </cell>
        </row>
        <row r="24">
          <cell r="F24" t="str">
            <v>TGM4X236 MONTHS/375 000 KMEntire VehicleYes</v>
          </cell>
          <cell r="G24">
            <v>23700</v>
          </cell>
          <cell r="N24" t="str">
            <v>TGM4X248 MONTHS/400 000 KMDrivelineYes</v>
          </cell>
          <cell r="O24">
            <v>22120</v>
          </cell>
          <cell r="W24" t="str">
            <v>TGM4X236 MONTHS/450 000 KM60 MONTHS/750 000 KMCombinationYes</v>
          </cell>
          <cell r="X24">
            <v>78210</v>
          </cell>
          <cell r="AD24" t="str">
            <v>TGM4X424 MONTHS/300 000 KM</v>
          </cell>
          <cell r="AE24">
            <v>1580</v>
          </cell>
        </row>
        <row r="25">
          <cell r="F25" t="str">
            <v>TGM4X236 MONTHS/450 000 KMEntire VehicleNo</v>
          </cell>
          <cell r="G25">
            <v>35550</v>
          </cell>
          <cell r="N25" t="str">
            <v>TGM4X248 MONTHS/500 000 KMDrivelineNo</v>
          </cell>
          <cell r="O25">
            <v>32390</v>
          </cell>
          <cell r="W25" t="str">
            <v>TGM4X248 MONTHS/400 000 KM60 MONTHS/500 000 KMCombinationNo</v>
          </cell>
          <cell r="X25">
            <v>71100</v>
          </cell>
          <cell r="AD25" t="str">
            <v>TGM4X436 MONTHS/75 000 KM</v>
          </cell>
          <cell r="AE25">
            <v>1580</v>
          </cell>
        </row>
        <row r="26">
          <cell r="F26" t="str">
            <v>TGM4X236 MONTHS/450 000 KMEntire VehicleYes</v>
          </cell>
          <cell r="G26">
            <v>28440</v>
          </cell>
          <cell r="N26" t="str">
            <v>TGM4X248 MONTHS/500 000 KMDrivelineYes</v>
          </cell>
          <cell r="O26">
            <v>26070</v>
          </cell>
          <cell r="W26" t="str">
            <v>TGM4X248 MONTHS/400 000 KM60 MONTHS/500 000 KMCombinationYes</v>
          </cell>
          <cell r="X26">
            <v>56880</v>
          </cell>
          <cell r="AD26" t="str">
            <v>TGM4X436 MONTHS/150 000 KM</v>
          </cell>
          <cell r="AE26">
            <v>1580</v>
          </cell>
        </row>
        <row r="27">
          <cell r="F27" t="str">
            <v>TGM4X236 MONTHS/75 000 KMEntire VehicleNo</v>
          </cell>
          <cell r="G27">
            <v>14220</v>
          </cell>
          <cell r="N27" t="str">
            <v>TGM4X248 MONTHS/600 000 KMDrivelineNo</v>
          </cell>
          <cell r="O27">
            <v>38710</v>
          </cell>
          <cell r="W27" t="str">
            <v>TGM4X248 MONTHS/600 000 KM60 MONTHS/750 000 KMCombinationNo</v>
          </cell>
          <cell r="X27">
            <v>105070</v>
          </cell>
          <cell r="AD27" t="str">
            <v>TGM4X436 MONTHS/225 000 KM</v>
          </cell>
          <cell r="AE27">
            <v>1580</v>
          </cell>
        </row>
        <row r="28">
          <cell r="F28" t="str">
            <v>TGM4X236 MONTHS/75 000 KMEntire VehicleYes</v>
          </cell>
          <cell r="G28">
            <v>11850</v>
          </cell>
          <cell r="N28" t="str">
            <v>TGM4X248 MONTHS/600 000 KMDrivelineYes</v>
          </cell>
          <cell r="O28">
            <v>31600</v>
          </cell>
          <cell r="W28" t="str">
            <v>TGM4X248 MONTHS/600 000 KM60 MONTHS/750 000 KMCombinationYes</v>
          </cell>
          <cell r="X28">
            <v>84530</v>
          </cell>
          <cell r="AD28" t="str">
            <v>TGM4X436 MONTHS/300 000 KM</v>
          </cell>
          <cell r="AE28">
            <v>2370</v>
          </cell>
        </row>
        <row r="29">
          <cell r="F29" t="str">
            <v>TGM4X248 MONTHS/100 000 KMEntire VehicleNo</v>
          </cell>
          <cell r="G29">
            <v>25280</v>
          </cell>
          <cell r="N29" t="str">
            <v>TGM4X260 MONTHS/125 000 KMDrivelineNo</v>
          </cell>
          <cell r="O29">
            <v>31600</v>
          </cell>
          <cell r="W29" t="str">
            <v>TGM4X424 MONTHS/200 000 KM36 MONTHS/300 000 KMCombinationNo</v>
          </cell>
          <cell r="X29">
            <v>26860</v>
          </cell>
          <cell r="AD29" t="str">
            <v>TGM4X436 MONTHS/375 000 KM</v>
          </cell>
          <cell r="AE29">
            <v>2370</v>
          </cell>
        </row>
        <row r="30">
          <cell r="F30" t="str">
            <v>TGM4X248 MONTHS/100 000 KMEntire VehicleYes</v>
          </cell>
          <cell r="G30">
            <v>20540</v>
          </cell>
          <cell r="N30" t="str">
            <v>TGM4X260 MONTHS/125 000 KMDrivelineYes</v>
          </cell>
          <cell r="O30">
            <v>25280</v>
          </cell>
          <cell r="W30" t="str">
            <v>TGM4X424 MONTHS/200 000 KM36 MONTHS/300 000 KMCombinationYes</v>
          </cell>
          <cell r="X30">
            <v>22120</v>
          </cell>
          <cell r="AD30" t="str">
            <v>TGM4X436 MONTHS/450 000 KM</v>
          </cell>
          <cell r="AE30">
            <v>3160</v>
          </cell>
        </row>
        <row r="31">
          <cell r="F31" t="str">
            <v>TGM4X248 MONTHS/200 000 KMEntire VehicleNo</v>
          </cell>
          <cell r="G31">
            <v>30020</v>
          </cell>
          <cell r="N31" t="str">
            <v>TGM4X260 MONTHS/250 000 KMDrivelineNo</v>
          </cell>
          <cell r="O31">
            <v>37920</v>
          </cell>
          <cell r="W31" t="str">
            <v>TGM4X424 MONTHS/300 000 KM36 MONTHS/450 000 KMCombinationNo</v>
          </cell>
          <cell r="X31">
            <v>37130</v>
          </cell>
          <cell r="AD31" t="str">
            <v>TGM4X448 MONTHS/100 000 KM</v>
          </cell>
          <cell r="AE31">
            <v>2370</v>
          </cell>
        </row>
        <row r="32">
          <cell r="F32" t="str">
            <v>TGM4X248 MONTHS/200 000 KMEntire VehicleYes</v>
          </cell>
          <cell r="G32">
            <v>24490</v>
          </cell>
          <cell r="N32" t="str">
            <v>TGM4X260 MONTHS/250 000 KMDrivelineYes</v>
          </cell>
          <cell r="O32">
            <v>30810</v>
          </cell>
          <cell r="W32" t="str">
            <v>TGM4X424 MONTHS/300 000 KM36 MONTHS/450 000 KMCombinationYes</v>
          </cell>
          <cell r="X32">
            <v>30020</v>
          </cell>
          <cell r="AD32" t="str">
            <v>TGM4X448 MONTHS/200 000 KM</v>
          </cell>
          <cell r="AE32">
            <v>3160</v>
          </cell>
        </row>
        <row r="33">
          <cell r="F33" t="str">
            <v>TGM4X248 MONTHS/300 000 KMEntire VehicleNo</v>
          </cell>
          <cell r="G33">
            <v>36340</v>
          </cell>
          <cell r="N33" t="str">
            <v>TGM4X260 MONTHS/375 000 KMDrivelineNo</v>
          </cell>
          <cell r="O33">
            <v>45030</v>
          </cell>
          <cell r="W33" t="str">
            <v>TGM4X424 MONTHS/200 000 KM48 MONTHS/400 000 KMCombinationNo</v>
          </cell>
          <cell r="X33">
            <v>44240</v>
          </cell>
          <cell r="AD33" t="str">
            <v>TGM4X448 MONTHS/300 000 KM</v>
          </cell>
          <cell r="AE33">
            <v>3950</v>
          </cell>
        </row>
        <row r="34">
          <cell r="F34" t="str">
            <v>TGM4X248 MONTHS/300 000 KMEntire VehicleYes</v>
          </cell>
          <cell r="G34">
            <v>29230</v>
          </cell>
          <cell r="N34" t="str">
            <v>TGM4X260 MONTHS/375 000 KMDrivelineYes</v>
          </cell>
          <cell r="O34">
            <v>36340</v>
          </cell>
          <cell r="W34" t="str">
            <v>TGM4X424 MONTHS/200 000 KM48 MONTHS/400 000 KMCombinationYes</v>
          </cell>
          <cell r="X34">
            <v>35550</v>
          </cell>
          <cell r="AD34" t="str">
            <v>TGM4X448 MONTHS/400 000 KM</v>
          </cell>
          <cell r="AE34">
            <v>4740</v>
          </cell>
        </row>
        <row r="35">
          <cell r="F35" t="str">
            <v>TGM4X248 MONTHS/400 000 KMEntire VehicleNo</v>
          </cell>
          <cell r="G35">
            <v>44240</v>
          </cell>
          <cell r="N35" t="str">
            <v>TGM4X260 MONTHS/500 000 KMDrivelineNo</v>
          </cell>
          <cell r="O35">
            <v>53720</v>
          </cell>
          <cell r="W35" t="str">
            <v>TGM4X424 MONTHS/300 000 KM48 MONTHS/600 000 KMCombinationNo</v>
          </cell>
          <cell r="X35">
            <v>58460</v>
          </cell>
          <cell r="AD35" t="str">
            <v>TGM4X448 MONTHS/500 000 KM</v>
          </cell>
          <cell r="AE35">
            <v>5530</v>
          </cell>
        </row>
        <row r="36">
          <cell r="F36" t="str">
            <v>TGM4X248 MONTHS/400 000 KMEntire VehicleYes</v>
          </cell>
          <cell r="G36">
            <v>35550</v>
          </cell>
          <cell r="N36" t="str">
            <v>TGM4X260 MONTHS/500 000 KMDrivelineYes</v>
          </cell>
          <cell r="O36">
            <v>43450</v>
          </cell>
          <cell r="W36" t="str">
            <v>TGM4X424 MONTHS/300 000 KM48 MONTHS/600 000 KMCombinationYes</v>
          </cell>
          <cell r="X36">
            <v>47400</v>
          </cell>
          <cell r="AD36" t="str">
            <v>TGM4X448 MONTHS/600 000 KM</v>
          </cell>
          <cell r="AE36">
            <v>6320</v>
          </cell>
        </row>
        <row r="37">
          <cell r="F37" t="str">
            <v>TGM4X248 MONTHS/500 000 KMEntire VehicleNo</v>
          </cell>
          <cell r="G37">
            <v>52930</v>
          </cell>
          <cell r="N37" t="str">
            <v>TGM4X260 MONTHS/625 000 KMDrivelineNo</v>
          </cell>
          <cell r="O37">
            <v>65570</v>
          </cell>
          <cell r="W37" t="str">
            <v>TGM4X436 MONTHS/300 000 KM48 MONTHS/400 000 KMCombinationNo</v>
          </cell>
          <cell r="X37">
            <v>52930</v>
          </cell>
          <cell r="AD37" t="str">
            <v>TGM4X460 MONTHS/125 000 KM</v>
          </cell>
          <cell r="AE37">
            <v>4740</v>
          </cell>
        </row>
        <row r="38">
          <cell r="F38" t="str">
            <v>TGM4X248 MONTHS/500 000 KMEntire VehicleYes</v>
          </cell>
          <cell r="G38">
            <v>42660</v>
          </cell>
          <cell r="N38" t="str">
            <v>TGM4X260 MONTHS/625 000 KMDrivelineYes</v>
          </cell>
          <cell r="O38">
            <v>52930</v>
          </cell>
          <cell r="W38" t="str">
            <v>TGM4X436 MONTHS/300 000 KM48 MONTHS/400 000 KMCombinationYes</v>
          </cell>
          <cell r="X38">
            <v>42660</v>
          </cell>
          <cell r="AD38" t="str">
            <v>TGM4X460 MONTHS/250 000 KM</v>
          </cell>
          <cell r="AE38">
            <v>5530</v>
          </cell>
        </row>
        <row r="39">
          <cell r="F39" t="str">
            <v>TGM4X248 MONTHS/600 000 KMEntire VehicleNo</v>
          </cell>
          <cell r="G39">
            <v>63990</v>
          </cell>
          <cell r="N39" t="str">
            <v>TGM4X260 MONTHS/750 000 KMDrivelineNo</v>
          </cell>
          <cell r="O39">
            <v>79790</v>
          </cell>
          <cell r="W39" t="str">
            <v>TGM4X436 MONTHS/450 000 KM48 MONTHS/600 000 KMCombinationNo</v>
          </cell>
          <cell r="X39">
            <v>63200</v>
          </cell>
          <cell r="AD39" t="str">
            <v>TGM4X460 MONTHS/375 000 KM</v>
          </cell>
          <cell r="AE39">
            <v>6320</v>
          </cell>
        </row>
        <row r="40">
          <cell r="F40" t="str">
            <v>TGM4X248 MONTHS/600 000 KMEntire VehicleYes</v>
          </cell>
          <cell r="G40">
            <v>51350</v>
          </cell>
          <cell r="N40" t="str">
            <v>TGM4X260 MONTHS/750 000 KMDrivelineYes</v>
          </cell>
          <cell r="O40">
            <v>63990</v>
          </cell>
          <cell r="W40" t="str">
            <v>TGM4X436 MONTHS/450 000 KM48 MONTHS/600 000 KMCombinationYes</v>
          </cell>
          <cell r="X40">
            <v>50560</v>
          </cell>
          <cell r="AD40" t="str">
            <v>TGM4X460 MONTHS/500 000 KM</v>
          </cell>
          <cell r="AE40">
            <v>7900</v>
          </cell>
        </row>
        <row r="41">
          <cell r="F41" t="str">
            <v>TGM4X260 MONTHS/125 000 KMEntire VehicleNo</v>
          </cell>
          <cell r="G41">
            <v>52140</v>
          </cell>
          <cell r="N41" t="str">
            <v>TGM4X272 MONTHS/150 000 KMDrivelineNo</v>
          </cell>
          <cell r="O41">
            <v>37920</v>
          </cell>
          <cell r="W41" t="str">
            <v>TGM4X424 MONTHS/200 000 KM60 MONTHS/500 000 KMCombinationNo</v>
          </cell>
          <cell r="X41">
            <v>74260</v>
          </cell>
          <cell r="AD41" t="str">
            <v>TGM4X460 MONTHS/625 000 KM</v>
          </cell>
          <cell r="AE41">
            <v>9480</v>
          </cell>
        </row>
        <row r="42">
          <cell r="F42" t="str">
            <v>TGM4X260 MONTHS/125 000 KMEntire VehicleYes</v>
          </cell>
          <cell r="G42">
            <v>41870</v>
          </cell>
          <cell r="N42" t="str">
            <v>TGM4X272 MONTHS/150 000 KMDrivelineYes</v>
          </cell>
          <cell r="O42">
            <v>30810</v>
          </cell>
          <cell r="W42" t="str">
            <v>TGM4X424 MONTHS/200 000 KM60 MONTHS/500 000 KMCombinationYes</v>
          </cell>
          <cell r="X42">
            <v>60040</v>
          </cell>
          <cell r="AD42" t="str">
            <v>TGM4X460 MONTHS/750 000 KM</v>
          </cell>
          <cell r="AE42">
            <v>11060</v>
          </cell>
        </row>
        <row r="43">
          <cell r="F43" t="str">
            <v>TGM4X260 MONTHS/250 000 KMEntire VehicleNo</v>
          </cell>
          <cell r="G43">
            <v>62410</v>
          </cell>
          <cell r="N43" t="str">
            <v>TGM4X272 MONTHS/300 000 KMDrivelineNo</v>
          </cell>
          <cell r="O43">
            <v>45820</v>
          </cell>
          <cell r="W43" t="str">
            <v>TGM4X424 MONTHS/300 000 KM60 MONTHS/750 000 KMCombinationNo</v>
          </cell>
          <cell r="X43">
            <v>104280</v>
          </cell>
          <cell r="AD43" t="str">
            <v>TGM6X224 MONTHS/300 000 KM</v>
          </cell>
          <cell r="AE43">
            <v>1580</v>
          </cell>
        </row>
        <row r="44">
          <cell r="F44" t="str">
            <v>TGM4X260 MONTHS/250 000 KMEntire VehicleYes</v>
          </cell>
          <cell r="G44">
            <v>50560</v>
          </cell>
          <cell r="N44" t="str">
            <v>TGM4X272 MONTHS/300 000 KMDrivelineYes</v>
          </cell>
          <cell r="O44">
            <v>37130</v>
          </cell>
          <cell r="W44" t="str">
            <v>TGM4X424 MONTHS/300 000 KM60 MONTHS/750 000 KMCombinationYes</v>
          </cell>
          <cell r="X44">
            <v>83740</v>
          </cell>
          <cell r="AD44" t="str">
            <v>TGM6X236 MONTHS/75 000 KM</v>
          </cell>
          <cell r="AE44">
            <v>1580</v>
          </cell>
        </row>
        <row r="45">
          <cell r="F45" t="str">
            <v>TGM4X260 MONTHS/375 000 KMEntire VehicleNo</v>
          </cell>
          <cell r="G45">
            <v>75840</v>
          </cell>
          <cell r="N45" t="str">
            <v>TGM4X272 MONTHS/450 000 KMDrivelineNo</v>
          </cell>
          <cell r="O45">
            <v>54510</v>
          </cell>
          <cell r="W45" t="str">
            <v>TGM4X436 MONTHS/300 000 KM60 MONTHS/500 000 KMCombinationNo</v>
          </cell>
          <cell r="X45">
            <v>82950</v>
          </cell>
          <cell r="AD45" t="str">
            <v>TGM6X236 MONTHS/150 000 KM</v>
          </cell>
          <cell r="AE45">
            <v>1580</v>
          </cell>
        </row>
        <row r="46">
          <cell r="F46" t="str">
            <v>TGM4X260 MONTHS/375 000 KMEntire VehicleYes</v>
          </cell>
          <cell r="G46">
            <v>60830</v>
          </cell>
          <cell r="N46" t="str">
            <v>TGM4X272 MONTHS/450 000 KMDrivelineYes</v>
          </cell>
          <cell r="O46">
            <v>44240</v>
          </cell>
          <cell r="W46" t="str">
            <v>TGM4X436 MONTHS/300 000 KM60 MONTHS/500 000 KMCombinationYes</v>
          </cell>
          <cell r="X46">
            <v>66360</v>
          </cell>
          <cell r="AD46" t="str">
            <v>TGM6X236 MONTHS/225 000 KM</v>
          </cell>
          <cell r="AE46">
            <v>1580</v>
          </cell>
        </row>
        <row r="47">
          <cell r="F47" t="str">
            <v>TGM4X260 MONTHS/500 000 KMEntire VehicleNo</v>
          </cell>
          <cell r="G47">
            <v>90850</v>
          </cell>
          <cell r="N47" t="str">
            <v>TGM4X272 MONTHS/600 000 KMDrivelineNo</v>
          </cell>
          <cell r="O47">
            <v>64780</v>
          </cell>
          <cell r="W47" t="str">
            <v>TGM4X436 MONTHS/450 000 KM60 MONTHS/750 000 KMCombinationNo</v>
          </cell>
          <cell r="X47">
            <v>109020</v>
          </cell>
          <cell r="AD47" t="str">
            <v>TGM6X236 MONTHS/300 000 KM</v>
          </cell>
          <cell r="AE47">
            <v>2370</v>
          </cell>
        </row>
        <row r="48">
          <cell r="F48" t="str">
            <v>TGM4X260 MONTHS/500 000 KMEntire VehicleYes</v>
          </cell>
          <cell r="G48">
            <v>72680</v>
          </cell>
          <cell r="N48" t="str">
            <v>TGM4X272 MONTHS/600 000 KMDrivelineYes</v>
          </cell>
          <cell r="O48">
            <v>52140</v>
          </cell>
          <cell r="W48" t="str">
            <v>TGM4X436 MONTHS/450 000 KM60 MONTHS/750 000 KMCombinationYes</v>
          </cell>
          <cell r="X48">
            <v>87690</v>
          </cell>
          <cell r="AD48" t="str">
            <v>TGM6X236 MONTHS/375 000 KM</v>
          </cell>
          <cell r="AE48">
            <v>2370</v>
          </cell>
        </row>
        <row r="49">
          <cell r="F49" t="str">
            <v>TGM4X260 MONTHS/625 000 KMEntire VehicleNo</v>
          </cell>
          <cell r="G49">
            <v>110600</v>
          </cell>
          <cell r="N49" t="str">
            <v>TGM4X272 MONTHS/750 000 KMDrivelineNo</v>
          </cell>
          <cell r="O49">
            <v>79000</v>
          </cell>
          <cell r="W49" t="str">
            <v>TGM4X448 MONTHS/400 000 KM60 MONTHS/500 000 KMCombinationNo</v>
          </cell>
          <cell r="X49">
            <v>82160</v>
          </cell>
          <cell r="AD49" t="str">
            <v>TGM6X236 MONTHS/450 000 KM</v>
          </cell>
          <cell r="AE49">
            <v>3160</v>
          </cell>
        </row>
        <row r="50">
          <cell r="F50" t="str">
            <v>TGM4X260 MONTHS/625 000 KMEntire VehicleYes</v>
          </cell>
          <cell r="G50">
            <v>88480</v>
          </cell>
          <cell r="N50" t="str">
            <v>TGM4X272 MONTHS/750 000 KMDrivelineYes</v>
          </cell>
          <cell r="O50">
            <v>63200</v>
          </cell>
          <cell r="W50" t="str">
            <v>TGM4X448 MONTHS/400 000 KM60 MONTHS/500 000 KMCombinationYes</v>
          </cell>
          <cell r="X50">
            <v>66360</v>
          </cell>
          <cell r="AD50" t="str">
            <v>TGM6X248 MONTHS/100 000 KM</v>
          </cell>
          <cell r="AE50">
            <v>2370</v>
          </cell>
        </row>
        <row r="51">
          <cell r="F51" t="str">
            <v>TGM4X260 MONTHS/750 000 KMEntire VehicleNo</v>
          </cell>
          <cell r="G51">
            <v>132720</v>
          </cell>
          <cell r="N51" t="str">
            <v>TGM4X272 MONTHS/900 000 KMDrivelineNo</v>
          </cell>
          <cell r="O51">
            <v>96380</v>
          </cell>
          <cell r="W51" t="str">
            <v>TGM4X448 MONTHS/600 000 KM60 MONTHS/750 000 KMCombinationNo</v>
          </cell>
          <cell r="X51">
            <v>121660</v>
          </cell>
          <cell r="AD51" t="str">
            <v>TGM6X248 MONTHS/200 000 KM</v>
          </cell>
          <cell r="AE51">
            <v>3160</v>
          </cell>
        </row>
        <row r="52">
          <cell r="F52" t="str">
            <v>TGM4X260 MONTHS/750 000 KMEntire VehicleYes</v>
          </cell>
          <cell r="G52">
            <v>106650</v>
          </cell>
          <cell r="N52" t="str">
            <v>TGM4X272 MONTHS/900 000 KMDrivelineYes</v>
          </cell>
          <cell r="O52">
            <v>77420</v>
          </cell>
          <cell r="W52" t="str">
            <v>TGM4X448 MONTHS/600 000 KM60 MONTHS/750 000 KMCombinationYes</v>
          </cell>
          <cell r="X52">
            <v>97960</v>
          </cell>
          <cell r="AD52" t="str">
            <v>TGM6X248 MONTHS/300 000 KM</v>
          </cell>
          <cell r="AE52">
            <v>3950</v>
          </cell>
        </row>
        <row r="53">
          <cell r="F53" t="str">
            <v>TGM4X424 MONTHS/100 000 KMEntire VehicleNo</v>
          </cell>
          <cell r="G53">
            <v>7110</v>
          </cell>
          <cell r="N53" t="str">
            <v>TGM4X436 MONTHS/150 000 KMDrivelineNo</v>
          </cell>
          <cell r="O53">
            <v>11850</v>
          </cell>
          <cell r="W53" t="str">
            <v>TGM6X224 MONTHS/200 000 KM36 MONTHS/300 000 KMCombinationNo</v>
          </cell>
          <cell r="X53">
            <v>26860</v>
          </cell>
          <cell r="AD53" t="str">
            <v>TGM6X248 MONTHS/400 000 KM</v>
          </cell>
          <cell r="AE53">
            <v>4740</v>
          </cell>
        </row>
        <row r="54">
          <cell r="F54" t="str">
            <v>TGM4X424 MONTHS/100 000 KMEntire VehicleYes</v>
          </cell>
          <cell r="G54">
            <v>6320</v>
          </cell>
          <cell r="N54" t="str">
            <v>TGM4X436 MONTHS/150 000 KMDrivelineYes</v>
          </cell>
          <cell r="O54">
            <v>9480</v>
          </cell>
          <cell r="W54" t="str">
            <v>TGM6X224 MONTHS/200 000 KM36 MONTHS/300 000 KMCombinationYes</v>
          </cell>
          <cell r="X54">
            <v>22120</v>
          </cell>
          <cell r="AD54" t="str">
            <v>TGM6X248 MONTHS/500 000 KM</v>
          </cell>
          <cell r="AE54">
            <v>5530</v>
          </cell>
        </row>
        <row r="55">
          <cell r="F55" t="str">
            <v>TGM4X424 MONTHS/150 000 KMEntire VehicleNo</v>
          </cell>
          <cell r="G55">
            <v>8690</v>
          </cell>
          <cell r="N55" t="str">
            <v>TGM4X436 MONTHS/225 000 KMDrivelineNo</v>
          </cell>
          <cell r="O55">
            <v>14220</v>
          </cell>
          <cell r="W55" t="str">
            <v>TGM6X224 MONTHS/300 000 KM36 MONTHS/450 000 KMCombinationNo</v>
          </cell>
          <cell r="X55">
            <v>37130</v>
          </cell>
          <cell r="AD55" t="str">
            <v>TGM6X248 MONTHS/600 000 KM</v>
          </cell>
          <cell r="AE55">
            <v>6320</v>
          </cell>
        </row>
        <row r="56">
          <cell r="F56" t="str">
            <v>TGM4X424 MONTHS/150 000 KMEntire VehicleYes</v>
          </cell>
          <cell r="G56">
            <v>7110</v>
          </cell>
          <cell r="N56" t="str">
            <v>TGM4X436 MONTHS/225 000 KMDrivelineYes</v>
          </cell>
          <cell r="O56">
            <v>11850</v>
          </cell>
          <cell r="W56" t="str">
            <v>TGM6X224 MONTHS/300 000 KM36 MONTHS/450 000 KMCombinationYes</v>
          </cell>
          <cell r="X56">
            <v>30020</v>
          </cell>
          <cell r="AD56" t="str">
            <v>TGM6X260 MONTHS/125 000 KM</v>
          </cell>
          <cell r="AE56">
            <v>4740</v>
          </cell>
        </row>
        <row r="57">
          <cell r="F57" t="str">
            <v>TGM4X424 MONTHS/200 000 KMEntire VehicleNo</v>
          </cell>
          <cell r="G57">
            <v>10270</v>
          </cell>
          <cell r="N57" t="str">
            <v>TGM4X436 MONTHS/300 000 KMDrivelineNo</v>
          </cell>
          <cell r="O57">
            <v>16590</v>
          </cell>
          <cell r="W57" t="str">
            <v>TGM6X224 MONTHS/200 000 KM48 MONTHS/400 000 KMCombinationNo</v>
          </cell>
          <cell r="X57">
            <v>44240</v>
          </cell>
          <cell r="AD57" t="str">
            <v>TGM6X260 MONTHS/250 000 KM</v>
          </cell>
          <cell r="AE57">
            <v>5530</v>
          </cell>
        </row>
        <row r="58">
          <cell r="F58" t="str">
            <v>TGM4X424 MONTHS/200 000 KMEntire VehicleYes</v>
          </cell>
          <cell r="G58">
            <v>8690</v>
          </cell>
          <cell r="N58" t="str">
            <v>TGM4X436 MONTHS/300 000 KMDrivelineYes</v>
          </cell>
          <cell r="O58">
            <v>13430</v>
          </cell>
          <cell r="W58" t="str">
            <v>TGM6X224 MONTHS/200 000 KM48 MONTHS/400 000 KMCombinationYes</v>
          </cell>
          <cell r="X58">
            <v>35550</v>
          </cell>
          <cell r="AD58" t="str">
            <v>TGM6X260 MONTHS/375 000 KM</v>
          </cell>
          <cell r="AE58">
            <v>6320</v>
          </cell>
        </row>
        <row r="59">
          <cell r="F59" t="str">
            <v>TGM4X424 MONTHS/250 000 KMEntire VehicleNo</v>
          </cell>
          <cell r="G59">
            <v>11850</v>
          </cell>
          <cell r="N59" t="str">
            <v>TGM4X436 MONTHS/375 000 KMDrivelineNo</v>
          </cell>
          <cell r="O59">
            <v>19750</v>
          </cell>
          <cell r="W59" t="str">
            <v>TGM6X224 MONTHS/300 000 KM48 MONTHS/600 000 KMCombinationNo</v>
          </cell>
          <cell r="X59">
            <v>58460</v>
          </cell>
          <cell r="AD59" t="str">
            <v>TGM6X260 MONTHS/500 000 KM</v>
          </cell>
          <cell r="AE59">
            <v>7900</v>
          </cell>
        </row>
        <row r="60">
          <cell r="F60" t="str">
            <v>TGM4X424 MONTHS/250 000 KMEntire VehicleYes</v>
          </cell>
          <cell r="G60">
            <v>9480</v>
          </cell>
          <cell r="N60" t="str">
            <v>TGM4X436 MONTHS/375 000 KMDrivelineYes</v>
          </cell>
          <cell r="O60">
            <v>15800</v>
          </cell>
          <cell r="W60" t="str">
            <v>TGM6X224 MONTHS/300 000 KM48 MONTHS/600 000 KMCombinationYes</v>
          </cell>
          <cell r="X60">
            <v>47400</v>
          </cell>
          <cell r="AD60" t="str">
            <v>TGM6X260 MONTHS/625 000 KM</v>
          </cell>
          <cell r="AE60">
            <v>9480</v>
          </cell>
        </row>
        <row r="61">
          <cell r="F61" t="str">
            <v>TGM4X424 MONTHS/300 000 KMEntire VehicleNo</v>
          </cell>
          <cell r="G61">
            <v>15010</v>
          </cell>
          <cell r="N61" t="str">
            <v>TGM4X436 MONTHS/450 000 KMDrivelineNo</v>
          </cell>
          <cell r="O61">
            <v>22120</v>
          </cell>
          <cell r="W61" t="str">
            <v>TGM6X236 MONTHS/300 000 KM48 MONTHS/400 000 KMCombinationNo</v>
          </cell>
          <cell r="X61">
            <v>52930</v>
          </cell>
          <cell r="AD61" t="str">
            <v>TGM6X260 MONTHS/750 000 KM</v>
          </cell>
          <cell r="AE61">
            <v>11060</v>
          </cell>
        </row>
        <row r="62">
          <cell r="F62" t="str">
            <v>TGM4X424 MONTHS/300 000 KMEntire VehicleYes</v>
          </cell>
          <cell r="G62">
            <v>12640</v>
          </cell>
          <cell r="N62" t="str">
            <v>TGM4X436 MONTHS/450 000 KMDrivelineYes</v>
          </cell>
          <cell r="O62">
            <v>17380</v>
          </cell>
          <cell r="W62" t="str">
            <v>TGM6X236 MONTHS/300 000 KM48 MONTHS/400 000 KMCombinationYes</v>
          </cell>
          <cell r="X62">
            <v>42660</v>
          </cell>
          <cell r="AD62" t="str">
            <v>TGM6X424 MONTHS/300 000 KM</v>
          </cell>
          <cell r="AE62">
            <v>1580</v>
          </cell>
        </row>
        <row r="63">
          <cell r="F63" t="str">
            <v>TGM4X424 MONTHS/50 000 KMEntire VehicleNo</v>
          </cell>
          <cell r="G63">
            <v>6320</v>
          </cell>
          <cell r="N63" t="str">
            <v>TGM4X436 MONTHS/75 000 KMDrivelineNo</v>
          </cell>
          <cell r="O63">
            <v>10270</v>
          </cell>
          <cell r="W63" t="str">
            <v>TGM6X236 MONTHS/450 000 KM48 MONTHS/600 000 KMCombinationNo</v>
          </cell>
          <cell r="X63">
            <v>63200</v>
          </cell>
          <cell r="AD63" t="str">
            <v>TGM6X436 MONTHS/75 000 KM</v>
          </cell>
          <cell r="AE63">
            <v>1580</v>
          </cell>
        </row>
        <row r="64">
          <cell r="F64" t="str">
            <v>TGM4X424 MONTHS/50 000 KMEntire VehicleYes</v>
          </cell>
          <cell r="G64">
            <v>5530</v>
          </cell>
          <cell r="N64" t="str">
            <v>TGM4X436 MONTHS/75 000 KMDrivelineYes</v>
          </cell>
          <cell r="O64">
            <v>8690</v>
          </cell>
          <cell r="W64" t="str">
            <v>TGM6X236 MONTHS/450 000 KM48 MONTHS/600 000 KMCombinationYes</v>
          </cell>
          <cell r="X64">
            <v>50560</v>
          </cell>
          <cell r="AD64" t="str">
            <v>TGM6X436 MONTHS/150 000 KM</v>
          </cell>
          <cell r="AE64">
            <v>1580</v>
          </cell>
        </row>
        <row r="65">
          <cell r="F65" t="str">
            <v>TGM4X436 MONTHS/150 000 KMEntire VehicleNo</v>
          </cell>
          <cell r="G65">
            <v>25280</v>
          </cell>
          <cell r="N65" t="str">
            <v>TGM4X448 MONTHS/100 000 KMDrivelineNo</v>
          </cell>
          <cell r="O65">
            <v>19750</v>
          </cell>
          <cell r="W65" t="str">
            <v>TGM6X224 MONTHS/200 000 KM60 MONTHS/500 000 KMCombinationNo</v>
          </cell>
          <cell r="X65">
            <v>74260</v>
          </cell>
          <cell r="AD65" t="str">
            <v>TGM6X436 MONTHS/225 000 KM</v>
          </cell>
          <cell r="AE65">
            <v>1580</v>
          </cell>
        </row>
        <row r="66">
          <cell r="F66" t="str">
            <v>TGM4X436 MONTHS/150 000 KMEntire VehicleYes</v>
          </cell>
          <cell r="G66">
            <v>20540</v>
          </cell>
          <cell r="N66" t="str">
            <v>TGM4X448 MONTHS/100 000 KMDrivelineYes</v>
          </cell>
          <cell r="O66">
            <v>15800</v>
          </cell>
          <cell r="W66" t="str">
            <v>TGM6X224 MONTHS/200 000 KM60 MONTHS/500 000 KMCombinationYes</v>
          </cell>
          <cell r="X66">
            <v>60040</v>
          </cell>
          <cell r="AD66" t="str">
            <v>TGM6X436 MONTHS/300 000 KM</v>
          </cell>
          <cell r="AE66">
            <v>2370</v>
          </cell>
        </row>
        <row r="67">
          <cell r="F67" t="str">
            <v>TGM4X436 MONTHS/225 000 KMEntire VehicleNo</v>
          </cell>
          <cell r="G67">
            <v>29230</v>
          </cell>
          <cell r="N67" t="str">
            <v>TGM4X448 MONTHS/200 000 KMDrivelineNo</v>
          </cell>
          <cell r="O67">
            <v>23700</v>
          </cell>
          <cell r="W67" t="str">
            <v>TGM6X224 MONTHS/300 000 KM60 MONTHS/750 000 KMCombinationNo</v>
          </cell>
          <cell r="X67">
            <v>104280</v>
          </cell>
          <cell r="AD67" t="str">
            <v>TGM6X436 MONTHS/375 000 KM</v>
          </cell>
          <cell r="AE67">
            <v>2370</v>
          </cell>
        </row>
        <row r="68">
          <cell r="F68" t="str">
            <v>TGM4X436 MONTHS/225 000 KMEntire VehicleYes</v>
          </cell>
          <cell r="G68">
            <v>23700</v>
          </cell>
          <cell r="N68" t="str">
            <v>TGM4X448 MONTHS/200 000 KMDrivelineYes</v>
          </cell>
          <cell r="O68">
            <v>18960</v>
          </cell>
          <cell r="W68" t="str">
            <v>TGM6X224 MONTHS/300 000 KM60 MONTHS/750 000 KMCombinationYes</v>
          </cell>
          <cell r="X68">
            <v>83740</v>
          </cell>
          <cell r="AD68" t="str">
            <v>TGM6X436 MONTHS/450 000 KM</v>
          </cell>
          <cell r="AE68">
            <v>3160</v>
          </cell>
        </row>
        <row r="69">
          <cell r="F69" t="str">
            <v>TGM4X436 MONTHS/300 000 KMEntire VehicleNo</v>
          </cell>
          <cell r="G69">
            <v>35550</v>
          </cell>
          <cell r="N69" t="str">
            <v>TGM4X448 MONTHS/300 000 KMDrivelineNo</v>
          </cell>
          <cell r="O69">
            <v>28440</v>
          </cell>
          <cell r="W69" t="str">
            <v>TGM6X236 MONTHS/300 000 KM60 MONTHS/500 000 KMCombinationNo</v>
          </cell>
          <cell r="X69">
            <v>82950</v>
          </cell>
          <cell r="AD69" t="str">
            <v>TGM6X448 MONTHS/100 000 KM</v>
          </cell>
          <cell r="AE69">
            <v>2370</v>
          </cell>
        </row>
        <row r="70">
          <cell r="F70" t="str">
            <v>TGM4X436 MONTHS/300 000 KMEntire VehicleYes</v>
          </cell>
          <cell r="G70">
            <v>28440</v>
          </cell>
          <cell r="N70" t="str">
            <v>TGM4X448 MONTHS/300 000 KMDrivelineYes</v>
          </cell>
          <cell r="O70">
            <v>22910</v>
          </cell>
          <cell r="W70" t="str">
            <v>TGM6X236 MONTHS/300 000 KM60 MONTHS/500 000 KMCombinationYes</v>
          </cell>
          <cell r="X70">
            <v>66360</v>
          </cell>
          <cell r="AD70" t="str">
            <v>TGM6X448 MONTHS/200 000 KM</v>
          </cell>
          <cell r="AE70">
            <v>3160</v>
          </cell>
        </row>
        <row r="71">
          <cell r="F71" t="str">
            <v>TGM4X436 MONTHS/375 000 KMEntire VehicleNo</v>
          </cell>
          <cell r="G71">
            <v>38710</v>
          </cell>
          <cell r="N71" t="str">
            <v>TGM4X448 MONTHS/400 000 KMDrivelineNo</v>
          </cell>
          <cell r="O71">
            <v>33970</v>
          </cell>
          <cell r="W71" t="str">
            <v>TGM6X236 MONTHS/450 000 KM60 MONTHS/750 000 KMCombinationNo</v>
          </cell>
          <cell r="X71">
            <v>109020</v>
          </cell>
          <cell r="AD71" t="str">
            <v>TGM6X448 MONTHS/300 000 KM</v>
          </cell>
          <cell r="AE71">
            <v>3950</v>
          </cell>
        </row>
        <row r="72">
          <cell r="F72" t="str">
            <v>TGM4X436 MONTHS/375 000 KMEntire VehicleYes</v>
          </cell>
          <cell r="G72">
            <v>31600</v>
          </cell>
          <cell r="N72" t="str">
            <v>TGM4X448 MONTHS/400 000 KMDrivelineYes</v>
          </cell>
          <cell r="O72">
            <v>27650</v>
          </cell>
          <cell r="W72" t="str">
            <v>TGM6X236 MONTHS/450 000 KM60 MONTHS/750 000 KMCombinationYes</v>
          </cell>
          <cell r="X72">
            <v>87690</v>
          </cell>
          <cell r="AD72" t="str">
            <v>TGM6X448 MONTHS/400 000 KM</v>
          </cell>
          <cell r="AE72">
            <v>4740</v>
          </cell>
        </row>
        <row r="73">
          <cell r="F73" t="str">
            <v>TGM4X436 MONTHS/450 000 KMEntire VehicleNo</v>
          </cell>
          <cell r="G73">
            <v>41870</v>
          </cell>
          <cell r="N73" t="str">
            <v>TGM4X448 MONTHS/500 000 KMDrivelineNo</v>
          </cell>
          <cell r="O73">
            <v>37920</v>
          </cell>
          <cell r="W73" t="str">
            <v>TGM6X248 MONTHS/400 000 KM60 MONTHS/500 000 KMCombinationNo</v>
          </cell>
          <cell r="X73">
            <v>82160</v>
          </cell>
          <cell r="AD73" t="str">
            <v>TGM6X448 MONTHS/500 000 KM</v>
          </cell>
          <cell r="AE73">
            <v>5530</v>
          </cell>
        </row>
        <row r="74">
          <cell r="F74" t="str">
            <v>TGM4X436 MONTHS/450 000 KMEntire VehicleYes</v>
          </cell>
          <cell r="G74">
            <v>33970</v>
          </cell>
          <cell r="N74" t="str">
            <v>TGM4X448 MONTHS/500 000 KMDrivelineYes</v>
          </cell>
          <cell r="O74">
            <v>30810</v>
          </cell>
          <cell r="W74" t="str">
            <v>TGM6X248 MONTHS/400 000 KM60 MONTHS/500 000 KMCombinationYes</v>
          </cell>
          <cell r="X74">
            <v>66360</v>
          </cell>
          <cell r="AD74" t="str">
            <v>TGM6X448 MONTHS/600 000 KM</v>
          </cell>
          <cell r="AE74">
            <v>6320</v>
          </cell>
        </row>
        <row r="75">
          <cell r="F75" t="str">
            <v>TGM4X436 MONTHS/75 000 KMEntire VehicleNo</v>
          </cell>
          <cell r="G75">
            <v>20540</v>
          </cell>
          <cell r="N75" t="str">
            <v>TGM4X448 MONTHS/600 000 KMDrivelineNo</v>
          </cell>
          <cell r="O75">
            <v>43450</v>
          </cell>
          <cell r="W75" t="str">
            <v>TGM6X248 MONTHS/600 000 KM60 MONTHS/750 000 KMCombinationNo</v>
          </cell>
          <cell r="X75">
            <v>121660</v>
          </cell>
          <cell r="AD75" t="str">
            <v>TGM6X460 MONTHS/125 000 KM</v>
          </cell>
          <cell r="AE75">
            <v>4740</v>
          </cell>
        </row>
        <row r="76">
          <cell r="F76" t="str">
            <v>TGM4X436 MONTHS/75 000 KMEntire VehicleYes</v>
          </cell>
          <cell r="G76">
            <v>16590</v>
          </cell>
          <cell r="N76" t="str">
            <v>TGM4X448 MONTHS/600 000 KMDrivelineYes</v>
          </cell>
          <cell r="O76">
            <v>34760</v>
          </cell>
          <cell r="W76" t="str">
            <v>TGM6X248 MONTHS/600 000 KM60 MONTHS/750 000 KMCombinationYes</v>
          </cell>
          <cell r="X76">
            <v>97960</v>
          </cell>
          <cell r="AD76" t="str">
            <v>TGM6X460 MONTHS/250 000 KM</v>
          </cell>
          <cell r="AE76">
            <v>5530</v>
          </cell>
        </row>
        <row r="77">
          <cell r="F77" t="str">
            <v>TGM4X448 MONTHS/100 000 KMEntire VehicleNo</v>
          </cell>
          <cell r="G77">
            <v>29230</v>
          </cell>
          <cell r="N77" t="str">
            <v>TGM4X460 MONTHS/125 000 KMDrivelineNo</v>
          </cell>
          <cell r="O77">
            <v>40290</v>
          </cell>
          <cell r="W77" t="str">
            <v>TGM6X424 MONTHS/200 000 KM36 MONTHS/300 000 KMCombinationNo</v>
          </cell>
          <cell r="X77">
            <v>26860</v>
          </cell>
          <cell r="AD77" t="str">
            <v>TGM6X460 MONTHS/375 000 KM</v>
          </cell>
          <cell r="AE77">
            <v>6320</v>
          </cell>
        </row>
        <row r="78">
          <cell r="F78" t="str">
            <v>TGM4X448 MONTHS/100 000 KMEntire VehicleYes</v>
          </cell>
          <cell r="G78">
            <v>23700</v>
          </cell>
          <cell r="N78" t="str">
            <v>TGM4X460 MONTHS/125 000 KMDrivelineYes</v>
          </cell>
          <cell r="O78">
            <v>32390</v>
          </cell>
          <cell r="W78" t="str">
            <v>TGM6X424 MONTHS/200 000 KM36 MONTHS/300 000 KMCombinationYes</v>
          </cell>
          <cell r="X78">
            <v>22120</v>
          </cell>
          <cell r="AD78" t="str">
            <v>TGM6X460 MONTHS/500 000 KM</v>
          </cell>
          <cell r="AE78">
            <v>7900</v>
          </cell>
        </row>
        <row r="79">
          <cell r="F79" t="str">
            <v>TGM4X448 MONTHS/200 000 KMEntire VehicleNo</v>
          </cell>
          <cell r="G79">
            <v>35550</v>
          </cell>
          <cell r="N79" t="str">
            <v>TGM4X460 MONTHS/250 000 KMDrivelineNo</v>
          </cell>
          <cell r="O79">
            <v>48190</v>
          </cell>
          <cell r="W79" t="str">
            <v>TGM6X424 MONTHS/300 000 KM36 MONTHS/450 000 KMCombinationNo</v>
          </cell>
          <cell r="X79">
            <v>37130</v>
          </cell>
          <cell r="AD79" t="str">
            <v>TGM6X460 MONTHS/625 000 KM</v>
          </cell>
          <cell r="AE79">
            <v>9480</v>
          </cell>
        </row>
        <row r="80">
          <cell r="F80" t="str">
            <v>TGM4X448 MONTHS/200 000 KMEntire VehicleYes</v>
          </cell>
          <cell r="G80">
            <v>28440</v>
          </cell>
          <cell r="N80" t="str">
            <v>TGM4X460 MONTHS/250 000 KMDrivelineYes</v>
          </cell>
          <cell r="O80">
            <v>38710</v>
          </cell>
          <cell r="W80" t="str">
            <v>TGM6X424 MONTHS/300 000 KM36 MONTHS/450 000 KMCombinationYes</v>
          </cell>
          <cell r="X80">
            <v>30020</v>
          </cell>
          <cell r="AD80" t="str">
            <v>TGM6X460 MONTHS/750 000 KM</v>
          </cell>
          <cell r="AE80">
            <v>11060</v>
          </cell>
        </row>
        <row r="81">
          <cell r="F81" t="str">
            <v>TGM4X448 MONTHS/300 000 KMEntire VehicleNo</v>
          </cell>
          <cell r="G81">
            <v>43450</v>
          </cell>
          <cell r="N81" t="str">
            <v>TGM4X460 MONTHS/375 000 KMDrivelineNo</v>
          </cell>
          <cell r="O81">
            <v>58460</v>
          </cell>
          <cell r="W81" t="str">
            <v>TGM6X424 MONTHS/200 000 KM48 MONTHS/400 000 KMCombinationNo</v>
          </cell>
          <cell r="X81">
            <v>44240</v>
          </cell>
        </row>
        <row r="82">
          <cell r="F82" t="str">
            <v>TGM4X448 MONTHS/300 000 KMEntire VehicleYes</v>
          </cell>
          <cell r="G82">
            <v>34760</v>
          </cell>
          <cell r="N82" t="str">
            <v>TGM4X460 MONTHS/375 000 KMDrivelineYes</v>
          </cell>
          <cell r="O82">
            <v>47400</v>
          </cell>
          <cell r="W82" t="str">
            <v>TGM6X424 MONTHS/200 000 KM48 MONTHS/400 000 KMCombinationYes</v>
          </cell>
          <cell r="X82">
            <v>35550</v>
          </cell>
        </row>
        <row r="83">
          <cell r="F83" t="str">
            <v>TGM4X448 MONTHS/400 000 KMEntire VehicleNo</v>
          </cell>
          <cell r="G83">
            <v>52140</v>
          </cell>
          <cell r="N83" t="str">
            <v>TGM4X460 MONTHS/500 000 KMDrivelineNo</v>
          </cell>
          <cell r="O83">
            <v>63990</v>
          </cell>
          <cell r="W83" t="str">
            <v>TGM6X424 MONTHS/300 000 KM48 MONTHS/600 000 KMCombinationNo</v>
          </cell>
          <cell r="X83">
            <v>58460</v>
          </cell>
        </row>
        <row r="84">
          <cell r="F84" t="str">
            <v>TGM4X448 MONTHS/400 000 KMEntire VehicleYes</v>
          </cell>
          <cell r="G84">
            <v>41870</v>
          </cell>
          <cell r="N84" t="str">
            <v>TGM4X460 MONTHS/500 000 KMDrivelineYes</v>
          </cell>
          <cell r="O84">
            <v>51350</v>
          </cell>
          <cell r="W84" t="str">
            <v>TGM6X424 MONTHS/300 000 KM48 MONTHS/600 000 KMCombinationYes</v>
          </cell>
          <cell r="X84">
            <v>47400</v>
          </cell>
        </row>
        <row r="85">
          <cell r="F85" t="str">
            <v>TGM4X448 MONTHS/500 000 KMEntire VehicleNo</v>
          </cell>
          <cell r="G85">
            <v>63200</v>
          </cell>
          <cell r="N85" t="str">
            <v>TGM4X460 MONTHS/625 000 KMDrivelineNo</v>
          </cell>
          <cell r="O85">
            <v>74260</v>
          </cell>
          <cell r="W85" t="str">
            <v>TGM6X436 MONTHS/300 000 KM48 MONTHS/400 000 KMCombinationNo</v>
          </cell>
          <cell r="X85">
            <v>52930</v>
          </cell>
        </row>
        <row r="86">
          <cell r="F86" t="str">
            <v>TGM4X448 MONTHS/500 000 KMEntire VehicleYes</v>
          </cell>
          <cell r="G86">
            <v>50560</v>
          </cell>
          <cell r="N86" t="str">
            <v>TGM4X460 MONTHS/625 000 KMDrivelineYes</v>
          </cell>
          <cell r="O86">
            <v>60040</v>
          </cell>
          <cell r="W86" t="str">
            <v>TGM6X436 MONTHS/300 000 KM48 MONTHS/400 000 KMCombinationYes</v>
          </cell>
          <cell r="X86">
            <v>42660</v>
          </cell>
        </row>
        <row r="87">
          <cell r="F87" t="str">
            <v>TGM4X448 MONTHS/600 000 KMEntire VehicleNo</v>
          </cell>
          <cell r="G87">
            <v>75840</v>
          </cell>
          <cell r="N87" t="str">
            <v>TGM4X460 MONTHS/750 000 KMDrivelineNo</v>
          </cell>
          <cell r="O87">
            <v>89270</v>
          </cell>
          <cell r="W87" t="str">
            <v>TGM6X436 MONTHS/450 000 KM48 MONTHS/600 000 KMCombinationNo</v>
          </cell>
          <cell r="X87">
            <v>63200</v>
          </cell>
        </row>
        <row r="88">
          <cell r="F88" t="str">
            <v>TGM4X448 MONTHS/600 000 KMEntire VehicleYes</v>
          </cell>
          <cell r="G88">
            <v>60830</v>
          </cell>
          <cell r="N88" t="str">
            <v>TGM4X460 MONTHS/750 000 KMDrivelineYes</v>
          </cell>
          <cell r="O88">
            <v>71890</v>
          </cell>
          <cell r="W88" t="str">
            <v>TGM6X436 MONTHS/450 000 KM48 MONTHS/600 000 KMCombinationYes</v>
          </cell>
          <cell r="X88">
            <v>50560</v>
          </cell>
        </row>
        <row r="89">
          <cell r="F89" t="str">
            <v>TGM4X460 MONTHS/125 000 KMEntire VehicleNo</v>
          </cell>
          <cell r="G89">
            <v>61620</v>
          </cell>
          <cell r="N89" t="str">
            <v>TGM4X472 MONTHS/150 000 KMDrivelineNo</v>
          </cell>
          <cell r="O89">
            <v>53720</v>
          </cell>
          <cell r="W89" t="str">
            <v>TGM6X424 MONTHS/200 000 KM60 MONTHS/500 000 KMCombinationNo</v>
          </cell>
          <cell r="X89">
            <v>74260</v>
          </cell>
        </row>
        <row r="90">
          <cell r="F90" t="str">
            <v>TGM4X460 MONTHS/125 000 KMEntire VehicleYes</v>
          </cell>
          <cell r="G90">
            <v>49770</v>
          </cell>
          <cell r="N90" t="str">
            <v>TGM4X472 MONTHS/150 000 KMDrivelineYes</v>
          </cell>
          <cell r="O90">
            <v>44240</v>
          </cell>
          <cell r="W90" t="str">
            <v>TGM6X424 MONTHS/200 000 KM60 MONTHS/500 000 KMCombinationYes</v>
          </cell>
          <cell r="X90">
            <v>60040</v>
          </cell>
        </row>
        <row r="91">
          <cell r="F91" t="str">
            <v>TGM4X460 MONTHS/250 000 KMEntire VehicleNo</v>
          </cell>
          <cell r="G91">
            <v>74260</v>
          </cell>
          <cell r="N91" t="str">
            <v>TGM4X472 MONTHS/300 000 KMDrivelineNo</v>
          </cell>
          <cell r="O91">
            <v>70310</v>
          </cell>
          <cell r="W91" t="str">
            <v>TGM6X424 MONTHS/300 000 KM60 MONTHS/750 000 KMCombinationNo</v>
          </cell>
          <cell r="X91">
            <v>104280</v>
          </cell>
        </row>
        <row r="92">
          <cell r="F92" t="str">
            <v>TGM4X460 MONTHS/250 000 KMEntire VehicleYes</v>
          </cell>
          <cell r="G92">
            <v>60040</v>
          </cell>
          <cell r="N92" t="str">
            <v>TGM4X472 MONTHS/300 000 KMDrivelineYes</v>
          </cell>
          <cell r="O92">
            <v>58460</v>
          </cell>
          <cell r="W92" t="str">
            <v>TGM6X424 MONTHS/300 000 KM60 MONTHS/750 000 KMCombinationYes</v>
          </cell>
          <cell r="X92">
            <v>83740</v>
          </cell>
        </row>
        <row r="93">
          <cell r="F93" t="str">
            <v>TGM4X460 MONTHS/375 000 KMEntire VehicleNo</v>
          </cell>
          <cell r="G93">
            <v>89270</v>
          </cell>
          <cell r="N93" t="str">
            <v>TGM4X472 MONTHS/450 000 KMDrivelineNo</v>
          </cell>
          <cell r="O93">
            <v>104280</v>
          </cell>
          <cell r="W93" t="str">
            <v>TGM6X436 MONTHS/300 000 KM60 MONTHS/500 000 KMCombinationNo</v>
          </cell>
          <cell r="X93">
            <v>82950</v>
          </cell>
        </row>
        <row r="94">
          <cell r="F94" t="str">
            <v>TGM4X460 MONTHS/375 000 KMEntire VehicleYes</v>
          </cell>
          <cell r="G94">
            <v>71890</v>
          </cell>
          <cell r="N94" t="str">
            <v>TGM4X472 MONTHS/450 000 KMDrivelineYes</v>
          </cell>
          <cell r="O94">
            <v>86900</v>
          </cell>
          <cell r="W94" t="str">
            <v>TGM6X436 MONTHS/300 000 KM60 MONTHS/500 000 KMCombinationYes</v>
          </cell>
          <cell r="X94">
            <v>66360</v>
          </cell>
        </row>
        <row r="95">
          <cell r="F95" t="str">
            <v>TGM4X460 MONTHS/500 000 KMEntire VehicleNo</v>
          </cell>
          <cell r="G95">
            <v>108230</v>
          </cell>
          <cell r="N95" t="str">
            <v>TGM4X472 MONTHS/600 000 KMDrivelineNo</v>
          </cell>
          <cell r="O95">
            <v>135880</v>
          </cell>
          <cell r="W95" t="str">
            <v>TGM6X436 MONTHS/450 000 KM60 MONTHS/750 000 KMCombinationNo</v>
          </cell>
          <cell r="X95">
            <v>109020</v>
          </cell>
        </row>
        <row r="96">
          <cell r="F96" t="str">
            <v>TGM4X460 MONTHS/500 000 KMEntire VehicleYes</v>
          </cell>
          <cell r="G96">
            <v>86900</v>
          </cell>
          <cell r="N96" t="str">
            <v>TGM4X472 MONTHS/600 000 KMDrivelineYes</v>
          </cell>
          <cell r="O96">
            <v>112970</v>
          </cell>
          <cell r="W96" t="str">
            <v>TGM6X436 MONTHS/450 000 KM60 MONTHS/750 000 KMCombinationYes</v>
          </cell>
          <cell r="X96">
            <v>87690</v>
          </cell>
        </row>
        <row r="97">
          <cell r="F97" t="str">
            <v>TGM4X460 MONTHS/625 000 KMEntire VehicleNo</v>
          </cell>
          <cell r="G97">
            <v>131140</v>
          </cell>
          <cell r="N97" t="str">
            <v>TGM4X472 MONTHS/750 000 KMDrivelineNo</v>
          </cell>
          <cell r="O97">
            <v>165110</v>
          </cell>
          <cell r="W97" t="str">
            <v>TGM6X448 MONTHS/400 000 KM60 MONTHS/500 000 KMCombinationNo</v>
          </cell>
          <cell r="X97">
            <v>82160</v>
          </cell>
        </row>
        <row r="98">
          <cell r="F98" t="str">
            <v>TGM4X460 MONTHS/625 000 KMEntire VehicleYes</v>
          </cell>
          <cell r="G98">
            <v>105070</v>
          </cell>
          <cell r="N98" t="str">
            <v>TGM4X472 MONTHS/750 000 KMDrivelineYes</v>
          </cell>
          <cell r="O98">
            <v>137460</v>
          </cell>
          <cell r="W98" t="str">
            <v>TGM6X448 MONTHS/400 000 KM60 MONTHS/500 000 KMCombinationYes</v>
          </cell>
          <cell r="X98">
            <v>66360</v>
          </cell>
        </row>
        <row r="99">
          <cell r="F99" t="str">
            <v>TGM4X460 MONTHS/750 000 KMEntire VehicleNo</v>
          </cell>
          <cell r="G99">
            <v>158790</v>
          </cell>
          <cell r="N99" t="str">
            <v>TGM4X472 MONTHS/900 000 KMDrivelineNo</v>
          </cell>
          <cell r="O99">
            <v>194340</v>
          </cell>
          <cell r="W99" t="str">
            <v>TGM6X448 MONTHS/600 000 KM60 MONTHS/750 000 KMCombinationNo</v>
          </cell>
          <cell r="X99">
            <v>121660</v>
          </cell>
        </row>
        <row r="100">
          <cell r="F100" t="str">
            <v>TGM4X460 MONTHS/750 000 KMEntire VehicleYes</v>
          </cell>
          <cell r="G100">
            <v>127190</v>
          </cell>
          <cell r="N100" t="str">
            <v>TGM4X472 MONTHS/900 000 KMDrivelineYes</v>
          </cell>
          <cell r="O100">
            <v>161950</v>
          </cell>
          <cell r="W100" t="str">
            <v>TGM6X448 MONTHS/600 000 KM60 MONTHS/750 000 KMCombinationYes</v>
          </cell>
          <cell r="X100">
            <v>97960</v>
          </cell>
        </row>
        <row r="101">
          <cell r="F101" t="str">
            <v>TGM6X224 MONTHS/100 000 KMEntire VehicleNo</v>
          </cell>
          <cell r="G101">
            <v>7110</v>
          </cell>
          <cell r="N101" t="str">
            <v>TGM6X236 MONTHS/150 000 KMDrivelineNo</v>
          </cell>
          <cell r="O101">
            <v>11850</v>
          </cell>
        </row>
        <row r="102">
          <cell r="F102" t="str">
            <v>TGM6X224 MONTHS/100 000 KMEntire VehicleYes</v>
          </cell>
          <cell r="G102">
            <v>6320</v>
          </cell>
          <cell r="N102" t="str">
            <v>TGM6X236 MONTHS/150 000 KMDrivelineYes</v>
          </cell>
          <cell r="O102">
            <v>9480</v>
          </cell>
        </row>
        <row r="103">
          <cell r="F103" t="str">
            <v>TGM6X224 MONTHS/150 000 KMEntire VehicleNo</v>
          </cell>
          <cell r="G103">
            <v>8690</v>
          </cell>
          <cell r="N103" t="str">
            <v>TGM6X236 MONTHS/225 000 KMDrivelineNo</v>
          </cell>
          <cell r="O103">
            <v>14220</v>
          </cell>
        </row>
        <row r="104">
          <cell r="F104" t="str">
            <v>TGM6X224 MONTHS/150 000 KMEntire VehicleYes</v>
          </cell>
          <cell r="G104">
            <v>7110</v>
          </cell>
          <cell r="N104" t="str">
            <v>TGM6X236 MONTHS/225 000 KMDrivelineYes</v>
          </cell>
          <cell r="O104">
            <v>11850</v>
          </cell>
        </row>
        <row r="105">
          <cell r="F105" t="str">
            <v>TGM6X224 MONTHS/200 000 KMEntire VehicleNo</v>
          </cell>
          <cell r="G105">
            <v>10270</v>
          </cell>
          <cell r="N105" t="str">
            <v>TGM6X236 MONTHS/300 000 KMDrivelineNo</v>
          </cell>
          <cell r="O105">
            <v>16590</v>
          </cell>
        </row>
        <row r="106">
          <cell r="F106" t="str">
            <v>TGM6X224 MONTHS/200 000 KMEntire VehicleYes</v>
          </cell>
          <cell r="G106">
            <v>8690</v>
          </cell>
          <cell r="N106" t="str">
            <v>TGM6X236 MONTHS/300 000 KMDrivelineYes</v>
          </cell>
          <cell r="O106">
            <v>13430</v>
          </cell>
        </row>
        <row r="107">
          <cell r="F107" t="str">
            <v>TGM6X224 MONTHS/250 000 KMEntire VehicleNo</v>
          </cell>
          <cell r="G107">
            <v>11850</v>
          </cell>
          <cell r="N107" t="str">
            <v>TGM6X236 MONTHS/375 000 KMDrivelineNo</v>
          </cell>
          <cell r="O107">
            <v>19750</v>
          </cell>
        </row>
        <row r="108">
          <cell r="F108" t="str">
            <v>TGM6X224 MONTHS/250 000 KMEntire VehicleYes</v>
          </cell>
          <cell r="G108">
            <v>9480</v>
          </cell>
          <cell r="N108" t="str">
            <v>TGM6X236 MONTHS/375 000 KMDrivelineYes</v>
          </cell>
          <cell r="O108">
            <v>15800</v>
          </cell>
        </row>
        <row r="109">
          <cell r="F109" t="str">
            <v>TGM6X224 MONTHS/300 000 KMEntire VehicleNo</v>
          </cell>
          <cell r="G109">
            <v>15010</v>
          </cell>
          <cell r="N109" t="str">
            <v>TGM6X236 MONTHS/450 000 KMDrivelineNo</v>
          </cell>
          <cell r="O109">
            <v>22120</v>
          </cell>
        </row>
        <row r="110">
          <cell r="F110" t="str">
            <v>TGM6X224 MONTHS/300 000 KMEntire VehicleYes</v>
          </cell>
          <cell r="G110">
            <v>12640</v>
          </cell>
          <cell r="N110" t="str">
            <v>TGM6X236 MONTHS/450 000 KMDrivelineYes</v>
          </cell>
          <cell r="O110">
            <v>17380</v>
          </cell>
        </row>
        <row r="111">
          <cell r="F111" t="str">
            <v>TGM6X224 MONTHS/50 000 KMEntire VehicleNo</v>
          </cell>
          <cell r="G111">
            <v>6320</v>
          </cell>
          <cell r="N111" t="str">
            <v>TGM6X236 MONTHS/75 000 KMDrivelineNo</v>
          </cell>
          <cell r="O111">
            <v>10270</v>
          </cell>
        </row>
        <row r="112">
          <cell r="F112" t="str">
            <v>TGM6X224 MONTHS/50 000 KMEntire VehicleYes</v>
          </cell>
          <cell r="G112">
            <v>5530</v>
          </cell>
          <cell r="N112" t="str">
            <v>TGM6X236 MONTHS/75 000 KMDrivelineYes</v>
          </cell>
          <cell r="O112">
            <v>8690</v>
          </cell>
        </row>
        <row r="113">
          <cell r="F113" t="str">
            <v>TGM6X236 MONTHS/150 000 KMEntire VehicleNo</v>
          </cell>
          <cell r="G113">
            <v>25280</v>
          </cell>
          <cell r="N113" t="str">
            <v>TGM6X248 MONTHS/100 000 KMDrivelineNo</v>
          </cell>
          <cell r="O113">
            <v>19750</v>
          </cell>
        </row>
        <row r="114">
          <cell r="F114" t="str">
            <v>TGM6X236 MONTHS/150 000 KMEntire VehicleYes</v>
          </cell>
          <cell r="G114">
            <v>20540</v>
          </cell>
          <cell r="N114" t="str">
            <v>TGM6X248 MONTHS/100 000 KMDrivelineYes</v>
          </cell>
          <cell r="O114">
            <v>15800</v>
          </cell>
        </row>
        <row r="115">
          <cell r="F115" t="str">
            <v>TGM6X236 MONTHS/225 000 KMEntire VehicleNo</v>
          </cell>
          <cell r="G115">
            <v>29230</v>
          </cell>
          <cell r="N115" t="str">
            <v>TGM6X248 MONTHS/200 000 KMDrivelineNo</v>
          </cell>
          <cell r="O115">
            <v>23700</v>
          </cell>
        </row>
        <row r="116">
          <cell r="F116" t="str">
            <v>TGM6X236 MONTHS/225 000 KMEntire VehicleYes</v>
          </cell>
          <cell r="G116">
            <v>23700</v>
          </cell>
          <cell r="N116" t="str">
            <v>TGM6X248 MONTHS/200 000 KMDrivelineYes</v>
          </cell>
          <cell r="O116">
            <v>18960</v>
          </cell>
        </row>
        <row r="117">
          <cell r="F117" t="str">
            <v>TGM6X236 MONTHS/300 000 KMEntire VehicleNo</v>
          </cell>
          <cell r="G117">
            <v>35550</v>
          </cell>
          <cell r="N117" t="str">
            <v>TGM6X248 MONTHS/300 000 KMDrivelineNo</v>
          </cell>
          <cell r="O117">
            <v>28440</v>
          </cell>
        </row>
        <row r="118">
          <cell r="F118" t="str">
            <v>TGM6X236 MONTHS/300 000 KMEntire VehicleYes</v>
          </cell>
          <cell r="G118">
            <v>28440</v>
          </cell>
          <cell r="N118" t="str">
            <v>TGM6X248 MONTHS/300 000 KMDrivelineYes</v>
          </cell>
          <cell r="O118">
            <v>22910</v>
          </cell>
        </row>
        <row r="119">
          <cell r="F119" t="str">
            <v>TGM6X236 MONTHS/375 000 KMEntire VehicleNo</v>
          </cell>
          <cell r="G119">
            <v>38710</v>
          </cell>
          <cell r="N119" t="str">
            <v>TGM6X248 MONTHS/400 000 KMDrivelineNo</v>
          </cell>
          <cell r="O119">
            <v>33970</v>
          </cell>
        </row>
        <row r="120">
          <cell r="F120" t="str">
            <v>TGM6X236 MONTHS/375 000 KMEntire VehicleYes</v>
          </cell>
          <cell r="G120">
            <v>31600</v>
          </cell>
          <cell r="N120" t="str">
            <v>TGM6X248 MONTHS/400 000 KMDrivelineYes</v>
          </cell>
          <cell r="O120">
            <v>27650</v>
          </cell>
        </row>
        <row r="121">
          <cell r="F121" t="str">
            <v>TGM6X236 MONTHS/450 000 KMEntire VehicleNo</v>
          </cell>
          <cell r="G121">
            <v>41870</v>
          </cell>
          <cell r="N121" t="str">
            <v>TGM6X248 MONTHS/500 000 KMDrivelineNo</v>
          </cell>
          <cell r="O121">
            <v>37920</v>
          </cell>
        </row>
        <row r="122">
          <cell r="F122" t="str">
            <v>TGM6X236 MONTHS/450 000 KMEntire VehicleYes</v>
          </cell>
          <cell r="G122">
            <v>33970</v>
          </cell>
          <cell r="N122" t="str">
            <v>TGM6X248 MONTHS/500 000 KMDrivelineYes</v>
          </cell>
          <cell r="O122">
            <v>30810</v>
          </cell>
        </row>
        <row r="123">
          <cell r="F123" t="str">
            <v>TGM6X236 MONTHS/75 000 KMEntire VehicleNo</v>
          </cell>
          <cell r="G123">
            <v>20540</v>
          </cell>
          <cell r="N123" t="str">
            <v>TGM6X248 MONTHS/600 000 KMDrivelineNo</v>
          </cell>
          <cell r="O123">
            <v>43450</v>
          </cell>
        </row>
        <row r="124">
          <cell r="F124" t="str">
            <v>TGM6X236 MONTHS/75 000 KMEntire VehicleYes</v>
          </cell>
          <cell r="G124">
            <v>16590</v>
          </cell>
          <cell r="N124" t="str">
            <v>TGM6X248 MONTHS/600 000 KMDrivelineYes</v>
          </cell>
          <cell r="O124">
            <v>34760</v>
          </cell>
        </row>
        <row r="125">
          <cell r="F125" t="str">
            <v>TGM6X248 MONTHS/100 000 KMEntire VehicleNo</v>
          </cell>
          <cell r="G125">
            <v>29230</v>
          </cell>
          <cell r="N125" t="str">
            <v>TGM6X260 MONTHS/125 000 KMDrivelineNo</v>
          </cell>
          <cell r="O125">
            <v>40290</v>
          </cell>
        </row>
        <row r="126">
          <cell r="F126" t="str">
            <v>TGM6X248 MONTHS/100 000 KMEntire VehicleYes</v>
          </cell>
          <cell r="G126">
            <v>23700</v>
          </cell>
          <cell r="N126" t="str">
            <v>TGM6X260 MONTHS/125 000 KMDrivelineYes</v>
          </cell>
          <cell r="O126">
            <v>32390</v>
          </cell>
        </row>
        <row r="127">
          <cell r="F127" t="str">
            <v>TGM6X248 MONTHS/200 000 KMEntire VehicleNo</v>
          </cell>
          <cell r="G127">
            <v>35550</v>
          </cell>
          <cell r="N127" t="str">
            <v>TGM6X260 MONTHS/250 000 KMDrivelineNo</v>
          </cell>
          <cell r="O127">
            <v>48190</v>
          </cell>
        </row>
        <row r="128">
          <cell r="F128" t="str">
            <v>TGM6X248 MONTHS/200 000 KMEntire VehicleYes</v>
          </cell>
          <cell r="G128">
            <v>28440</v>
          </cell>
          <cell r="N128" t="str">
            <v>TGM6X260 MONTHS/250 000 KMDrivelineYes</v>
          </cell>
          <cell r="O128">
            <v>38710</v>
          </cell>
        </row>
        <row r="129">
          <cell r="F129" t="str">
            <v>TGM6X248 MONTHS/300 000 KMEntire VehicleNo</v>
          </cell>
          <cell r="G129">
            <v>43450</v>
          </cell>
          <cell r="N129" t="str">
            <v>TGM6X260 MONTHS/375 000 KMDrivelineNo</v>
          </cell>
          <cell r="O129">
            <v>58460</v>
          </cell>
        </row>
        <row r="130">
          <cell r="F130" t="str">
            <v>TGM6X248 MONTHS/300 000 KMEntire VehicleYes</v>
          </cell>
          <cell r="G130">
            <v>34760</v>
          </cell>
          <cell r="N130" t="str">
            <v>TGM6X260 MONTHS/375 000 KMDrivelineYes</v>
          </cell>
          <cell r="O130">
            <v>47400</v>
          </cell>
        </row>
        <row r="131">
          <cell r="F131" t="str">
            <v>TGM6X248 MONTHS/400 000 KMEntire VehicleNo</v>
          </cell>
          <cell r="G131">
            <v>52140</v>
          </cell>
          <cell r="N131" t="str">
            <v>TGM6X260 MONTHS/500 000 KMDrivelineNo</v>
          </cell>
          <cell r="O131">
            <v>63990</v>
          </cell>
        </row>
        <row r="132">
          <cell r="F132" t="str">
            <v>TGM6X248 MONTHS/400 000 KMEntire VehicleYes</v>
          </cell>
          <cell r="G132">
            <v>41870</v>
          </cell>
          <cell r="N132" t="str">
            <v>TGM6X260 MONTHS/500 000 KMDrivelineYes</v>
          </cell>
          <cell r="O132">
            <v>51350</v>
          </cell>
        </row>
        <row r="133">
          <cell r="F133" t="str">
            <v>TGM6X248 MONTHS/500 000 KMEntire VehicleNo</v>
          </cell>
          <cell r="G133">
            <v>63200</v>
          </cell>
          <cell r="N133" t="str">
            <v>TGM6X260 MONTHS/625 000 KMDrivelineNo</v>
          </cell>
          <cell r="O133">
            <v>74260</v>
          </cell>
        </row>
        <row r="134">
          <cell r="F134" t="str">
            <v>TGM6X248 MONTHS/500 000 KMEntire VehicleYes</v>
          </cell>
          <cell r="G134">
            <v>50560</v>
          </cell>
          <cell r="N134" t="str">
            <v>TGM6X260 MONTHS/625 000 KMDrivelineYes</v>
          </cell>
          <cell r="O134">
            <v>60040</v>
          </cell>
        </row>
        <row r="135">
          <cell r="F135" t="str">
            <v>TGM6X248 MONTHS/600 000 KMEntire VehicleNo</v>
          </cell>
          <cell r="G135">
            <v>75840</v>
          </cell>
          <cell r="N135" t="str">
            <v>TGM6X260 MONTHS/750 000 KMDrivelineNo</v>
          </cell>
          <cell r="O135">
            <v>89270</v>
          </cell>
        </row>
        <row r="136">
          <cell r="F136" t="str">
            <v>TGM6X248 MONTHS/600 000 KMEntire VehicleYes</v>
          </cell>
          <cell r="G136">
            <v>60830</v>
          </cell>
          <cell r="N136" t="str">
            <v>TGM6X260 MONTHS/750 000 KMDrivelineYes</v>
          </cell>
          <cell r="O136">
            <v>71890</v>
          </cell>
        </row>
        <row r="137">
          <cell r="F137" t="str">
            <v>TGM6X260 MONTHS/125 000 KMEntire VehicleNo</v>
          </cell>
          <cell r="G137">
            <v>61620</v>
          </cell>
          <cell r="N137" t="str">
            <v>TGM6X272 MONTHS/150 000 KMDrivelineNo</v>
          </cell>
          <cell r="O137">
            <v>53720</v>
          </cell>
        </row>
        <row r="138">
          <cell r="F138" t="str">
            <v>TGM6X260 MONTHS/125 000 KMEntire VehicleYes</v>
          </cell>
          <cell r="G138">
            <v>49770</v>
          </cell>
          <cell r="N138" t="str">
            <v>TGM6X272 MONTHS/150 000 KMDrivelineYes</v>
          </cell>
          <cell r="O138">
            <v>44240</v>
          </cell>
        </row>
        <row r="139">
          <cell r="F139" t="str">
            <v>TGM6X260 MONTHS/250 000 KMEntire VehicleNo</v>
          </cell>
          <cell r="G139">
            <v>74260</v>
          </cell>
          <cell r="N139" t="str">
            <v>TGM6X272 MONTHS/300 000 KMDrivelineNo</v>
          </cell>
          <cell r="O139">
            <v>70310</v>
          </cell>
        </row>
        <row r="140">
          <cell r="F140" t="str">
            <v>TGM6X260 MONTHS/250 000 KMEntire VehicleYes</v>
          </cell>
          <cell r="G140">
            <v>60040</v>
          </cell>
          <cell r="N140" t="str">
            <v>TGM6X272 MONTHS/300 000 KMDrivelineYes</v>
          </cell>
          <cell r="O140">
            <v>58460</v>
          </cell>
        </row>
        <row r="141">
          <cell r="F141" t="str">
            <v>TGM6X260 MONTHS/375 000 KMEntire VehicleNo</v>
          </cell>
          <cell r="G141">
            <v>89270</v>
          </cell>
          <cell r="N141" t="str">
            <v>TGM6X272 MONTHS/450 000 KMDrivelineNo</v>
          </cell>
          <cell r="O141">
            <v>104280</v>
          </cell>
        </row>
        <row r="142">
          <cell r="F142" t="str">
            <v>TGM6X260 MONTHS/375 000 KMEntire VehicleYes</v>
          </cell>
          <cell r="G142">
            <v>71890</v>
          </cell>
          <cell r="N142" t="str">
            <v>TGM6X272 MONTHS/450 000 KMDrivelineYes</v>
          </cell>
          <cell r="O142">
            <v>86900</v>
          </cell>
        </row>
        <row r="143">
          <cell r="F143" t="str">
            <v>TGM6X260 MONTHS/500 000 KMEntire VehicleNo</v>
          </cell>
          <cell r="G143">
            <v>108230</v>
          </cell>
          <cell r="N143" t="str">
            <v>TGM6X272 MONTHS/600 000 KMDrivelineNo</v>
          </cell>
          <cell r="O143">
            <v>135880</v>
          </cell>
        </row>
        <row r="144">
          <cell r="F144" t="str">
            <v>TGM6X260 MONTHS/500 000 KMEntire VehicleYes</v>
          </cell>
          <cell r="G144">
            <v>86900</v>
          </cell>
          <cell r="N144" t="str">
            <v>TGM6X272 MONTHS/600 000 KMDrivelineYes</v>
          </cell>
          <cell r="O144">
            <v>112970</v>
          </cell>
        </row>
        <row r="145">
          <cell r="F145" t="str">
            <v>TGM6X260 MONTHS/625 000 KMEntire VehicleNo</v>
          </cell>
          <cell r="G145">
            <v>131140</v>
          </cell>
          <cell r="N145" t="str">
            <v>TGM6X272 MONTHS/750 000 KMDrivelineNo</v>
          </cell>
          <cell r="O145">
            <v>165110</v>
          </cell>
        </row>
        <row r="146">
          <cell r="F146" t="str">
            <v>TGM6X260 MONTHS/625 000 KMEntire VehicleYes</v>
          </cell>
          <cell r="G146">
            <v>105070</v>
          </cell>
          <cell r="N146" t="str">
            <v>TGM6X272 MONTHS/750 000 KMDrivelineYes</v>
          </cell>
          <cell r="O146">
            <v>137460</v>
          </cell>
        </row>
        <row r="147">
          <cell r="F147" t="str">
            <v>TGM6X260 MONTHS/750 000 KMEntire VehicleNo</v>
          </cell>
          <cell r="G147">
            <v>158790</v>
          </cell>
          <cell r="N147" t="str">
            <v>TGM6X272 MONTHS/900 000 KMDrivelineNo</v>
          </cell>
          <cell r="O147">
            <v>194340</v>
          </cell>
        </row>
        <row r="148">
          <cell r="F148" t="str">
            <v>TGM6X260 MONTHS/750 000 KMEntire VehicleYes</v>
          </cell>
          <cell r="G148">
            <v>127190</v>
          </cell>
          <cell r="N148" t="str">
            <v>TGM6X272 MONTHS/900 000 KMDrivelineYes</v>
          </cell>
          <cell r="O148">
            <v>161950</v>
          </cell>
        </row>
        <row r="149">
          <cell r="F149" t="str">
            <v>TGM6X424 MONTHS/100 000 KMEntire VehicleNo</v>
          </cell>
          <cell r="G149">
            <v>7110</v>
          </cell>
          <cell r="N149" t="str">
            <v>TGM6X436 MONTHS/150 000 KMDrivelineNo</v>
          </cell>
          <cell r="O149">
            <v>11850</v>
          </cell>
        </row>
        <row r="150">
          <cell r="F150" t="str">
            <v>TGM6X424 MONTHS/100 000 KMEntire VehicleYes</v>
          </cell>
          <cell r="G150">
            <v>6320</v>
          </cell>
          <cell r="N150" t="str">
            <v>TGM6X436 MONTHS/150 000 KMDrivelineYes</v>
          </cell>
          <cell r="O150">
            <v>9480</v>
          </cell>
        </row>
        <row r="151">
          <cell r="F151" t="str">
            <v>TGM6X424 MONTHS/150 000 KMEntire VehicleNo</v>
          </cell>
          <cell r="G151">
            <v>8690</v>
          </cell>
          <cell r="N151" t="str">
            <v>TGM6X436 MONTHS/225 000 KMDrivelineNo</v>
          </cell>
          <cell r="O151">
            <v>14220</v>
          </cell>
        </row>
        <row r="152">
          <cell r="F152" t="str">
            <v>TGM6X424 MONTHS/150 000 KMEntire VehicleYes</v>
          </cell>
          <cell r="G152">
            <v>7110</v>
          </cell>
          <cell r="N152" t="str">
            <v>TGM6X436 MONTHS/225 000 KMDrivelineYes</v>
          </cell>
          <cell r="O152">
            <v>11850</v>
          </cell>
        </row>
        <row r="153">
          <cell r="F153" t="str">
            <v>TGM6X424 MONTHS/200 000 KMEntire VehicleNo</v>
          </cell>
          <cell r="G153">
            <v>10270</v>
          </cell>
          <cell r="N153" t="str">
            <v>TGM6X436 MONTHS/300 000 KMDrivelineNo</v>
          </cell>
          <cell r="O153">
            <v>16590</v>
          </cell>
        </row>
        <row r="154">
          <cell r="F154" t="str">
            <v>TGM6X424 MONTHS/200 000 KMEntire VehicleYes</v>
          </cell>
          <cell r="G154">
            <v>8690</v>
          </cell>
          <cell r="N154" t="str">
            <v>TGM6X436 MONTHS/300 000 KMDrivelineYes</v>
          </cell>
          <cell r="O154">
            <v>13430</v>
          </cell>
        </row>
        <row r="155">
          <cell r="F155" t="str">
            <v>TGM6X424 MONTHS/250 000 KMEntire VehicleNo</v>
          </cell>
          <cell r="G155">
            <v>11850</v>
          </cell>
          <cell r="N155" t="str">
            <v>TGM6X436 MONTHS/375 000 KMDrivelineNo</v>
          </cell>
          <cell r="O155">
            <v>19750</v>
          </cell>
        </row>
        <row r="156">
          <cell r="F156" t="str">
            <v>TGM6X424 MONTHS/250 000 KMEntire VehicleYes</v>
          </cell>
          <cell r="G156">
            <v>9480</v>
          </cell>
          <cell r="N156" t="str">
            <v>TGM6X436 MONTHS/375 000 KMDrivelineYes</v>
          </cell>
          <cell r="O156">
            <v>15800</v>
          </cell>
        </row>
        <row r="157">
          <cell r="F157" t="str">
            <v>TGM6X424 MONTHS/300 000 KMEntire VehicleNo</v>
          </cell>
          <cell r="G157">
            <v>15010</v>
          </cell>
          <cell r="N157" t="str">
            <v>TGM6X436 MONTHS/450 000 KMDrivelineNo</v>
          </cell>
          <cell r="O157">
            <v>22120</v>
          </cell>
        </row>
        <row r="158">
          <cell r="F158" t="str">
            <v>TGM6X424 MONTHS/300 000 KMEntire VehicleYes</v>
          </cell>
          <cell r="G158">
            <v>12640</v>
          </cell>
          <cell r="N158" t="str">
            <v>TGM6X436 MONTHS/450 000 KMDrivelineYes</v>
          </cell>
          <cell r="O158">
            <v>17380</v>
          </cell>
        </row>
        <row r="159">
          <cell r="F159" t="str">
            <v>TGM6X424 MONTHS/50 000 KMEntire VehicleNo</v>
          </cell>
          <cell r="G159">
            <v>6320</v>
          </cell>
          <cell r="N159" t="str">
            <v>TGM6X436 MONTHS/75 000 KMDrivelineNo</v>
          </cell>
          <cell r="O159">
            <v>10270</v>
          </cell>
        </row>
        <row r="160">
          <cell r="F160" t="str">
            <v>TGM6X424 MONTHS/50 000 KMEntire VehicleYes</v>
          </cell>
          <cell r="G160">
            <v>5530</v>
          </cell>
          <cell r="N160" t="str">
            <v>TGM6X436 MONTHS/75 000 KMDrivelineYes</v>
          </cell>
          <cell r="O160">
            <v>8690</v>
          </cell>
        </row>
        <row r="161">
          <cell r="F161" t="str">
            <v>TGM6X436 MONTHS/150 000 KMEntire VehicleNo</v>
          </cell>
          <cell r="G161">
            <v>25280</v>
          </cell>
          <cell r="N161" t="str">
            <v>TGM6X448 MONTHS/100 000 KMDrivelineNo</v>
          </cell>
          <cell r="O161">
            <v>19750</v>
          </cell>
        </row>
        <row r="162">
          <cell r="F162" t="str">
            <v>TGM6X436 MONTHS/150 000 KMEntire VehicleYes</v>
          </cell>
          <cell r="G162">
            <v>20540</v>
          </cell>
          <cell r="N162" t="str">
            <v>TGM6X448 MONTHS/100 000 KMDrivelineYes</v>
          </cell>
          <cell r="O162">
            <v>15800</v>
          </cell>
        </row>
        <row r="163">
          <cell r="F163" t="str">
            <v>TGM6X436 MONTHS/225 000 KMEntire VehicleNo</v>
          </cell>
          <cell r="G163">
            <v>29230</v>
          </cell>
          <cell r="N163" t="str">
            <v>TGM6X448 MONTHS/200 000 KMDrivelineNo</v>
          </cell>
          <cell r="O163">
            <v>23700</v>
          </cell>
        </row>
        <row r="164">
          <cell r="F164" t="str">
            <v>TGM6X436 MONTHS/225 000 KMEntire VehicleYes</v>
          </cell>
          <cell r="G164">
            <v>23700</v>
          </cell>
          <cell r="N164" t="str">
            <v>TGM6X448 MONTHS/200 000 KMDrivelineYes</v>
          </cell>
          <cell r="O164">
            <v>18960</v>
          </cell>
        </row>
        <row r="165">
          <cell r="F165" t="str">
            <v>TGM6X436 MONTHS/300 000 KMEntire VehicleNo</v>
          </cell>
          <cell r="G165">
            <v>35550</v>
          </cell>
          <cell r="N165" t="str">
            <v>TGM6X448 MONTHS/300 000 KMDrivelineNo</v>
          </cell>
          <cell r="O165">
            <v>28440</v>
          </cell>
        </row>
        <row r="166">
          <cell r="F166" t="str">
            <v>TGM6X436 MONTHS/300 000 KMEntire VehicleYes</v>
          </cell>
          <cell r="G166">
            <v>28440</v>
          </cell>
          <cell r="N166" t="str">
            <v>TGM6X448 MONTHS/300 000 KMDrivelineYes</v>
          </cell>
          <cell r="O166">
            <v>22910</v>
          </cell>
        </row>
        <row r="167">
          <cell r="F167" t="str">
            <v>TGM6X436 MONTHS/375 000 KMEntire VehicleNo</v>
          </cell>
          <cell r="G167">
            <v>38710</v>
          </cell>
          <cell r="N167" t="str">
            <v>TGM6X448 MONTHS/400 000 KMDrivelineNo</v>
          </cell>
          <cell r="O167">
            <v>33970</v>
          </cell>
        </row>
        <row r="168">
          <cell r="F168" t="str">
            <v>TGM6X436 MONTHS/375 000 KMEntire VehicleYes</v>
          </cell>
          <cell r="G168">
            <v>31600</v>
          </cell>
          <cell r="N168" t="str">
            <v>TGM6X448 MONTHS/400 000 KMDrivelineYes</v>
          </cell>
          <cell r="O168">
            <v>27650</v>
          </cell>
        </row>
        <row r="169">
          <cell r="F169" t="str">
            <v>TGM6X436 MONTHS/450 000 KMEntire VehicleNo</v>
          </cell>
          <cell r="G169">
            <v>41870</v>
          </cell>
          <cell r="N169" t="str">
            <v>TGM6X448 MONTHS/500 000 KMDrivelineNo</v>
          </cell>
          <cell r="O169">
            <v>37920</v>
          </cell>
        </row>
        <row r="170">
          <cell r="F170" t="str">
            <v>TGM6X436 MONTHS/450 000 KMEntire VehicleYes</v>
          </cell>
          <cell r="G170">
            <v>33970</v>
          </cell>
          <cell r="N170" t="str">
            <v>TGM6X448 MONTHS/500 000 KMDrivelineYes</v>
          </cell>
          <cell r="O170">
            <v>30810</v>
          </cell>
        </row>
        <row r="171">
          <cell r="F171" t="str">
            <v>TGM6X436 MONTHS/75 000 KMEntire VehicleNo</v>
          </cell>
          <cell r="G171">
            <v>20540</v>
          </cell>
          <cell r="N171" t="str">
            <v>TGM6X448 MONTHS/600 000 KMDrivelineNo</v>
          </cell>
          <cell r="O171">
            <v>43450</v>
          </cell>
        </row>
        <row r="172">
          <cell r="F172" t="str">
            <v>TGM6X436 MONTHS/75 000 KMEntire VehicleYes</v>
          </cell>
          <cell r="G172">
            <v>16590</v>
          </cell>
          <cell r="N172" t="str">
            <v>TGM6X448 MONTHS/600 000 KMDrivelineYes</v>
          </cell>
          <cell r="O172">
            <v>34760</v>
          </cell>
        </row>
        <row r="173">
          <cell r="F173" t="str">
            <v>TGM6X448 MONTHS/100 000 KMEntire VehicleNo</v>
          </cell>
          <cell r="G173">
            <v>29230</v>
          </cell>
          <cell r="N173" t="str">
            <v>TGM6X460 MONTHS/125 000 KMDrivelineNo</v>
          </cell>
          <cell r="O173">
            <v>40290</v>
          </cell>
        </row>
        <row r="174">
          <cell r="F174" t="str">
            <v>TGM6X448 MONTHS/100 000 KMEntire VehicleYes</v>
          </cell>
          <cell r="G174">
            <v>23700</v>
          </cell>
          <cell r="N174" t="str">
            <v>TGM6X460 MONTHS/125 000 KMDrivelineYes</v>
          </cell>
          <cell r="O174">
            <v>32390</v>
          </cell>
        </row>
        <row r="175">
          <cell r="F175" t="str">
            <v>TGM6X448 MONTHS/200 000 KMEntire VehicleNo</v>
          </cell>
          <cell r="G175">
            <v>35550</v>
          </cell>
          <cell r="N175" t="str">
            <v>TGM6X460 MONTHS/250 000 KMDrivelineNo</v>
          </cell>
          <cell r="O175">
            <v>48190</v>
          </cell>
        </row>
        <row r="176">
          <cell r="F176" t="str">
            <v>TGM6X448 MONTHS/200 000 KMEntire VehicleYes</v>
          </cell>
          <cell r="G176">
            <v>28440</v>
          </cell>
          <cell r="N176" t="str">
            <v>TGM6X460 MONTHS/250 000 KMDrivelineYes</v>
          </cell>
          <cell r="O176">
            <v>38710</v>
          </cell>
        </row>
        <row r="177">
          <cell r="F177" t="str">
            <v>TGM6X448 MONTHS/300 000 KMEntire VehicleNo</v>
          </cell>
          <cell r="G177">
            <v>43450</v>
          </cell>
          <cell r="N177" t="str">
            <v>TGM6X460 MONTHS/375 000 KMDrivelineNo</v>
          </cell>
          <cell r="O177">
            <v>58460</v>
          </cell>
        </row>
        <row r="178">
          <cell r="F178" t="str">
            <v>TGM6X448 MONTHS/300 000 KMEntire VehicleYes</v>
          </cell>
          <cell r="G178">
            <v>34760</v>
          </cell>
          <cell r="N178" t="str">
            <v>TGM6X460 MONTHS/375 000 KMDrivelineYes</v>
          </cell>
          <cell r="O178">
            <v>47400</v>
          </cell>
        </row>
        <row r="179">
          <cell r="F179" t="str">
            <v>TGM6X448 MONTHS/400 000 KMEntire VehicleNo</v>
          </cell>
          <cell r="G179">
            <v>52140</v>
          </cell>
          <cell r="N179" t="str">
            <v>TGM6X460 MONTHS/500 000 KMDrivelineNo</v>
          </cell>
          <cell r="O179">
            <v>63990</v>
          </cell>
        </row>
        <row r="180">
          <cell r="F180" t="str">
            <v>TGM6X448 MONTHS/400 000 KMEntire VehicleYes</v>
          </cell>
          <cell r="G180">
            <v>41870</v>
          </cell>
          <cell r="N180" t="str">
            <v>TGM6X460 MONTHS/500 000 KMDrivelineYes</v>
          </cell>
          <cell r="O180">
            <v>51350</v>
          </cell>
        </row>
        <row r="181">
          <cell r="F181" t="str">
            <v>TGM6X448 MONTHS/500 000 KMEntire VehicleNo</v>
          </cell>
          <cell r="G181">
            <v>63200</v>
          </cell>
          <cell r="N181" t="str">
            <v>TGM6X460 MONTHS/625 000 KMDrivelineNo</v>
          </cell>
          <cell r="O181">
            <v>74260</v>
          </cell>
        </row>
        <row r="182">
          <cell r="F182" t="str">
            <v>TGM6X448 MONTHS/500 000 KMEntire VehicleYes</v>
          </cell>
          <cell r="G182">
            <v>50560</v>
          </cell>
          <cell r="N182" t="str">
            <v>TGM6X460 MONTHS/625 000 KMDrivelineYes</v>
          </cell>
          <cell r="O182">
            <v>60040</v>
          </cell>
        </row>
        <row r="183">
          <cell r="F183" t="str">
            <v>TGM6X448 MONTHS/600 000 KMEntire VehicleNo</v>
          </cell>
          <cell r="G183">
            <v>75840</v>
          </cell>
          <cell r="N183" t="str">
            <v>TGM6X460 MONTHS/750 000 KMDrivelineNo</v>
          </cell>
          <cell r="O183">
            <v>89270</v>
          </cell>
        </row>
        <row r="184">
          <cell r="F184" t="str">
            <v>TGM6X448 MONTHS/600 000 KMEntire VehicleYes</v>
          </cell>
          <cell r="G184">
            <v>60830</v>
          </cell>
          <cell r="N184" t="str">
            <v>TGM6X460 MONTHS/750 000 KMDrivelineYes</v>
          </cell>
          <cell r="O184">
            <v>71890</v>
          </cell>
        </row>
        <row r="185">
          <cell r="F185" t="str">
            <v>TGM6X460 MONTHS/125 000 KMEntire VehicleNo</v>
          </cell>
          <cell r="G185">
            <v>61620</v>
          </cell>
          <cell r="N185" t="str">
            <v>TGM6X472 MONTHS/150 000 KMDrivelineNo</v>
          </cell>
          <cell r="O185">
            <v>53720</v>
          </cell>
        </row>
        <row r="186">
          <cell r="F186" t="str">
            <v>TGM6X460 MONTHS/125 000 KMEntire VehicleYes</v>
          </cell>
          <cell r="G186">
            <v>49770</v>
          </cell>
          <cell r="N186" t="str">
            <v>TGM6X472 MONTHS/150 000 KMDrivelineYes</v>
          </cell>
          <cell r="O186">
            <v>44240</v>
          </cell>
        </row>
        <row r="187">
          <cell r="F187" t="str">
            <v>TGM6X460 MONTHS/250 000 KMEntire VehicleNo</v>
          </cell>
          <cell r="G187">
            <v>74260</v>
          </cell>
          <cell r="N187" t="str">
            <v>TGM6X472 MONTHS/300 000 KMDrivelineNo</v>
          </cell>
          <cell r="O187">
            <v>70310</v>
          </cell>
        </row>
        <row r="188">
          <cell r="F188" t="str">
            <v>TGM6X460 MONTHS/250 000 KMEntire VehicleYes</v>
          </cell>
          <cell r="G188">
            <v>60040</v>
          </cell>
          <cell r="N188" t="str">
            <v>TGM6X472 MONTHS/300 000 KMDrivelineYes</v>
          </cell>
          <cell r="O188">
            <v>58460</v>
          </cell>
        </row>
        <row r="189">
          <cell r="F189" t="str">
            <v>TGM6X460 MONTHS/375 000 KMEntire VehicleNo</v>
          </cell>
          <cell r="G189">
            <v>89270</v>
          </cell>
          <cell r="N189" t="str">
            <v>TGM6X472 MONTHS/450 000 KMDrivelineNo</v>
          </cell>
          <cell r="O189">
            <v>104280</v>
          </cell>
        </row>
        <row r="190">
          <cell r="F190" t="str">
            <v>TGM6X460 MONTHS/375 000 KMEntire VehicleYes</v>
          </cell>
          <cell r="G190">
            <v>71890</v>
          </cell>
          <cell r="N190" t="str">
            <v>TGM6X472 MONTHS/450 000 KMDrivelineYes</v>
          </cell>
          <cell r="O190">
            <v>86900</v>
          </cell>
        </row>
        <row r="191">
          <cell r="F191" t="str">
            <v>TGM6X460 MONTHS/500 000 KMEntire VehicleNo</v>
          </cell>
          <cell r="G191">
            <v>108230</v>
          </cell>
          <cell r="N191" t="str">
            <v>TGM6X472 MONTHS/600 000 KMDrivelineNo</v>
          </cell>
          <cell r="O191">
            <v>135880</v>
          </cell>
        </row>
        <row r="192">
          <cell r="F192" t="str">
            <v>TGM6X460 MONTHS/500 000 KMEntire VehicleYes</v>
          </cell>
          <cell r="G192">
            <v>86900</v>
          </cell>
          <cell r="N192" t="str">
            <v>TGM6X472 MONTHS/600 000 KMDrivelineYes</v>
          </cell>
          <cell r="O192">
            <v>112970</v>
          </cell>
        </row>
        <row r="193">
          <cell r="F193" t="str">
            <v>TGM6X460 MONTHS/625 000 KMEntire VehicleNo</v>
          </cell>
          <cell r="G193">
            <v>131140</v>
          </cell>
          <cell r="N193" t="str">
            <v>TGM6X472 MONTHS/750 000 KMDrivelineNo</v>
          </cell>
          <cell r="O193">
            <v>165110</v>
          </cell>
        </row>
        <row r="194">
          <cell r="F194" t="str">
            <v>TGM6X460 MONTHS/625 000 KMEntire VehicleYes</v>
          </cell>
          <cell r="G194">
            <v>105070</v>
          </cell>
          <cell r="N194" t="str">
            <v>TGM6X472 MONTHS/750 000 KMDrivelineYes</v>
          </cell>
          <cell r="O194">
            <v>137460</v>
          </cell>
        </row>
        <row r="195">
          <cell r="F195" t="str">
            <v>TGM6X460 MONTHS/750 000 KMEntire VehicleNo</v>
          </cell>
          <cell r="G195">
            <v>158790</v>
          </cell>
          <cell r="N195" t="str">
            <v>TGM6X472 MONTHS/900 000 KMDrivelineNo</v>
          </cell>
          <cell r="O195">
            <v>194340</v>
          </cell>
        </row>
        <row r="196">
          <cell r="F196" t="str">
            <v>TGM6X460 MONTHS/750 000 KMEntire VehicleYes</v>
          </cell>
          <cell r="G196">
            <v>127190</v>
          </cell>
          <cell r="N196" t="str">
            <v>TGM6X472 MONTHS/900 000 KMDrivelineYes</v>
          </cell>
          <cell r="O196">
            <v>161950</v>
          </cell>
        </row>
      </sheetData>
      <sheetData sheetId="6">
        <row r="5">
          <cell r="G5" t="str">
            <v>TGS4X224 MONTHS/300 000 KM36 MONTHS/450 000 KMCombinationNo</v>
          </cell>
          <cell r="H5">
            <v>32390</v>
          </cell>
          <cell r="N5" t="str">
            <v>TGS4X424 MONTHS/300 000 KM</v>
          </cell>
          <cell r="O5">
            <v>1580</v>
          </cell>
          <cell r="AC5" t="str">
            <v>TGS4X224 MONTHS/50 000 KMEntire VehicleNo</v>
          </cell>
          <cell r="AD5">
            <v>4740</v>
          </cell>
          <cell r="AK5" t="str">
            <v>TGS4X236 MONTHS/75 000 KMDrivelineNo</v>
          </cell>
          <cell r="AL5">
            <v>4740</v>
          </cell>
        </row>
        <row r="6">
          <cell r="G6" t="str">
            <v>TGS4X224 MONTHS/300 000 KM36 MONTHS/450 000 KMCombinationYes</v>
          </cell>
          <cell r="H6">
            <v>26070</v>
          </cell>
          <cell r="N6" t="str">
            <v>TGS4X436 MONTHS/150 000 KM</v>
          </cell>
          <cell r="O6">
            <v>5530</v>
          </cell>
          <cell r="AC6" t="str">
            <v>TGS4X224 MONTHS/50 000 KMEntire VehicleYes</v>
          </cell>
          <cell r="AD6">
            <v>3950</v>
          </cell>
          <cell r="AK6" t="str">
            <v>TGS4X236 MONTHS/75 000 KMDrivelineYes</v>
          </cell>
          <cell r="AL6">
            <v>3950</v>
          </cell>
        </row>
        <row r="7">
          <cell r="G7" t="str">
            <v>TGS4X224 MONTHS/400 000 KM36 MONTHS/600 000 KMCombinationNo</v>
          </cell>
          <cell r="H7">
            <v>41080</v>
          </cell>
          <cell r="N7" t="str">
            <v>TGS4X436 MONTHS/225 000 KM</v>
          </cell>
          <cell r="O7">
            <v>6320</v>
          </cell>
          <cell r="AC7" t="str">
            <v>TGS4X224 MONTHS/100 000 KMEntire VehicleNo</v>
          </cell>
          <cell r="AD7">
            <v>6320</v>
          </cell>
          <cell r="AK7" t="str">
            <v>TGS4X236 MONTHS/125 000 KMDrivelineNo</v>
          </cell>
          <cell r="AL7">
            <v>8690</v>
          </cell>
        </row>
        <row r="8">
          <cell r="G8" t="str">
            <v>TGS4X224 MONTHS/400 000 KM36 MONTHS/600 000 KMCombinationYes</v>
          </cell>
          <cell r="H8">
            <v>33180</v>
          </cell>
          <cell r="N8" t="str">
            <v>TGS4X436 MONTHS/300 000 KM</v>
          </cell>
          <cell r="O8">
            <v>7900</v>
          </cell>
          <cell r="AC8" t="str">
            <v>TGS4X224 MONTHS/100 000 KMEntire VehicleYes</v>
          </cell>
          <cell r="AD8">
            <v>4740</v>
          </cell>
          <cell r="AK8" t="str">
            <v>TGS4X236 MONTHS/125 000 KMDrivelineYes</v>
          </cell>
          <cell r="AL8">
            <v>7110</v>
          </cell>
        </row>
        <row r="9">
          <cell r="G9" t="str">
            <v>TGS4X224 MONTHS/300 000 KM48 MONTHS/600 000 KMCombinationNo</v>
          </cell>
          <cell r="H9">
            <v>50560</v>
          </cell>
          <cell r="N9" t="str">
            <v>TGS4X436 MONTHS/375 000 KM</v>
          </cell>
          <cell r="O9">
            <v>9480</v>
          </cell>
          <cell r="AC9" t="str">
            <v>TGS4X224 MONTHS/150 000 KMEntire VehicleNo</v>
          </cell>
          <cell r="AD9">
            <v>7900</v>
          </cell>
          <cell r="AK9" t="str">
            <v>TGS4X236 MONTHS/225 000 KMDrivelineNo</v>
          </cell>
          <cell r="AL9">
            <v>10270</v>
          </cell>
        </row>
        <row r="10">
          <cell r="G10" t="str">
            <v>TGS4X224 MONTHS/300 000 KM48 MONTHS/600 000 KMCombinationYes</v>
          </cell>
          <cell r="H10">
            <v>41080</v>
          </cell>
          <cell r="N10" t="str">
            <v>TGS4X436 MONTHS/450 000 KM</v>
          </cell>
          <cell r="O10">
            <v>11060</v>
          </cell>
          <cell r="AC10" t="str">
            <v>TGS4X224 MONTHS/150 000 KMEntire VehicleYes</v>
          </cell>
          <cell r="AD10">
            <v>6320</v>
          </cell>
          <cell r="AK10" t="str">
            <v>TGS4X236 MONTHS/225 000 KMDrivelineYes</v>
          </cell>
          <cell r="AL10">
            <v>8690</v>
          </cell>
        </row>
        <row r="11">
          <cell r="G11" t="str">
            <v>TGS4X224 MONTHS/400 000 KM48 MONTHS/800 000 KMCombinationNo</v>
          </cell>
          <cell r="H11">
            <v>73470</v>
          </cell>
          <cell r="N11" t="str">
            <v>TGS4X436 MONTHS/75 000 KM</v>
          </cell>
          <cell r="O11">
            <v>4740</v>
          </cell>
          <cell r="AC11" t="str">
            <v>TGS4X224 MONTHS/200 000 KMEntire VehicleNo</v>
          </cell>
          <cell r="AD11">
            <v>9480</v>
          </cell>
          <cell r="AK11" t="str">
            <v>TGS4X236 MONTHS/300 000 KMDrivelineNo</v>
          </cell>
          <cell r="AL11">
            <v>11850</v>
          </cell>
        </row>
        <row r="12">
          <cell r="G12" t="str">
            <v>TGS4X224 MONTHS/400 000 KM48 MONTHS/800 000 KMCombinationYes</v>
          </cell>
          <cell r="H12">
            <v>59250</v>
          </cell>
          <cell r="N12" t="str">
            <v>TGS4X448 MONTHS/100 000 KM</v>
          </cell>
          <cell r="O12">
            <v>8690</v>
          </cell>
          <cell r="AC12" t="str">
            <v>TGS4X224 MONTHS/200 000 KMEntire VehicleYes</v>
          </cell>
          <cell r="AD12">
            <v>7900</v>
          </cell>
          <cell r="AK12" t="str">
            <v>TGS4X236 MONTHS/300 000 KMDrivelineYes</v>
          </cell>
          <cell r="AL12">
            <v>9480</v>
          </cell>
        </row>
        <row r="13">
          <cell r="G13" t="str">
            <v>TGS4X236 MONTHS/450 000 KM48 MONTHS/600 000 KMCombinationNo</v>
          </cell>
          <cell r="H13">
            <v>61620</v>
          </cell>
          <cell r="N13" t="str">
            <v>TGS4X448 MONTHS/200 000 KM</v>
          </cell>
          <cell r="O13">
            <v>10270</v>
          </cell>
          <cell r="AC13" t="str">
            <v>TGS4X224 MONTHS/250 000 KMEntire VehicleNo</v>
          </cell>
          <cell r="AD13">
            <v>11850</v>
          </cell>
          <cell r="AK13" t="str">
            <v>TGS4X236 MONTHS/375 000 KMDrivelineNo</v>
          </cell>
          <cell r="AL13">
            <v>15010</v>
          </cell>
        </row>
        <row r="14">
          <cell r="G14" t="str">
            <v>TGS4X236 MONTHS/450 000 KM48 MONTHS/600 000 KMCombinationYes</v>
          </cell>
          <cell r="H14">
            <v>49770</v>
          </cell>
          <cell r="N14" t="str">
            <v>TGS4X448 MONTHS/300 000 KM</v>
          </cell>
          <cell r="O14">
            <v>11850</v>
          </cell>
          <cell r="AC14" t="str">
            <v>TGS4X224 MONTHS/250 000 KMEntire VehicleYes</v>
          </cell>
          <cell r="AD14">
            <v>9480</v>
          </cell>
          <cell r="AK14" t="str">
            <v>TGS4X236 MONTHS/375 000 KMDrivelineYes</v>
          </cell>
          <cell r="AL14">
            <v>12640</v>
          </cell>
        </row>
        <row r="15">
          <cell r="G15" t="str">
            <v>TGS4X236 MONTHS/400 000 KM48 MONTHS/800 000 KMCombinationNo</v>
          </cell>
          <cell r="H15">
            <v>86110</v>
          </cell>
          <cell r="N15" t="str">
            <v>TGS4X448 MONTHS/400 000 KM</v>
          </cell>
          <cell r="O15">
            <v>14220</v>
          </cell>
          <cell r="AC15" t="str">
            <v>TGS4X224 MONTHS/300 000 KMEntire VehicleNo</v>
          </cell>
          <cell r="AD15">
            <v>15010</v>
          </cell>
          <cell r="AK15" t="str">
            <v>TGS4X236 MONTHS/450 000 KMDrivelineNo</v>
          </cell>
          <cell r="AL15">
            <v>17380</v>
          </cell>
        </row>
        <row r="16">
          <cell r="G16" t="str">
            <v>TGS4X236 MONTHS/400 000 KM48 MONTHS/800 000 KMCombinationYes</v>
          </cell>
          <cell r="H16">
            <v>69520</v>
          </cell>
          <cell r="N16" t="str">
            <v>TGS4X448 MONTHS/500 000 KM</v>
          </cell>
          <cell r="O16">
            <v>16590</v>
          </cell>
          <cell r="AC16" t="str">
            <v>TGS4X224 MONTHS/300 000 KMEntire VehicleYes</v>
          </cell>
          <cell r="AD16">
            <v>12640</v>
          </cell>
          <cell r="AK16" t="str">
            <v>TGS4X236 MONTHS/450 000 KMDrivelineYes</v>
          </cell>
          <cell r="AL16">
            <v>14220</v>
          </cell>
        </row>
        <row r="17">
          <cell r="G17" t="str">
            <v>TGS4X224 MONTHS/300 000 KM60 MONTHS/750 000 KMCombinationNo</v>
          </cell>
          <cell r="H17">
            <v>75050</v>
          </cell>
          <cell r="N17" t="str">
            <v>TGS4X448 MONTHS/600 000 KM</v>
          </cell>
          <cell r="O17">
            <v>18960</v>
          </cell>
          <cell r="AC17" t="str">
            <v>TGS4X224 MONTHS/350 000 KMEntire VehicleNo</v>
          </cell>
          <cell r="AD17">
            <v>16590</v>
          </cell>
          <cell r="AK17" t="str">
            <v>TGS4X236 MONTHS/525 000 KMDrivelineNo</v>
          </cell>
          <cell r="AL17">
            <v>20540</v>
          </cell>
        </row>
        <row r="18">
          <cell r="G18" t="str">
            <v>TGS4X224 MONTHS/300 000 KM60 MONTHS/750 000 KMCombinationYes</v>
          </cell>
          <cell r="H18">
            <v>60040</v>
          </cell>
          <cell r="N18" t="str">
            <v>TGS4X460 MONTHS/125 000 KM</v>
          </cell>
          <cell r="O18">
            <v>17380</v>
          </cell>
          <cell r="AC18" t="str">
            <v>TGS4X224 MONTHS/350 000 KMEntire VehicleYes</v>
          </cell>
          <cell r="AD18">
            <v>13430</v>
          </cell>
          <cell r="AK18" t="str">
            <v>TGS4X236 MONTHS/525 000 KMDrivelineYes</v>
          </cell>
          <cell r="AL18">
            <v>16590</v>
          </cell>
        </row>
        <row r="19">
          <cell r="G19" t="str">
            <v>TGS4X224 MONTHS/400 000 KM60 MONTHS/1000 000 KMCombinationNo</v>
          </cell>
          <cell r="H19">
            <v>103490</v>
          </cell>
          <cell r="N19" t="str">
            <v>TGS4X460 MONTHS/250 000 KM</v>
          </cell>
          <cell r="O19">
            <v>20540</v>
          </cell>
          <cell r="AC19" t="str">
            <v>TGS4X224 MONTHS/400 000 KMEntire VehicleNo</v>
          </cell>
          <cell r="AD19">
            <v>17380</v>
          </cell>
          <cell r="AK19" t="str">
            <v>TGS4X236 MONTHS/600 000 KMDrivelineNo</v>
          </cell>
          <cell r="AL19">
            <v>23700</v>
          </cell>
        </row>
        <row r="20">
          <cell r="G20" t="str">
            <v>TGS4X224 MONTHS/400 000 KM60 MONTHS/1000 000 KMCombinationYes</v>
          </cell>
          <cell r="H20">
            <v>82950</v>
          </cell>
          <cell r="N20" t="str">
            <v>TGS4X460 MONTHS/375 000 KM</v>
          </cell>
          <cell r="O20">
            <v>24490</v>
          </cell>
          <cell r="AC20" t="str">
            <v>TGS4X224 MONTHS/400 000 KMEntire VehicleYes</v>
          </cell>
          <cell r="AD20">
            <v>14220</v>
          </cell>
          <cell r="AK20" t="str">
            <v>TGS4X236 MONTHS/600 000 KMDrivelineYes</v>
          </cell>
          <cell r="AL20">
            <v>18960</v>
          </cell>
        </row>
        <row r="21">
          <cell r="G21" t="str">
            <v>TGS4X236 MONTHS/450 000 KM60 MONTHS/750 000 KMCombinationNo</v>
          </cell>
          <cell r="H21">
            <v>86110</v>
          </cell>
          <cell r="N21" t="str">
            <v>TGS4X460 MONTHS/500 000 KM</v>
          </cell>
          <cell r="O21">
            <v>29230</v>
          </cell>
          <cell r="AC21" t="str">
            <v>TGS4X236 MONTHS/75 000 KMEntire VehicleNo</v>
          </cell>
          <cell r="AD21">
            <v>12640</v>
          </cell>
          <cell r="AK21" t="str">
            <v>TGS4X242 MONTHS/350 000 KMDrivelineNo</v>
          </cell>
          <cell r="AL21">
            <v>15010</v>
          </cell>
        </row>
        <row r="22">
          <cell r="G22" t="str">
            <v>TGS4X236 MONTHS/450 000 KM60 MONTHS/750 000 KMCombinationYes</v>
          </cell>
          <cell r="H22">
            <v>69520</v>
          </cell>
          <cell r="N22" t="str">
            <v>TGS4X460 MONTHS/625 000 KM</v>
          </cell>
          <cell r="O22">
            <v>33970</v>
          </cell>
          <cell r="AC22" t="str">
            <v>TGS4X236 MONTHS/75 000 KMEntire VehicleYes</v>
          </cell>
          <cell r="AD22">
            <v>10270</v>
          </cell>
          <cell r="AK22" t="str">
            <v>TGS4X242 MONTHS/350 000 KMDrivelineYes</v>
          </cell>
          <cell r="AL22">
            <v>12640</v>
          </cell>
        </row>
        <row r="23">
          <cell r="G23" t="str">
            <v>TGS4X236 MONTHS/600 000 KM60 MONTHS/1000 000 KMCombinationNo</v>
          </cell>
          <cell r="H23">
            <v>116130</v>
          </cell>
          <cell r="N23" t="str">
            <v>TGS4X460 MONTHS/750 000 KM</v>
          </cell>
          <cell r="O23">
            <v>37920</v>
          </cell>
          <cell r="AC23" t="str">
            <v>TGS4X236 MONTHS/150 000 KMEntire VehicleNo</v>
          </cell>
          <cell r="AD23">
            <v>17380</v>
          </cell>
          <cell r="AK23" t="str">
            <v>TGS4X242 MONTHS/437 500 KMDrivelineNo</v>
          </cell>
          <cell r="AL23">
            <v>20540</v>
          </cell>
        </row>
        <row r="24">
          <cell r="G24" t="str">
            <v>TGS4X236 MONTHS/600 000 KM60 MONTHS/1000 000 KMCombinationYes</v>
          </cell>
          <cell r="H24">
            <v>93220</v>
          </cell>
          <cell r="N24" t="str">
            <v>TGS6X424 MONTHS/300 000 KM</v>
          </cell>
          <cell r="O24">
            <v>1580</v>
          </cell>
          <cell r="AC24" t="str">
            <v>TGS4X236 MONTHS/150 000 KMEntire VehicleYes</v>
          </cell>
          <cell r="AD24">
            <v>14220</v>
          </cell>
          <cell r="AK24" t="str">
            <v>TGS4X242 MONTHS/437 500 KMDrivelineYes</v>
          </cell>
          <cell r="AL24">
            <v>16590</v>
          </cell>
        </row>
        <row r="25">
          <cell r="G25" t="str">
            <v>TGS4X248 MONTHS/600 000 KM60 MONTHS/750 000 KMCombinationNo</v>
          </cell>
          <cell r="H25">
            <v>119290</v>
          </cell>
          <cell r="N25" t="str">
            <v>TGS6X436 MONTHS/150 000 KM</v>
          </cell>
          <cell r="O25">
            <v>5530</v>
          </cell>
          <cell r="AC25" t="str">
            <v>TGS4X236 MONTHS/225 000 KMEntire VehicleNo</v>
          </cell>
          <cell r="AD25">
            <v>27650</v>
          </cell>
          <cell r="AK25" t="str">
            <v>TGS4X242 MONTHS/525 000 KMDrivelineNo</v>
          </cell>
          <cell r="AL25">
            <v>26860</v>
          </cell>
        </row>
        <row r="26">
          <cell r="G26" t="str">
            <v>TGS4X248 MONTHS/600 000 KM60 MONTHS/750 000 KMCombinationYes</v>
          </cell>
          <cell r="H26">
            <v>95590</v>
          </cell>
          <cell r="N26" t="str">
            <v>TGS6X436 MONTHS/225 000 KM</v>
          </cell>
          <cell r="O26">
            <v>6320</v>
          </cell>
          <cell r="AC26" t="str">
            <v>TGS4X236 MONTHS/225 000 KMEntire VehicleYes</v>
          </cell>
          <cell r="AD26">
            <v>22120</v>
          </cell>
          <cell r="AK26" t="str">
            <v>TGS4X242 MONTHS/525 000 KMDrivelineYes</v>
          </cell>
          <cell r="AL26">
            <v>22120</v>
          </cell>
        </row>
        <row r="27">
          <cell r="G27" t="str">
            <v>TGS4X248 MONTHS/800 000 KM60 MONTHS/1000 000 KMCombinationNo</v>
          </cell>
          <cell r="H27">
            <v>138250</v>
          </cell>
          <cell r="N27" t="str">
            <v>TGS6X436 MONTHS/300 000 KM</v>
          </cell>
          <cell r="O27">
            <v>7900</v>
          </cell>
          <cell r="AC27" t="str">
            <v>TGS4X236 MONTHS/300 000 KMEntire VehicleNo</v>
          </cell>
          <cell r="AD27">
            <v>31600</v>
          </cell>
          <cell r="AK27" t="str">
            <v>TGS4X242 MONTHS/612 500 KMDrivelineNo</v>
          </cell>
          <cell r="AL27">
            <v>33180</v>
          </cell>
        </row>
        <row r="28">
          <cell r="G28" t="str">
            <v>TGS4X248 MONTHS/800 000 KM60 MONTHS/1000 000 KMCombinationYes</v>
          </cell>
          <cell r="H28">
            <v>110600</v>
          </cell>
          <cell r="N28" t="str">
            <v>TGS6X436 MONTHS/375 000 KM</v>
          </cell>
          <cell r="O28">
            <v>9480</v>
          </cell>
          <cell r="AC28" t="str">
            <v>TGS4X236 MONTHS/300 000 KMEntire VehicleYes</v>
          </cell>
          <cell r="AD28">
            <v>25280</v>
          </cell>
          <cell r="AK28" t="str">
            <v>TGS4X242 MONTHS/612 500 KMDrivelineYes</v>
          </cell>
          <cell r="AL28">
            <v>26860</v>
          </cell>
        </row>
        <row r="29">
          <cell r="G29" t="str">
            <v>TGS4X4 H/D24 MONTHS/150 000 KM36 MONTHS/225 000 KMCombinationNo</v>
          </cell>
          <cell r="H29">
            <v>33970</v>
          </cell>
          <cell r="N29" t="str">
            <v>TGS6X436 MONTHS/450 000 KM</v>
          </cell>
          <cell r="O29">
            <v>11060</v>
          </cell>
          <cell r="AC29" t="str">
            <v>TGS4X236 MONTHS/375 000 KMEntire VehicleNo</v>
          </cell>
          <cell r="AD29">
            <v>37920</v>
          </cell>
          <cell r="AK29" t="str">
            <v>TGS4X248 MONTHS/100 000 KMDrivelineNo</v>
          </cell>
          <cell r="AL29">
            <v>3950</v>
          </cell>
        </row>
        <row r="30">
          <cell r="G30" t="str">
            <v>TGS4X4 H/D24 MONTHS/150 000 KM36 MONTHS/225 000 KMCombinationYes</v>
          </cell>
          <cell r="H30">
            <v>65570</v>
          </cell>
          <cell r="N30" t="str">
            <v>TGS6X436 MONTHS/75 000 KM</v>
          </cell>
          <cell r="O30">
            <v>4740</v>
          </cell>
          <cell r="AC30" t="str">
            <v>TGS4X236 MONTHS/375 000 KMEntire VehicleYes</v>
          </cell>
          <cell r="AD30">
            <v>30810</v>
          </cell>
          <cell r="AK30" t="str">
            <v>TGS4X248 MONTHS/100 000 KMDrivelineYes</v>
          </cell>
          <cell r="AL30">
            <v>3160</v>
          </cell>
        </row>
        <row r="31">
          <cell r="G31" t="str">
            <v>TGS4X4 H/D24 MONTHS/150 000 KM48 MONTHS/300 000 KMCombinationNo</v>
          </cell>
          <cell r="H31">
            <v>60040</v>
          </cell>
          <cell r="N31" t="str">
            <v>TGS6X448 MONTHS/100 000 KM</v>
          </cell>
          <cell r="O31">
            <v>8690</v>
          </cell>
          <cell r="AC31" t="str">
            <v>TGS4X236 MONTHS/450 000 KMEntire VehicleNo</v>
          </cell>
          <cell r="AD31">
            <v>43450</v>
          </cell>
          <cell r="AK31" t="str">
            <v>TGS4X248 MONTHS/200 000 KMDrivelineNo</v>
          </cell>
          <cell r="AL31">
            <v>7900</v>
          </cell>
        </row>
        <row r="32">
          <cell r="G32" t="str">
            <v>TGS4X4 H/D24 MONTHS/150 000 KM48 MONTHS/300 000 KMCombinationYes</v>
          </cell>
          <cell r="H32">
            <v>103490</v>
          </cell>
          <cell r="N32" t="str">
            <v>TGS6X448 MONTHS/200 000 KM</v>
          </cell>
          <cell r="O32">
            <v>10270</v>
          </cell>
          <cell r="AC32" t="str">
            <v>TGS4X236 MONTHS/450 000 KMEntire VehicleYes</v>
          </cell>
          <cell r="AD32">
            <v>34760</v>
          </cell>
          <cell r="AK32" t="str">
            <v>TGS4X248 MONTHS/200 000 KMDrivelineYes</v>
          </cell>
          <cell r="AL32">
            <v>6320</v>
          </cell>
        </row>
        <row r="33">
          <cell r="G33" t="str">
            <v>TGS4X4 H/D24 MONTHS/150 000 KM60 MONTHS/375 000 KMCombinationNo</v>
          </cell>
          <cell r="H33">
            <v>109810</v>
          </cell>
          <cell r="N33" t="str">
            <v>TGS6X448 MONTHS/300 000 KM</v>
          </cell>
          <cell r="O33">
            <v>11850</v>
          </cell>
          <cell r="AC33" t="str">
            <v>TGS4X236 MONTHS/525 000 KMEntire VehicleNo</v>
          </cell>
          <cell r="AD33">
            <v>48190</v>
          </cell>
          <cell r="AK33" t="str">
            <v>TGS4X248 MONTHS/300 000 KMDrivelineNo</v>
          </cell>
          <cell r="AL33">
            <v>13430</v>
          </cell>
        </row>
        <row r="34">
          <cell r="G34" t="str">
            <v>TGS4X4 H/D24 MONTHS/150 000 KM60 MONTHS/375 000 KMCombinationYes</v>
          </cell>
          <cell r="H34">
            <v>197500</v>
          </cell>
          <cell r="N34" t="str">
            <v>TGS6X448 MONTHS/400 000 KM</v>
          </cell>
          <cell r="O34">
            <v>14220</v>
          </cell>
          <cell r="AC34" t="str">
            <v>TGS4X236 MONTHS/525 000 KMEntire VehicleYes</v>
          </cell>
          <cell r="AD34">
            <v>38710</v>
          </cell>
          <cell r="AK34" t="str">
            <v>TGS4X248 MONTHS/300 000 KMDrivelineYes</v>
          </cell>
          <cell r="AL34">
            <v>11060</v>
          </cell>
        </row>
        <row r="35">
          <cell r="G35" t="str">
            <v>TGS4X4 H/D24 MONTHS/300 000 KM36 MONTHS/450 000 KMCombinationNo</v>
          </cell>
          <cell r="H35">
            <v>56880</v>
          </cell>
          <cell r="N35" t="str">
            <v>TGS6X448 MONTHS/500 000 KM</v>
          </cell>
          <cell r="O35">
            <v>16590</v>
          </cell>
          <cell r="AC35" t="str">
            <v>TGS4X236 MONTHS/600 000 KMEntire VehicleNo</v>
          </cell>
          <cell r="AD35">
            <v>53720</v>
          </cell>
          <cell r="AK35" t="str">
            <v>TGS4X248 MONTHS/400 000 KMDrivelineNo</v>
          </cell>
          <cell r="AL35">
            <v>18170</v>
          </cell>
        </row>
        <row r="36">
          <cell r="G36" t="str">
            <v>TGS4X4 H/D24 MONTHS/300 000 KM36 MONTHS/450 000 KMCombinationYes</v>
          </cell>
          <cell r="H36">
            <v>117710</v>
          </cell>
          <cell r="N36" t="str">
            <v>TGS6X448 MONTHS/600 000 KM</v>
          </cell>
          <cell r="O36">
            <v>18960</v>
          </cell>
          <cell r="AC36" t="str">
            <v>TGS4X236 MONTHS/600 000 KMEntire VehicleYes</v>
          </cell>
          <cell r="AD36">
            <v>43450</v>
          </cell>
          <cell r="AK36" t="str">
            <v>TGS4X248 MONTHS/400 000 KMDrivelineYes</v>
          </cell>
          <cell r="AL36">
            <v>15010</v>
          </cell>
        </row>
        <row r="37">
          <cell r="G37" t="str">
            <v>TGS4X4 H/D24 MONTHS/300 000 KM48 MONTHS/600 000 KMCombinationNo</v>
          </cell>
          <cell r="H37">
            <v>95590</v>
          </cell>
          <cell r="N37" t="str">
            <v>TGS6X460 MONTHS/125 000 KM</v>
          </cell>
          <cell r="O37">
            <v>17380</v>
          </cell>
          <cell r="AC37" t="str">
            <v>TGS4X242 MONTHS/350 000 KMEntire VehicleNo</v>
          </cell>
          <cell r="AD37">
            <v>50560</v>
          </cell>
          <cell r="AK37" t="str">
            <v>TGS4X248 MONTHS/500 000 KMDrivelineNo</v>
          </cell>
          <cell r="AL37">
            <v>26070</v>
          </cell>
        </row>
        <row r="38">
          <cell r="G38" t="str">
            <v>TGS4X4 H/D24 MONTHS/300 000 KM48 MONTHS/600 000 KMCombinationYes</v>
          </cell>
          <cell r="H38">
            <v>180120</v>
          </cell>
          <cell r="N38" t="str">
            <v>TGS6X460 MONTHS/250 000 KM</v>
          </cell>
          <cell r="O38">
            <v>20540</v>
          </cell>
          <cell r="AC38" t="str">
            <v>TGS4X242 MONTHS/350 000 KMEntire VehicleYes</v>
          </cell>
          <cell r="AD38">
            <v>41080</v>
          </cell>
          <cell r="AK38" t="str">
            <v>TGS4X248 MONTHS/500 000 KMDrivelineYes</v>
          </cell>
          <cell r="AL38">
            <v>21330</v>
          </cell>
        </row>
        <row r="39">
          <cell r="G39" t="str">
            <v>TGS4X4 H/D24 MONTHS/300 000 KM60 MONTHS/750 000 KMCombinationNo</v>
          </cell>
          <cell r="H39">
            <v>183280</v>
          </cell>
          <cell r="N39" t="str">
            <v>TGS6X460 MONTHS/375 000 KM</v>
          </cell>
          <cell r="O39">
            <v>24490</v>
          </cell>
          <cell r="AC39" t="str">
            <v>TGS4X242 MONTHS/437 500 KMEntire VehicleNo</v>
          </cell>
          <cell r="AD39">
            <v>61620</v>
          </cell>
          <cell r="AK39" t="str">
            <v>TGS4X248 MONTHS/600 000 KMDrivelineNo</v>
          </cell>
          <cell r="AL39">
            <v>35550</v>
          </cell>
        </row>
        <row r="40">
          <cell r="G40" t="str">
            <v>TGS4X4 H/D24 MONTHS/300 000 KM60 MONTHS/750 000 KMCombinationYes</v>
          </cell>
          <cell r="H40">
            <v>335750</v>
          </cell>
          <cell r="N40" t="str">
            <v>TGS6X460 MONTHS/500 000 KM</v>
          </cell>
          <cell r="O40">
            <v>29230</v>
          </cell>
          <cell r="AC40" t="str">
            <v>TGS4X242 MONTHS/437 500 KMEntire VehicleYes</v>
          </cell>
          <cell r="AD40">
            <v>49770</v>
          </cell>
          <cell r="AK40" t="str">
            <v>TGS4X248 MONTHS/600 000 KMDrivelineYes</v>
          </cell>
          <cell r="AL40">
            <v>28440</v>
          </cell>
        </row>
        <row r="41">
          <cell r="G41" t="str">
            <v>TGS4X4 H/D36 MONTHS/225 000 KM48 MONTHS/300 000 KM CombinationNo</v>
          </cell>
          <cell r="H41">
            <v>76630</v>
          </cell>
          <cell r="N41" t="str">
            <v>TGS6X460 MONTHS/625 000 KM</v>
          </cell>
          <cell r="O41">
            <v>33970</v>
          </cell>
          <cell r="AC41" t="str">
            <v>TGS4X242 MONTHS/525 000 KMEntire VehicleNo</v>
          </cell>
          <cell r="AD41">
            <v>68730</v>
          </cell>
          <cell r="AK41" t="str">
            <v>TGS4X248 MONTHS/700 000 KMDrivelineNo</v>
          </cell>
          <cell r="AL41">
            <v>45820</v>
          </cell>
        </row>
        <row r="42">
          <cell r="G42" t="str">
            <v>TGS4X4 H/D36 MONTHS/225 000 KM48 MONTHS/300 000 KM CombinationYes</v>
          </cell>
          <cell r="H42">
            <v>123240</v>
          </cell>
          <cell r="N42" t="str">
            <v>TGS6X460 MONTHS/750 000 KM</v>
          </cell>
          <cell r="O42">
            <v>37920</v>
          </cell>
          <cell r="AC42" t="str">
            <v>TGS4X242 MONTHS/525 000 KMEntire VehicleYes</v>
          </cell>
          <cell r="AD42">
            <v>55300</v>
          </cell>
          <cell r="AK42" t="str">
            <v>TGS4X248 MONTHS/700 000 KMDrivelineYes</v>
          </cell>
          <cell r="AL42">
            <v>37130</v>
          </cell>
        </row>
        <row r="43">
          <cell r="G43" t="str">
            <v>TGS4X4 H/D36 MONTHS/225 000 KM60 MONTHS/750 000 KMCombinationNo</v>
          </cell>
          <cell r="H43">
            <v>126400</v>
          </cell>
          <cell r="N43" t="str">
            <v>TGS6X624 MONTHS/300 000 KM</v>
          </cell>
          <cell r="O43">
            <v>1580</v>
          </cell>
          <cell r="AC43" t="str">
            <v>TGS4X242 MONTHS/612 500 KMEntire VehicleNo</v>
          </cell>
          <cell r="AD43">
            <v>75050</v>
          </cell>
          <cell r="AK43" t="str">
            <v>TGS4X248 MONTHS/800 000 KMDrivelineNo</v>
          </cell>
          <cell r="AL43">
            <v>56090</v>
          </cell>
        </row>
        <row r="44">
          <cell r="G44" t="str">
            <v>TGS4X4 H/D36 MONTHS/225 000 KM60 MONTHS/750 000 KMCombinationYes</v>
          </cell>
          <cell r="H44">
            <v>217250</v>
          </cell>
          <cell r="N44" t="str">
            <v>TGS6X636 MONTHS/150 000 KM</v>
          </cell>
          <cell r="O44">
            <v>5530</v>
          </cell>
          <cell r="AC44" t="str">
            <v>TGS4X242 MONTHS/612 500 KMEntire VehicleYes</v>
          </cell>
          <cell r="AD44">
            <v>60040</v>
          </cell>
          <cell r="AK44" t="str">
            <v>TGS4X248 MONTHS/800 000 KMDrivelineYes</v>
          </cell>
          <cell r="AL44">
            <v>45030</v>
          </cell>
        </row>
        <row r="45">
          <cell r="G45" t="str">
            <v>TGS4X4 H/D36 MONTHS/450 000 KM48 MONTHS/600 000 KMCombinationNo</v>
          </cell>
          <cell r="H45">
            <v>121660</v>
          </cell>
          <cell r="N45" t="str">
            <v>TGS6X636 MONTHS/225 000 KM</v>
          </cell>
          <cell r="O45">
            <v>6320</v>
          </cell>
          <cell r="AC45" t="str">
            <v>TGS4X248 MONTHS/100 000 KMEntire VehicleNo</v>
          </cell>
          <cell r="AD45">
            <v>18960</v>
          </cell>
          <cell r="AK45" t="str">
            <v>TGS4X254 MONTHS/450 000 KMDrivelineNo</v>
          </cell>
          <cell r="AL45">
            <v>27650</v>
          </cell>
        </row>
        <row r="46">
          <cell r="G46" t="str">
            <v>TGS4X4 H/D36 MONTHS/450 000 KM48 MONTHS/600 000 KMCombinationYes</v>
          </cell>
          <cell r="H46">
            <v>202240</v>
          </cell>
          <cell r="N46" t="str">
            <v>TGS6X636 MONTHS/300 000 KM</v>
          </cell>
          <cell r="O46">
            <v>7900</v>
          </cell>
          <cell r="AC46" t="str">
            <v>TGS4X248 MONTHS/100 000 KMEntire VehicleYes</v>
          </cell>
          <cell r="AD46">
            <v>15800</v>
          </cell>
          <cell r="AK46" t="str">
            <v>TGS4X254 MONTHS/450 000 KMDrivelineYes</v>
          </cell>
          <cell r="AL46">
            <v>22120</v>
          </cell>
        </row>
        <row r="47">
          <cell r="G47" t="str">
            <v>TGS4X4 H/D36 MONTHS/450 000 KM60 MONTHS/750 000 KMCombinationNo</v>
          </cell>
          <cell r="H47">
            <v>209350</v>
          </cell>
          <cell r="N47" t="str">
            <v>TGS6X636 MONTHS/375 000 KM</v>
          </cell>
          <cell r="O47">
            <v>9480</v>
          </cell>
          <cell r="AC47" t="str">
            <v>TGS4X248 MONTHS/200 000 KMEntire VehicleNo</v>
          </cell>
          <cell r="AD47">
            <v>32390</v>
          </cell>
          <cell r="AK47" t="str">
            <v>TGS4X254 MONTHS/562 500 KMDrivelineNo</v>
          </cell>
          <cell r="AL47">
            <v>36340</v>
          </cell>
        </row>
        <row r="48">
          <cell r="G48" t="str">
            <v>TGS4X4 H/D36 MONTHS/450 000 KM60 MONTHS/750 000 KMCombinationYes</v>
          </cell>
          <cell r="H48">
            <v>357870</v>
          </cell>
          <cell r="N48" t="str">
            <v>TGS6X636 MONTHS/450 000 KM</v>
          </cell>
          <cell r="O48">
            <v>11060</v>
          </cell>
          <cell r="AC48" t="str">
            <v>TGS4X248 MONTHS/200 000 KMEntire VehicleYes</v>
          </cell>
          <cell r="AD48">
            <v>26860</v>
          </cell>
          <cell r="AK48" t="str">
            <v>TGS4X254 MONTHS/562 500 KMDrivelineYes</v>
          </cell>
          <cell r="AL48">
            <v>29230</v>
          </cell>
        </row>
        <row r="49">
          <cell r="G49" t="str">
            <v>TGS4X4 H/D48 MONTHS/300 000 KM60 MONTHS/750 000 KMCombinationNo</v>
          </cell>
          <cell r="H49">
            <v>184070</v>
          </cell>
          <cell r="N49" t="str">
            <v>TGS6X636 MONTHS/75 000 KM</v>
          </cell>
          <cell r="O49">
            <v>4740</v>
          </cell>
          <cell r="AC49" t="str">
            <v>TGS4X248 MONTHS/300 000 KMEntire VehicleNo</v>
          </cell>
          <cell r="AD49">
            <v>54510</v>
          </cell>
          <cell r="AK49" t="str">
            <v>TGS4X254 MONTHS/675 000 KMDrivelineNo</v>
          </cell>
          <cell r="AL49">
            <v>48190</v>
          </cell>
        </row>
        <row r="50">
          <cell r="G50" t="str">
            <v>TGS4X4 H/D48 MONTHS/300 000 KM60 MONTHS/750 000 KMCombinationYes</v>
          </cell>
          <cell r="H50">
            <v>308890</v>
          </cell>
          <cell r="N50" t="str">
            <v>TGS6X648 MONTHS/100 000 KM</v>
          </cell>
          <cell r="O50">
            <v>8690</v>
          </cell>
          <cell r="AC50" t="str">
            <v>TGS4X248 MONTHS/300 000 KMEntire VehicleYes</v>
          </cell>
          <cell r="AD50">
            <v>44240</v>
          </cell>
          <cell r="AK50" t="str">
            <v>TGS4X254 MONTHS/675 000 KMDrivelineYes</v>
          </cell>
          <cell r="AL50">
            <v>38710</v>
          </cell>
        </row>
        <row r="51">
          <cell r="G51" t="str">
            <v>TGS4X4 H/D48 MONTHS/300 000 KM60 MONTHS/750 000 KMCombinationNo</v>
          </cell>
          <cell r="H51">
            <v>259910</v>
          </cell>
          <cell r="N51" t="str">
            <v>TGS6X648 MONTHS/200 000 KM</v>
          </cell>
          <cell r="O51">
            <v>10270</v>
          </cell>
          <cell r="AC51" t="str">
            <v>TGS4X248 MONTHS/400 000 KMEntire VehicleNo</v>
          </cell>
          <cell r="AD51">
            <v>70310</v>
          </cell>
          <cell r="AK51" t="str">
            <v>TGS4X254 MONTHS/787 500 KMDrivelineNo</v>
          </cell>
          <cell r="AL51">
            <v>59250</v>
          </cell>
        </row>
        <row r="52">
          <cell r="G52" t="str">
            <v>TGS4X4 H/D48 MONTHS/300 000 KM60 MONTHS/750 000 KMCombinationYes</v>
          </cell>
          <cell r="H52">
            <v>429760</v>
          </cell>
          <cell r="N52" t="str">
            <v>TGS6X648 MONTHS/300 000 KM</v>
          </cell>
          <cell r="O52">
            <v>11850</v>
          </cell>
          <cell r="AC52" t="str">
            <v>TGS4X248 MONTHS/400 000 KMEntire VehicleYes</v>
          </cell>
          <cell r="AD52">
            <v>56880</v>
          </cell>
          <cell r="AK52" t="str">
            <v>TGS4X254 MONTHS/787 500 KMDrivelineYes</v>
          </cell>
          <cell r="AL52">
            <v>47400</v>
          </cell>
        </row>
        <row r="53">
          <cell r="G53" t="str">
            <v>TGS4X424 MONTHS/150 000 KM 36 MONTHS/225 000 KMCombinationNo</v>
          </cell>
          <cell r="H53">
            <v>28440</v>
          </cell>
          <cell r="N53" t="str">
            <v>TGS6X648 MONTHS/400 000 KM</v>
          </cell>
          <cell r="O53">
            <v>14220</v>
          </cell>
          <cell r="AC53" t="str">
            <v>TGS4X248 MONTHS/500 000 KMEntire VehicleNo</v>
          </cell>
          <cell r="AD53">
            <v>86110</v>
          </cell>
          <cell r="AK53" t="str">
            <v>TGS4X260 MONTHS/125 000 KMDrivelineNo</v>
          </cell>
          <cell r="AL53">
            <v>25280</v>
          </cell>
        </row>
        <row r="54">
          <cell r="G54" t="str">
            <v>TGS4X424 MONTHS/150 000 KM 36 MONTHS/225 000 KMCombinationYes</v>
          </cell>
          <cell r="H54">
            <v>22910</v>
          </cell>
          <cell r="N54" t="str">
            <v>TGS6X648 MONTHS/500 000 KM</v>
          </cell>
          <cell r="O54">
            <v>16590</v>
          </cell>
          <cell r="AC54" t="str">
            <v>TGS4X248 MONTHS/500 000 KMEntire VehicleYes</v>
          </cell>
          <cell r="AD54">
            <v>69520</v>
          </cell>
          <cell r="AK54" t="str">
            <v>TGS4X260 MONTHS/125 000 KMDrivelineYes</v>
          </cell>
          <cell r="AL54">
            <v>21330</v>
          </cell>
        </row>
        <row r="55">
          <cell r="G55" t="str">
            <v>TGS4X424 MONTHS/300 000 KM36 MONTHS/450 000 KMCombinationNo</v>
          </cell>
          <cell r="H55">
            <v>44240</v>
          </cell>
          <cell r="N55" t="str">
            <v>TGS6X648 MONTHS/600 000 KM</v>
          </cell>
          <cell r="O55">
            <v>18960</v>
          </cell>
          <cell r="AC55" t="str">
            <v>TGS4X248 MONTHS/600 000 KMEntire VehicleNo</v>
          </cell>
          <cell r="AD55">
            <v>94800</v>
          </cell>
          <cell r="AK55" t="str">
            <v>TGS4X260 MONTHS/250 000 KMDrivelineNo</v>
          </cell>
          <cell r="AL55">
            <v>26070</v>
          </cell>
        </row>
        <row r="56">
          <cell r="G56" t="str">
            <v>TGS4X424 MONTHS/300 000 KM36 MONTHS/450 000 KMCombinationYes</v>
          </cell>
          <cell r="H56">
            <v>35550</v>
          </cell>
          <cell r="N56" t="str">
            <v>TGS6X660 MONTHS/125 000 KM</v>
          </cell>
          <cell r="O56">
            <v>17380</v>
          </cell>
          <cell r="AC56" t="str">
            <v>TGS4X248 MONTHS/600 000 KMEntire VehicleYes</v>
          </cell>
          <cell r="AD56">
            <v>75840</v>
          </cell>
          <cell r="AK56" t="str">
            <v>TGS4X260 MONTHS/250 000 KMDrivelineYes</v>
          </cell>
          <cell r="AL56">
            <v>22120</v>
          </cell>
        </row>
        <row r="57">
          <cell r="G57" t="str">
            <v>TGS4X424 MONTHS/150 000 KM48 MONTHS/300 000 KMCombinationNo</v>
          </cell>
          <cell r="H57">
            <v>44240</v>
          </cell>
          <cell r="N57" t="str">
            <v>TGS6X660 MONTHS/250 000 KM</v>
          </cell>
          <cell r="O57">
            <v>20540</v>
          </cell>
          <cell r="AC57" t="str">
            <v>TGS4X248 MONTHS/700 000 KMEntire VehicleNo</v>
          </cell>
          <cell r="AD57">
            <v>101120</v>
          </cell>
          <cell r="AK57" t="str">
            <v>TGS4X260 MONTHS/375 000 KMDrivelineNo</v>
          </cell>
          <cell r="AL57">
            <v>26860</v>
          </cell>
        </row>
        <row r="58">
          <cell r="G58" t="str">
            <v>TGS4X424 MONTHS/150 000 KM48 MONTHS/300 000 KMCombinationYes</v>
          </cell>
          <cell r="H58">
            <v>35550</v>
          </cell>
          <cell r="N58" t="str">
            <v>TGS6X660 MONTHS/375 000 KM</v>
          </cell>
          <cell r="O58">
            <v>24490</v>
          </cell>
          <cell r="AC58" t="str">
            <v>TGS4X248 MONTHS/700 000 KMEntire VehicleYes</v>
          </cell>
          <cell r="AD58">
            <v>81370</v>
          </cell>
          <cell r="AK58" t="str">
            <v>TGS4X260 MONTHS/375 000 KMDrivelineYes</v>
          </cell>
          <cell r="AL58">
            <v>22910</v>
          </cell>
        </row>
        <row r="59">
          <cell r="G59" t="str">
            <v>TGS4X424 MONTHS/300 000 KM48 MONTHS/600 000 KMCombinationNo</v>
          </cell>
          <cell r="H59">
            <v>79790</v>
          </cell>
          <cell r="N59" t="str">
            <v>TGS6X660 MONTHS/500 000 KM</v>
          </cell>
          <cell r="O59">
            <v>29230</v>
          </cell>
          <cell r="AC59" t="str">
            <v>TGS4X248 MONTHS/800 000 KMEntire VehicleNo</v>
          </cell>
          <cell r="AD59">
            <v>108230</v>
          </cell>
          <cell r="AK59" t="str">
            <v>TGS4X260 MONTHS/500 000 KMDrivelineNo</v>
          </cell>
          <cell r="AL59">
            <v>36340</v>
          </cell>
        </row>
        <row r="60">
          <cell r="G60" t="str">
            <v>TGS4X424 MONTHS/300 000 KM48 MONTHS/600 000 KMCombinationYes</v>
          </cell>
          <cell r="H60">
            <v>63990</v>
          </cell>
          <cell r="N60" t="str">
            <v>TGS6X660 MONTHS/625 000 KM</v>
          </cell>
          <cell r="O60">
            <v>33970</v>
          </cell>
          <cell r="AC60" t="str">
            <v>TGS4X248 MONTHS/800 000 KMEntire VehicleYes</v>
          </cell>
          <cell r="AD60">
            <v>86900</v>
          </cell>
          <cell r="AK60" t="str">
            <v>TGS4X260 MONTHS/500 000 KMDrivelineYes</v>
          </cell>
          <cell r="AL60">
            <v>29230</v>
          </cell>
        </row>
        <row r="61">
          <cell r="G61" t="str">
            <v>TGS4X424 MONTHS/225 000 KM48 MONTHS/300 000 KMCombinationNo</v>
          </cell>
          <cell r="H61">
            <v>56880</v>
          </cell>
          <cell r="N61" t="str">
            <v>TGS6X660 MONTHS/750 000 KM</v>
          </cell>
          <cell r="O61">
            <v>37920</v>
          </cell>
          <cell r="AC61" t="str">
            <v>TGS4X254 MONTHS/450 000 KMEntire VehicleNo</v>
          </cell>
          <cell r="AD61">
            <v>102700</v>
          </cell>
          <cell r="AK61" t="str">
            <v>TGS4X260 MONTHS/625 000 KMDrivelineNo</v>
          </cell>
          <cell r="AL61">
            <v>47400</v>
          </cell>
        </row>
        <row r="62">
          <cell r="G62" t="str">
            <v>TGS4X424 MONTHS/225 000 KM48 MONTHS/300 000 KMCombinationYes</v>
          </cell>
          <cell r="H62">
            <v>45820</v>
          </cell>
          <cell r="N62" t="str">
            <v>TGS8X224 MONTHS/300 000 KM</v>
          </cell>
          <cell r="O62">
            <v>1580</v>
          </cell>
          <cell r="AC62" t="str">
            <v>TGS4X254 MONTHS/450 000 KMEntire VehicleYes</v>
          </cell>
          <cell r="AD62">
            <v>82160</v>
          </cell>
          <cell r="AK62" t="str">
            <v>TGS4X260 MONTHS/625 000 KMDrivelineYes</v>
          </cell>
          <cell r="AL62">
            <v>37920</v>
          </cell>
        </row>
        <row r="63">
          <cell r="G63" t="str">
            <v>TGS4X436 MONTHS/450 000 KM48 MONTHS/600 000 KMCombinationNo</v>
          </cell>
          <cell r="H63">
            <v>105860</v>
          </cell>
          <cell r="N63" t="str">
            <v>TGS8X236 MONTHS/150 000 KM</v>
          </cell>
          <cell r="O63">
            <v>7900</v>
          </cell>
          <cell r="AC63" t="str">
            <v>TGS4X254 MONTHS/562 500 KMEntire VehicleNo</v>
          </cell>
          <cell r="AD63">
            <v>124030</v>
          </cell>
          <cell r="AK63" t="str">
            <v>TGS4X260 MONTHS/750 000 KMDrivelineNo</v>
          </cell>
          <cell r="AL63">
            <v>60040</v>
          </cell>
        </row>
        <row r="64">
          <cell r="G64" t="str">
            <v>TGS4X436 MONTHS/450 000 KM48 MONTHS/600 000 KMCombinationYes</v>
          </cell>
          <cell r="H64">
            <v>85320</v>
          </cell>
          <cell r="N64" t="str">
            <v>TGS8X236 MONTHS/225 000 KM</v>
          </cell>
          <cell r="O64">
            <v>9480</v>
          </cell>
          <cell r="AC64" t="str">
            <v>TGS4X254 MONTHS/562 500 KMEntire VehicleYes</v>
          </cell>
          <cell r="AD64">
            <v>99540</v>
          </cell>
          <cell r="AK64" t="str">
            <v>TGS4X260 MONTHS/750 000 KMDrivelineYes</v>
          </cell>
          <cell r="AL64">
            <v>48190</v>
          </cell>
        </row>
        <row r="65">
          <cell r="G65" t="str">
            <v>TGS4X424 MONTHS/150 000 KM60 MONTHS/375 000 KM CombinationNo</v>
          </cell>
          <cell r="H65">
            <v>78210</v>
          </cell>
          <cell r="N65" t="str">
            <v>TGS8X236 MONTHS/300 000 KM</v>
          </cell>
          <cell r="O65">
            <v>11060</v>
          </cell>
          <cell r="AC65" t="str">
            <v>TGS4X254 MONTHS/675 000 KMEntire VehicleNo</v>
          </cell>
          <cell r="AD65">
            <v>135090</v>
          </cell>
          <cell r="AK65" t="str">
            <v>TGS4X260 MONTHS/875 000 KMDrivelineNo</v>
          </cell>
          <cell r="AL65">
            <v>71890</v>
          </cell>
        </row>
        <row r="66">
          <cell r="G66" t="str">
            <v>TGS4X424 MONTHS/150 000 KM60 MONTHS/375 000 KM CombinationYes</v>
          </cell>
          <cell r="H66">
            <v>63200</v>
          </cell>
          <cell r="N66" t="str">
            <v>TGS8X236 MONTHS/375 000 KM</v>
          </cell>
          <cell r="O66">
            <v>12640</v>
          </cell>
          <cell r="AC66" t="str">
            <v>TGS4X254 MONTHS/675 000 KMEntire VehicleYes</v>
          </cell>
          <cell r="AD66">
            <v>108230</v>
          </cell>
          <cell r="AK66" t="str">
            <v>TGS4X260 MONTHS/875 000 KMDrivelineYes</v>
          </cell>
          <cell r="AL66">
            <v>57670</v>
          </cell>
        </row>
        <row r="67">
          <cell r="G67" t="str">
            <v>TGS4X424 MONTHS/300 000 KM60 MONTHS/750 000 KMCombinationNo</v>
          </cell>
          <cell r="H67">
            <v>156420</v>
          </cell>
          <cell r="N67" t="str">
            <v>TGS8X236 MONTHS/450 000 KM</v>
          </cell>
          <cell r="O67">
            <v>13430</v>
          </cell>
          <cell r="AC67" t="str">
            <v>TGS4X254 MONTHS/787 500 KMEntire VehicleNo</v>
          </cell>
          <cell r="AD67">
            <v>142990</v>
          </cell>
          <cell r="AK67" t="str">
            <v>TGS4X260 MONTHS/1 000 000 KMDrivelineNo</v>
          </cell>
          <cell r="AL67">
            <v>86110</v>
          </cell>
        </row>
        <row r="68">
          <cell r="G68" t="str">
            <v>TGS4X424 MONTHS/300 000 KM60 MONTHS/750 000 KMCombinationYes</v>
          </cell>
          <cell r="H68">
            <v>125610</v>
          </cell>
          <cell r="N68" t="str">
            <v>TGS8X236 MONTHS/75 000 KM</v>
          </cell>
          <cell r="O68">
            <v>6320</v>
          </cell>
          <cell r="AC68" t="str">
            <v>TGS4X254 MONTHS/787 500 KMEntire VehicleYes</v>
          </cell>
          <cell r="AD68">
            <v>114550</v>
          </cell>
          <cell r="AK68" t="str">
            <v>TGS4X260 MONTHS/1 000 000 KMDrivelineYes</v>
          </cell>
          <cell r="AL68">
            <v>69520</v>
          </cell>
        </row>
        <row r="69">
          <cell r="G69" t="str">
            <v>TGS4X436 MONTHS/225 000 KM60 MONTHS/375 000 KMCombinationNo</v>
          </cell>
          <cell r="H69">
            <v>90850</v>
          </cell>
          <cell r="N69" t="str">
            <v>TGS8X248 MONTHS/100 000 KM</v>
          </cell>
          <cell r="O69">
            <v>11850</v>
          </cell>
          <cell r="AC69" t="str">
            <v>TGS4X260 MONTHS/125 000 KMEntire VehicleNo</v>
          </cell>
          <cell r="AD69">
            <v>44240</v>
          </cell>
          <cell r="AK69" t="str">
            <v>TGS4X272 MONTHS/150 000 KMDrivelineNo</v>
          </cell>
          <cell r="AL69">
            <v>54510</v>
          </cell>
        </row>
        <row r="70">
          <cell r="G70" t="str">
            <v>TGS4X436 MONTHS/225 000 KM60 MONTHS/375 000 KMCombinationYes</v>
          </cell>
          <cell r="H70">
            <v>72680</v>
          </cell>
          <cell r="N70" t="str">
            <v>TGS8X248 MONTHS/200 000 KM</v>
          </cell>
          <cell r="O70">
            <v>13430</v>
          </cell>
          <cell r="AC70" t="str">
            <v>TGS4X260 MONTHS/125 000 KMEntire VehicleYes</v>
          </cell>
          <cell r="AD70">
            <v>36340</v>
          </cell>
          <cell r="AK70" t="str">
            <v>TGS4X272 MONTHS/150 000 KMDrivelineYes</v>
          </cell>
          <cell r="AL70">
            <v>44240</v>
          </cell>
        </row>
        <row r="71">
          <cell r="G71" t="str">
            <v>TGS4X436 MONTHS/450 000 KM60 MONTHS/750 000 KMCombinationNo</v>
          </cell>
          <cell r="H71">
            <v>181700</v>
          </cell>
          <cell r="N71" t="str">
            <v>TGS8X248 MONTHS/300 000 KM</v>
          </cell>
          <cell r="O71">
            <v>15800</v>
          </cell>
          <cell r="AC71" t="str">
            <v>TGS4X260 MONTHS/250 000 KMEntire VehicleNo</v>
          </cell>
          <cell r="AD71">
            <v>64780</v>
          </cell>
          <cell r="AK71" t="str">
            <v>TGS4X272 MONTHS/300 000 KMDrivelineNo</v>
          </cell>
          <cell r="AL71">
            <v>122450</v>
          </cell>
        </row>
        <row r="72">
          <cell r="G72" t="str">
            <v>TGS4X436 MONTHS/450 000 KM60 MONTHS/750 000 KMCombinationYes</v>
          </cell>
          <cell r="H72">
            <v>146150</v>
          </cell>
          <cell r="N72" t="str">
            <v>TGS8X248 MONTHS/400 000 KM</v>
          </cell>
          <cell r="O72">
            <v>19750</v>
          </cell>
          <cell r="AC72" t="str">
            <v>TGS4X260 MONTHS/250 000 KMEntire VehicleYes</v>
          </cell>
          <cell r="AD72">
            <v>53720</v>
          </cell>
          <cell r="AK72" t="str">
            <v>TGS4X272 MONTHS/300 000 KMDrivelineYes</v>
          </cell>
          <cell r="AL72">
            <v>97960</v>
          </cell>
        </row>
        <row r="73">
          <cell r="G73" t="str">
            <v>TGS4X448 MONTHS/300 000 KM60 MONTHS/375 000 KMCombinationNo</v>
          </cell>
          <cell r="H73">
            <v>161160</v>
          </cell>
          <cell r="N73" t="str">
            <v>TGS8X248 MONTHS/500 000 KM</v>
          </cell>
          <cell r="O73">
            <v>23700</v>
          </cell>
          <cell r="AC73" t="str">
            <v>TGS4X260 MONTHS/375 000 KMEntire VehicleNo</v>
          </cell>
          <cell r="AD73">
            <v>102700</v>
          </cell>
          <cell r="AK73" t="str">
            <v>TGS4X272 MONTHS/450 000 KMDrivelineNo</v>
          </cell>
          <cell r="AL73">
            <v>191970</v>
          </cell>
        </row>
        <row r="74">
          <cell r="G74" t="str">
            <v>TGS4X448 MONTHS/300 000 KM60 MONTHS/375 000 KMCombinationYes</v>
          </cell>
          <cell r="H74">
            <v>145360</v>
          </cell>
          <cell r="N74" t="str">
            <v>TGS8X248 MONTHS/600 000 KM</v>
          </cell>
          <cell r="O74">
            <v>26070</v>
          </cell>
          <cell r="AC74" t="str">
            <v>TGS4X260 MONTHS/375 000 KMEntire VehicleYes</v>
          </cell>
          <cell r="AD74">
            <v>82160</v>
          </cell>
          <cell r="AK74" t="str">
            <v>TGS4X272 MONTHS/450 000 KMDrivelineYes</v>
          </cell>
          <cell r="AL74">
            <v>154050</v>
          </cell>
        </row>
        <row r="75">
          <cell r="G75" t="str">
            <v>TGS4X448 MONTHS/600 000 KM60 MONTHS/750 000 KMCombinationNo</v>
          </cell>
          <cell r="H75">
            <v>286770</v>
          </cell>
          <cell r="N75" t="str">
            <v>TGS8X260 MONTHS/125 000 KM</v>
          </cell>
          <cell r="O75">
            <v>24490</v>
          </cell>
          <cell r="AC75" t="str">
            <v>TGS4X260 MONTHS/500 000 KMEntire VehicleNo</v>
          </cell>
          <cell r="AD75">
            <v>135880</v>
          </cell>
          <cell r="AK75" t="str">
            <v>TGS4X272 MONTHS/600 000 KMDrivelineNo</v>
          </cell>
          <cell r="AL75">
            <v>260700</v>
          </cell>
        </row>
        <row r="76">
          <cell r="G76" t="str">
            <v>TGS4X448 MONTHS/600 000 KM60 MONTHS/750 000 KMCombinationYes</v>
          </cell>
          <cell r="H76">
            <v>229890</v>
          </cell>
          <cell r="N76" t="str">
            <v>TGS8X260 MONTHS/250 000 KM</v>
          </cell>
          <cell r="O76">
            <v>28440</v>
          </cell>
          <cell r="AC76" t="str">
            <v>TGS4X260 MONTHS/500 000 KMEntire VehicleYes</v>
          </cell>
          <cell r="AD76">
            <v>109020</v>
          </cell>
          <cell r="AK76" t="str">
            <v>TGS4X272 MONTHS/600 000 KMDrivelineYes</v>
          </cell>
          <cell r="AL76">
            <v>208560</v>
          </cell>
        </row>
        <row r="77">
          <cell r="G77" t="str">
            <v>TGS6X224 MONTHS/300 000 KM36 MONTHS/450 000 KMCombinationNo</v>
          </cell>
          <cell r="H77">
            <v>32390</v>
          </cell>
          <cell r="N77" t="str">
            <v>TGS8X260 MONTHS/375 000 KM</v>
          </cell>
          <cell r="O77">
            <v>33180</v>
          </cell>
          <cell r="AC77" t="str">
            <v>TGS4X260 MONTHS/625 000 KMEntire VehicleNo</v>
          </cell>
          <cell r="AD77">
            <v>161950</v>
          </cell>
          <cell r="AK77" t="str">
            <v>TGS4X272 MONTHS/750 000 KMDrivelineNo</v>
          </cell>
          <cell r="AL77">
            <v>330220</v>
          </cell>
        </row>
        <row r="78">
          <cell r="G78" t="str">
            <v>TGS6X224 MONTHS/300 000 KM36 MONTHS/450 000 KMCombinationYes</v>
          </cell>
          <cell r="H78">
            <v>26070</v>
          </cell>
          <cell r="N78" t="str">
            <v>TGS8X260 MONTHS/500 000 KM</v>
          </cell>
          <cell r="O78">
            <v>41870</v>
          </cell>
          <cell r="AC78" t="str">
            <v>TGS4X260 MONTHS/625 000 KMEntire VehicleYes</v>
          </cell>
          <cell r="AD78">
            <v>129560</v>
          </cell>
          <cell r="AK78" t="str">
            <v>TGS4X272 MONTHS/750 000 KMDrivelineYes</v>
          </cell>
          <cell r="AL78">
            <v>264650</v>
          </cell>
        </row>
        <row r="79">
          <cell r="G79" t="str">
            <v>TGS6X224 MONTHS/400 000 KM36 MONTHS/600 000 KMCombinationNo</v>
          </cell>
          <cell r="H79">
            <v>41080</v>
          </cell>
          <cell r="N79" t="str">
            <v>TGS8X260 MONTHS/625 000 KM</v>
          </cell>
          <cell r="O79">
            <v>49770</v>
          </cell>
          <cell r="AC79" t="str">
            <v>TGS4X260 MONTHS/750 000 KMEntire VehicleNo</v>
          </cell>
          <cell r="AD79">
            <v>175380</v>
          </cell>
          <cell r="AK79" t="str">
            <v>TGS4X272 MONTHS/900 000 KMDrivelineNo</v>
          </cell>
          <cell r="AL79">
            <v>399740</v>
          </cell>
        </row>
        <row r="80">
          <cell r="G80" t="str">
            <v>TGS6X224 MONTHS/400 000 KM36 MONTHS/600 000 KMCombinationYes</v>
          </cell>
          <cell r="H80">
            <v>33180</v>
          </cell>
          <cell r="N80" t="str">
            <v>TGS8X260 MONTHS/750 000 KM</v>
          </cell>
          <cell r="O80">
            <v>56880</v>
          </cell>
          <cell r="AC80" t="str">
            <v>TGS4X260 MONTHS/750 000 KMEntire VehicleYes</v>
          </cell>
          <cell r="AD80">
            <v>140620</v>
          </cell>
          <cell r="AK80" t="str">
            <v>TGS4X272 MONTHS/900 000 KMDrivelineYes</v>
          </cell>
          <cell r="AL80">
            <v>319950</v>
          </cell>
        </row>
        <row r="81">
          <cell r="G81" t="str">
            <v>TGS6X224 MONTHS/300 000 KM48 MONTHS/600 000 KMCombinationNo</v>
          </cell>
          <cell r="H81">
            <v>50560</v>
          </cell>
          <cell r="N81" t="str">
            <v>TGS8X424 MONTHS/300 000 KM</v>
          </cell>
          <cell r="O81">
            <v>1580</v>
          </cell>
          <cell r="AC81" t="str">
            <v>TGS4X260 MONTHS/875 000 KMEntire VehicleNo</v>
          </cell>
          <cell r="AD81">
            <v>184860</v>
          </cell>
          <cell r="AK81" t="str">
            <v>TGS4X436 MONTHS/75 000 KMDrivelineNo</v>
          </cell>
          <cell r="AL81">
            <v>9480</v>
          </cell>
        </row>
        <row r="82">
          <cell r="G82" t="str">
            <v>TGS6X224 MONTHS/300 000 KM48 MONTHS/600 000 KMCombinationYes</v>
          </cell>
          <cell r="H82">
            <v>41080</v>
          </cell>
          <cell r="N82" t="str">
            <v>TGS8X436 MONTHS/150 000 KM</v>
          </cell>
          <cell r="O82">
            <v>5530</v>
          </cell>
          <cell r="AC82" t="str">
            <v>TGS4X260 MONTHS/875 000 KMEntire VehicleYes</v>
          </cell>
          <cell r="AD82">
            <v>148520</v>
          </cell>
          <cell r="AK82" t="str">
            <v>TGS4X436 MONTHS/75 000 KMDrivelineYes</v>
          </cell>
          <cell r="AL82">
            <v>7900</v>
          </cell>
        </row>
        <row r="83">
          <cell r="G83" t="str">
            <v>TGS6X224 MONTHS/400 000 KM48 MONTHS/800 000 KMCombinationNo</v>
          </cell>
          <cell r="H83">
            <v>73470</v>
          </cell>
          <cell r="N83" t="str">
            <v>TGS8X436 MONTHS/225 000 KM</v>
          </cell>
          <cell r="O83">
            <v>6320</v>
          </cell>
          <cell r="AC83" t="str">
            <v>TGS4X260 MONTHS/1 000 000 KMEntire VehicleNo</v>
          </cell>
          <cell r="AD83">
            <v>203820</v>
          </cell>
          <cell r="AK83" t="str">
            <v>TGS4X436 MONTHS/150 000 KMDrivelineNo</v>
          </cell>
          <cell r="AL83">
            <v>15010</v>
          </cell>
        </row>
        <row r="84">
          <cell r="G84" t="str">
            <v>TGS6X224 MONTHS/400 000 KM48 MONTHS/800 000 KMCombinationYes</v>
          </cell>
          <cell r="H84">
            <v>59250</v>
          </cell>
          <cell r="N84" t="str">
            <v>TGS8X436 MONTHS/300 000 KM</v>
          </cell>
          <cell r="O84">
            <v>7900</v>
          </cell>
          <cell r="AC84" t="str">
            <v>TGS4X260 MONTHS/1 000 000 KMEntire VehicleYes</v>
          </cell>
          <cell r="AD84">
            <v>163530</v>
          </cell>
          <cell r="AK84" t="str">
            <v>TGS4X436 MONTHS/150 000 KMDrivelineYes</v>
          </cell>
          <cell r="AL84">
            <v>12640</v>
          </cell>
        </row>
        <row r="85">
          <cell r="G85" t="str">
            <v>TGS6X236 MONTHS/450 000 KM48 MONTHS/600 000 KMCombinationNo</v>
          </cell>
          <cell r="H85">
            <v>61620</v>
          </cell>
          <cell r="N85" t="str">
            <v>TGS8X436 MONTHS/375 000 KM</v>
          </cell>
          <cell r="O85">
            <v>9480</v>
          </cell>
          <cell r="AC85" t="str">
            <v>TGS4X424 MONTHS/50 000 KMEntire VehicleNo</v>
          </cell>
          <cell r="AD85">
            <v>7900</v>
          </cell>
          <cell r="AK85" t="str">
            <v>TGS4X436 MONTHS/225 000 KMDrivelineNo</v>
          </cell>
          <cell r="AL85">
            <v>16590</v>
          </cell>
        </row>
        <row r="86">
          <cell r="G86" t="str">
            <v>TGS6X236 MONTHS/450 000 KM48 MONTHS/600 000 KMCombinationYes</v>
          </cell>
          <cell r="H86">
            <v>49770</v>
          </cell>
          <cell r="N86" t="str">
            <v>TGS8X436 MONTHS/450 000 KM</v>
          </cell>
          <cell r="O86">
            <v>11060</v>
          </cell>
          <cell r="AC86" t="str">
            <v>TGS4X424 MONTHS/50 000 KMEntire VehicleYes</v>
          </cell>
          <cell r="AD86">
            <v>6320</v>
          </cell>
          <cell r="AK86" t="str">
            <v>TGS4X436 MONTHS/225 000 KMDrivelineYes</v>
          </cell>
          <cell r="AL86">
            <v>13430</v>
          </cell>
        </row>
        <row r="87">
          <cell r="G87" t="str">
            <v>TGS6X236 MONTHS/400 000 KM48 MONTHS/800 000 KMCombinationNo</v>
          </cell>
          <cell r="H87">
            <v>86110</v>
          </cell>
          <cell r="N87" t="str">
            <v>TGS8X436 MONTHS/75 000 KM</v>
          </cell>
          <cell r="O87">
            <v>4740</v>
          </cell>
          <cell r="AC87" t="str">
            <v>TGS4X424 MONTHS/100 000 KMEntire VehicleNo</v>
          </cell>
          <cell r="AD87">
            <v>9480</v>
          </cell>
          <cell r="AK87" t="str">
            <v>TGS4X436 MONTHS/300 000 KMDrivelineNo</v>
          </cell>
          <cell r="AL87">
            <v>21330</v>
          </cell>
        </row>
        <row r="88">
          <cell r="G88" t="str">
            <v>TGS6X236 MONTHS/400 000 KM48 MONTHS/800 000 KMCombinationYes</v>
          </cell>
          <cell r="H88">
            <v>69520</v>
          </cell>
          <cell r="N88" t="str">
            <v>TGS8X448 MONTHS/100 000 KM</v>
          </cell>
          <cell r="O88">
            <v>8690</v>
          </cell>
          <cell r="AC88" t="str">
            <v>TGS4X424 MONTHS/100 000 KMEntire VehicleYes</v>
          </cell>
          <cell r="AD88">
            <v>7900</v>
          </cell>
          <cell r="AK88" t="str">
            <v>TGS4X436 MONTHS/300 000 KMDrivelineYes</v>
          </cell>
          <cell r="AL88">
            <v>17380</v>
          </cell>
        </row>
        <row r="89">
          <cell r="G89" t="str">
            <v>TGS6X224 MONTHS/300 000 KM60 MONTHS/750 000 KMCombinationNo</v>
          </cell>
          <cell r="H89">
            <v>75050</v>
          </cell>
          <cell r="N89" t="str">
            <v>TGS8X448 MONTHS/200 000 KM</v>
          </cell>
          <cell r="O89">
            <v>10270</v>
          </cell>
          <cell r="AC89" t="str">
            <v>TGS4X424 MONTHS/150 000 KMEntire VehicleNo</v>
          </cell>
          <cell r="AD89">
            <v>11850</v>
          </cell>
          <cell r="AK89" t="str">
            <v>TGS4X436 MONTHS/375 000 KMDrivelineNo</v>
          </cell>
          <cell r="AL89">
            <v>26070</v>
          </cell>
        </row>
        <row r="90">
          <cell r="G90" t="str">
            <v>TGS6X224 MONTHS/300 000 KM60 MONTHS/750 000 KMCombinationYes</v>
          </cell>
          <cell r="H90">
            <v>60040</v>
          </cell>
          <cell r="N90" t="str">
            <v>TGS8X448 MONTHS/300 000 KM</v>
          </cell>
          <cell r="O90">
            <v>11850</v>
          </cell>
          <cell r="AC90" t="str">
            <v>TGS4X424 MONTHS/150 000 KMEntire VehicleYes</v>
          </cell>
          <cell r="AD90">
            <v>9480</v>
          </cell>
          <cell r="AK90" t="str">
            <v>TGS4X436 MONTHS/375 000 KMDrivelineYes</v>
          </cell>
          <cell r="AL90">
            <v>21330</v>
          </cell>
        </row>
        <row r="91">
          <cell r="G91" t="str">
            <v>TGS6X224 MONTHS/400 000 KM60 MONTHS/1000 000 KMCombinationNo</v>
          </cell>
          <cell r="H91">
            <v>103490</v>
          </cell>
          <cell r="N91" t="str">
            <v>TGS8X448 MONTHS/400 000 KM</v>
          </cell>
          <cell r="O91">
            <v>14220</v>
          </cell>
          <cell r="AC91" t="str">
            <v>TGS4X424 MONTHS/200 000 KMEntire VehicleNo</v>
          </cell>
          <cell r="AD91">
            <v>14220</v>
          </cell>
          <cell r="AK91" t="str">
            <v>TGS4X436 MONTHS/450 000 KMDrivelineNo</v>
          </cell>
          <cell r="AL91">
            <v>26860</v>
          </cell>
        </row>
        <row r="92">
          <cell r="G92" t="str">
            <v>TGS6X224 MONTHS/400 000 KM60 MONTHS/1000 000 KMCombinationYes</v>
          </cell>
          <cell r="H92">
            <v>82950</v>
          </cell>
          <cell r="N92" t="str">
            <v>TGS8X448 MONTHS/500 000 KM</v>
          </cell>
          <cell r="O92">
            <v>16590</v>
          </cell>
          <cell r="AC92" t="str">
            <v>TGS4X424 MONTHS/200 000 KMEntire VehicleYes</v>
          </cell>
          <cell r="AD92">
            <v>11850</v>
          </cell>
          <cell r="AK92" t="str">
            <v>TGS4X436 MONTHS/450 000 KMDrivelineYes</v>
          </cell>
          <cell r="AL92">
            <v>22120</v>
          </cell>
        </row>
        <row r="93">
          <cell r="G93" t="str">
            <v>TGS6X236 MONTHS/450 000 KM60 MONTHS/750 000 KMCombinationNo</v>
          </cell>
          <cell r="H93">
            <v>86110</v>
          </cell>
          <cell r="N93" t="str">
            <v>TGS8X448 MONTHS/600 000 KM</v>
          </cell>
          <cell r="O93">
            <v>18960</v>
          </cell>
          <cell r="AC93" t="str">
            <v>TGS4X424 MONTHS/250 000 KMEntire VehicleNo</v>
          </cell>
          <cell r="AD93">
            <v>16590</v>
          </cell>
          <cell r="AK93" t="str">
            <v>TGS4X448 MONTHS/100 000 KMDrivelineNo</v>
          </cell>
          <cell r="AL93">
            <v>23700</v>
          </cell>
        </row>
        <row r="94">
          <cell r="G94" t="str">
            <v>TGS6X236 MONTHS/450 000 KM60 MONTHS/750 000 KMCombinationYes</v>
          </cell>
          <cell r="H94">
            <v>69520</v>
          </cell>
          <cell r="N94" t="str">
            <v>TGS8X460 MONTHS/125 000 KM</v>
          </cell>
          <cell r="O94">
            <v>17380</v>
          </cell>
          <cell r="AC94" t="str">
            <v>TGS4X424 MONTHS/250 000 KMEntire VehicleYes</v>
          </cell>
          <cell r="AD94">
            <v>13430</v>
          </cell>
          <cell r="AK94" t="str">
            <v>TGS4X448 MONTHS/100 000 KMDrivelineYes</v>
          </cell>
          <cell r="AL94">
            <v>18960</v>
          </cell>
        </row>
        <row r="95">
          <cell r="G95" t="str">
            <v>TGS6X236 MONTHS/600 000 KM60 MONTHS/1000 000 KMCombinationNo</v>
          </cell>
          <cell r="H95">
            <v>116130</v>
          </cell>
          <cell r="N95" t="str">
            <v>TGS8X460 MONTHS/250 000 KM</v>
          </cell>
          <cell r="O95">
            <v>20540</v>
          </cell>
          <cell r="AC95" t="str">
            <v>TGS4X424 MONTHS/300 000 KMEntire VehicleNo</v>
          </cell>
          <cell r="AD95">
            <v>17380</v>
          </cell>
          <cell r="AK95" t="str">
            <v>TGS4X448 MONTHS/200 000 KMDrivelineNo</v>
          </cell>
          <cell r="AL95">
            <v>27650</v>
          </cell>
        </row>
        <row r="96">
          <cell r="G96" t="str">
            <v>TGS6X236 MONTHS/600 000 KM60 MONTHS/1000 000 KMCombinationYes</v>
          </cell>
          <cell r="H96">
            <v>93220</v>
          </cell>
          <cell r="N96" t="str">
            <v>TGS8X460 MONTHS/375 000 KM</v>
          </cell>
          <cell r="O96">
            <v>24490</v>
          </cell>
          <cell r="AC96" t="str">
            <v>TGS4X424 MONTHS/300 000 KMEntire VehicleYes</v>
          </cell>
          <cell r="AD96">
            <v>14220</v>
          </cell>
          <cell r="AK96" t="str">
            <v>TGS4X448 MONTHS/200 000 KMDrivelineYes</v>
          </cell>
          <cell r="AL96">
            <v>22120</v>
          </cell>
        </row>
        <row r="97">
          <cell r="G97" t="str">
            <v>TGS6X248 MONTHS/600 000 KM60 MONTHS/750 000 KMCombinationNo</v>
          </cell>
          <cell r="H97">
            <v>119290</v>
          </cell>
          <cell r="N97" t="str">
            <v>TGS8X460 MONTHS/500 000 KM</v>
          </cell>
          <cell r="O97">
            <v>29230</v>
          </cell>
          <cell r="AC97" t="str">
            <v>TGS4X436 MONTHS/75 000 KMEntire VehicleNo</v>
          </cell>
          <cell r="AD97">
            <v>29230</v>
          </cell>
          <cell r="AK97" t="str">
            <v>TGS4X448 MONTHS/300 000 KMDrivelineNo</v>
          </cell>
          <cell r="AL97">
            <v>32390</v>
          </cell>
        </row>
        <row r="98">
          <cell r="G98" t="str">
            <v>TGS6X248 MONTHS/600 000 KM60 MONTHS/750 000 KMCombinationYes</v>
          </cell>
          <cell r="H98">
            <v>95590</v>
          </cell>
          <cell r="N98" t="str">
            <v>TGS8X460 MONTHS/625 000 KM</v>
          </cell>
          <cell r="O98">
            <v>33970</v>
          </cell>
          <cell r="AC98" t="str">
            <v>TGS4X436 MONTHS/75 000 KMEntire VehicleYes</v>
          </cell>
          <cell r="AD98">
            <v>23700</v>
          </cell>
          <cell r="AK98" t="str">
            <v>TGS4X448 MONTHS/300 000 KMDrivelineYes</v>
          </cell>
          <cell r="AL98">
            <v>26070</v>
          </cell>
        </row>
        <row r="99">
          <cell r="G99" t="str">
            <v>TGS6X248 MONTHS/800 000 KM60 MONTHS/1000 000 KMCombinationNo</v>
          </cell>
          <cell r="H99">
            <v>138250</v>
          </cell>
          <cell r="N99" t="str">
            <v>TGS8X460 MONTHS/750 000 KM</v>
          </cell>
          <cell r="O99">
            <v>37920</v>
          </cell>
          <cell r="AC99" t="str">
            <v>TGS4X436 MONTHS/150 000 KMEntire VehicleNo</v>
          </cell>
          <cell r="AD99">
            <v>34760</v>
          </cell>
          <cell r="AK99" t="str">
            <v>TGS4X448 MONTHS/400 000 KMDrivelineNo</v>
          </cell>
          <cell r="AL99">
            <v>41870</v>
          </cell>
        </row>
        <row r="100">
          <cell r="G100" t="str">
            <v>TGS6X248 MONTHS/800 000 KM60 MONTHS/1000 000 KMCombinationYes</v>
          </cell>
          <cell r="H100">
            <v>110600</v>
          </cell>
          <cell r="N100" t="str">
            <v>TGS8X624 MONTHS/300 000 KM</v>
          </cell>
          <cell r="O100">
            <v>1580</v>
          </cell>
          <cell r="AC100" t="str">
            <v>TGS4X436 MONTHS/150 000 KMEntire VehicleYes</v>
          </cell>
          <cell r="AD100">
            <v>28440</v>
          </cell>
          <cell r="AK100" t="str">
            <v>TGS4X448 MONTHS/400 000 KMDrivelineYes</v>
          </cell>
          <cell r="AL100">
            <v>33970</v>
          </cell>
        </row>
        <row r="101">
          <cell r="G101" t="str">
            <v>TGS6X4 H/D (ABN)24 MONTHS/150 000 KM36 MONTHS/225 000 KMCombinationNo</v>
          </cell>
          <cell r="H101">
            <v>76630</v>
          </cell>
          <cell r="N101" t="str">
            <v>TGS8X636 MONTHS/150 000 KM</v>
          </cell>
          <cell r="O101">
            <v>5530</v>
          </cell>
          <cell r="AC101" t="str">
            <v>TGS4X436 MONTHS/225 000 KMEntire VehicleNo</v>
          </cell>
          <cell r="AD101">
            <v>41080</v>
          </cell>
          <cell r="AK101" t="str">
            <v>TGS4X448 MONTHS/500 000 KMDrivelineNo</v>
          </cell>
          <cell r="AL101">
            <v>58460</v>
          </cell>
        </row>
        <row r="102">
          <cell r="G102" t="str">
            <v>TGS6X4 H/D (ABN)24 MONTHS/150 000 KM36 MONTHS/225 000 KMCombinationYes</v>
          </cell>
          <cell r="H102">
            <v>28440</v>
          </cell>
          <cell r="N102" t="str">
            <v>TGS8X636 MONTHS/225 000 KM</v>
          </cell>
          <cell r="O102">
            <v>6320</v>
          </cell>
          <cell r="AC102" t="str">
            <v>TGS4X436 MONTHS/225 000 KMEntire VehicleYes</v>
          </cell>
          <cell r="AD102">
            <v>33180</v>
          </cell>
          <cell r="AK102" t="str">
            <v>TGS4X448 MONTHS/500 000 KMDrivelineYes</v>
          </cell>
          <cell r="AL102">
            <v>47400</v>
          </cell>
        </row>
        <row r="103">
          <cell r="G103" t="str">
            <v>TGS6X4 H/D (ABN)24 MONTHS/150 000 KM48 MONTHS/300 000 KMCombinationNo</v>
          </cell>
          <cell r="H103">
            <v>120080</v>
          </cell>
          <cell r="N103" t="str">
            <v>TGS8X636 MONTHS/300 000 KM</v>
          </cell>
          <cell r="O103">
            <v>7900</v>
          </cell>
          <cell r="AC103" t="str">
            <v>TGS4X436 MONTHS/300 000 KMEntire VehicleNo</v>
          </cell>
          <cell r="AD103">
            <v>52930</v>
          </cell>
          <cell r="AK103" t="str">
            <v>TGS4X448 MONTHS/600 000 KMDrivelineNo</v>
          </cell>
          <cell r="AL103">
            <v>62410</v>
          </cell>
        </row>
        <row r="104">
          <cell r="G104" t="str">
            <v>TGS6X4 H/D (ABN)24 MONTHS/150 000 KM48 MONTHS/300 000 KMCombinationYes</v>
          </cell>
          <cell r="H104">
            <v>51350</v>
          </cell>
          <cell r="N104" t="str">
            <v>TGS8X636 MONTHS/375 000 KM</v>
          </cell>
          <cell r="O104">
            <v>9480</v>
          </cell>
          <cell r="AC104" t="str">
            <v>TGS4X436 MONTHS/300 000 KMEntire VehicleYes</v>
          </cell>
          <cell r="AD104">
            <v>42660</v>
          </cell>
          <cell r="AK104" t="str">
            <v>TGS4X448 MONTHS/600 000 KMDrivelineYes</v>
          </cell>
          <cell r="AL104">
            <v>50560</v>
          </cell>
        </row>
        <row r="105">
          <cell r="G105" t="str">
            <v>TGS6X4 H/D (ABN)24 MONTHS/150 000 KM60 MONTHS/375 000 KMCombinationNo</v>
          </cell>
          <cell r="H105">
            <v>228310</v>
          </cell>
          <cell r="N105" t="str">
            <v>TGS8X636 MONTHS/450 000 KM</v>
          </cell>
          <cell r="O105">
            <v>11060</v>
          </cell>
          <cell r="AC105" t="str">
            <v>TGS4X436 MONTHS/375 000 KMEntire VehicleNo</v>
          </cell>
          <cell r="AD105">
            <v>64780</v>
          </cell>
          <cell r="AK105" t="str">
            <v>TGS4X460 MONTHS/125 000 KMDrivelineNo</v>
          </cell>
          <cell r="AL105">
            <v>48190</v>
          </cell>
        </row>
        <row r="106">
          <cell r="G106" t="str">
            <v>TGS6X4 H/D (ABN)24 MONTHS/150 000 KM60 MONTHS/375 000 KMCombinationYes</v>
          </cell>
          <cell r="H106">
            <v>94800</v>
          </cell>
          <cell r="N106" t="str">
            <v>TGS8X636 MONTHS/75 000 KM</v>
          </cell>
          <cell r="O106">
            <v>4740</v>
          </cell>
          <cell r="AC106" t="str">
            <v>TGS4X436 MONTHS/375 000 KMEntire VehicleYes</v>
          </cell>
          <cell r="AD106">
            <v>52140</v>
          </cell>
          <cell r="AK106" t="str">
            <v>TGS4X460 MONTHS/125 000 KMDrivelineYes</v>
          </cell>
          <cell r="AL106">
            <v>38710</v>
          </cell>
        </row>
        <row r="107">
          <cell r="G107" t="str">
            <v>TGS6X4 H/D (ABN)24 MONTHS/300 000 KM36 MONTHS/450 000 KMCombinationNo</v>
          </cell>
          <cell r="H107">
            <v>135880</v>
          </cell>
          <cell r="N107" t="str">
            <v>TGS8X648 MONTHS/100 000 KM</v>
          </cell>
          <cell r="O107">
            <v>8690</v>
          </cell>
          <cell r="AC107" t="str">
            <v>TGS4X436 MONTHS/450 000 KMEntire VehicleNo</v>
          </cell>
          <cell r="AD107">
            <v>70310</v>
          </cell>
          <cell r="AK107" t="str">
            <v>TGS4X460 MONTHS/250 000 KMDrivelineNo</v>
          </cell>
          <cell r="AL107">
            <v>56880</v>
          </cell>
        </row>
        <row r="108">
          <cell r="G108" t="str">
            <v>TGS6X4 H/D (ABN)24 MONTHS/300 000 KM36 MONTHS/450 000 KMCombinationYes</v>
          </cell>
          <cell r="H108">
            <v>48702.987012987011</v>
          </cell>
          <cell r="N108" t="str">
            <v>TGS8X648 MONTHS/200 000 KM</v>
          </cell>
          <cell r="O108">
            <v>10270</v>
          </cell>
          <cell r="AC108" t="str">
            <v>TGS4X436 MONTHS/450 000 KMEntire VehicleYes</v>
          </cell>
          <cell r="AD108">
            <v>56880</v>
          </cell>
          <cell r="AK108" t="str">
            <v>TGS4X460 MONTHS/250 000 KMDrivelineYes</v>
          </cell>
          <cell r="AL108">
            <v>45820</v>
          </cell>
        </row>
        <row r="109">
          <cell r="G109" t="str">
            <v>TGS6X4 H/D (ABN)24 MONTHS/300 000 KM48 MONTHS/600 000 KMCombinationNo</v>
          </cell>
          <cell r="H109">
            <v>207770</v>
          </cell>
          <cell r="N109" t="str">
            <v>TGS8X648 MONTHS/300 000 KM</v>
          </cell>
          <cell r="O109">
            <v>11850</v>
          </cell>
          <cell r="AC109" t="str">
            <v>TGS4X448 MONTHS/100 000 KMEntire VehicleNo</v>
          </cell>
          <cell r="AD109">
            <v>93220</v>
          </cell>
          <cell r="AK109" t="str">
            <v>TGS4X460 MONTHS/375 000 KMDrivelineNo</v>
          </cell>
          <cell r="AL109">
            <v>66360</v>
          </cell>
        </row>
        <row r="110">
          <cell r="G110" t="str">
            <v>TGS6X4 H/D (ABN)24 MONTHS/300 000 KM48 MONTHS/600 000 KMCombinationYes</v>
          </cell>
          <cell r="H110">
            <v>82950</v>
          </cell>
          <cell r="N110" t="str">
            <v>TGS8X648 MONTHS/400 000 KM</v>
          </cell>
          <cell r="O110">
            <v>14220</v>
          </cell>
          <cell r="AC110" t="str">
            <v>TGS4X448 MONTHS/100 000 KMEntire VehicleYes</v>
          </cell>
          <cell r="AD110">
            <v>75050</v>
          </cell>
          <cell r="AK110" t="str">
            <v>TGS4X460 MONTHS/375 000 KMDrivelineYes</v>
          </cell>
          <cell r="AL110">
            <v>53720</v>
          </cell>
        </row>
        <row r="111">
          <cell r="G111" t="str">
            <v>TGS6X4 H/D (ABN)24 MONTHS/300 000 KM60 MONTHS/750 000 KMCombinationNo</v>
          </cell>
          <cell r="H111">
            <v>387100</v>
          </cell>
          <cell r="N111" t="str">
            <v>TGS8X648 MONTHS/500 000 KM</v>
          </cell>
          <cell r="O111">
            <v>16590</v>
          </cell>
          <cell r="AC111" t="str">
            <v>TGS4X448 MONTHS/200 000 KMEntire VehicleNo</v>
          </cell>
          <cell r="AD111">
            <v>109020</v>
          </cell>
          <cell r="AK111" t="str">
            <v>TGS4X460 MONTHS/500 000 KMDrivelineNo</v>
          </cell>
          <cell r="AL111">
            <v>100330</v>
          </cell>
        </row>
        <row r="112">
          <cell r="G112" t="str">
            <v>TGS6X4 H/D (ABN)24 MONTHS/300 000 KM60 MONTHS/750 000 KMCombinationYes</v>
          </cell>
          <cell r="H112">
            <v>158790</v>
          </cell>
          <cell r="N112" t="str">
            <v>TGS8X648 MONTHS/600 000 KM</v>
          </cell>
          <cell r="O112">
            <v>18960</v>
          </cell>
          <cell r="AC112" t="str">
            <v>TGS4X448 MONTHS/200 000 KMEntire VehicleYes</v>
          </cell>
          <cell r="AD112">
            <v>87690</v>
          </cell>
          <cell r="AK112" t="str">
            <v>TGS4X460 MONTHS/500 000 KMDrivelineYes</v>
          </cell>
          <cell r="AL112">
            <v>80580</v>
          </cell>
        </row>
        <row r="113">
          <cell r="G113" t="str">
            <v>TGS6X4 H/D (ABN)36 MONTHS/225 000 KM48 MONTHS/300 000 KM CombinationNo</v>
          </cell>
          <cell r="H113">
            <v>142200</v>
          </cell>
          <cell r="N113" t="str">
            <v>TGS8X660 MONTHS/125 000 KM</v>
          </cell>
          <cell r="O113">
            <v>17380</v>
          </cell>
          <cell r="AC113" t="str">
            <v>TGS4X448 MONTHS/300 000 KMEntire VehicleNo</v>
          </cell>
          <cell r="AD113">
            <v>127190</v>
          </cell>
          <cell r="AK113" t="str">
            <v>TGS4X460 MONTHS/625 000 KMDrivelineNo</v>
          </cell>
          <cell r="AL113">
            <v>129560</v>
          </cell>
        </row>
        <row r="114">
          <cell r="G114" t="str">
            <v>TGS6X4 H/D (ABN)36 MONTHS/225 000 KM48 MONTHS/300 000 KM CombinationYes</v>
          </cell>
          <cell r="H114">
            <v>66360</v>
          </cell>
          <cell r="N114" t="str">
            <v>TGS8X660 MONTHS/250 000 KM</v>
          </cell>
          <cell r="O114">
            <v>20540</v>
          </cell>
          <cell r="AC114" t="str">
            <v>TGS4X448 MONTHS/300 000 KMEntire VehicleYes</v>
          </cell>
          <cell r="AD114">
            <v>101910</v>
          </cell>
          <cell r="AK114" t="str">
            <v>TGS4X460 MONTHS/625 000 KMDrivelineYes</v>
          </cell>
          <cell r="AL114">
            <v>104280</v>
          </cell>
        </row>
        <row r="115">
          <cell r="G115" t="str">
            <v>TGS6X4 H/D (ABN)36 MONTHS/225 000 KM60 MONTHS/750 000 KMCombinationNo</v>
          </cell>
          <cell r="H115">
            <v>250430</v>
          </cell>
          <cell r="N115" t="str">
            <v>TGS8X660 MONTHS/375 000 KM</v>
          </cell>
          <cell r="O115">
            <v>24490</v>
          </cell>
          <cell r="AC115" t="str">
            <v>TGS4X448 MONTHS/400 000 KMEntire VehicleNo</v>
          </cell>
          <cell r="AD115">
            <v>166690</v>
          </cell>
          <cell r="AK115" t="str">
            <v>TGS4X460 MONTHS/750 000 KMDrivelineNo</v>
          </cell>
          <cell r="AL115">
            <v>139040</v>
          </cell>
        </row>
        <row r="116">
          <cell r="G116" t="str">
            <v>TGS6X4 H/D (ABN)36 MONTHS/225 000 KM60 MONTHS/750 000 KMCombinationYes</v>
          </cell>
          <cell r="H116">
            <v>109810</v>
          </cell>
          <cell r="N116" t="str">
            <v>TGS8X660 MONTHS/500 000 KM</v>
          </cell>
          <cell r="O116">
            <v>29230</v>
          </cell>
          <cell r="AC116" t="str">
            <v>TGS4X448 MONTHS/400 000 KMEntire VehicleYes</v>
          </cell>
          <cell r="AD116">
            <v>133510</v>
          </cell>
          <cell r="AK116" t="str">
            <v>TGS4X460 MONTHS/750 000 KMDrivelineYes</v>
          </cell>
          <cell r="AL116">
            <v>111390</v>
          </cell>
        </row>
        <row r="117">
          <cell r="G117" t="str">
            <v>TGS6X4 H/D (ABN)36 MONTHS/450 000 KM48 MONTHS/600 000 KMCombinationNo</v>
          </cell>
          <cell r="H117">
            <v>233050</v>
          </cell>
          <cell r="N117" t="str">
            <v>TGS8X660 MONTHS/625 000 KM</v>
          </cell>
          <cell r="O117">
            <v>33970</v>
          </cell>
          <cell r="AC117" t="str">
            <v>TGS4X448 MONTHS/500 000 KMEntire VehicleNo</v>
          </cell>
          <cell r="AD117">
            <v>204610</v>
          </cell>
          <cell r="AK117" t="str">
            <v>TGS4X472 MONTHS/150 000 KMDrivelineNo</v>
          </cell>
          <cell r="AL117">
            <v>72680</v>
          </cell>
        </row>
        <row r="118">
          <cell r="G118" t="str">
            <v>TGS6X4 H/D (ABN)36 MONTHS/450 000 KM48 MONTHS/600 000 KMCombinationYes</v>
          </cell>
          <cell r="H118">
            <v>105860</v>
          </cell>
          <cell r="N118" t="str">
            <v>TGS8X660 MONTHS/750 000 KM</v>
          </cell>
          <cell r="O118">
            <v>37920</v>
          </cell>
          <cell r="AC118" t="str">
            <v>TGS4X448 MONTHS/500 000 KMEntire VehicleYes</v>
          </cell>
          <cell r="AD118">
            <v>164320</v>
          </cell>
          <cell r="AK118" t="str">
            <v>TGS4X472 MONTHS/150 000 KMDrivelineYes</v>
          </cell>
          <cell r="AL118">
            <v>60040</v>
          </cell>
        </row>
        <row r="119">
          <cell r="G119" t="str">
            <v>TGS6X4 H/D (ABN)36 MONTHS/450 000 KM60 MONTHS/750 000 KMCombinationNo</v>
          </cell>
          <cell r="H119">
            <v>412380</v>
          </cell>
          <cell r="N119" t="str">
            <v>TGS8X824 MONTHS/300 000 KM</v>
          </cell>
          <cell r="O119">
            <v>1580</v>
          </cell>
          <cell r="AC119" t="str">
            <v>TGS4X448 MONTHS/600 000 KMEntire VehicleNo</v>
          </cell>
          <cell r="AD119">
            <v>210140</v>
          </cell>
          <cell r="AK119" t="str">
            <v>TGS4X472 MONTHS/300 000 KMDrivelineNo</v>
          </cell>
          <cell r="AL119">
            <v>132720</v>
          </cell>
        </row>
        <row r="120">
          <cell r="G120" t="str">
            <v>TGS6X4 H/D (ABN)36 MONTHS/450 000 KM60 MONTHS/750 000 KMCombinationYes</v>
          </cell>
          <cell r="H120">
            <v>181700</v>
          </cell>
          <cell r="N120" t="str">
            <v>TGS8X836 MONTHS/150 000 KM</v>
          </cell>
          <cell r="O120">
            <v>5530</v>
          </cell>
          <cell r="AC120" t="str">
            <v>TGS4X448 MONTHS/600 000 KMEntire VehicleYes</v>
          </cell>
          <cell r="AD120">
            <v>168270</v>
          </cell>
          <cell r="AK120" t="str">
            <v>TGS4X472 MONTHS/300 000 KMDrivelineYes</v>
          </cell>
          <cell r="AL120">
            <v>110600</v>
          </cell>
        </row>
        <row r="121">
          <cell r="G121" t="str">
            <v>TGS6X4 H/D (ABN)48 MONTHS/300 000 KM60 MONTHS/750 000 KMCombinationNo</v>
          </cell>
          <cell r="H121">
            <v>299410</v>
          </cell>
          <cell r="N121" t="str">
            <v>TGS8X836 MONTHS/225 000 KM</v>
          </cell>
          <cell r="O121">
            <v>6320</v>
          </cell>
          <cell r="AC121" t="str">
            <v>TGS4X460 MONTHS/125 000 KMEntire VehicleNo</v>
          </cell>
          <cell r="AD121">
            <v>193550</v>
          </cell>
          <cell r="AK121" t="str">
            <v>TGS4X472 MONTHS/450 000 KMDrivelineNo</v>
          </cell>
          <cell r="AL121">
            <v>201450</v>
          </cell>
        </row>
        <row r="122">
          <cell r="G122" t="str">
            <v>TGS6X4 H/D (ABN)48 MONTHS/300 000 KM60 MONTHS/750 000 KMCombinationYes</v>
          </cell>
          <cell r="H122">
            <v>495330</v>
          </cell>
          <cell r="N122" t="str">
            <v>TGS8X836 MONTHS/300 000 KM</v>
          </cell>
          <cell r="O122">
            <v>7900</v>
          </cell>
          <cell r="AC122" t="str">
            <v>TGS4X460 MONTHS/125 000 KMEntire VehicleYes</v>
          </cell>
          <cell r="AD122">
            <v>154840</v>
          </cell>
          <cell r="AK122" t="str">
            <v>TGS4X472 MONTHS/450 000 KMDrivelineYes</v>
          </cell>
          <cell r="AL122">
            <v>167480</v>
          </cell>
        </row>
        <row r="123">
          <cell r="G123" t="str">
            <v>TGS6X4 H/D (ABN)48 MONTHS/300 000 KM60 MONTHS/750 000 KMCombinationNo</v>
          </cell>
          <cell r="H123">
            <v>159580</v>
          </cell>
          <cell r="N123" t="str">
            <v>TGS8X836 MONTHS/375 000 KM</v>
          </cell>
          <cell r="O123">
            <v>9480</v>
          </cell>
          <cell r="AC123" t="str">
            <v>TGS4X460 MONTHS/250 000 KMEntire VehicleNo</v>
          </cell>
          <cell r="AD123">
            <v>228310</v>
          </cell>
          <cell r="AK123" t="str">
            <v>TGS4X472 MONTHS/600 000 KMDrivelineNo</v>
          </cell>
          <cell r="AL123">
            <v>268600</v>
          </cell>
        </row>
        <row r="124">
          <cell r="G124" t="str">
            <v>TGS6X4 H/D (ABN)48 MONTHS/300 000 KM60 MONTHS/750 000 KMCombinationYes</v>
          </cell>
          <cell r="H124">
            <v>267810</v>
          </cell>
          <cell r="N124" t="str">
            <v>TGS8X836 MONTHS/450 000 KM</v>
          </cell>
          <cell r="O124">
            <v>11060</v>
          </cell>
          <cell r="AC124" t="str">
            <v>TGS4X460 MONTHS/250 000 KMEntire VehicleYes</v>
          </cell>
          <cell r="AD124">
            <v>183280</v>
          </cell>
          <cell r="AK124" t="str">
            <v>TGS4X472 MONTHS/600 000 KMDrivelineYes</v>
          </cell>
          <cell r="AL124">
            <v>223570</v>
          </cell>
        </row>
        <row r="125">
          <cell r="G125" t="str">
            <v>TGS6X4 H/D24 MONTHS/150 000 KM36 MONTHS/225 000 KMCombinationNo</v>
          </cell>
          <cell r="H125">
            <v>33970</v>
          </cell>
          <cell r="N125" t="str">
            <v>TGS8X836 MONTHS/75 000 KM</v>
          </cell>
          <cell r="O125">
            <v>4740</v>
          </cell>
          <cell r="AC125" t="str">
            <v>TGS4X460 MONTHS/375 000 KMEntire VehicleNo</v>
          </cell>
          <cell r="AD125">
            <v>267810</v>
          </cell>
          <cell r="AK125" t="str">
            <v>TGS4X472 MONTHS/750 000 KMDrivelineNo</v>
          </cell>
          <cell r="AL125">
            <v>319160</v>
          </cell>
        </row>
        <row r="126">
          <cell r="G126" t="str">
            <v>TGS6X4 H/D24 MONTHS/150 000 KM36 MONTHS/225 000 KMCombinationYes</v>
          </cell>
          <cell r="H126">
            <v>65570</v>
          </cell>
          <cell r="N126" t="str">
            <v>TGS8X848 MONTHS/100 000 KM</v>
          </cell>
          <cell r="O126">
            <v>8690</v>
          </cell>
          <cell r="AC126" t="str">
            <v>TGS4X460 MONTHS/375 000 KMEntire VehicleYes</v>
          </cell>
          <cell r="AD126">
            <v>214880</v>
          </cell>
          <cell r="AK126" t="str">
            <v>TGS4X472 MONTHS/750 000 KMDrivelineYes</v>
          </cell>
          <cell r="AL126">
            <v>265440</v>
          </cell>
        </row>
        <row r="127">
          <cell r="G127" t="str">
            <v>TGS6X4 H/D24 MONTHS/150 000 KM48 MONTHS/300 000 KMCombinationNo</v>
          </cell>
          <cell r="H127">
            <v>60040</v>
          </cell>
          <cell r="N127" t="str">
            <v>TGS8X848 MONTHS/200 000 KM</v>
          </cell>
          <cell r="O127">
            <v>10270</v>
          </cell>
          <cell r="AC127" t="str">
            <v>TGS4X460 MONTHS/500 000 KMEntire VehicleNo</v>
          </cell>
          <cell r="AD127">
            <v>349180</v>
          </cell>
          <cell r="AK127" t="str">
            <v>TGS4X472 MONTHS/900 000 KMDrivelineNo</v>
          </cell>
          <cell r="AL127">
            <v>380780</v>
          </cell>
        </row>
        <row r="128">
          <cell r="G128" t="str">
            <v>TGS6X4 H/D24 MONTHS/150 000 KM48 MONTHS/300 000 KMCombinationYes</v>
          </cell>
          <cell r="H128">
            <v>103490</v>
          </cell>
          <cell r="N128" t="str">
            <v>TGS8X848 MONTHS/300 000 KM</v>
          </cell>
          <cell r="O128">
            <v>11850</v>
          </cell>
          <cell r="AC128" t="str">
            <v>TGS4X460 MONTHS/500 000 KMEntire VehicleYes</v>
          </cell>
          <cell r="AD128">
            <v>279660</v>
          </cell>
          <cell r="AK128" t="str">
            <v>TGS4X472 MONTHS/900 000 KMDrivelineYes</v>
          </cell>
          <cell r="AL128">
            <v>316790</v>
          </cell>
        </row>
        <row r="129">
          <cell r="G129" t="str">
            <v>TGS6X4 H/D24 MONTHS/150 000 KM60 MONTHS/375 000 KMCombinationNo</v>
          </cell>
          <cell r="H129">
            <v>109810</v>
          </cell>
          <cell r="N129" t="str">
            <v>TGS8X848 MONTHS/400 000 KM</v>
          </cell>
          <cell r="O129">
            <v>14220</v>
          </cell>
          <cell r="AC129" t="str">
            <v>TGS4X460 MONTHS/625 000 KMEntire VehicleNo</v>
          </cell>
          <cell r="AD129">
            <v>429760</v>
          </cell>
          <cell r="AK129" t="str">
            <v>TGS4X4HYDRO36 MONTHS/150 000 KMDrivelineNo</v>
          </cell>
          <cell r="AL129">
            <v>15010</v>
          </cell>
        </row>
        <row r="130">
          <cell r="G130" t="str">
            <v>TGS6X4 H/D24 MONTHS/150 000 KM60 MONTHS/375 000 KMCombinationYes</v>
          </cell>
          <cell r="H130">
            <v>197500</v>
          </cell>
          <cell r="N130" t="str">
            <v>TGS8X848 MONTHS/500 000 KM</v>
          </cell>
          <cell r="O130">
            <v>16590</v>
          </cell>
          <cell r="AC130" t="str">
            <v>TGS4X460 MONTHS/625 000 KMEntire VehicleYes</v>
          </cell>
          <cell r="AD130">
            <v>344440</v>
          </cell>
          <cell r="AK130" t="str">
            <v>TGS4X4HYDRO36 MONTHS/225 000 KMDrivelineYes</v>
          </cell>
          <cell r="AL130">
            <v>17380</v>
          </cell>
        </row>
        <row r="131">
          <cell r="G131" t="str">
            <v>TGS6X4 H/D24 MONTHS/300 000 KM36 MONTHS/450 000 KMCombinationNo</v>
          </cell>
          <cell r="H131">
            <v>56880</v>
          </cell>
          <cell r="N131" t="str">
            <v>TGS8X848 MONTHS/600 000 KM</v>
          </cell>
          <cell r="O131">
            <v>18960</v>
          </cell>
          <cell r="AC131" t="str">
            <v>TGS4X460 MONTHS/750 000 KMEntire VehicleNo</v>
          </cell>
          <cell r="AD131">
            <v>440820</v>
          </cell>
          <cell r="AK131" t="str">
            <v>TGS4X4HYDRO36 MONTHS/300 000 KMDrivelineNo</v>
          </cell>
          <cell r="AL131">
            <v>22120</v>
          </cell>
        </row>
        <row r="132">
          <cell r="G132" t="str">
            <v>TGS6X4 H/D24 MONTHS/300 000 KM36 MONTHS/450 000 KMCombinationYes</v>
          </cell>
          <cell r="H132">
            <v>117710</v>
          </cell>
          <cell r="N132" t="str">
            <v>TGS8X860 MONTHS/125 000 KM</v>
          </cell>
          <cell r="O132">
            <v>17380</v>
          </cell>
          <cell r="AC132" t="str">
            <v>TGS4X460 MONTHS/750 000 KMEntire VehicleYes</v>
          </cell>
          <cell r="AD132">
            <v>353130</v>
          </cell>
          <cell r="AK132" t="str">
            <v>TGS4X4HYDRO36 MONTHS/375 000 KMDrivelineYes</v>
          </cell>
          <cell r="AL132">
            <v>27650</v>
          </cell>
        </row>
        <row r="133">
          <cell r="G133" t="str">
            <v>TGS6X4 H/D24 MONTHS/300 000 KM48 MONTHS/600 000 KMCombinationNo</v>
          </cell>
          <cell r="H133">
            <v>95590</v>
          </cell>
          <cell r="N133" t="str">
            <v>TGS8X860 MONTHS/250 000 KM</v>
          </cell>
          <cell r="O133">
            <v>20540</v>
          </cell>
          <cell r="AC133" t="str">
            <v>TGS4X4HYDRO24 MONTHS/100 000 KMEntire VehicleNo</v>
          </cell>
          <cell r="AD133">
            <v>9480</v>
          </cell>
          <cell r="AK133" t="str">
            <v>TGS4X4HYDRO36 MONTHS/450 000 KMDrivelineNo</v>
          </cell>
          <cell r="AL133">
            <v>28440</v>
          </cell>
        </row>
        <row r="134">
          <cell r="G134" t="str">
            <v>TGS6X4 H/D24 MONTHS/300 000 KM48 MONTHS/600 000 KMCombinationYes</v>
          </cell>
          <cell r="H134">
            <v>180120</v>
          </cell>
          <cell r="N134" t="str">
            <v>TGS8X860 MONTHS/375 000 KM</v>
          </cell>
          <cell r="O134">
            <v>24490</v>
          </cell>
          <cell r="AC134" t="str">
            <v>TGS4X4HYDRO24 MONTHS/150 000 KMEntire VehicleYes</v>
          </cell>
          <cell r="AD134">
            <v>11060</v>
          </cell>
          <cell r="AK134" t="str">
            <v>TGS4X4HYDRO36 MONTHS/75 000 KMDrivelineYes</v>
          </cell>
          <cell r="AL134">
            <v>12640</v>
          </cell>
        </row>
        <row r="135">
          <cell r="G135" t="str">
            <v>TGS6X4 H/D24 MONTHS/300 000 KM60 MONTHS/750 000 KMCombinationNo</v>
          </cell>
          <cell r="H135">
            <v>183280</v>
          </cell>
          <cell r="N135" t="str">
            <v>TGS8X860 MONTHS/500 000 KM</v>
          </cell>
          <cell r="O135">
            <v>29230</v>
          </cell>
          <cell r="AC135" t="str">
            <v>TGS4X4HYDRO24 MONTHS/200 000 KMEntire VehicleNo</v>
          </cell>
          <cell r="AD135">
            <v>14220</v>
          </cell>
          <cell r="AK135" t="str">
            <v>TGS4X4HYDRO48 MONTHS/100 000 KMDrivelineNo</v>
          </cell>
          <cell r="AL135">
            <v>29230</v>
          </cell>
        </row>
        <row r="136">
          <cell r="G136" t="str">
            <v>TGS6X4 H/D24 MONTHS/300 000 KM60 MONTHS/750 000 KMCombinationYes</v>
          </cell>
          <cell r="H136">
            <v>335750</v>
          </cell>
          <cell r="N136" t="str">
            <v>TGS8X860 MONTHS/625 000 KM</v>
          </cell>
          <cell r="O136">
            <v>33970</v>
          </cell>
          <cell r="AC136" t="str">
            <v>TGS4X4HYDRO24 MONTHS/250 000 KMEntire VehicleYes</v>
          </cell>
          <cell r="AD136">
            <v>18960</v>
          </cell>
          <cell r="AK136" t="str">
            <v>TGS4X4HYDRO48 MONTHS/200 000 KMDrivelineYes</v>
          </cell>
          <cell r="AL136">
            <v>33970</v>
          </cell>
        </row>
        <row r="137">
          <cell r="G137" t="str">
            <v>TGS6X4 H/D36 MONTHS/225 000 KM48 MONTHS/300 000 KM CombinationNo</v>
          </cell>
          <cell r="H137">
            <v>76630</v>
          </cell>
          <cell r="N137" t="str">
            <v>TGS8X860 MONTHS/750 000 KM</v>
          </cell>
          <cell r="O137">
            <v>37920</v>
          </cell>
          <cell r="AC137" t="str">
            <v>TGS4X4HYDRO24 MONTHS/300 000 KMEntire VehicleNo</v>
          </cell>
          <cell r="AD137">
            <v>20540</v>
          </cell>
          <cell r="AK137" t="str">
            <v>TGS4X4HYDRO48 MONTHS/300 000 KMDrivelineNo</v>
          </cell>
          <cell r="AL137">
            <v>40290</v>
          </cell>
        </row>
        <row r="138">
          <cell r="G138" t="str">
            <v>TGS6X4 H/D36 MONTHS/225 000 KM48 MONTHS/300 000 KM CombinationYes</v>
          </cell>
          <cell r="H138">
            <v>123240</v>
          </cell>
          <cell r="N138" t="str">
            <v>TGS6X4H/D24 MONTHS/300 000 KM</v>
          </cell>
          <cell r="O138">
            <v>1580</v>
          </cell>
          <cell r="AC138" t="str">
            <v>TGS4X4HYDRO24 MONTHS/50 000 KMEntire VehicleYes</v>
          </cell>
          <cell r="AD138">
            <v>7110</v>
          </cell>
          <cell r="AK138" t="str">
            <v>TGS4X4HYDRO48 MONTHS/400 000 KMDrivelineYes</v>
          </cell>
          <cell r="AL138">
            <v>52140</v>
          </cell>
        </row>
        <row r="139">
          <cell r="G139" t="str">
            <v>TGS6X4 H/D36 MONTHS/225 000 KM60 MONTHS/750 000 KMCombinationNo</v>
          </cell>
          <cell r="H139">
            <v>126400</v>
          </cell>
          <cell r="N139" t="str">
            <v>TGS6X4H/D36 MONTHS/150 000 KM</v>
          </cell>
          <cell r="O139">
            <v>7900</v>
          </cell>
          <cell r="AC139" t="str">
            <v>TGS4X4HYDRO36 MONTHS/150 000 KMEntire VehicleNo</v>
          </cell>
          <cell r="AD139">
            <v>37130</v>
          </cell>
          <cell r="AK139" t="str">
            <v>TGS4X4HYDRO48 MONTHS/500 000 KMDrivelineNo</v>
          </cell>
          <cell r="AL139">
            <v>60830</v>
          </cell>
        </row>
        <row r="140">
          <cell r="G140" t="str">
            <v>TGS6X4 H/D36 MONTHS/225 000 KM60 MONTHS/750 000 KMCombinationYes</v>
          </cell>
          <cell r="H140">
            <v>217250</v>
          </cell>
          <cell r="N140" t="str">
            <v>TGS6X4H/D36 MONTHS/225 000 KM</v>
          </cell>
          <cell r="O140">
            <v>9480</v>
          </cell>
          <cell r="AC140" t="str">
            <v>TGS4X4HYDRO36 MONTHS/225 000 KMEntire VehicleYes</v>
          </cell>
          <cell r="AD140">
            <v>43450</v>
          </cell>
          <cell r="AK140" t="str">
            <v>TGS4X4HYDRO48 MONTHS/600 000 KMDrivelineYes</v>
          </cell>
          <cell r="AL140">
            <v>62410</v>
          </cell>
        </row>
        <row r="141">
          <cell r="G141" t="str">
            <v>TGS6X4 H/D36 MONTHS/450 000 KM48 MONTHS/600 000 KMCombinationNo</v>
          </cell>
          <cell r="H141">
            <v>121660</v>
          </cell>
          <cell r="N141" t="str">
            <v>TGS6X4H/D36 MONTHS/300 000 KM</v>
          </cell>
          <cell r="O141">
            <v>11060</v>
          </cell>
          <cell r="AC141" t="str">
            <v>TGS4X4HYDRO36 MONTHS/300 000 KMEntire VehicleNo</v>
          </cell>
          <cell r="AD141">
            <v>56090</v>
          </cell>
          <cell r="AK141" t="str">
            <v>TGS4X4HYDRO60 MONTHS/125 000 KMDrivelineNo</v>
          </cell>
          <cell r="AL141">
            <v>60830</v>
          </cell>
        </row>
        <row r="142">
          <cell r="G142" t="str">
            <v>TGS6X4 H/D36 MONTHS/450 000 KM48 MONTHS/600 000 KMCombinationYes</v>
          </cell>
          <cell r="H142">
            <v>202240</v>
          </cell>
          <cell r="N142" t="str">
            <v>TGS6X4H/D36 MONTHS/375 000 KM</v>
          </cell>
          <cell r="O142">
            <v>12640</v>
          </cell>
          <cell r="AC142" t="str">
            <v>TGS4X4HYDRO36 MONTHS/375 000 KMEntire VehicleYes</v>
          </cell>
          <cell r="AD142">
            <v>69520</v>
          </cell>
          <cell r="AK142" t="str">
            <v>TGS4X4HYDRO60 MONTHS/250 000 KMDrivelineYes</v>
          </cell>
          <cell r="AL142">
            <v>71890</v>
          </cell>
        </row>
        <row r="143">
          <cell r="G143" t="str">
            <v>TGS6X4 H/D36 MONTHS/450 000 KM60 MONTHS/750 000 KMCombinationNo</v>
          </cell>
          <cell r="H143">
            <v>209350</v>
          </cell>
          <cell r="N143" t="str">
            <v>TGS6X4H/D36 MONTHS/450 000 KM</v>
          </cell>
          <cell r="O143">
            <v>13430</v>
          </cell>
          <cell r="AC143" t="str">
            <v>TGS4X4HYDRO36 MONTHS/450 000 KMEntire VehicleNo</v>
          </cell>
          <cell r="AD143">
            <v>71890</v>
          </cell>
          <cell r="AK143" t="str">
            <v>TGS4X4HYDRO60 MONTHS/375 000 KMDrivelineNo</v>
          </cell>
          <cell r="AL143">
            <v>83740</v>
          </cell>
        </row>
        <row r="144">
          <cell r="G144" t="str">
            <v>TGS6X4 H/D36 MONTHS/450 000 KM60 MONTHS/750 000 KMCombinationYes</v>
          </cell>
          <cell r="H144">
            <v>357870</v>
          </cell>
          <cell r="N144" t="str">
            <v>TGS6X4H/D36 MONTHS/75 000 KM</v>
          </cell>
          <cell r="O144">
            <v>6320</v>
          </cell>
          <cell r="AC144" t="str">
            <v>TGS4X4HYDRO36 MONTHS/75 000 KMEntire VehicleYes</v>
          </cell>
          <cell r="AD144">
            <v>31600</v>
          </cell>
          <cell r="AK144" t="str">
            <v>TGS4X4HYDRO60 MONTHS/500 000 KMDrivelineYes</v>
          </cell>
          <cell r="AL144">
            <v>109810</v>
          </cell>
        </row>
        <row r="145">
          <cell r="G145" t="str">
            <v>TGS6X4 H/D48 MONTHS/300 000 KM60 MONTHS/750 000 KMCombinationNo</v>
          </cell>
          <cell r="H145">
            <v>184070</v>
          </cell>
          <cell r="N145" t="str">
            <v>TGS6X4H/D48 MONTHS/100 000 KM</v>
          </cell>
          <cell r="O145">
            <v>11850</v>
          </cell>
          <cell r="AC145" t="str">
            <v>TGS4X4HYDRO48 MONTHS/100 000 KMEntire VehicleNo</v>
          </cell>
          <cell r="AD145">
            <v>85803.673469387766</v>
          </cell>
          <cell r="AK145" t="str">
            <v>TGS4X4HYDRO60 MONTHS/625 000 KMDrivelineNo</v>
          </cell>
          <cell r="AL145">
            <v>127190</v>
          </cell>
        </row>
        <row r="146">
          <cell r="G146" t="str">
            <v>TGS6X4 H/D48 MONTHS/300 000 KM60 MONTHS/750 000 KMCombinationYes</v>
          </cell>
          <cell r="H146">
            <v>308890</v>
          </cell>
          <cell r="N146" t="str">
            <v>TGS6X4H/D48 MONTHS/200 000 KM</v>
          </cell>
          <cell r="O146">
            <v>13430</v>
          </cell>
          <cell r="AC146" t="str">
            <v>TGS4X4HYDRO48 MONTHS/200 000 KMEntire VehicleYes</v>
          </cell>
          <cell r="AD146">
            <v>99540</v>
          </cell>
          <cell r="AK146" t="str">
            <v>TGS4X4HYDRO60 MONTHS/750 000 KMDrivelineYes</v>
          </cell>
          <cell r="AL146">
            <v>138250</v>
          </cell>
        </row>
        <row r="147">
          <cell r="G147" t="str">
            <v>TGS6X4 H/D48 MONTHS/300 000 KM60 MONTHS/750 000 KMCombinationNo</v>
          </cell>
          <cell r="H147">
            <v>259910</v>
          </cell>
          <cell r="N147" t="str">
            <v>TGS6X4H/D48 MONTHS/300 000 KM</v>
          </cell>
          <cell r="O147">
            <v>15800</v>
          </cell>
          <cell r="AC147" t="str">
            <v>TGS4X4HYDRO48 MONTHS/300 000 KMEntire VehicleNo</v>
          </cell>
          <cell r="AD147">
            <v>116130</v>
          </cell>
          <cell r="AK147" t="str">
            <v>TGS6X236 MONTHS/75 000 KMDrivelineNo</v>
          </cell>
          <cell r="AL147">
            <v>4740</v>
          </cell>
        </row>
        <row r="148">
          <cell r="G148" t="str">
            <v>TGS6X4 H/D48 MONTHS/300 000 KM60 MONTHS/750 000 KMCombinationYes</v>
          </cell>
          <cell r="H148">
            <v>429760</v>
          </cell>
          <cell r="N148" t="str">
            <v>TGS6X4H/D48 MONTHS/400 000 KM</v>
          </cell>
          <cell r="O148">
            <v>19750</v>
          </cell>
          <cell r="AC148" t="str">
            <v>TGS4X4HYDRO48 MONTHS/400 000 KMEntire VehicleYes</v>
          </cell>
          <cell r="AD148">
            <v>152470</v>
          </cell>
          <cell r="AK148" t="str">
            <v>TGS6X236 MONTHS/75 000 KMDrivelineYes</v>
          </cell>
          <cell r="AL148">
            <v>3950</v>
          </cell>
        </row>
        <row r="149">
          <cell r="G149" t="str">
            <v>TGS6X424 MONTHS/150 000 KM 36 MONTHS/225 000 KMCombinationNo</v>
          </cell>
          <cell r="H149">
            <v>28440</v>
          </cell>
          <cell r="N149" t="str">
            <v>TGS6X4H/D48 MONTHS/500 000 KM</v>
          </cell>
          <cell r="O149">
            <v>23700</v>
          </cell>
          <cell r="AC149" t="str">
            <v>TGS4X4HYDRO48 MONTHS/500 000 KMEntire VehicleNo</v>
          </cell>
          <cell r="AD149">
            <v>187230</v>
          </cell>
          <cell r="AK149" t="str">
            <v>TGS6X236 MONTHS/125 000 KMDrivelineNo</v>
          </cell>
          <cell r="AL149">
            <v>8690</v>
          </cell>
        </row>
        <row r="150">
          <cell r="G150" t="str">
            <v>TGS6X424 MONTHS/150 000 KM 36 MONTHS/225 000 KMCombinationYes</v>
          </cell>
          <cell r="H150">
            <v>22910</v>
          </cell>
          <cell r="N150" t="str">
            <v>TGS6X4H/D48 MONTHS/600 000 KM</v>
          </cell>
          <cell r="O150">
            <v>26070</v>
          </cell>
          <cell r="AC150" t="str">
            <v>TGS4X4HYDRO48 MONTHS/600 000 KMEntire VehicleYes</v>
          </cell>
          <cell r="AD150">
            <v>191970</v>
          </cell>
          <cell r="AK150" t="str">
            <v>TGS6X236 MONTHS/125 000 KMDrivelineYes</v>
          </cell>
          <cell r="AL150">
            <v>7110</v>
          </cell>
        </row>
        <row r="151">
          <cell r="G151" t="str">
            <v>TGS6X424 MONTHS/300 000 KM36 MONTHS/450 000 KMCombinationNo</v>
          </cell>
          <cell r="H151">
            <v>44240</v>
          </cell>
          <cell r="N151" t="str">
            <v>TGS6X4H/D60 MONTHS/125 000 KM</v>
          </cell>
          <cell r="O151">
            <v>24490</v>
          </cell>
          <cell r="AC151" t="str">
            <v>TGS4X4HYDRO60 MONTHS/125 000 KMEntire VehicleNo</v>
          </cell>
          <cell r="AD151">
            <v>176960</v>
          </cell>
          <cell r="AK151" t="str">
            <v>TGS6X236 MONTHS/225 000 KMDrivelineNo</v>
          </cell>
          <cell r="AL151">
            <v>10270</v>
          </cell>
        </row>
        <row r="152">
          <cell r="G152" t="str">
            <v>TGS6X424 MONTHS/300 000 KM36 MONTHS/450 000 KMCombinationYes</v>
          </cell>
          <cell r="H152">
            <v>35550</v>
          </cell>
          <cell r="N152" t="str">
            <v>TGS6X4H/D60 MONTHS/250 000 KM</v>
          </cell>
          <cell r="O152">
            <v>28440</v>
          </cell>
          <cell r="AC152" t="str">
            <v>TGS4X4HYDRO60 MONTHS/250 000 KMEntire VehicleYes</v>
          </cell>
          <cell r="AD152">
            <v>208560</v>
          </cell>
          <cell r="AK152" t="str">
            <v>TGS6X236 MONTHS/225 000 KMDrivelineYes</v>
          </cell>
          <cell r="AL152">
            <v>8690</v>
          </cell>
        </row>
        <row r="153">
          <cell r="G153" t="str">
            <v>TGS6X424 MONTHS/150 000 KM48 MONTHS/300 000 KMCombinationNo</v>
          </cell>
          <cell r="H153">
            <v>44240</v>
          </cell>
          <cell r="N153" t="str">
            <v>TGS6X4H/D60 MONTHS/375 000 KM</v>
          </cell>
          <cell r="O153">
            <v>33180</v>
          </cell>
          <cell r="AC153" t="str">
            <v>TGS4X4HYDRO60 MONTHS/375 000 KMEntire VehicleNo</v>
          </cell>
          <cell r="AD153">
            <v>244110</v>
          </cell>
          <cell r="AK153" t="str">
            <v>TGS6X236 MONTHS/300 000 KMDrivelineNo</v>
          </cell>
          <cell r="AL153">
            <v>11850</v>
          </cell>
        </row>
        <row r="154">
          <cell r="G154" t="str">
            <v>TGS6X424 MONTHS/150 000 KM48 MONTHS/300 000 KMCombinationYes</v>
          </cell>
          <cell r="H154">
            <v>35550</v>
          </cell>
          <cell r="N154" t="str">
            <v>TGS6X4H/D60 MONTHS/500 000 KM</v>
          </cell>
          <cell r="O154">
            <v>41870</v>
          </cell>
          <cell r="AC154" t="str">
            <v>TGS4X4HYDRO60 MONTHS/500 000 KMEntire VehicleYes</v>
          </cell>
          <cell r="AD154">
            <v>319160</v>
          </cell>
          <cell r="AK154" t="str">
            <v>TGS6X236 MONTHS/300 000 KMDrivelineYes</v>
          </cell>
          <cell r="AL154">
            <v>9480</v>
          </cell>
        </row>
        <row r="155">
          <cell r="G155" t="str">
            <v>TGS6X424 MONTHS/300 000 KM48 MONTHS/600 000 KMCombinationNo</v>
          </cell>
          <cell r="H155">
            <v>79790</v>
          </cell>
          <cell r="N155" t="str">
            <v>TGS6X4H/D60 MONTHS/625 000 KM</v>
          </cell>
          <cell r="O155">
            <v>49770</v>
          </cell>
          <cell r="AC155" t="str">
            <v>TGS4X4HYDRO60 MONTHS/625 000 KMEntire VehicleNo</v>
          </cell>
          <cell r="AD155">
            <v>392630</v>
          </cell>
          <cell r="AK155" t="str">
            <v>TGS6X236 MONTHS/375 000 KMDrivelineNo</v>
          </cell>
          <cell r="AL155">
            <v>15010</v>
          </cell>
        </row>
        <row r="156">
          <cell r="G156" t="str">
            <v>TGS6X424 MONTHS/300 000 KM48 MONTHS/600 000 KMCombinationYes</v>
          </cell>
          <cell r="H156">
            <v>63990</v>
          </cell>
          <cell r="N156" t="str">
            <v>TGS6X4H/D60 MONTHS/750 000 KM</v>
          </cell>
          <cell r="O156">
            <v>56880</v>
          </cell>
          <cell r="AC156" t="str">
            <v>TGS4X4HYDRO60 MONTHS/750 000 KMEntire VehicleYes</v>
          </cell>
          <cell r="AD156">
            <v>402900</v>
          </cell>
          <cell r="AK156" t="str">
            <v>TGS6X236 MONTHS/375 000 KMDrivelineYes</v>
          </cell>
          <cell r="AL156">
            <v>12640</v>
          </cell>
        </row>
        <row r="157">
          <cell r="G157" t="str">
            <v>TGS6X424 MONTHS/225 000 KM48 MONTHS/300 000 KMCombinationNo</v>
          </cell>
          <cell r="H157">
            <v>56880</v>
          </cell>
          <cell r="N157" t="str">
            <v>TGS6X6H/D24 MONTHS/300 000 KM</v>
          </cell>
          <cell r="O157">
            <v>1580</v>
          </cell>
          <cell r="AC157" t="str">
            <v>TGS6X224 MONTHS/50 000 KMEntire VehicleNo</v>
          </cell>
          <cell r="AD157">
            <v>4740</v>
          </cell>
          <cell r="AK157" t="str">
            <v>TGS6X236 MONTHS/450 000 KMDrivelineNo</v>
          </cell>
          <cell r="AL157">
            <v>17380</v>
          </cell>
        </row>
        <row r="158">
          <cell r="G158" t="str">
            <v>TGS6X424 MONTHS/225 000 KM48 MONTHS/300 000 KMCombinationYes</v>
          </cell>
          <cell r="H158">
            <v>45820</v>
          </cell>
          <cell r="N158" t="str">
            <v>TGS6X6H/D36 MONTHS/150 000 KM</v>
          </cell>
          <cell r="O158">
            <v>7900</v>
          </cell>
          <cell r="AC158" t="str">
            <v>TGS6X224 MONTHS/50 000 KMEntire VehicleYes</v>
          </cell>
          <cell r="AD158">
            <v>3950</v>
          </cell>
          <cell r="AK158" t="str">
            <v>TGS6X236 MONTHS/450 000 KMDrivelineYes</v>
          </cell>
          <cell r="AL158">
            <v>14220</v>
          </cell>
        </row>
        <row r="159">
          <cell r="G159" t="str">
            <v>TGS6X436 MONTHS/450 000 KM48 MONTHS/600 000 KMCombinationNo</v>
          </cell>
          <cell r="H159">
            <v>105860</v>
          </cell>
          <cell r="N159" t="str">
            <v>TGS6X6H/D36 MONTHS/225 000 KM</v>
          </cell>
          <cell r="O159">
            <v>9480</v>
          </cell>
          <cell r="AC159" t="str">
            <v>TGS6X224 MONTHS/100 000 KMEntire VehicleNo</v>
          </cell>
          <cell r="AD159">
            <v>6320</v>
          </cell>
          <cell r="AK159" t="str">
            <v>TGS6X236 MONTHS/525 000 KMDrivelineNo</v>
          </cell>
          <cell r="AL159">
            <v>20540</v>
          </cell>
        </row>
        <row r="160">
          <cell r="G160" t="str">
            <v>TGS6X436 MONTHS/450 000 KM48 MONTHS/600 000 KMCombinationYes</v>
          </cell>
          <cell r="H160">
            <v>85320</v>
          </cell>
          <cell r="N160" t="str">
            <v>TGS6X6H/D36 MONTHS/300 000 KM</v>
          </cell>
          <cell r="O160">
            <v>11060</v>
          </cell>
          <cell r="AC160" t="str">
            <v>TGS6X224 MONTHS/100 000 KMEntire VehicleYes</v>
          </cell>
          <cell r="AD160">
            <v>4740</v>
          </cell>
          <cell r="AK160" t="str">
            <v>TGS6X236 MONTHS/525 000 KMDrivelineYes</v>
          </cell>
          <cell r="AL160">
            <v>16590</v>
          </cell>
        </row>
        <row r="161">
          <cell r="G161" t="str">
            <v>TGS6X424 MONTHS/150 000 KM60 MONTHS/375 000 KM CombinationNo</v>
          </cell>
          <cell r="H161">
            <v>78210</v>
          </cell>
          <cell r="N161" t="str">
            <v>TGS6X6H/D36 MONTHS/375 000 KM</v>
          </cell>
          <cell r="O161">
            <v>12640</v>
          </cell>
          <cell r="AC161" t="str">
            <v>TGS6X224 MONTHS/150 000 KMEntire VehicleNo</v>
          </cell>
          <cell r="AD161">
            <v>7900</v>
          </cell>
          <cell r="AK161" t="str">
            <v>TGS6X236 MONTHS/600 000 KMDrivelineNo</v>
          </cell>
          <cell r="AL161">
            <v>23700</v>
          </cell>
        </row>
        <row r="162">
          <cell r="G162" t="str">
            <v>TGS6X424 MONTHS/150 000 KM60 MONTHS/375 000 KM CombinationYes</v>
          </cell>
          <cell r="H162">
            <v>63200</v>
          </cell>
          <cell r="N162" t="str">
            <v>TGS6X6H/D36 MONTHS/450 000 KM</v>
          </cell>
          <cell r="O162">
            <v>13430</v>
          </cell>
          <cell r="AC162" t="str">
            <v>TGS6X224 MONTHS/150 000 KMEntire VehicleYes</v>
          </cell>
          <cell r="AD162">
            <v>6320</v>
          </cell>
          <cell r="AK162" t="str">
            <v>TGS6X236 MONTHS/600 000 KMDrivelineYes</v>
          </cell>
          <cell r="AL162">
            <v>18960</v>
          </cell>
        </row>
        <row r="163">
          <cell r="G163" t="str">
            <v>TGS6X424 MONTHS/300 000 KM60 MONTHS/750 000 KMCombinationNo</v>
          </cell>
          <cell r="H163">
            <v>156420</v>
          </cell>
          <cell r="N163" t="str">
            <v>TGS6X6H/D36 MONTHS/75 000 KM</v>
          </cell>
          <cell r="O163">
            <v>6320</v>
          </cell>
          <cell r="AC163" t="str">
            <v>TGS6X224 MONTHS/200 000 KMEntire VehicleNo</v>
          </cell>
          <cell r="AD163">
            <v>9480</v>
          </cell>
          <cell r="AK163" t="str">
            <v>TGS6X242 MONTHS/350 000 KMDrivelineNo</v>
          </cell>
          <cell r="AL163">
            <v>15010</v>
          </cell>
        </row>
        <row r="164">
          <cell r="G164" t="str">
            <v>TGS6X424 MONTHS/300 000 KM60 MONTHS/750 000 KMCombinationYes</v>
          </cell>
          <cell r="H164">
            <v>125610</v>
          </cell>
          <cell r="N164" t="str">
            <v>TGS6X6H/D48 MONTHS/100 000 KM</v>
          </cell>
          <cell r="O164">
            <v>11850</v>
          </cell>
          <cell r="AC164" t="str">
            <v>TGS6X224 MONTHS/200 000 KMEntire VehicleYes</v>
          </cell>
          <cell r="AD164">
            <v>7900</v>
          </cell>
          <cell r="AK164" t="str">
            <v>TGS6X242 MONTHS/350 000 KMDrivelineYes</v>
          </cell>
          <cell r="AL164">
            <v>12640</v>
          </cell>
        </row>
        <row r="165">
          <cell r="G165" t="str">
            <v>TGS6X436 MONTHS/225 000 KM60 MONTHS/375 000 KMCombinationNo</v>
          </cell>
          <cell r="H165">
            <v>90850</v>
          </cell>
          <cell r="N165" t="str">
            <v>TGS6X6H/D48 MONTHS/200 000 KM</v>
          </cell>
          <cell r="O165">
            <v>13430</v>
          </cell>
          <cell r="AC165" t="str">
            <v>TGS6X224 MONTHS/250 000 KMEntire VehicleNo</v>
          </cell>
          <cell r="AD165">
            <v>11850</v>
          </cell>
          <cell r="AK165" t="str">
            <v>TGS6X242 MONTHS/437 500 KMDrivelineNo</v>
          </cell>
          <cell r="AL165">
            <v>20540</v>
          </cell>
        </row>
        <row r="166">
          <cell r="G166" t="str">
            <v>TGS6X436 MONTHS/225 000 KM60 MONTHS/375 000 KMCombinationYes</v>
          </cell>
          <cell r="H166">
            <v>72680</v>
          </cell>
          <cell r="N166" t="str">
            <v>TGS6X6H/D48 MONTHS/300 000 KM</v>
          </cell>
          <cell r="O166">
            <v>15800</v>
          </cell>
          <cell r="AC166" t="str">
            <v>TGS6X224 MONTHS/250 000 KMEntire VehicleYes</v>
          </cell>
          <cell r="AD166">
            <v>9480</v>
          </cell>
          <cell r="AK166" t="str">
            <v>TGS6X242 MONTHS/437 500 KMDrivelineYes</v>
          </cell>
          <cell r="AL166">
            <v>16590</v>
          </cell>
        </row>
        <row r="167">
          <cell r="G167" t="str">
            <v>TGS6X436 MONTHS/450 000 KM60 MONTHS/750 000 KMCombinationNo</v>
          </cell>
          <cell r="H167">
            <v>181700</v>
          </cell>
          <cell r="N167" t="str">
            <v>TGS6X6H/D48 MONTHS/400 000 KM</v>
          </cell>
          <cell r="O167">
            <v>19750</v>
          </cell>
          <cell r="AC167" t="str">
            <v>TGS6X224 MONTHS/300 000 KMEntire VehicleNo</v>
          </cell>
          <cell r="AD167">
            <v>15010</v>
          </cell>
          <cell r="AK167" t="str">
            <v>TGS6X242 MONTHS/525 000 KMDrivelineNo</v>
          </cell>
          <cell r="AL167">
            <v>26860</v>
          </cell>
        </row>
        <row r="168">
          <cell r="G168" t="str">
            <v>TGS6X436 MONTHS/450 000 KM60 MONTHS/750 000 KMCombinationYes</v>
          </cell>
          <cell r="H168">
            <v>146150</v>
          </cell>
          <cell r="N168" t="str">
            <v>TGS6X6H/D48 MONTHS/500 000 KM</v>
          </cell>
          <cell r="O168">
            <v>23700</v>
          </cell>
          <cell r="AC168" t="str">
            <v>TGS6X224 MONTHS/300 000 KMEntire VehicleYes</v>
          </cell>
          <cell r="AD168">
            <v>12640</v>
          </cell>
          <cell r="AK168" t="str">
            <v>TGS6X242 MONTHS/525 000 KMDrivelineYes</v>
          </cell>
          <cell r="AL168">
            <v>22120</v>
          </cell>
        </row>
        <row r="169">
          <cell r="G169" t="str">
            <v>TGS6X448 MONTHS/300 000 KM60 MONTHS/375 000 KMCombinationNo</v>
          </cell>
          <cell r="H169">
            <v>161160</v>
          </cell>
          <cell r="N169" t="str">
            <v>TGS6X6H/D48 MONTHS/600 000 KM</v>
          </cell>
          <cell r="O169">
            <v>26070</v>
          </cell>
          <cell r="AC169" t="str">
            <v>TGS6X224 MONTHS/350 000 KMEntire VehicleNo</v>
          </cell>
          <cell r="AD169">
            <v>16590</v>
          </cell>
          <cell r="AK169" t="str">
            <v>TGS6X242 MONTHS/612 500 KMDrivelineNo</v>
          </cell>
          <cell r="AL169">
            <v>33180</v>
          </cell>
        </row>
        <row r="170">
          <cell r="G170" t="str">
            <v>TGS6X448 MONTHS/300 000 KM60 MONTHS/375 000 KMCombinationYes</v>
          </cell>
          <cell r="H170">
            <v>145360</v>
          </cell>
          <cell r="N170" t="str">
            <v>TGS6X6H/D60 MONTHS/125 000 KM</v>
          </cell>
          <cell r="O170">
            <v>24490</v>
          </cell>
          <cell r="AC170" t="str">
            <v>TGS6X224 MONTHS/350 000 KMEntire VehicleYes</v>
          </cell>
          <cell r="AD170">
            <v>13430</v>
          </cell>
          <cell r="AK170" t="str">
            <v>TGS6X242 MONTHS/612 500 KMDrivelineYes</v>
          </cell>
          <cell r="AL170">
            <v>26860</v>
          </cell>
        </row>
        <row r="171">
          <cell r="G171" t="str">
            <v>TGS6X448 MONTHS/600 000 KM60 MONTHS/750 000 KMCombinationNo</v>
          </cell>
          <cell r="H171">
            <v>286770</v>
          </cell>
          <cell r="N171" t="str">
            <v>TGS6X6H/D60 MONTHS/250 000 KM</v>
          </cell>
          <cell r="O171">
            <v>28440</v>
          </cell>
          <cell r="AC171" t="str">
            <v>TGS6X224 MONTHS/400 000 KMEntire VehicleNo</v>
          </cell>
          <cell r="AD171">
            <v>17380</v>
          </cell>
          <cell r="AK171" t="str">
            <v>TGS6X248 MONTHS/100 000 KMDrivelineNo</v>
          </cell>
          <cell r="AL171">
            <v>3950</v>
          </cell>
        </row>
        <row r="172">
          <cell r="G172" t="str">
            <v>TGS6X448 MONTHS/600 000 KM60 MONTHS/750 000 KMCombinationYes</v>
          </cell>
          <cell r="H172">
            <v>229890</v>
          </cell>
          <cell r="N172" t="str">
            <v>TGS6X6H/D60 MONTHS/375 000 KM</v>
          </cell>
          <cell r="O172">
            <v>33180</v>
          </cell>
          <cell r="AC172" t="str">
            <v>TGS6X224 MONTHS/400 000 KMEntire VehicleYes</v>
          </cell>
          <cell r="AD172">
            <v>14220</v>
          </cell>
          <cell r="AK172" t="str">
            <v>TGS6X248 MONTHS/100 000 KMDrivelineYes</v>
          </cell>
          <cell r="AL172">
            <v>3160</v>
          </cell>
        </row>
        <row r="173">
          <cell r="G173" t="str">
            <v>TGS6X6 H/D (ABN)24 MONTHS/150 000 KM36 MONTHS/225 000 KMCombinationNo</v>
          </cell>
          <cell r="H173">
            <v>76630</v>
          </cell>
          <cell r="N173" t="str">
            <v>TGS6X6H/D60 MONTHS/500 000 KM</v>
          </cell>
          <cell r="O173">
            <v>41870</v>
          </cell>
          <cell r="AC173" t="str">
            <v>TGS6X236 MONTHS/75 000 KMEntire VehicleNo</v>
          </cell>
          <cell r="AD173">
            <v>12640</v>
          </cell>
          <cell r="AK173" t="str">
            <v>TGS6X248 MONTHS/200 000 KMDrivelineNo</v>
          </cell>
          <cell r="AL173">
            <v>7900</v>
          </cell>
        </row>
        <row r="174">
          <cell r="G174" t="str">
            <v>TGS6X6 H/D (ABN)24 MONTHS/150 000 KM36 MONTHS/225 000 KMCombinationYes</v>
          </cell>
          <cell r="H174">
            <v>28440</v>
          </cell>
          <cell r="N174" t="str">
            <v>TGS6X6H/D60 MONTHS/625 000 KM</v>
          </cell>
          <cell r="O174">
            <v>49770</v>
          </cell>
          <cell r="AC174" t="str">
            <v>TGS6X236 MONTHS/75 000 KMEntire VehicleYes</v>
          </cell>
          <cell r="AD174">
            <v>10270</v>
          </cell>
          <cell r="AK174" t="str">
            <v>TGS6X248 MONTHS/200 000 KMDrivelineYes</v>
          </cell>
          <cell r="AL174">
            <v>6320</v>
          </cell>
        </row>
        <row r="175">
          <cell r="G175" t="str">
            <v>TGS6X6 H/D (ABN)24 MONTHS/150 000 KM48 MONTHS/300 000 KMCombinationNo</v>
          </cell>
          <cell r="H175">
            <v>120080</v>
          </cell>
          <cell r="N175" t="str">
            <v>TGS6X6H/D60 MONTHS/750 000 KM</v>
          </cell>
          <cell r="O175">
            <v>56880</v>
          </cell>
          <cell r="AC175" t="str">
            <v>TGS6X236 MONTHS/150 000 KMEntire VehicleNo</v>
          </cell>
          <cell r="AD175">
            <v>17380</v>
          </cell>
          <cell r="AK175" t="str">
            <v>TGS6X248 MONTHS/300 000 KMDrivelineNo</v>
          </cell>
          <cell r="AL175">
            <v>13430</v>
          </cell>
        </row>
        <row r="176">
          <cell r="G176" t="str">
            <v>TGS6X6 H/D (ABN)24 MONTHS/150 000 KM48 MONTHS/300 000 KMCombinationYes</v>
          </cell>
          <cell r="H176">
            <v>51350</v>
          </cell>
          <cell r="N176" t="str">
            <v>TGS8X4H/D24 MONTHS/300 000 KM</v>
          </cell>
          <cell r="O176">
            <v>1580</v>
          </cell>
          <cell r="AC176" t="str">
            <v>TGS6X236 MONTHS/150 000 KMEntire VehicleYes</v>
          </cell>
          <cell r="AD176">
            <v>14220</v>
          </cell>
          <cell r="AK176" t="str">
            <v>TGS6X248 MONTHS/300 000 KMDrivelineYes</v>
          </cell>
          <cell r="AL176">
            <v>11060</v>
          </cell>
        </row>
        <row r="177">
          <cell r="G177" t="str">
            <v>TGS6X6 H/D (ABN)24 MONTHS/150 000 KM60 MONTHS/375 000 KMCombinationNo</v>
          </cell>
          <cell r="H177">
            <v>228310</v>
          </cell>
          <cell r="N177" t="str">
            <v>TGS8X4H/D36 MONTHS/150 000 KM</v>
          </cell>
          <cell r="O177">
            <v>7900</v>
          </cell>
          <cell r="AC177" t="str">
            <v>TGS6X236 MONTHS/225 000 KMEntire VehicleNo</v>
          </cell>
          <cell r="AD177">
            <v>27650</v>
          </cell>
          <cell r="AK177" t="str">
            <v>TGS6X248 MONTHS/400 000 KMDrivelineNo</v>
          </cell>
          <cell r="AL177">
            <v>18170</v>
          </cell>
        </row>
        <row r="178">
          <cell r="G178" t="str">
            <v>TGS6X6 H/D (ABN)24 MONTHS/150 000 KM60 MONTHS/375 000 KMCombinationYes</v>
          </cell>
          <cell r="H178">
            <v>94800</v>
          </cell>
          <cell r="N178" t="str">
            <v>TGS8X4H/D36 MONTHS/225 000 KM</v>
          </cell>
          <cell r="O178">
            <v>9480</v>
          </cell>
          <cell r="AC178" t="str">
            <v>TGS6X236 MONTHS/225 000 KMEntire VehicleYes</v>
          </cell>
          <cell r="AD178">
            <v>22120</v>
          </cell>
          <cell r="AK178" t="str">
            <v>TGS6X248 MONTHS/400 000 KMDrivelineYes</v>
          </cell>
          <cell r="AL178">
            <v>15010</v>
          </cell>
        </row>
        <row r="179">
          <cell r="G179" t="str">
            <v>TGS6X6 H/D (ABN)24 MONTHS/300 000 KM36 MONTHS/450 000 KMCombinationNo</v>
          </cell>
          <cell r="H179">
            <v>135880</v>
          </cell>
          <cell r="N179" t="str">
            <v>TGS8X4H/D36 MONTHS/300 000 KM</v>
          </cell>
          <cell r="O179">
            <v>11060</v>
          </cell>
          <cell r="AC179" t="str">
            <v>TGS6X236 MONTHS/300 000 KMEntire VehicleNo</v>
          </cell>
          <cell r="AD179">
            <v>31600</v>
          </cell>
          <cell r="AK179" t="str">
            <v>TGS6X248 MONTHS/500 000 KMDrivelineNo</v>
          </cell>
          <cell r="AL179">
            <v>26070</v>
          </cell>
        </row>
        <row r="180">
          <cell r="G180" t="str">
            <v>TGS6X6 H/D (ABN)24 MONTHS/300 000 KM36 MONTHS/450 000 KMCombinationYes</v>
          </cell>
          <cell r="H180">
            <v>48702.987012987011</v>
          </cell>
          <cell r="N180" t="str">
            <v>TGS8X4H/D36 MONTHS/375 000 KM</v>
          </cell>
          <cell r="O180">
            <v>12640</v>
          </cell>
          <cell r="AC180" t="str">
            <v>TGS6X236 MONTHS/300 000 KMEntire VehicleYes</v>
          </cell>
          <cell r="AD180">
            <v>25280</v>
          </cell>
          <cell r="AK180" t="str">
            <v>TGS6X248 MONTHS/500 000 KMDrivelineYes</v>
          </cell>
          <cell r="AL180">
            <v>21330</v>
          </cell>
        </row>
        <row r="181">
          <cell r="G181" t="str">
            <v>TGS6X6 H/D (ABN)24 MONTHS/300 000 KM48 MONTHS/600 000 KMCombinationNo</v>
          </cell>
          <cell r="H181">
            <v>207770</v>
          </cell>
          <cell r="N181" t="str">
            <v>TGS8X4H/D36 MONTHS/450 000 KM</v>
          </cell>
          <cell r="O181">
            <v>13430</v>
          </cell>
          <cell r="AC181" t="str">
            <v>TGS6X236 MONTHS/375 000 KMEntire VehicleNo</v>
          </cell>
          <cell r="AD181">
            <v>37920</v>
          </cell>
          <cell r="AK181" t="str">
            <v>TGS6X248 MONTHS/600 000 KMDrivelineNo</v>
          </cell>
          <cell r="AL181">
            <v>35550</v>
          </cell>
        </row>
        <row r="182">
          <cell r="G182" t="str">
            <v>TGS6X6 H/D (ABN)24 MONTHS/300 000 KM48 MONTHS/600 000 KMCombinationYes</v>
          </cell>
          <cell r="H182">
            <v>82950</v>
          </cell>
          <cell r="N182" t="str">
            <v>TGS8X4H/D36 MONTHS/75 000 KM</v>
          </cell>
          <cell r="O182">
            <v>6320</v>
          </cell>
          <cell r="AC182" t="str">
            <v>TGS6X236 MONTHS/375 000 KMEntire VehicleYes</v>
          </cell>
          <cell r="AD182">
            <v>30810</v>
          </cell>
          <cell r="AK182" t="str">
            <v>TGS6X248 MONTHS/600 000 KMDrivelineYes</v>
          </cell>
          <cell r="AL182">
            <v>28440</v>
          </cell>
        </row>
        <row r="183">
          <cell r="G183" t="str">
            <v>TGS6X6 H/D (ABN)24 MONTHS/300 000 KM60 MONTHS/750 000 KMCombinationNo</v>
          </cell>
          <cell r="H183">
            <v>387100</v>
          </cell>
          <cell r="N183" t="str">
            <v>TGS8X4H/D48 MONTHS/100 000 KM</v>
          </cell>
          <cell r="O183">
            <v>11850</v>
          </cell>
          <cell r="AC183" t="str">
            <v>TGS6X236 MONTHS/450 000 KMEntire VehicleNo</v>
          </cell>
          <cell r="AD183">
            <v>43450</v>
          </cell>
          <cell r="AK183" t="str">
            <v>TGS6X248 MONTHS/700 000 KMDrivelineNo</v>
          </cell>
          <cell r="AL183">
            <v>45820</v>
          </cell>
        </row>
        <row r="184">
          <cell r="G184" t="str">
            <v>TGS6X6 H/D (ABN)24 MONTHS/300 000 KM60 MONTHS/750 000 KMCombinationYes</v>
          </cell>
          <cell r="H184">
            <v>158790</v>
          </cell>
          <cell r="N184" t="str">
            <v>TGS8X4H/D48 MONTHS/200 000 KM</v>
          </cell>
          <cell r="O184">
            <v>13430</v>
          </cell>
          <cell r="AC184" t="str">
            <v>TGS6X236 MONTHS/450 000 KMEntire VehicleYes</v>
          </cell>
          <cell r="AD184">
            <v>34760</v>
          </cell>
          <cell r="AK184" t="str">
            <v>TGS6X248 MONTHS/700 000 KMDrivelineYes</v>
          </cell>
          <cell r="AL184">
            <v>37130</v>
          </cell>
        </row>
        <row r="185">
          <cell r="G185" t="str">
            <v>TGS6X6 H/D (ABN)36 MONTHS/225 000 KM48 MONTHS/300 000 KM CombinationNo</v>
          </cell>
          <cell r="H185">
            <v>142200</v>
          </cell>
          <cell r="N185" t="str">
            <v>TGS8X4H/D48 MONTHS/300 000 KM</v>
          </cell>
          <cell r="O185">
            <v>15800</v>
          </cell>
          <cell r="AC185" t="str">
            <v>TGS6X236 MONTHS/525 000 KMEntire VehicleNo</v>
          </cell>
          <cell r="AD185">
            <v>48190</v>
          </cell>
          <cell r="AK185" t="str">
            <v>TGS6X248 MONTHS/800 000 KMDrivelineNo</v>
          </cell>
          <cell r="AL185">
            <v>56090</v>
          </cell>
        </row>
        <row r="186">
          <cell r="G186" t="str">
            <v>TGS6X6 H/D (ABN)36 MONTHS/225 000 KM48 MONTHS/300 000 KM CombinationYes</v>
          </cell>
          <cell r="H186">
            <v>66360</v>
          </cell>
          <cell r="N186" t="str">
            <v>TGS8X4H/D48 MONTHS/400 000 KM</v>
          </cell>
          <cell r="O186">
            <v>19750</v>
          </cell>
          <cell r="AC186" t="str">
            <v>TGS6X236 MONTHS/525 000 KMEntire VehicleYes</v>
          </cell>
          <cell r="AD186">
            <v>38710</v>
          </cell>
          <cell r="AK186" t="str">
            <v>TGS6X248 MONTHS/800 000 KMDrivelineYes</v>
          </cell>
          <cell r="AL186">
            <v>45030</v>
          </cell>
        </row>
        <row r="187">
          <cell r="G187" t="str">
            <v>TGS6X6 H/D (ABN)36 MONTHS/225 000 KM60 MONTHS/750 000 KMCombinationNo</v>
          </cell>
          <cell r="H187">
            <v>250430</v>
          </cell>
          <cell r="N187" t="str">
            <v>TGS8X4H/D48 MONTHS/500 000 KM</v>
          </cell>
          <cell r="O187">
            <v>23700</v>
          </cell>
          <cell r="AC187" t="str">
            <v>TGS6X236 MONTHS/600 000 KMEntire VehicleNo</v>
          </cell>
          <cell r="AD187">
            <v>53720</v>
          </cell>
          <cell r="AK187" t="str">
            <v>TGS6X254 MONTHS/450 000 KMDrivelineNo</v>
          </cell>
          <cell r="AL187">
            <v>27650</v>
          </cell>
        </row>
        <row r="188">
          <cell r="G188" t="str">
            <v>TGS6X6 H/D (ABN)36 MONTHS/225 000 KM60 MONTHS/750 000 KMCombinationYes</v>
          </cell>
          <cell r="H188">
            <v>109810</v>
          </cell>
          <cell r="N188" t="str">
            <v>TGS8X4H/D48 MONTHS/600 000 KM</v>
          </cell>
          <cell r="O188">
            <v>26070</v>
          </cell>
          <cell r="AC188" t="str">
            <v>TGS6X236 MONTHS/600 000 KMEntire VehicleYes</v>
          </cell>
          <cell r="AD188">
            <v>43450</v>
          </cell>
          <cell r="AK188" t="str">
            <v>TGS6X254 MONTHS/450 000 KMDrivelineYes</v>
          </cell>
          <cell r="AL188">
            <v>22120</v>
          </cell>
        </row>
        <row r="189">
          <cell r="G189" t="str">
            <v>TGS6X6 H/D (ABN)36 MONTHS/450 000 KM48 MONTHS/600 000 KMCombinationNo</v>
          </cell>
          <cell r="H189">
            <v>233050</v>
          </cell>
          <cell r="N189" t="str">
            <v>TGS8X4H/D60 MONTHS/125 000 KM</v>
          </cell>
          <cell r="O189">
            <v>24490</v>
          </cell>
          <cell r="AC189" t="str">
            <v>TGS6X242 MONTHS/350 000 KMEntire VehicleNo</v>
          </cell>
          <cell r="AD189">
            <v>50560</v>
          </cell>
          <cell r="AK189" t="str">
            <v>TGS6X254 MONTHS/562 500 KMDrivelineNo</v>
          </cell>
          <cell r="AL189">
            <v>36340</v>
          </cell>
        </row>
        <row r="190">
          <cell r="G190" t="str">
            <v>TGS6X6 H/D (ABN)36 MONTHS/450 000 KM48 MONTHS/600 000 KMCombinationYes</v>
          </cell>
          <cell r="H190">
            <v>105860</v>
          </cell>
          <cell r="N190" t="str">
            <v>TGS8X4H/D60 MONTHS/250 000 KM</v>
          </cell>
          <cell r="O190">
            <v>28440</v>
          </cell>
          <cell r="AC190" t="str">
            <v>TGS6X242 MONTHS/350 000 KMEntire VehicleYes</v>
          </cell>
          <cell r="AD190">
            <v>41080</v>
          </cell>
          <cell r="AK190" t="str">
            <v>TGS6X254 MONTHS/562 500 KMDrivelineYes</v>
          </cell>
          <cell r="AL190">
            <v>29230</v>
          </cell>
        </row>
        <row r="191">
          <cell r="G191" t="str">
            <v>TGS6X6 H/D (ABN)36 MONTHS/450 000 KM60 MONTHS/750 000 KMCombinationNo</v>
          </cell>
          <cell r="H191">
            <v>412380</v>
          </cell>
          <cell r="N191" t="str">
            <v>TGS8X4H/D60 MONTHS/375 000 KM</v>
          </cell>
          <cell r="O191">
            <v>33180</v>
          </cell>
          <cell r="AC191" t="str">
            <v>TGS6X242 MONTHS/437 500 KMEntire VehicleNo</v>
          </cell>
          <cell r="AD191">
            <v>61620</v>
          </cell>
          <cell r="AK191" t="str">
            <v>TGS6X254 MONTHS/675 000 KMDrivelineNo</v>
          </cell>
          <cell r="AL191">
            <v>48190</v>
          </cell>
        </row>
        <row r="192">
          <cell r="G192" t="str">
            <v>TGS6X6 H/D (ABN)36 MONTHS/450 000 KM60 MONTHS/750 000 KMCombinationYes</v>
          </cell>
          <cell r="H192">
            <v>181700</v>
          </cell>
          <cell r="N192" t="str">
            <v>TGS8X4H/D60 MONTHS/500 000 KM</v>
          </cell>
          <cell r="O192">
            <v>41870</v>
          </cell>
          <cell r="AC192" t="str">
            <v>TGS6X242 MONTHS/437 500 KMEntire VehicleYes</v>
          </cell>
          <cell r="AD192">
            <v>49770</v>
          </cell>
          <cell r="AK192" t="str">
            <v>TGS6X254 MONTHS/675 000 KMDrivelineYes</v>
          </cell>
          <cell r="AL192">
            <v>38710</v>
          </cell>
        </row>
        <row r="193">
          <cell r="G193" t="str">
            <v>TGS6X6 H/D (ABN)48 MONTHS/300 000 KM60 MONTHS/750 000 KMCombinationNo</v>
          </cell>
          <cell r="H193">
            <v>299410</v>
          </cell>
          <cell r="N193" t="str">
            <v>TGS8X4H/D60 MONTHS/625 000 KM</v>
          </cell>
          <cell r="O193">
            <v>49770</v>
          </cell>
          <cell r="AC193" t="str">
            <v>TGS6X242 MONTHS/525 000 KMEntire VehicleNo</v>
          </cell>
          <cell r="AD193">
            <v>68730</v>
          </cell>
          <cell r="AK193" t="str">
            <v>TGS6X254 MONTHS/787 500 KMDrivelineNo</v>
          </cell>
          <cell r="AL193">
            <v>59250</v>
          </cell>
        </row>
        <row r="194">
          <cell r="G194" t="str">
            <v>TGS6X6 H/D (ABN)48 MONTHS/300 000 KM60 MONTHS/750 000 KMCombinationYes</v>
          </cell>
          <cell r="H194">
            <v>495330</v>
          </cell>
          <cell r="N194" t="str">
            <v>TGS8X4H/D60 MONTHS/750 000 KM</v>
          </cell>
          <cell r="O194">
            <v>56880</v>
          </cell>
          <cell r="AC194" t="str">
            <v>TGS6X242 MONTHS/525 000 KMEntire VehicleYes</v>
          </cell>
          <cell r="AD194">
            <v>55300</v>
          </cell>
          <cell r="AK194" t="str">
            <v>TGS6X254 MONTHS/787 500 KMDrivelineYes</v>
          </cell>
          <cell r="AL194">
            <v>47400</v>
          </cell>
        </row>
        <row r="195">
          <cell r="G195" t="str">
            <v>TGS6X6 H/D (ABN)48 MONTHS/300 000 KM60 MONTHS/750 000 KMCombinationNo</v>
          </cell>
          <cell r="H195">
            <v>159580</v>
          </cell>
          <cell r="N195" t="str">
            <v>TGS8X6H/D24 MONTHS/300 000 KM</v>
          </cell>
          <cell r="O195">
            <v>1580</v>
          </cell>
          <cell r="AC195" t="str">
            <v>TGS6X242 MONTHS/612 500 KMEntire VehicleNo</v>
          </cell>
          <cell r="AD195">
            <v>75050</v>
          </cell>
          <cell r="AK195" t="str">
            <v>TGS6X260 MONTHS/125 000 KMDrivelineNo</v>
          </cell>
          <cell r="AL195">
            <v>25280</v>
          </cell>
        </row>
        <row r="196">
          <cell r="G196" t="str">
            <v>TGS6X6 H/D (ABN)48 MONTHS/300 000 KM60 MONTHS/750 000 KMCombinationYes</v>
          </cell>
          <cell r="H196">
            <v>267810</v>
          </cell>
          <cell r="N196" t="str">
            <v>TGS8X6H/D36 MONTHS/150 000 KM</v>
          </cell>
          <cell r="O196">
            <v>7900</v>
          </cell>
          <cell r="AC196" t="str">
            <v>TGS6X242 MONTHS/612 500 KMEntire VehicleYes</v>
          </cell>
          <cell r="AD196">
            <v>60040</v>
          </cell>
          <cell r="AK196" t="str">
            <v>TGS6X260 MONTHS/125 000 KMDrivelineYes</v>
          </cell>
          <cell r="AL196">
            <v>21330</v>
          </cell>
        </row>
        <row r="197">
          <cell r="G197" t="str">
            <v>TGS6X6 H/D24 MONTHS/150 000 KM36 MONTHS/225 000 KMCombinationNo</v>
          </cell>
          <cell r="H197">
            <v>33970</v>
          </cell>
          <cell r="N197" t="str">
            <v>TGS8X6H/D36 MONTHS/225 000 KM</v>
          </cell>
          <cell r="O197">
            <v>9480</v>
          </cell>
          <cell r="AC197" t="str">
            <v>TGS6X248 MONTHS/100 000 KMEntire VehicleNo</v>
          </cell>
          <cell r="AD197">
            <v>18960</v>
          </cell>
          <cell r="AK197" t="str">
            <v>TGS6X260 MONTHS/250 000 KMDrivelineNo</v>
          </cell>
          <cell r="AL197">
            <v>26070</v>
          </cell>
        </row>
        <row r="198">
          <cell r="G198" t="str">
            <v>TGS6X6 H/D24 MONTHS/150 000 KM36 MONTHS/225 000 KMCombinationYes</v>
          </cell>
          <cell r="H198">
            <v>65570</v>
          </cell>
          <cell r="N198" t="str">
            <v>TGS8X6H/D36 MONTHS/300 000 KM</v>
          </cell>
          <cell r="O198">
            <v>11060</v>
          </cell>
          <cell r="AC198" t="str">
            <v>TGS6X248 MONTHS/100 000 KMEntire VehicleYes</v>
          </cell>
          <cell r="AD198">
            <v>15800</v>
          </cell>
          <cell r="AK198" t="str">
            <v>TGS6X260 MONTHS/250 000 KMDrivelineYes</v>
          </cell>
          <cell r="AL198">
            <v>22120</v>
          </cell>
        </row>
        <row r="199">
          <cell r="G199" t="str">
            <v>TGS6X6 H/D24 MONTHS/150 000 KM48 MONTHS/300 000 KMCombinationNo</v>
          </cell>
          <cell r="H199">
            <v>60040</v>
          </cell>
          <cell r="N199" t="str">
            <v>TGS8X6H/D36 MONTHS/375 000 KM</v>
          </cell>
          <cell r="O199">
            <v>12640</v>
          </cell>
          <cell r="AC199" t="str">
            <v>TGS6X248 MONTHS/200 000 KMEntire VehicleNo</v>
          </cell>
          <cell r="AD199">
            <v>32390</v>
          </cell>
          <cell r="AK199" t="str">
            <v>TGS6X260 MONTHS/375 000 KMDrivelineNo</v>
          </cell>
          <cell r="AL199">
            <v>26860</v>
          </cell>
        </row>
        <row r="200">
          <cell r="G200" t="str">
            <v>TGS6X6 H/D24 MONTHS/150 000 KM48 MONTHS/300 000 KMCombinationYes</v>
          </cell>
          <cell r="H200">
            <v>103490</v>
          </cell>
          <cell r="N200" t="str">
            <v>TGS8X6H/D36 MONTHS/450 000 KM</v>
          </cell>
          <cell r="O200">
            <v>13430</v>
          </cell>
          <cell r="AC200" t="str">
            <v>TGS6X248 MONTHS/200 000 KMEntire VehicleYes</v>
          </cell>
          <cell r="AD200">
            <v>26860</v>
          </cell>
          <cell r="AK200" t="str">
            <v>TGS6X260 MONTHS/375 000 KMDrivelineYes</v>
          </cell>
          <cell r="AL200">
            <v>22910</v>
          </cell>
        </row>
        <row r="201">
          <cell r="G201" t="str">
            <v>TGS6X6 H/D24 MONTHS/150 000 KM60 MONTHS/375 000 KMCombinationNo</v>
          </cell>
          <cell r="H201">
            <v>109810</v>
          </cell>
          <cell r="N201" t="str">
            <v>TGS8X6H/D36 MONTHS/75 000 KM</v>
          </cell>
          <cell r="O201">
            <v>6320</v>
          </cell>
          <cell r="AC201" t="str">
            <v>TGS6X248 MONTHS/300 000 KMEntire VehicleNo</v>
          </cell>
          <cell r="AD201">
            <v>54510</v>
          </cell>
          <cell r="AK201" t="str">
            <v>TGS6X260 MONTHS/500 000 KMDrivelineNo</v>
          </cell>
          <cell r="AL201">
            <v>36340</v>
          </cell>
        </row>
        <row r="202">
          <cell r="G202" t="str">
            <v>TGS6X6 H/D24 MONTHS/150 000 KM60 MONTHS/375 000 KMCombinationYes</v>
          </cell>
          <cell r="H202">
            <v>197500</v>
          </cell>
          <cell r="N202" t="str">
            <v>TGS8X6H/D48 MONTHS/100 000 KM</v>
          </cell>
          <cell r="O202">
            <v>11850</v>
          </cell>
          <cell r="AC202" t="str">
            <v>TGS6X248 MONTHS/300 000 KMEntire VehicleYes</v>
          </cell>
          <cell r="AD202">
            <v>44240</v>
          </cell>
          <cell r="AK202" t="str">
            <v>TGS6X260 MONTHS/500 000 KMDrivelineYes</v>
          </cell>
          <cell r="AL202">
            <v>29230</v>
          </cell>
        </row>
        <row r="203">
          <cell r="G203" t="str">
            <v>TGS6X6 H/D24 MONTHS/300 000 KM36 MONTHS/450 000 KMCombinationNo</v>
          </cell>
          <cell r="H203">
            <v>56880</v>
          </cell>
          <cell r="N203" t="str">
            <v>TGS8X6H/D48 MONTHS/200 000 KM</v>
          </cell>
          <cell r="O203">
            <v>13430</v>
          </cell>
          <cell r="AC203" t="str">
            <v>TGS6X248 MONTHS/400 000 KMEntire VehicleNo</v>
          </cell>
          <cell r="AD203">
            <v>70310</v>
          </cell>
          <cell r="AK203" t="str">
            <v>TGS6X260 MONTHS/625 000 KMDrivelineNo</v>
          </cell>
          <cell r="AL203">
            <v>47400</v>
          </cell>
        </row>
        <row r="204">
          <cell r="G204" t="str">
            <v>TGS6X6 H/D24 MONTHS/300 000 KM36 MONTHS/450 000 KMCombinationYes</v>
          </cell>
          <cell r="H204">
            <v>117710</v>
          </cell>
          <cell r="N204" t="str">
            <v>TGS8X6H/D48 MONTHS/300 000 KM</v>
          </cell>
          <cell r="O204">
            <v>15800</v>
          </cell>
          <cell r="AC204" t="str">
            <v>TGS6X248 MONTHS/400 000 KMEntire VehicleYes</v>
          </cell>
          <cell r="AD204">
            <v>56880</v>
          </cell>
          <cell r="AK204" t="str">
            <v>TGS6X260 MONTHS/625 000 KMDrivelineYes</v>
          </cell>
          <cell r="AL204">
            <v>37920</v>
          </cell>
        </row>
        <row r="205">
          <cell r="G205" t="str">
            <v>TGS6X6 H/D24 MONTHS/300 000 KM48 MONTHS/600 000 KMCombinationNo</v>
          </cell>
          <cell r="H205">
            <v>95590</v>
          </cell>
          <cell r="N205" t="str">
            <v>TGS8X6H/D48 MONTHS/400 000 KM</v>
          </cell>
          <cell r="O205">
            <v>19750</v>
          </cell>
          <cell r="AC205" t="str">
            <v>TGS6X248 MONTHS/500 000 KMEntire VehicleNo</v>
          </cell>
          <cell r="AD205">
            <v>86110</v>
          </cell>
          <cell r="AK205" t="str">
            <v>TGS6X260 MONTHS/750 000 KMDrivelineNo</v>
          </cell>
          <cell r="AL205">
            <v>60040</v>
          </cell>
        </row>
        <row r="206">
          <cell r="G206" t="str">
            <v>TGS6X6 H/D24 MONTHS/300 000 KM48 MONTHS/600 000 KMCombinationYes</v>
          </cell>
          <cell r="H206">
            <v>180120</v>
          </cell>
          <cell r="N206" t="str">
            <v>TGS8X6H/D48 MONTHS/500 000 KM</v>
          </cell>
          <cell r="O206">
            <v>23700</v>
          </cell>
          <cell r="AC206" t="str">
            <v>TGS6X248 MONTHS/500 000 KMEntire VehicleYes</v>
          </cell>
          <cell r="AD206">
            <v>69520</v>
          </cell>
          <cell r="AK206" t="str">
            <v>TGS6X260 MONTHS/750 000 KMDrivelineYes</v>
          </cell>
          <cell r="AL206">
            <v>48190</v>
          </cell>
        </row>
        <row r="207">
          <cell r="G207" t="str">
            <v>TGS6X6 H/D24 MONTHS/300 000 KM60 MONTHS/750 000 KMCombinationNo</v>
          </cell>
          <cell r="H207">
            <v>183280</v>
          </cell>
          <cell r="N207" t="str">
            <v>TGS8X6H/D48 MONTHS/600 000 KM</v>
          </cell>
          <cell r="O207">
            <v>26070</v>
          </cell>
          <cell r="AC207" t="str">
            <v>TGS6X248 MONTHS/600 000 KMEntire VehicleNo</v>
          </cell>
          <cell r="AD207">
            <v>94800</v>
          </cell>
          <cell r="AK207" t="str">
            <v>TGS6X260 MONTHS/875 000 KMDrivelineNo</v>
          </cell>
          <cell r="AL207">
            <v>71890</v>
          </cell>
        </row>
        <row r="208">
          <cell r="G208" t="str">
            <v>TGS6X6 H/D24 MONTHS/300 000 KM60 MONTHS/750 000 KMCombinationYes</v>
          </cell>
          <cell r="H208">
            <v>335750</v>
          </cell>
          <cell r="N208" t="str">
            <v>TGS8X6H/D60 MONTHS/125 000 KM</v>
          </cell>
          <cell r="O208">
            <v>24490</v>
          </cell>
          <cell r="AC208" t="str">
            <v>TGS6X248 MONTHS/600 000 KMEntire VehicleYes</v>
          </cell>
          <cell r="AD208">
            <v>75840</v>
          </cell>
          <cell r="AK208" t="str">
            <v>TGS6X260 MONTHS/875 000 KMDrivelineYes</v>
          </cell>
          <cell r="AL208">
            <v>57670</v>
          </cell>
        </row>
        <row r="209">
          <cell r="G209" t="str">
            <v>TGS6X6 H/D36 MONTHS/225 000 KM48 MONTHS/300 000 KM CombinationNo</v>
          </cell>
          <cell r="H209">
            <v>76630</v>
          </cell>
          <cell r="N209" t="str">
            <v>TGS8X6H/D60 MONTHS/250 000 KM</v>
          </cell>
          <cell r="O209">
            <v>28440</v>
          </cell>
          <cell r="AC209" t="str">
            <v>TGS6X248 MONTHS/700 000 KMEntire VehicleNo</v>
          </cell>
          <cell r="AD209">
            <v>101120</v>
          </cell>
          <cell r="AK209" t="str">
            <v>TGS6X260 MONTHS/1 000 000 KMDrivelineNo</v>
          </cell>
          <cell r="AL209">
            <v>86110</v>
          </cell>
        </row>
        <row r="210">
          <cell r="G210" t="str">
            <v>TGS6X6 H/D36 MONTHS/225 000 KM48 MONTHS/300 000 KM CombinationYes</v>
          </cell>
          <cell r="H210">
            <v>123240</v>
          </cell>
          <cell r="N210" t="str">
            <v>TGS8X6H/D60 MONTHS/375 000 KM</v>
          </cell>
          <cell r="O210">
            <v>33180</v>
          </cell>
          <cell r="AC210" t="str">
            <v>TGS6X248 MONTHS/700 000 KMEntire VehicleYes</v>
          </cell>
          <cell r="AD210">
            <v>81370</v>
          </cell>
          <cell r="AK210" t="str">
            <v>TGS6X260 MONTHS/1 000 000 KMDrivelineYes</v>
          </cell>
          <cell r="AL210">
            <v>69520</v>
          </cell>
        </row>
        <row r="211">
          <cell r="G211" t="str">
            <v>TGS6X6 H/D36 MONTHS/225 000 KM60 MONTHS/750 000 KMCombinationNo</v>
          </cell>
          <cell r="H211">
            <v>126400</v>
          </cell>
          <cell r="N211" t="str">
            <v>TGS8X6H/D60 MONTHS/500 000 KM</v>
          </cell>
          <cell r="O211">
            <v>41870</v>
          </cell>
          <cell r="AC211" t="str">
            <v>TGS6X248 MONTHS/800 000 KMEntire VehicleNo</v>
          </cell>
          <cell r="AD211">
            <v>108230</v>
          </cell>
          <cell r="AK211" t="str">
            <v>TGS6X272 MONTHS/150 000 KMDrivelineNo</v>
          </cell>
          <cell r="AL211">
            <v>54510</v>
          </cell>
        </row>
        <row r="212">
          <cell r="G212" t="str">
            <v>TGS6X6 H/D36 MONTHS/225 000 KM60 MONTHS/750 000 KMCombinationYes</v>
          </cell>
          <cell r="H212">
            <v>217250</v>
          </cell>
          <cell r="N212" t="str">
            <v>TGS8X6H/D60 MONTHS/625 000 KM</v>
          </cell>
          <cell r="O212">
            <v>49770</v>
          </cell>
          <cell r="AC212" t="str">
            <v>TGS6X248 MONTHS/800 000 KMEntire VehicleYes</v>
          </cell>
          <cell r="AD212">
            <v>86900</v>
          </cell>
          <cell r="AK212" t="str">
            <v>TGS6X272 MONTHS/150 000 KMDrivelineYes</v>
          </cell>
          <cell r="AL212">
            <v>44240</v>
          </cell>
        </row>
        <row r="213">
          <cell r="G213" t="str">
            <v>TGS6X6 H/D36 MONTHS/450 000 KM48 MONTHS/600 000 KMCombinationNo</v>
          </cell>
          <cell r="H213">
            <v>121660</v>
          </cell>
          <cell r="N213" t="str">
            <v>TGS8X6H/D60 MONTHS/750 000 KM</v>
          </cell>
          <cell r="O213">
            <v>56880</v>
          </cell>
          <cell r="AC213" t="str">
            <v>TGS6X254 MONTHS/450 000 KMEntire VehicleNo</v>
          </cell>
          <cell r="AD213">
            <v>102700</v>
          </cell>
          <cell r="AK213" t="str">
            <v>TGS6X272 MONTHS/300 000 KMDrivelineNo</v>
          </cell>
          <cell r="AL213">
            <v>122450</v>
          </cell>
        </row>
        <row r="214">
          <cell r="G214" t="str">
            <v>TGS6X6 H/D36 MONTHS/450 000 KM48 MONTHS/600 000 KMCombinationYes</v>
          </cell>
          <cell r="H214">
            <v>202240</v>
          </cell>
          <cell r="AC214" t="str">
            <v>TGS6X254 MONTHS/450 000 KMEntire VehicleYes</v>
          </cell>
          <cell r="AD214">
            <v>82160</v>
          </cell>
          <cell r="AK214" t="str">
            <v>TGS6X272 MONTHS/300 000 KMDrivelineYes</v>
          </cell>
          <cell r="AL214">
            <v>97960</v>
          </cell>
        </row>
        <row r="215">
          <cell r="G215" t="str">
            <v>TGS6X6 H/D36 MONTHS/450 000 KM60 MONTHS/750 000 KMCombinationNo</v>
          </cell>
          <cell r="H215">
            <v>209350</v>
          </cell>
          <cell r="AC215" t="str">
            <v>TGS6X254 MONTHS/562 500 KMEntire VehicleNo</v>
          </cell>
          <cell r="AD215">
            <v>124030</v>
          </cell>
          <cell r="AK215" t="str">
            <v>TGS6X272 MONTHS/450 000 KMDrivelineNo</v>
          </cell>
          <cell r="AL215">
            <v>191970</v>
          </cell>
        </row>
        <row r="216">
          <cell r="G216" t="str">
            <v>TGS6X6 H/D36 MONTHS/450 000 KM60 MONTHS/750 000 KMCombinationYes</v>
          </cell>
          <cell r="H216">
            <v>357870</v>
          </cell>
          <cell r="AC216" t="str">
            <v>TGS6X254 MONTHS/562 500 KMEntire VehicleYes</v>
          </cell>
          <cell r="AD216">
            <v>99540</v>
          </cell>
          <cell r="AK216" t="str">
            <v>TGS6X272 MONTHS/450 000 KMDrivelineYes</v>
          </cell>
          <cell r="AL216">
            <v>154050</v>
          </cell>
        </row>
        <row r="217">
          <cell r="G217" t="str">
            <v>TGS6X6 H/D48 MONTHS/300 000 KM60 MONTHS/750 000 KMCombinationNo</v>
          </cell>
          <cell r="H217">
            <v>184070</v>
          </cell>
          <cell r="AC217" t="str">
            <v>TGS6X254 MONTHS/675 000 KMEntire VehicleNo</v>
          </cell>
          <cell r="AD217">
            <v>135090</v>
          </cell>
          <cell r="AK217" t="str">
            <v>TGS6X272 MONTHS/600 000 KMDrivelineNo</v>
          </cell>
          <cell r="AL217">
            <v>260700</v>
          </cell>
        </row>
        <row r="218">
          <cell r="G218" t="str">
            <v>TGS6X6 H/D48 MONTHS/300 000 KM60 MONTHS/750 000 KMCombinationYes</v>
          </cell>
          <cell r="H218">
            <v>308890</v>
          </cell>
          <cell r="AC218" t="str">
            <v>TGS6X254 MONTHS/675 000 KMEntire VehicleYes</v>
          </cell>
          <cell r="AD218">
            <v>108230</v>
          </cell>
          <cell r="AK218" t="str">
            <v>TGS6X272 MONTHS/600 000 KMDrivelineYes</v>
          </cell>
          <cell r="AL218">
            <v>208560</v>
          </cell>
        </row>
        <row r="219">
          <cell r="G219" t="str">
            <v>TGS6X6 H/D48 MONTHS/300 000 KM60 MONTHS/750 000 KMCombinationNo</v>
          </cell>
          <cell r="H219">
            <v>259910</v>
          </cell>
          <cell r="AC219" t="str">
            <v>TGS6X254 MONTHS/787 500 KMEntire VehicleNo</v>
          </cell>
          <cell r="AD219">
            <v>142990</v>
          </cell>
          <cell r="AK219" t="str">
            <v>TGS6X272 MONTHS/750 000 KMDrivelineNo</v>
          </cell>
          <cell r="AL219">
            <v>330220</v>
          </cell>
        </row>
        <row r="220">
          <cell r="G220" t="str">
            <v>TGS6X6 H/D48 MONTHS/300 000 KM60 MONTHS/750 000 KMCombinationYes</v>
          </cell>
          <cell r="H220">
            <v>429760</v>
          </cell>
          <cell r="AC220" t="str">
            <v>TGS6X254 MONTHS/787 500 KMEntire VehicleYes</v>
          </cell>
          <cell r="AD220">
            <v>114550</v>
          </cell>
          <cell r="AK220" t="str">
            <v>TGS6X272 MONTHS/750 000 KMDrivelineYes</v>
          </cell>
          <cell r="AL220">
            <v>264650</v>
          </cell>
        </row>
        <row r="221">
          <cell r="G221" t="str">
            <v>TGS6X624 MONTHS/150 000 KM 36 MONTHS/225 000 KMCombinationNo</v>
          </cell>
          <cell r="H221">
            <v>28440</v>
          </cell>
          <cell r="AC221" t="str">
            <v>TGS6X260 MONTHS/125 000 KMEntire VehicleNo</v>
          </cell>
          <cell r="AD221">
            <v>44240</v>
          </cell>
          <cell r="AK221" t="str">
            <v>TGS6X272 MONTHS/900 000 KMDrivelineNo</v>
          </cell>
          <cell r="AL221">
            <v>399740</v>
          </cell>
        </row>
        <row r="222">
          <cell r="G222" t="str">
            <v>TGS6X624 MONTHS/150 000 KM 36 MONTHS/225 000 KMCombinationYes</v>
          </cell>
          <cell r="H222">
            <v>22910</v>
          </cell>
          <cell r="AC222" t="str">
            <v>TGS6X260 MONTHS/125 000 KMEntire VehicleYes</v>
          </cell>
          <cell r="AD222">
            <v>36340</v>
          </cell>
          <cell r="AK222" t="str">
            <v>TGS6X272 MONTHS/900 000 KMDrivelineYes</v>
          </cell>
          <cell r="AL222">
            <v>319950</v>
          </cell>
        </row>
        <row r="223">
          <cell r="G223" t="str">
            <v>TGS6X624 MONTHS/300 000 KM36 MONTHS/450 000 KMCombinationNo</v>
          </cell>
          <cell r="H223">
            <v>44240</v>
          </cell>
          <cell r="AC223" t="str">
            <v>TGS6X260 MONTHS/250 000 KMEntire VehicleNo</v>
          </cell>
          <cell r="AD223">
            <v>64780</v>
          </cell>
          <cell r="AK223" t="str">
            <v>TGS6X436 MONTHS/75 000 KMDrivelineNo</v>
          </cell>
          <cell r="AL223">
            <v>9480</v>
          </cell>
        </row>
        <row r="224">
          <cell r="G224" t="str">
            <v>TGS6X624 MONTHS/300 000 KM36 MONTHS/450 000 KMCombinationYes</v>
          </cell>
          <cell r="H224">
            <v>35550</v>
          </cell>
          <cell r="AC224" t="str">
            <v>TGS6X260 MONTHS/250 000 KMEntire VehicleYes</v>
          </cell>
          <cell r="AD224">
            <v>53720</v>
          </cell>
          <cell r="AK224" t="str">
            <v>TGS6X436 MONTHS/75 000 KMDrivelineYes</v>
          </cell>
          <cell r="AL224">
            <v>7900</v>
          </cell>
        </row>
        <row r="225">
          <cell r="G225" t="str">
            <v>TGS6X624 MONTHS/150 000 KM48 MONTHS/300 000 KMCombinationNo</v>
          </cell>
          <cell r="H225">
            <v>44240</v>
          </cell>
          <cell r="AC225" t="str">
            <v>TGS6X260 MONTHS/375 000 KMEntire VehicleNo</v>
          </cell>
          <cell r="AD225">
            <v>102700</v>
          </cell>
          <cell r="AK225" t="str">
            <v>TGS6X436 MONTHS/150 000 KMDrivelineNo</v>
          </cell>
          <cell r="AL225">
            <v>15010</v>
          </cell>
        </row>
        <row r="226">
          <cell r="G226" t="str">
            <v>TGS6X624 MONTHS/150 000 KM48 MONTHS/300 000 KMCombinationYes</v>
          </cell>
          <cell r="H226">
            <v>35550</v>
          </cell>
          <cell r="AC226" t="str">
            <v>TGS6X260 MONTHS/375 000 KMEntire VehicleYes</v>
          </cell>
          <cell r="AD226">
            <v>82160</v>
          </cell>
          <cell r="AK226" t="str">
            <v>TGS6X436 MONTHS/150 000 KMDrivelineYes</v>
          </cell>
          <cell r="AL226">
            <v>12640</v>
          </cell>
        </row>
        <row r="227">
          <cell r="G227" t="str">
            <v>TGS6X624 MONTHS/300 000 KM48 MONTHS/600 000 KMCombinationNo</v>
          </cell>
          <cell r="H227">
            <v>79790</v>
          </cell>
          <cell r="AC227" t="str">
            <v>TGS6X260 MONTHS/500 000 KMEntire VehicleNo</v>
          </cell>
          <cell r="AD227">
            <v>135880</v>
          </cell>
          <cell r="AK227" t="str">
            <v>TGS6X436 MONTHS/225 000 KMDrivelineNo</v>
          </cell>
          <cell r="AL227">
            <v>16590</v>
          </cell>
        </row>
        <row r="228">
          <cell r="G228" t="str">
            <v>TGS6X624 MONTHS/300 000 KM48 MONTHS/600 000 KMCombinationYes</v>
          </cell>
          <cell r="H228">
            <v>63990</v>
          </cell>
          <cell r="AC228" t="str">
            <v>TGS6X260 MONTHS/500 000 KMEntire VehicleYes</v>
          </cell>
          <cell r="AD228">
            <v>109020</v>
          </cell>
          <cell r="AK228" t="str">
            <v>TGS6X436 MONTHS/225 000 KMDrivelineYes</v>
          </cell>
          <cell r="AL228">
            <v>13430</v>
          </cell>
        </row>
        <row r="229">
          <cell r="G229" t="str">
            <v>TGS6X624 MONTHS/225 000 KM48 MONTHS/300 000 KMCombinationNo</v>
          </cell>
          <cell r="H229">
            <v>56880</v>
          </cell>
          <cell r="AC229" t="str">
            <v>TGS6X260 MONTHS/625 000 KMEntire VehicleNo</v>
          </cell>
          <cell r="AD229">
            <v>161950</v>
          </cell>
          <cell r="AK229" t="str">
            <v>TGS6X436 MONTHS/300 000 KMDrivelineNo</v>
          </cell>
          <cell r="AL229">
            <v>21330</v>
          </cell>
        </row>
        <row r="230">
          <cell r="G230" t="str">
            <v>TGS6X624 MONTHS/225 000 KM48 MONTHS/300 000 KMCombinationYes</v>
          </cell>
          <cell r="H230">
            <v>45820</v>
          </cell>
          <cell r="AC230" t="str">
            <v>TGS6X260 MONTHS/625 000 KMEntire VehicleYes</v>
          </cell>
          <cell r="AD230">
            <v>129560</v>
          </cell>
          <cell r="AK230" t="str">
            <v>TGS6X436 MONTHS/300 000 KMDrivelineYes</v>
          </cell>
          <cell r="AL230">
            <v>17380</v>
          </cell>
        </row>
        <row r="231">
          <cell r="G231" t="str">
            <v>TGS6X636 MONTHS/450 000 KM48 MONTHS/600 000 KMCombinationNo</v>
          </cell>
          <cell r="H231">
            <v>105860</v>
          </cell>
          <cell r="AC231" t="str">
            <v>TGS6X260 MONTHS/750 000 KMEntire VehicleNo</v>
          </cell>
          <cell r="AD231">
            <v>175380</v>
          </cell>
          <cell r="AK231" t="str">
            <v>TGS6X436 MONTHS/375 000 KMDrivelineNo</v>
          </cell>
          <cell r="AL231">
            <v>26070</v>
          </cell>
        </row>
        <row r="232">
          <cell r="G232" t="str">
            <v>TGS6X636 MONTHS/450 000 KM48 MONTHS/600 000 KMCombinationYes</v>
          </cell>
          <cell r="H232">
            <v>85320</v>
          </cell>
          <cell r="AC232" t="str">
            <v>TGS6X260 MONTHS/750 000 KMEntire VehicleYes</v>
          </cell>
          <cell r="AD232">
            <v>140620</v>
          </cell>
          <cell r="AK232" t="str">
            <v>TGS6X436 MONTHS/375 000 KMDrivelineYes</v>
          </cell>
          <cell r="AL232">
            <v>21330</v>
          </cell>
        </row>
        <row r="233">
          <cell r="G233" t="str">
            <v>TGS6X624 MONTHS/150 000 KM60 MONTHS/375 000 KM CombinationNo</v>
          </cell>
          <cell r="H233">
            <v>78210</v>
          </cell>
          <cell r="AC233" t="str">
            <v>TGS6X260 MONTHS/875 000 KMEntire VehicleNo</v>
          </cell>
          <cell r="AD233">
            <v>184860</v>
          </cell>
          <cell r="AK233" t="str">
            <v>TGS6X436 MONTHS/450 000 KMDrivelineNo</v>
          </cell>
          <cell r="AL233">
            <v>26860</v>
          </cell>
        </row>
        <row r="234">
          <cell r="G234" t="str">
            <v>TGS6X624 MONTHS/150 000 KM60 MONTHS/375 000 KM CombinationYes</v>
          </cell>
          <cell r="H234">
            <v>63200</v>
          </cell>
          <cell r="AC234" t="str">
            <v>TGS6X260 MONTHS/875 000 KMEntire VehicleYes</v>
          </cell>
          <cell r="AD234">
            <v>148520</v>
          </cell>
          <cell r="AK234" t="str">
            <v>TGS6X436 MONTHS/450 000 KMDrivelineYes</v>
          </cell>
          <cell r="AL234">
            <v>22120</v>
          </cell>
        </row>
        <row r="235">
          <cell r="G235" t="str">
            <v>TGS6X624 MONTHS/300 000 KM60 MONTHS/750 000 KMCombinationNo</v>
          </cell>
          <cell r="H235">
            <v>156420</v>
          </cell>
          <cell r="AC235" t="str">
            <v>TGS6X260 MONTHS/1 000 000 KMEntire VehicleNo</v>
          </cell>
          <cell r="AD235">
            <v>203820</v>
          </cell>
          <cell r="AK235" t="str">
            <v>TGS6X448 MONTHS/100 000 KMDrivelineNo</v>
          </cell>
          <cell r="AL235">
            <v>23700</v>
          </cell>
        </row>
        <row r="236">
          <cell r="G236" t="str">
            <v>TGS6X624 MONTHS/300 000 KM60 MONTHS/750 000 KMCombinationYes</v>
          </cell>
          <cell r="H236">
            <v>125610</v>
          </cell>
          <cell r="AC236" t="str">
            <v>TGS6X260 MONTHS/1 000 000 KMEntire VehicleYes</v>
          </cell>
          <cell r="AD236">
            <v>163530</v>
          </cell>
          <cell r="AK236" t="str">
            <v>TGS6X448 MONTHS/100 000 KMDrivelineYes</v>
          </cell>
          <cell r="AL236">
            <v>18960</v>
          </cell>
        </row>
        <row r="237">
          <cell r="G237" t="str">
            <v>TGS6X636 MONTHS/225 000 KM60 MONTHS/375 000 KMCombinationNo</v>
          </cell>
          <cell r="H237">
            <v>90850</v>
          </cell>
          <cell r="AC237" t="str">
            <v>TGS6X424 MONTHS/50 000 KMEntire VehicleNo</v>
          </cell>
          <cell r="AD237">
            <v>7900</v>
          </cell>
          <cell r="AK237" t="str">
            <v>TGS6X448 MONTHS/200 000 KMDrivelineNo</v>
          </cell>
          <cell r="AL237">
            <v>27650</v>
          </cell>
        </row>
        <row r="238">
          <cell r="G238" t="str">
            <v>TGS6X636 MONTHS/225 000 KM60 MONTHS/375 000 KMCombinationYes</v>
          </cell>
          <cell r="H238">
            <v>72680</v>
          </cell>
          <cell r="AC238" t="str">
            <v>TGS6X424 MONTHS/50 000 KMEntire VehicleYes</v>
          </cell>
          <cell r="AD238">
            <v>6320</v>
          </cell>
          <cell r="AK238" t="str">
            <v>TGS6X448 MONTHS/200 000 KMDrivelineYes</v>
          </cell>
          <cell r="AL238">
            <v>22120</v>
          </cell>
        </row>
        <row r="239">
          <cell r="G239" t="str">
            <v>TGS6X636 MONTHS/450 000 KM60 MONTHS/750 000 KMCombinationNo</v>
          </cell>
          <cell r="H239">
            <v>181700</v>
          </cell>
          <cell r="AC239" t="str">
            <v>TGS6X424 MONTHS/100 000 KMEntire VehicleNo</v>
          </cell>
          <cell r="AD239">
            <v>9480</v>
          </cell>
          <cell r="AK239" t="str">
            <v>TGS6X448 MONTHS/300 000 KMDrivelineNo</v>
          </cell>
          <cell r="AL239">
            <v>32390</v>
          </cell>
        </row>
        <row r="240">
          <cell r="G240" t="str">
            <v>TGS6X636 MONTHS/450 000 KM60 MONTHS/750 000 KMCombinationYes</v>
          </cell>
          <cell r="H240">
            <v>146150</v>
          </cell>
          <cell r="AC240" t="str">
            <v>TGS6X424 MONTHS/100 000 KMEntire VehicleYes</v>
          </cell>
          <cell r="AD240">
            <v>7900</v>
          </cell>
          <cell r="AK240" t="str">
            <v>TGS6X448 MONTHS/300 000 KMDrivelineYes</v>
          </cell>
          <cell r="AL240">
            <v>26070</v>
          </cell>
        </row>
        <row r="241">
          <cell r="G241" t="str">
            <v>TGS6X648 MONTHS/300 000 KM60 MONTHS/375 000 KMCombinationNo</v>
          </cell>
          <cell r="H241">
            <v>161160</v>
          </cell>
          <cell r="AC241" t="str">
            <v>TGS6X424 MONTHS/150 000 KMEntire VehicleNo</v>
          </cell>
          <cell r="AD241">
            <v>11850</v>
          </cell>
          <cell r="AK241" t="str">
            <v>TGS6X448 MONTHS/400 000 KMDrivelineNo</v>
          </cell>
          <cell r="AL241">
            <v>41870</v>
          </cell>
        </row>
        <row r="242">
          <cell r="G242" t="str">
            <v>TGS6X648 MONTHS/300 000 KM60 MONTHS/375 000 KMCombinationYes</v>
          </cell>
          <cell r="H242">
            <v>145360</v>
          </cell>
          <cell r="AC242" t="str">
            <v>TGS6X424 MONTHS/150 000 KMEntire VehicleYes</v>
          </cell>
          <cell r="AD242">
            <v>9480</v>
          </cell>
          <cell r="AK242" t="str">
            <v>TGS6X448 MONTHS/400 000 KMDrivelineYes</v>
          </cell>
          <cell r="AL242">
            <v>33970</v>
          </cell>
        </row>
        <row r="243">
          <cell r="G243" t="str">
            <v>TGS6X648 MONTHS/600 000 KM60 MONTHS/750 000 KMCombinationNo</v>
          </cell>
          <cell r="H243">
            <v>286770</v>
          </cell>
          <cell r="AC243" t="str">
            <v>TGS6X424 MONTHS/200 000 KMEntire VehicleNo</v>
          </cell>
          <cell r="AD243">
            <v>14220</v>
          </cell>
          <cell r="AK243" t="str">
            <v>TGS6X448 MONTHS/500 000 KMDrivelineNo</v>
          </cell>
          <cell r="AL243">
            <v>58460</v>
          </cell>
        </row>
        <row r="244">
          <cell r="G244" t="str">
            <v>TGS6X648 MONTHS/600 000 KM60 MONTHS/750 000 KMCombinationYes</v>
          </cell>
          <cell r="H244">
            <v>229890</v>
          </cell>
          <cell r="AC244" t="str">
            <v>TGS6X424 MONTHS/200 000 KMEntire VehicleYes</v>
          </cell>
          <cell r="AD244">
            <v>11850</v>
          </cell>
          <cell r="AK244" t="str">
            <v>TGS6X448 MONTHS/500 000 KMDrivelineYes</v>
          </cell>
          <cell r="AL244">
            <v>47400</v>
          </cell>
        </row>
        <row r="245">
          <cell r="G245" t="str">
            <v>TGS8X224 MONTHS/300 000 KM36 MONTHS/450 000 KMCombinationNo</v>
          </cell>
          <cell r="H245">
            <v>32390</v>
          </cell>
          <cell r="AC245" t="str">
            <v>TGS6X424 MONTHS/250 000 KMEntire VehicleNo</v>
          </cell>
          <cell r="AD245">
            <v>16590</v>
          </cell>
          <cell r="AK245" t="str">
            <v>TGS6X448 MONTHS/600 000 KMDrivelineNo</v>
          </cell>
          <cell r="AL245">
            <v>62410</v>
          </cell>
        </row>
        <row r="246">
          <cell r="G246" t="str">
            <v>TGS8X224 MONTHS/300 000 KM36 MONTHS/450 000 KMCombinationYes</v>
          </cell>
          <cell r="H246">
            <v>26070</v>
          </cell>
          <cell r="AC246" t="str">
            <v>TGS6X424 MONTHS/250 000 KMEntire VehicleYes</v>
          </cell>
          <cell r="AD246">
            <v>13430</v>
          </cell>
          <cell r="AK246" t="str">
            <v>TGS6X448 MONTHS/600 000 KMDrivelineYes</v>
          </cell>
          <cell r="AL246">
            <v>50560</v>
          </cell>
        </row>
        <row r="247">
          <cell r="G247" t="str">
            <v>TGS8X224 MONTHS/400 000 KM36 MONTHS/600 000 KMCombinationNo</v>
          </cell>
          <cell r="H247">
            <v>41080</v>
          </cell>
          <cell r="AC247" t="str">
            <v>TGS6X424 MONTHS/300 000 KMEntire VehicleNo</v>
          </cell>
          <cell r="AD247">
            <v>17380</v>
          </cell>
          <cell r="AK247" t="str">
            <v>TGS6X460 MONTHS/125 000 KMDrivelineNo</v>
          </cell>
          <cell r="AL247">
            <v>48190</v>
          </cell>
        </row>
        <row r="248">
          <cell r="G248" t="str">
            <v>TGS8X224 MONTHS/400 000 KM36 MONTHS/600 000 KMCombinationYes</v>
          </cell>
          <cell r="H248">
            <v>33180</v>
          </cell>
          <cell r="AC248" t="str">
            <v>TGS6X424 MONTHS/300 000 KMEntire VehicleYes</v>
          </cell>
          <cell r="AD248">
            <v>14220</v>
          </cell>
          <cell r="AK248" t="str">
            <v>TGS6X460 MONTHS/125 000 KMDrivelineYes</v>
          </cell>
          <cell r="AL248">
            <v>38710</v>
          </cell>
        </row>
        <row r="249">
          <cell r="G249" t="str">
            <v>TGS8X224 MONTHS/300 000 KM48 MONTHS/600 000 KMCombinationNo</v>
          </cell>
          <cell r="H249">
            <v>50560</v>
          </cell>
          <cell r="AC249" t="str">
            <v>TGS6X436 MONTHS/75 000 KMEntire VehicleNo</v>
          </cell>
          <cell r="AD249">
            <v>29230</v>
          </cell>
          <cell r="AK249" t="str">
            <v>TGS6X460 MONTHS/250 000 KMDrivelineNo</v>
          </cell>
          <cell r="AL249">
            <v>56880</v>
          </cell>
        </row>
        <row r="250">
          <cell r="G250" t="str">
            <v>TGS8X224 MONTHS/300 000 KM48 MONTHS/600 000 KMCombinationYes</v>
          </cell>
          <cell r="H250">
            <v>41080</v>
          </cell>
          <cell r="AC250" t="str">
            <v>TGS6X436 MONTHS/75 000 KMEntire VehicleYes</v>
          </cell>
          <cell r="AD250">
            <v>23700</v>
          </cell>
          <cell r="AK250" t="str">
            <v>TGS6X460 MONTHS/250 000 KMDrivelineYes</v>
          </cell>
          <cell r="AL250">
            <v>45820</v>
          </cell>
        </row>
        <row r="251">
          <cell r="G251" t="str">
            <v>TGS8X224 MONTHS/400 000 KM48 MONTHS/800 000 KMCombinationNo</v>
          </cell>
          <cell r="H251">
            <v>73470</v>
          </cell>
          <cell r="AC251" t="str">
            <v>TGS6X436 MONTHS/150 000 KMEntire VehicleNo</v>
          </cell>
          <cell r="AD251">
            <v>34760</v>
          </cell>
          <cell r="AK251" t="str">
            <v>TGS6X460 MONTHS/375 000 KMDrivelineNo</v>
          </cell>
          <cell r="AL251">
            <v>66360</v>
          </cell>
        </row>
        <row r="252">
          <cell r="G252" t="str">
            <v>TGS8X224 MONTHS/400 000 KM48 MONTHS/800 000 KMCombinationYes</v>
          </cell>
          <cell r="H252">
            <v>59250</v>
          </cell>
          <cell r="AC252" t="str">
            <v>TGS6X436 MONTHS/150 000 KMEntire VehicleYes</v>
          </cell>
          <cell r="AD252">
            <v>28440</v>
          </cell>
          <cell r="AK252" t="str">
            <v>TGS6X460 MONTHS/375 000 KMDrivelineYes</v>
          </cell>
          <cell r="AL252">
            <v>53720</v>
          </cell>
        </row>
        <row r="253">
          <cell r="G253" t="str">
            <v>TGS8X236 MONTHS/450 000 KM48 MONTHS/600 000 KMCombinationNo</v>
          </cell>
          <cell r="H253">
            <v>61620</v>
          </cell>
          <cell r="AC253" t="str">
            <v>TGS6X436 MONTHS/225 000 KMEntire VehicleNo</v>
          </cell>
          <cell r="AD253">
            <v>41080</v>
          </cell>
          <cell r="AK253" t="str">
            <v>TGS6X460 MONTHS/500 000 KMDrivelineNo</v>
          </cell>
          <cell r="AL253">
            <v>100330</v>
          </cell>
        </row>
        <row r="254">
          <cell r="G254" t="str">
            <v>TGS8X236 MONTHS/450 000 KM48 MONTHS/600 000 KMCombinationYes</v>
          </cell>
          <cell r="H254">
            <v>49770</v>
          </cell>
          <cell r="AC254" t="str">
            <v>TGS6X436 MONTHS/225 000 KMEntire VehicleYes</v>
          </cell>
          <cell r="AD254">
            <v>33180</v>
          </cell>
          <cell r="AK254" t="str">
            <v>TGS6X460 MONTHS/500 000 KMDrivelineYes</v>
          </cell>
          <cell r="AL254">
            <v>80580</v>
          </cell>
        </row>
        <row r="255">
          <cell r="G255" t="str">
            <v>TGS8X236 MONTHS/400 000 KM48 MONTHS/800 000 KMCombinationNo</v>
          </cell>
          <cell r="H255">
            <v>86110</v>
          </cell>
          <cell r="AC255" t="str">
            <v>TGS6X436 MONTHS/300 000 KMEntire VehicleNo</v>
          </cell>
          <cell r="AD255">
            <v>52930</v>
          </cell>
          <cell r="AK255" t="str">
            <v>TGS6X460 MONTHS/625 000 KMDrivelineNo</v>
          </cell>
          <cell r="AL255">
            <v>129560</v>
          </cell>
        </row>
        <row r="256">
          <cell r="G256" t="str">
            <v>TGS8X236 MONTHS/400 000 KM48 MONTHS/800 000 KMCombinationYes</v>
          </cell>
          <cell r="H256">
            <v>69520</v>
          </cell>
          <cell r="AC256" t="str">
            <v>TGS6X436 MONTHS/300 000 KMEntire VehicleYes</v>
          </cell>
          <cell r="AD256">
            <v>42660</v>
          </cell>
          <cell r="AK256" t="str">
            <v>TGS6X460 MONTHS/625 000 KMDrivelineYes</v>
          </cell>
          <cell r="AL256">
            <v>104280</v>
          </cell>
        </row>
        <row r="257">
          <cell r="G257" t="str">
            <v>TGS8X224 MONTHS/300 000 KM60 MONTHS/750 000 KMCombinationNo</v>
          </cell>
          <cell r="H257">
            <v>75050</v>
          </cell>
          <cell r="AC257" t="str">
            <v>TGS6X436 MONTHS/375 000 KMEntire VehicleNo</v>
          </cell>
          <cell r="AD257">
            <v>64780</v>
          </cell>
          <cell r="AK257" t="str">
            <v>TGS6X460 MONTHS/750 000 KMDrivelineNo</v>
          </cell>
          <cell r="AL257">
            <v>139040</v>
          </cell>
        </row>
        <row r="258">
          <cell r="G258" t="str">
            <v>TGS8X224 MONTHS/300 000 KM60 MONTHS/750 000 KMCombinationYes</v>
          </cell>
          <cell r="H258">
            <v>60040</v>
          </cell>
          <cell r="AC258" t="str">
            <v>TGS6X436 MONTHS/375 000 KMEntire VehicleYes</v>
          </cell>
          <cell r="AD258">
            <v>52140</v>
          </cell>
          <cell r="AK258" t="str">
            <v>TGS6X460 MONTHS/750 000 KMDrivelineYes</v>
          </cell>
          <cell r="AL258">
            <v>111390</v>
          </cell>
        </row>
        <row r="259">
          <cell r="G259" t="str">
            <v>TGS8X224 MONTHS/400 000 KM60 MONTHS/1000 000 KMCombinationNo</v>
          </cell>
          <cell r="H259">
            <v>103490</v>
          </cell>
          <cell r="AC259" t="str">
            <v>TGS6X436 MONTHS/450 000 KMEntire VehicleNo</v>
          </cell>
          <cell r="AD259">
            <v>70310</v>
          </cell>
          <cell r="AK259" t="str">
            <v>TGS6X472 MONTHS/150 000 KMDrivelineNo</v>
          </cell>
          <cell r="AL259">
            <v>72680</v>
          </cell>
        </row>
        <row r="260">
          <cell r="G260" t="str">
            <v>TGS8X224 MONTHS/400 000 KM60 MONTHS/1000 000 KMCombinationYes</v>
          </cell>
          <cell r="H260">
            <v>82950</v>
          </cell>
          <cell r="AC260" t="str">
            <v>TGS6X436 MONTHS/450 000 KMEntire VehicleYes</v>
          </cell>
          <cell r="AD260">
            <v>56880</v>
          </cell>
          <cell r="AK260" t="str">
            <v>TGS6X472 MONTHS/150 000 KMDrivelineYes</v>
          </cell>
          <cell r="AL260">
            <v>60040</v>
          </cell>
        </row>
        <row r="261">
          <cell r="G261" t="str">
            <v>TGS8X236 MONTHS/450 000 KM60 MONTHS/750 000 KMCombinationNo</v>
          </cell>
          <cell r="H261">
            <v>86110</v>
          </cell>
          <cell r="AC261" t="str">
            <v>TGS6X448 MONTHS/100 000 KMEntire VehicleNo</v>
          </cell>
          <cell r="AD261">
            <v>93220</v>
          </cell>
          <cell r="AK261" t="str">
            <v>TGS6X472 MONTHS/300 000 KMDrivelineNo</v>
          </cell>
          <cell r="AL261">
            <v>132720</v>
          </cell>
        </row>
        <row r="262">
          <cell r="G262" t="str">
            <v>TGS8X236 MONTHS/450 000 KM60 MONTHS/750 000 KMCombinationYes</v>
          </cell>
          <cell r="H262">
            <v>69520</v>
          </cell>
          <cell r="AC262" t="str">
            <v>TGS6X448 MONTHS/100 000 KMEntire VehicleYes</v>
          </cell>
          <cell r="AD262">
            <v>75050</v>
          </cell>
          <cell r="AK262" t="str">
            <v>TGS6X472 MONTHS/300 000 KMDrivelineYes</v>
          </cell>
          <cell r="AL262">
            <v>110600</v>
          </cell>
        </row>
        <row r="263">
          <cell r="G263" t="str">
            <v>TGS8X236 MONTHS/600 000 KM60 MONTHS/1000 000 KMCombinationNo</v>
          </cell>
          <cell r="H263">
            <v>116130</v>
          </cell>
          <cell r="AC263" t="str">
            <v>TGS6X448 MONTHS/200 000 KMEntire VehicleNo</v>
          </cell>
          <cell r="AD263">
            <v>109020</v>
          </cell>
          <cell r="AK263" t="str">
            <v>TGS6X472 MONTHS/450 000 KMDrivelineNo</v>
          </cell>
          <cell r="AL263">
            <v>201450</v>
          </cell>
        </row>
        <row r="264">
          <cell r="G264" t="str">
            <v>TGS8X236 MONTHS/600 000 KM60 MONTHS/1000 000 KMCombinationYes</v>
          </cell>
          <cell r="H264">
            <v>93220</v>
          </cell>
          <cell r="AC264" t="str">
            <v>TGS6X448 MONTHS/200 000 KMEntire VehicleYes</v>
          </cell>
          <cell r="AD264">
            <v>87690</v>
          </cell>
          <cell r="AK264" t="str">
            <v>TGS6X472 MONTHS/450 000 KMDrivelineYes</v>
          </cell>
          <cell r="AL264">
            <v>167480</v>
          </cell>
        </row>
        <row r="265">
          <cell r="G265" t="str">
            <v>TGS8X248 MONTHS/600 000 KM60 MONTHS/750 000 KMCombinationNo</v>
          </cell>
          <cell r="H265">
            <v>119290</v>
          </cell>
          <cell r="AC265" t="str">
            <v>TGS6X448 MONTHS/300 000 KMEntire VehicleNo</v>
          </cell>
          <cell r="AD265">
            <v>127190</v>
          </cell>
          <cell r="AK265" t="str">
            <v>TGS6X472 MONTHS/600 000 KMDrivelineNo</v>
          </cell>
          <cell r="AL265">
            <v>268600</v>
          </cell>
        </row>
        <row r="266">
          <cell r="G266" t="str">
            <v>TGS8X248 MONTHS/600 000 KM60 MONTHS/750 000 KMCombinationYes</v>
          </cell>
          <cell r="H266">
            <v>95590</v>
          </cell>
          <cell r="AC266" t="str">
            <v>TGS6X448 MONTHS/300 000 KMEntire VehicleYes</v>
          </cell>
          <cell r="AD266">
            <v>101910</v>
          </cell>
          <cell r="AK266" t="str">
            <v>TGS6X472 MONTHS/600 000 KMDrivelineYes</v>
          </cell>
          <cell r="AL266">
            <v>223570</v>
          </cell>
        </row>
        <row r="267">
          <cell r="G267" t="str">
            <v>TGS8X248 MONTHS/800 000 KM60 MONTHS/1000 000 KMCombinationNo</v>
          </cell>
          <cell r="H267">
            <v>138250</v>
          </cell>
          <cell r="AC267" t="str">
            <v>TGS6X448 MONTHS/400 000 KMEntire VehicleNo</v>
          </cell>
          <cell r="AD267">
            <v>166690</v>
          </cell>
          <cell r="AK267" t="str">
            <v>TGS6X472 MONTHS/750 000 KMDrivelineNo</v>
          </cell>
          <cell r="AL267">
            <v>319160</v>
          </cell>
        </row>
        <row r="268">
          <cell r="G268" t="str">
            <v>TGS8X248 MONTHS/800 000 KM60 MONTHS/1000 000 KMCombinationYes</v>
          </cell>
          <cell r="H268">
            <v>110600</v>
          </cell>
          <cell r="AC268" t="str">
            <v>TGS6X448 MONTHS/400 000 KMEntire VehicleYes</v>
          </cell>
          <cell r="AD268">
            <v>133510</v>
          </cell>
          <cell r="AK268" t="str">
            <v>TGS6X472 MONTHS/750 000 KMDrivelineYes</v>
          </cell>
          <cell r="AL268">
            <v>265440</v>
          </cell>
        </row>
        <row r="269">
          <cell r="G269" t="str">
            <v>TGS8X4 H/D (ABN)24 MONTHS/150 000 KM36 MONTHS/225 000 KMCombinationNo</v>
          </cell>
          <cell r="H269">
            <v>76630</v>
          </cell>
          <cell r="AC269" t="str">
            <v>TGS6X448 MONTHS/500 000 KMEntire VehicleNo</v>
          </cell>
          <cell r="AD269">
            <v>204610</v>
          </cell>
          <cell r="AK269" t="str">
            <v>TGS6X472 MONTHS/900 000 KMDrivelineNo</v>
          </cell>
          <cell r="AL269">
            <v>380780</v>
          </cell>
        </row>
        <row r="270">
          <cell r="G270" t="str">
            <v>TGS8X4 H/D (ABN)24 MONTHS/150 000 KM36 MONTHS/225 000 KMCombinationYes</v>
          </cell>
          <cell r="H270">
            <v>28440</v>
          </cell>
          <cell r="AC270" t="str">
            <v>TGS6X448 MONTHS/500 000 KMEntire VehicleYes</v>
          </cell>
          <cell r="AD270">
            <v>164320</v>
          </cell>
          <cell r="AK270" t="str">
            <v>TGS6X472 MONTHS/900 000 KMDrivelineYes</v>
          </cell>
          <cell r="AL270">
            <v>316790</v>
          </cell>
        </row>
        <row r="271">
          <cell r="G271" t="str">
            <v>TGS8X4 H/D (ABN)24 MONTHS/150 000 KM48 MONTHS/300 000 KMCombinationNo</v>
          </cell>
          <cell r="H271">
            <v>120080</v>
          </cell>
          <cell r="AC271" t="str">
            <v>TGS6X448 MONTHS/600 000 KMEntire VehicleNo</v>
          </cell>
          <cell r="AD271">
            <v>210140</v>
          </cell>
          <cell r="AK271" t="str">
            <v>TGS6X4H/D36 MONTHS/150 000 KMDrivelineNo</v>
          </cell>
          <cell r="AL271">
            <v>41080</v>
          </cell>
        </row>
        <row r="272">
          <cell r="G272" t="str">
            <v>TGS8X4 H/D (ABN)24 MONTHS/150 000 KM48 MONTHS/300 000 KMCombinationYes</v>
          </cell>
          <cell r="H272">
            <v>51350</v>
          </cell>
          <cell r="AC272" t="str">
            <v>TGS6X448 MONTHS/600 000 KMEntire VehicleYes</v>
          </cell>
          <cell r="AD272">
            <v>168270</v>
          </cell>
          <cell r="AK272" t="str">
            <v>TGS6X4H/D36 MONTHS/225 000 KMDrivelineYes</v>
          </cell>
          <cell r="AL272">
            <v>48190</v>
          </cell>
        </row>
        <row r="273">
          <cell r="G273" t="str">
            <v>TGS8X4 H/D (ABN)24 MONTHS/150 000 KM60 MONTHS/375 000 KMCombinationNo</v>
          </cell>
          <cell r="H273">
            <v>228310</v>
          </cell>
          <cell r="AC273" t="str">
            <v>TGS6X460 MONTHS/125 000 KMEntire VehicleNo</v>
          </cell>
          <cell r="AD273">
            <v>193550</v>
          </cell>
          <cell r="AK273" t="str">
            <v>TGS6X4H/D36 MONTHS/300 000 KMDrivelineNo</v>
          </cell>
          <cell r="AL273">
            <v>62410</v>
          </cell>
        </row>
        <row r="274">
          <cell r="G274" t="str">
            <v>TGS8X4 H/D (ABN)24 MONTHS/150 000 KM60 MONTHS/375 000 KMCombinationYes</v>
          </cell>
          <cell r="H274">
            <v>94800</v>
          </cell>
          <cell r="AC274" t="str">
            <v>TGS6X460 MONTHS/125 000 KMEntire VehicleYes</v>
          </cell>
          <cell r="AD274">
            <v>154840</v>
          </cell>
          <cell r="AK274" t="str">
            <v>TGS6X4H/D36 MONTHS/375 000 KMDrivelineYes</v>
          </cell>
          <cell r="AL274">
            <v>76630</v>
          </cell>
        </row>
        <row r="275">
          <cell r="G275" t="str">
            <v>TGS8X4 H/D (ABN)24 MONTHS/300 000 KM36 MONTHS/450 000 KMCombinationNo</v>
          </cell>
          <cell r="H275">
            <v>135880</v>
          </cell>
          <cell r="AC275" t="str">
            <v>TGS6X460 MONTHS/250 000 KMEntire VehicleNo</v>
          </cell>
          <cell r="AD275">
            <v>228310</v>
          </cell>
          <cell r="AK275" t="str">
            <v>TGS6X4H/D36 MONTHS/450 000 KMDrivelineNo</v>
          </cell>
          <cell r="AL275">
            <v>79000</v>
          </cell>
        </row>
        <row r="276">
          <cell r="G276" t="str">
            <v>TGS8X4 H/D (ABN)24 MONTHS/300 000 KM36 MONTHS/450 000 KMCombinationYes</v>
          </cell>
          <cell r="H276">
            <v>48702.987012987011</v>
          </cell>
          <cell r="AC276" t="str">
            <v>TGS6X460 MONTHS/250 000 KMEntire VehicleYes</v>
          </cell>
          <cell r="AD276">
            <v>183280</v>
          </cell>
          <cell r="AK276" t="str">
            <v>TGS6X4H/D36 MONTHS/75 000 KMDrivelineYes</v>
          </cell>
          <cell r="AL276">
            <v>34760</v>
          </cell>
        </row>
        <row r="277">
          <cell r="G277" t="str">
            <v>TGS8X4 H/D (ABN)24 MONTHS/300 000 KM48 MONTHS/600 000 KMCombinationNo</v>
          </cell>
          <cell r="H277">
            <v>207770</v>
          </cell>
          <cell r="AC277" t="str">
            <v>TGS6X460 MONTHS/375 000 KMEntire VehicleNo</v>
          </cell>
          <cell r="AD277">
            <v>267810</v>
          </cell>
          <cell r="AK277" t="str">
            <v>TGS6X4H/D48 MONTHS/100 000 KMDrivelineNo</v>
          </cell>
          <cell r="AL277">
            <v>62410</v>
          </cell>
        </row>
        <row r="278">
          <cell r="G278" t="str">
            <v>TGS8X4 H/D (ABN)24 MONTHS/300 000 KM48 MONTHS/600 000 KMCombinationYes</v>
          </cell>
          <cell r="H278">
            <v>82950</v>
          </cell>
          <cell r="AC278" t="str">
            <v>TGS6X460 MONTHS/375 000 KMEntire VehicleYes</v>
          </cell>
          <cell r="AD278">
            <v>214880</v>
          </cell>
          <cell r="AK278" t="str">
            <v>TGS6X4H/D48 MONTHS/200 000 KMDrivelineYes</v>
          </cell>
          <cell r="AL278">
            <v>73448.503401360547</v>
          </cell>
        </row>
        <row r="279">
          <cell r="G279" t="str">
            <v>TGS8X4 H/D (ABN)24 MONTHS/300 000 KM60 MONTHS/750 000 KMCombinationNo</v>
          </cell>
          <cell r="H279">
            <v>387100</v>
          </cell>
          <cell r="AC279" t="str">
            <v>TGS6X460 MONTHS/500 000 KMEntire VehicleNo</v>
          </cell>
          <cell r="AD279">
            <v>349180</v>
          </cell>
          <cell r="AK279" t="str">
            <v>TGS6X4H/D48 MONTHS/300 000 KMDrivelineNo</v>
          </cell>
          <cell r="AL279">
            <v>86110</v>
          </cell>
        </row>
        <row r="280">
          <cell r="G280" t="str">
            <v>TGS8X4 H/D (ABN)24 MONTHS/300 000 KM60 MONTHS/750 000 KMCombinationYes</v>
          </cell>
          <cell r="H280">
            <v>158790</v>
          </cell>
          <cell r="AC280" t="str">
            <v>TGS6X460 MONTHS/500 000 KMEntire VehicleYes</v>
          </cell>
          <cell r="AD280">
            <v>279660</v>
          </cell>
          <cell r="AK280" t="str">
            <v>TGS6X4H/D48 MONTHS/400 000 KMDrivelineYes</v>
          </cell>
          <cell r="AL280">
            <v>112180</v>
          </cell>
        </row>
        <row r="281">
          <cell r="G281" t="str">
            <v>TGS8X4 H/D (ABN)36 MONTHS/225 000 KM48 MONTHS/300 000 KM CombinationNo</v>
          </cell>
          <cell r="H281">
            <v>142200</v>
          </cell>
          <cell r="AC281" t="str">
            <v>TGS6X460 MONTHS/625 000 KMEntire VehicleNo</v>
          </cell>
          <cell r="AD281">
            <v>429760</v>
          </cell>
          <cell r="AK281" t="str">
            <v>TGS6X4H/D48 MONTHS/500 000 KMDrivelineNo</v>
          </cell>
          <cell r="AL281">
            <v>137460</v>
          </cell>
        </row>
        <row r="282">
          <cell r="G282" t="str">
            <v>TGS8X4 H/D (ABN)36 MONTHS/225 000 KM48 MONTHS/300 000 KM CombinationYes</v>
          </cell>
          <cell r="H282">
            <v>66360</v>
          </cell>
          <cell r="AC282" t="str">
            <v>TGS6X460 MONTHS/625 000 KMEntire VehicleYes</v>
          </cell>
          <cell r="AD282">
            <v>344440</v>
          </cell>
          <cell r="AK282" t="str">
            <v>TGS6X4H/D48 MONTHS/600 000 KMDrivelineYes</v>
          </cell>
          <cell r="AL282">
            <v>141410</v>
          </cell>
        </row>
        <row r="283">
          <cell r="G283" t="str">
            <v>TGS8X4 H/D (ABN)36 MONTHS/225 000 KM60 MONTHS/750 000 KMCombinationNo</v>
          </cell>
          <cell r="H283">
            <v>250430</v>
          </cell>
          <cell r="AC283" t="str">
            <v>TGS6X460 MONTHS/750 000 KMEntire VehicleNo</v>
          </cell>
          <cell r="AD283">
            <v>440820</v>
          </cell>
          <cell r="AK283" t="str">
            <v>TGS6X4H/D60 MONTHS/125 000 KMDrivelineNo</v>
          </cell>
          <cell r="AL283">
            <v>130350</v>
          </cell>
        </row>
        <row r="284">
          <cell r="G284" t="str">
            <v>TGS8X4 H/D (ABN)36 MONTHS/225 000 KM60 MONTHS/750 000 KMCombinationYes</v>
          </cell>
          <cell r="H284">
            <v>109810</v>
          </cell>
          <cell r="AC284" t="str">
            <v>TGS6X460 MONTHS/750 000 KMEntire VehicleYes</v>
          </cell>
          <cell r="AD284">
            <v>353130</v>
          </cell>
          <cell r="AK284" t="str">
            <v>TGS6X4H/D60 MONTHS/250 000 KMDrivelineYes</v>
          </cell>
          <cell r="AL284">
            <v>153260</v>
          </cell>
        </row>
        <row r="285">
          <cell r="G285" t="str">
            <v>TGS8X4 H/D (ABN)36 MONTHS/450 000 KM48 MONTHS/600 000 KMCombinationNo</v>
          </cell>
          <cell r="H285">
            <v>233050</v>
          </cell>
          <cell r="AC285" t="str">
            <v>TGS6X4H/D24 MONTHS/100 000 KMEntire VehicleNo</v>
          </cell>
          <cell r="AD285">
            <v>14220</v>
          </cell>
          <cell r="AK285" t="str">
            <v>TGS6X4H/D60 MONTHS/375 000 KMDrivelineNo</v>
          </cell>
          <cell r="AL285">
            <v>180120</v>
          </cell>
        </row>
        <row r="286">
          <cell r="G286" t="str">
            <v>TGS8X4 H/D (ABN)36 MONTHS/450 000 KM48 MONTHS/600 000 KMCombinationYes</v>
          </cell>
          <cell r="H286">
            <v>105860</v>
          </cell>
          <cell r="AC286" t="str">
            <v>TGS6X4H/D24 MONTHS/150 000 KMEntire VehicleYes</v>
          </cell>
          <cell r="AD286">
            <v>17380</v>
          </cell>
          <cell r="AK286" t="str">
            <v>TGS6X4H/D60 MONTHS/500 000 KMDrivelineYes</v>
          </cell>
          <cell r="AL286">
            <v>234630</v>
          </cell>
        </row>
        <row r="287">
          <cell r="G287" t="str">
            <v>TGS8X4 H/D (ABN)36 MONTHS/450 000 KM60 MONTHS/750 000 KMCombinationNo</v>
          </cell>
          <cell r="H287">
            <v>412380</v>
          </cell>
          <cell r="AC287" t="str">
            <v>TGS6X4H/D24 MONTHS/200 000 KMEntire VehicleNo</v>
          </cell>
          <cell r="AD287">
            <v>22120</v>
          </cell>
          <cell r="AK287" t="str">
            <v>TGS6X4H/D60 MONTHS/625 000 KMDrivelineNo</v>
          </cell>
          <cell r="AL287">
            <v>289140</v>
          </cell>
        </row>
        <row r="288">
          <cell r="G288" t="str">
            <v>TGS8X4 H/D (ABN)36 MONTHS/450 000 KM60 MONTHS/750 000 KMCombinationYes</v>
          </cell>
          <cell r="H288">
            <v>181700</v>
          </cell>
          <cell r="AC288" t="str">
            <v>TGS6X4H/D24 MONTHS/250 000 KMEntire VehicleYes</v>
          </cell>
          <cell r="AD288">
            <v>30020</v>
          </cell>
          <cell r="AK288" t="str">
            <v>TGS6X4H/D60 MONTHS/750 000 KMDrivelineYes</v>
          </cell>
          <cell r="AL288">
            <v>297040</v>
          </cell>
        </row>
        <row r="289">
          <cell r="G289" t="str">
            <v>TGS8X4 H/D (ABN)48 MONTHS/300 000 KM60 MONTHS/750 000 KMCombinationNo</v>
          </cell>
          <cell r="H289">
            <v>299410</v>
          </cell>
          <cell r="AC289" t="str">
            <v>TGS6X4H/D24 MONTHS/300 000 KMEntire VehicleNo</v>
          </cell>
          <cell r="AD289">
            <v>38710</v>
          </cell>
          <cell r="AK289" t="str">
            <v>TGS6X4HYDRO36 MONTHS/150 000 KMDrivelineNo</v>
          </cell>
          <cell r="AL289">
            <v>15010</v>
          </cell>
        </row>
        <row r="290">
          <cell r="G290" t="str">
            <v>TGS8X4 H/D (ABN)48 MONTHS/300 000 KM60 MONTHS/750 000 KMCombinationYes</v>
          </cell>
          <cell r="H290">
            <v>495330</v>
          </cell>
          <cell r="AC290" t="str">
            <v>TGS6X4H/D24 MONTHS/50 000 KMEntire VehicleYes</v>
          </cell>
          <cell r="AD290">
            <v>11060</v>
          </cell>
          <cell r="AK290" t="str">
            <v>TGS6X4HYDRO36 MONTHS/225 000 KMDrivelineYes</v>
          </cell>
          <cell r="AL290">
            <v>17380</v>
          </cell>
        </row>
        <row r="291">
          <cell r="G291" t="str">
            <v>TGS8X4 H/D (ABN)48 MONTHS/300 000 KM60 MONTHS/750 000 KMCombinationNo</v>
          </cell>
          <cell r="H291">
            <v>159580</v>
          </cell>
          <cell r="AC291" t="str">
            <v>TGS6X4H/D36 MONTHS/150 000 KMEntire VehicleNo</v>
          </cell>
          <cell r="AD291">
            <v>72680</v>
          </cell>
          <cell r="AK291" t="str">
            <v>TGS6X4HYDRO36 MONTHS/300 000 KMDrivelineNo</v>
          </cell>
          <cell r="AL291">
            <v>22120</v>
          </cell>
        </row>
        <row r="292">
          <cell r="G292" t="str">
            <v>TGS8X4 H/D (ABN)48 MONTHS/300 000 KM60 MONTHS/750 000 KMCombinationYes</v>
          </cell>
          <cell r="H292">
            <v>267810</v>
          </cell>
          <cell r="AC292" t="str">
            <v>TGS6X4H/D36 MONTHS/225 000 KMEntire VehicleYes</v>
          </cell>
          <cell r="AD292">
            <v>85320</v>
          </cell>
          <cell r="AK292" t="str">
            <v>TGS6X4HYDRO36 MONTHS/375 000 KMDrivelineYes</v>
          </cell>
          <cell r="AL292">
            <v>27650</v>
          </cell>
        </row>
        <row r="293">
          <cell r="G293" t="str">
            <v>TGS8X4 H/D24 MONTHS/150 000 KM36 MONTHS/225 000 KMCombinationNo</v>
          </cell>
          <cell r="H293">
            <v>33970</v>
          </cell>
          <cell r="AC293" t="str">
            <v>TGS6X4H/D36 MONTHS/300 000 KMEntire VehicleNo</v>
          </cell>
          <cell r="AD293">
            <v>117371.42857142859</v>
          </cell>
          <cell r="AK293" t="str">
            <v>TGS6X4HYDRO36 MONTHS/450 000 KMDrivelineNo</v>
          </cell>
          <cell r="AL293">
            <v>28440</v>
          </cell>
        </row>
        <row r="294">
          <cell r="G294" t="str">
            <v>TGS8X4 H/D24 MONTHS/150 000 KM36 MONTHS/225 000 KMCombinationYes</v>
          </cell>
          <cell r="H294">
            <v>65570</v>
          </cell>
          <cell r="AC294" t="str">
            <v>TGS6X4H/D36 MONTHS/375 000 KMEntire VehicleYes</v>
          </cell>
          <cell r="AD294">
            <v>136670</v>
          </cell>
          <cell r="AK294" t="str">
            <v>TGS6X4HYDRO36 MONTHS/75 000 KMDrivelineYes</v>
          </cell>
          <cell r="AL294">
            <v>12640</v>
          </cell>
        </row>
        <row r="295">
          <cell r="G295" t="str">
            <v>TGS8X4 H/D24 MONTHS/150 000 KM48 MONTHS/300 000 KMCombinationNo</v>
          </cell>
          <cell r="H295">
            <v>60040</v>
          </cell>
          <cell r="AC295" t="str">
            <v>TGS6X4H/D36 MONTHS/450 000 KMEntire VehicleNo</v>
          </cell>
          <cell r="AD295">
            <v>139830</v>
          </cell>
          <cell r="AK295" t="str">
            <v>TGS6X4HYDRO48 MONTHS/100 000 KMDrivelineNo</v>
          </cell>
          <cell r="AL295">
            <v>29230</v>
          </cell>
        </row>
        <row r="296">
          <cell r="G296" t="str">
            <v>TGS8X4 H/D24 MONTHS/150 000 KM48 MONTHS/300 000 KMCombinationYes</v>
          </cell>
          <cell r="H296">
            <v>103490</v>
          </cell>
          <cell r="AC296" t="str">
            <v>TGS6X4H/D36 MONTHS/75 000 KMEntire VehicleYes</v>
          </cell>
          <cell r="AD296">
            <v>61620</v>
          </cell>
          <cell r="AK296" t="str">
            <v>TGS6X4HYDRO48 MONTHS/200 000 KMDrivelineYes</v>
          </cell>
          <cell r="AL296">
            <v>33970</v>
          </cell>
        </row>
        <row r="297">
          <cell r="G297" t="str">
            <v>TGS8X4 H/D24 MONTHS/150 000 KM60 MONTHS/375 000 KMCombinationNo</v>
          </cell>
          <cell r="H297">
            <v>109810</v>
          </cell>
          <cell r="AC297" t="str">
            <v>TGS6X4H/D48 MONTHS/100 000 KMEntire VehicleNo</v>
          </cell>
          <cell r="AD297">
            <v>120080</v>
          </cell>
          <cell r="AK297" t="str">
            <v>TGS6X4HYDRO48 MONTHS/300 000 KMDrivelineNo</v>
          </cell>
          <cell r="AL297">
            <v>40290</v>
          </cell>
        </row>
        <row r="298">
          <cell r="G298" t="str">
            <v>TGS8X4 H/D24 MONTHS/150 000 KM60 MONTHS/375 000 KMCombinationYes</v>
          </cell>
          <cell r="H298">
            <v>197500</v>
          </cell>
          <cell r="AC298" t="str">
            <v>TGS6X4H/D48 MONTHS/200 000 KMEntire VehicleYes</v>
          </cell>
          <cell r="AD298">
            <v>141410</v>
          </cell>
          <cell r="AK298" t="str">
            <v>TGS6X4HYDRO48 MONTHS/400 000 KMDrivelineYes</v>
          </cell>
          <cell r="AL298">
            <v>52140</v>
          </cell>
        </row>
        <row r="299">
          <cell r="G299" t="str">
            <v>TGS8X4 H/D24 MONTHS/300 000 KM36 MONTHS/450 000 KMCombinationNo</v>
          </cell>
          <cell r="H299">
            <v>56880</v>
          </cell>
          <cell r="AC299" t="str">
            <v>TGS6X4H/D48 MONTHS/300 000 KMEntire VehicleNo</v>
          </cell>
          <cell r="AD299">
            <v>165900</v>
          </cell>
          <cell r="AK299" t="str">
            <v>TGS6X4HYDRO48 MONTHS/500 000 KMDrivelineNo</v>
          </cell>
          <cell r="AL299">
            <v>60830</v>
          </cell>
        </row>
        <row r="300">
          <cell r="G300" t="str">
            <v>TGS8X4 H/D24 MONTHS/300 000 KM36 MONTHS/450 000 KMCombinationYes</v>
          </cell>
          <cell r="H300">
            <v>117710</v>
          </cell>
          <cell r="AC300" t="str">
            <v>TGS6X4H/D48 MONTHS/400 000 KMEntire VehicleYes</v>
          </cell>
          <cell r="AD300">
            <v>216460</v>
          </cell>
          <cell r="AK300" t="str">
            <v>TGS6X4HYDRO48 MONTHS/600 000 KMDrivelineYes</v>
          </cell>
          <cell r="AL300">
            <v>62410</v>
          </cell>
        </row>
        <row r="301">
          <cell r="G301" t="str">
            <v>TGS8X4 H/D24 MONTHS/300 000 KM48 MONTHS/600 000 KMCombinationNo</v>
          </cell>
          <cell r="H301">
            <v>95590</v>
          </cell>
          <cell r="AC301" t="str">
            <v>TGS6X4H/D48 MONTHS/500 000 KMEntire VehicleNo</v>
          </cell>
          <cell r="AD301">
            <v>267020</v>
          </cell>
          <cell r="AK301" t="str">
            <v>TGS6X4HYDRO60 MONTHS/125 000 KMDrivelineNo</v>
          </cell>
          <cell r="AL301">
            <v>60830</v>
          </cell>
        </row>
        <row r="302">
          <cell r="G302" t="str">
            <v>TGS8X4 H/D24 MONTHS/300 000 KM48 MONTHS/600 000 KMCombinationYes</v>
          </cell>
          <cell r="H302">
            <v>180120</v>
          </cell>
          <cell r="AC302" t="str">
            <v>TGS6X4H/D48 MONTHS/600 000 KMEntire VehicleYes</v>
          </cell>
          <cell r="AD302">
            <v>274130</v>
          </cell>
          <cell r="AK302" t="str">
            <v>TGS6X4HYDRO60 MONTHS/250 000 KMDrivelineYes</v>
          </cell>
          <cell r="AL302">
            <v>71890</v>
          </cell>
        </row>
        <row r="303">
          <cell r="G303" t="str">
            <v>TGS8X4 H/D24 MONTHS/300 000 KM60 MONTHS/750 000 KMCombinationNo</v>
          </cell>
          <cell r="H303">
            <v>183280</v>
          </cell>
          <cell r="AC303" t="str">
            <v>TGS6X4H/D60 MONTHS/125 000 KMEntire VehicleNo</v>
          </cell>
          <cell r="AD303">
            <v>252800</v>
          </cell>
          <cell r="AK303" t="str">
            <v>TGS6X4HYDRO60 MONTHS/375 000 KMDrivelineNo</v>
          </cell>
          <cell r="AL303">
            <v>83740</v>
          </cell>
        </row>
        <row r="304">
          <cell r="G304" t="str">
            <v>TGS8X4 H/D24 MONTHS/300 000 KM60 MONTHS/750 000 KMCombinationYes</v>
          </cell>
          <cell r="H304">
            <v>335750</v>
          </cell>
          <cell r="AC304" t="str">
            <v>TGS6X4H/D60 MONTHS/250 000 KMEntire VehicleYes</v>
          </cell>
          <cell r="AD304">
            <v>297040</v>
          </cell>
          <cell r="AK304" t="str">
            <v>TGS6X4HYDRO60 MONTHS/500 000 KMDrivelineYes</v>
          </cell>
          <cell r="AL304">
            <v>109810</v>
          </cell>
        </row>
        <row r="305">
          <cell r="G305" t="str">
            <v>TGS8X4 H/D36 MONTHS/225 000 KM48 MONTHS/300 000 KM CombinationNo</v>
          </cell>
          <cell r="H305">
            <v>76630</v>
          </cell>
          <cell r="AC305" t="str">
            <v>TGS6X4H/D60 MONTHS/375 000 KMEntire VehicleNo</v>
          </cell>
          <cell r="AD305">
            <v>348390</v>
          </cell>
          <cell r="AK305" t="str">
            <v>TGS6X4HYDRO60 MONTHS/625 000 KMDrivelineNo</v>
          </cell>
          <cell r="AL305">
            <v>127190</v>
          </cell>
        </row>
        <row r="306">
          <cell r="G306" t="str">
            <v>TGS8X4 H/D36 MONTHS/225 000 KM48 MONTHS/300 000 KM CombinationYes</v>
          </cell>
          <cell r="H306">
            <v>123240</v>
          </cell>
          <cell r="AC306" t="str">
            <v>TGS6X4H/D60 MONTHS/500 000 KMEntire VehicleYes</v>
          </cell>
          <cell r="AD306">
            <v>454250</v>
          </cell>
          <cell r="AK306" t="str">
            <v>TGS6X4HYDRO60 MONTHS/750 000 KMDrivelineYes</v>
          </cell>
          <cell r="AL306">
            <v>138250</v>
          </cell>
        </row>
        <row r="307">
          <cell r="G307" t="str">
            <v>TGS8X4 H/D36 MONTHS/225 000 KM60 MONTHS/750 000 KMCombinationNo</v>
          </cell>
          <cell r="H307">
            <v>126400</v>
          </cell>
          <cell r="AC307" t="str">
            <v>TGS6X4H/D60 MONTHS/625 000 KMEntire VehicleNo</v>
          </cell>
          <cell r="AD307">
            <v>560110</v>
          </cell>
          <cell r="AK307" t="str">
            <v>TGS6X636 MONTHS/75 000 KMDrivelineNo</v>
          </cell>
          <cell r="AL307">
            <v>9480</v>
          </cell>
        </row>
        <row r="308">
          <cell r="G308" t="str">
            <v>TGS8X4 H/D36 MONTHS/225 000 KM60 MONTHS/750 000 KMCombinationYes</v>
          </cell>
          <cell r="H308">
            <v>217250</v>
          </cell>
          <cell r="AC308" t="str">
            <v>TGS6X4H/D60 MONTHS/750 000 KMEntire VehicleYes</v>
          </cell>
          <cell r="AD308">
            <v>575120</v>
          </cell>
          <cell r="AK308" t="str">
            <v>TGS6X636 MONTHS/75 000 KMDrivelineYes</v>
          </cell>
          <cell r="AL308">
            <v>7900</v>
          </cell>
        </row>
        <row r="309">
          <cell r="G309" t="str">
            <v>TGS8X4 H/D36 MONTHS/450 000 KM48 MONTHS/600 000 KMCombinationNo</v>
          </cell>
          <cell r="H309">
            <v>121660</v>
          </cell>
          <cell r="AC309" t="str">
            <v>TGS6X4HYDRO24 MONTHS/100 000 KMEntire VehicleNo</v>
          </cell>
          <cell r="AD309">
            <v>9480</v>
          </cell>
          <cell r="AK309" t="str">
            <v>TGS6X636 MONTHS/150 000 KMDrivelineNo</v>
          </cell>
          <cell r="AL309">
            <v>15010</v>
          </cell>
        </row>
        <row r="310">
          <cell r="G310" t="str">
            <v>TGS8X4 H/D36 MONTHS/450 000 KM48 MONTHS/600 000 KMCombinationYes</v>
          </cell>
          <cell r="H310">
            <v>202240</v>
          </cell>
          <cell r="AC310" t="str">
            <v>TGS6X4HYDRO24 MONTHS/150 000 KMEntire VehicleYes</v>
          </cell>
          <cell r="AD310">
            <v>11060</v>
          </cell>
          <cell r="AK310" t="str">
            <v>TGS6X636 MONTHS/150 000 KMDrivelineYes</v>
          </cell>
          <cell r="AL310">
            <v>12640</v>
          </cell>
        </row>
        <row r="311">
          <cell r="G311" t="str">
            <v>TGS8X4 H/D36 MONTHS/450 000 KM60 MONTHS/750 000 KMCombinationNo</v>
          </cell>
          <cell r="H311">
            <v>209350</v>
          </cell>
          <cell r="AC311" t="str">
            <v>TGS6X4HYDRO24 MONTHS/200 000 KMEntire VehicleNo</v>
          </cell>
          <cell r="AD311">
            <v>14220</v>
          </cell>
          <cell r="AK311" t="str">
            <v>TGS6X636 MONTHS/225 000 KMDrivelineNo</v>
          </cell>
          <cell r="AL311">
            <v>16590</v>
          </cell>
        </row>
        <row r="312">
          <cell r="G312" t="str">
            <v>TGS8X4 H/D36 MONTHS/450 000 KM60 MONTHS/750 000 KMCombinationYes</v>
          </cell>
          <cell r="H312">
            <v>357870</v>
          </cell>
          <cell r="AC312" t="str">
            <v>TGS6X4HYDRO24 MONTHS/250 000 KMEntire VehicleYes</v>
          </cell>
          <cell r="AD312">
            <v>18960</v>
          </cell>
          <cell r="AK312" t="str">
            <v>TGS6X636 MONTHS/225 000 KMDrivelineYes</v>
          </cell>
          <cell r="AL312">
            <v>13430</v>
          </cell>
        </row>
        <row r="313">
          <cell r="G313" t="str">
            <v>TGS8X4 H/D48 MONTHS/300 000 KM60 MONTHS/750 000 KMCombinationNo</v>
          </cell>
          <cell r="H313">
            <v>184070</v>
          </cell>
          <cell r="AC313" t="str">
            <v>TGS6X4HYDRO24 MONTHS/300 000 KMEntire VehicleNo</v>
          </cell>
          <cell r="AD313">
            <v>20540</v>
          </cell>
          <cell r="AK313" t="str">
            <v>TGS6X636 MONTHS/300 000 KMDrivelineNo</v>
          </cell>
          <cell r="AL313">
            <v>21330</v>
          </cell>
        </row>
        <row r="314">
          <cell r="G314" t="str">
            <v>TGS8X4 H/D48 MONTHS/300 000 KM60 MONTHS/750 000 KMCombinationYes</v>
          </cell>
          <cell r="H314">
            <v>308890</v>
          </cell>
          <cell r="AC314" t="str">
            <v>TGS6X4HYDRO24 MONTHS/50 000 KMEntire VehicleYes</v>
          </cell>
          <cell r="AD314">
            <v>7110</v>
          </cell>
          <cell r="AK314" t="str">
            <v>TGS6X636 MONTHS/300 000 KMDrivelineYes</v>
          </cell>
          <cell r="AL314">
            <v>17380</v>
          </cell>
        </row>
        <row r="315">
          <cell r="G315" t="str">
            <v>TGS8X4 H/D48 MONTHS/300 000 KM60 MONTHS/750 000 KMCombinationNo</v>
          </cell>
          <cell r="H315">
            <v>259910</v>
          </cell>
          <cell r="AC315" t="str">
            <v>TGS6X4HYDRO36 MONTHS/150 000 KMEntire VehicleNo</v>
          </cell>
          <cell r="AD315">
            <v>37130</v>
          </cell>
          <cell r="AK315" t="str">
            <v>TGS6X636 MONTHS/375 000 KMDrivelineNo</v>
          </cell>
          <cell r="AL315">
            <v>26070</v>
          </cell>
        </row>
        <row r="316">
          <cell r="G316" t="str">
            <v>TGS8X4 H/D48 MONTHS/300 000 KM60 MONTHS/750 000 KMCombinationYes</v>
          </cell>
          <cell r="H316">
            <v>429760</v>
          </cell>
          <cell r="AC316" t="str">
            <v>TGS6X4HYDRO36 MONTHS/225 000 KMEntire VehicleYes</v>
          </cell>
          <cell r="AD316">
            <v>43450</v>
          </cell>
          <cell r="AK316" t="str">
            <v>TGS6X636 MONTHS/375 000 KMDrivelineYes</v>
          </cell>
          <cell r="AL316">
            <v>21330</v>
          </cell>
        </row>
        <row r="317">
          <cell r="G317" t="str">
            <v>TGS8X424 MONTHS/150 000 KM 36 MONTHS/225 000 KMCombinationNo</v>
          </cell>
          <cell r="H317">
            <v>31600</v>
          </cell>
          <cell r="AC317" t="str">
            <v>TGS6X4HYDRO36 MONTHS/300 000 KMEntire VehicleNo</v>
          </cell>
          <cell r="AD317">
            <v>56090</v>
          </cell>
          <cell r="AK317" t="str">
            <v>TGS6X636 MONTHS/450 000 KMDrivelineNo</v>
          </cell>
          <cell r="AL317">
            <v>26860</v>
          </cell>
        </row>
        <row r="318">
          <cell r="G318" t="str">
            <v>TGS8X424 MONTHS/150 000 KM 36 MONTHS/225 000 KMCombinationYes</v>
          </cell>
          <cell r="H318">
            <v>25280</v>
          </cell>
          <cell r="AC318" t="str">
            <v>TGS6X4HYDRO36 MONTHS/375 000 KMEntire VehicleYes</v>
          </cell>
          <cell r="AD318">
            <v>69520</v>
          </cell>
          <cell r="AK318" t="str">
            <v>TGS6X636 MONTHS/450 000 KMDrivelineYes</v>
          </cell>
          <cell r="AL318">
            <v>22120</v>
          </cell>
        </row>
        <row r="319">
          <cell r="G319" t="str">
            <v>TGS8X424 MONTHS/300 000 KM36 MONTHS/450 000 KMCombinationNo</v>
          </cell>
          <cell r="H319">
            <v>57670</v>
          </cell>
          <cell r="AC319" t="str">
            <v>TGS6X4HYDRO36 MONTHS/450 000 KMEntire VehicleNo</v>
          </cell>
          <cell r="AD319">
            <v>71890</v>
          </cell>
          <cell r="AK319" t="str">
            <v>TGS6X648 MONTHS/100 000 KMDrivelineNo</v>
          </cell>
          <cell r="AL319">
            <v>23700</v>
          </cell>
        </row>
        <row r="320">
          <cell r="G320" t="str">
            <v>TGS8X424 MONTHS/300 000 KM36 MONTHS/450 000 KMCombinationYes</v>
          </cell>
          <cell r="H320">
            <v>46610</v>
          </cell>
          <cell r="AC320" t="str">
            <v>TGS6X4HYDRO36 MONTHS/75 000 KMEntire VehicleYes</v>
          </cell>
          <cell r="AD320">
            <v>31600</v>
          </cell>
          <cell r="AK320" t="str">
            <v>TGS6X648 MONTHS/100 000 KMDrivelineYes</v>
          </cell>
          <cell r="AL320">
            <v>18960</v>
          </cell>
        </row>
        <row r="321">
          <cell r="G321" t="str">
            <v>TGS8X424 MONTHS/150 000 KM48 MONTHS/300 000 KMCombinationNo</v>
          </cell>
          <cell r="H321">
            <v>52140</v>
          </cell>
          <cell r="AC321" t="str">
            <v>TGS6X4HYDRO48 MONTHS/100 000 KMEntire VehicleNo</v>
          </cell>
          <cell r="AD321">
            <v>85803.673469387766</v>
          </cell>
          <cell r="AK321" t="str">
            <v>TGS6X648 MONTHS/200 000 KMDrivelineNo</v>
          </cell>
          <cell r="AL321">
            <v>27650</v>
          </cell>
        </row>
        <row r="322">
          <cell r="G322" t="str">
            <v>TGS8X424 MONTHS/150 000 KM48 MONTHS/300 000 KMCombinationYes</v>
          </cell>
          <cell r="H322">
            <v>41870</v>
          </cell>
          <cell r="AC322" t="str">
            <v>TGS6X4HYDRO48 MONTHS/200 000 KMEntire VehicleYes</v>
          </cell>
          <cell r="AD322">
            <v>99540</v>
          </cell>
          <cell r="AK322" t="str">
            <v>TGS6X648 MONTHS/200 000 KMDrivelineYes</v>
          </cell>
          <cell r="AL322">
            <v>22120</v>
          </cell>
        </row>
        <row r="323">
          <cell r="G323" t="str">
            <v>TGS8X424 MONTHS/300 000 KM48 MONTHS/600 000 KMCombinationNo</v>
          </cell>
          <cell r="H323">
            <v>101120</v>
          </cell>
          <cell r="AC323" t="str">
            <v>TGS6X4HYDRO48 MONTHS/300 000 KMEntire VehicleNo</v>
          </cell>
          <cell r="AD323">
            <v>116130</v>
          </cell>
          <cell r="AK323" t="str">
            <v>TGS6X648 MONTHS/300 000 KMDrivelineNo</v>
          </cell>
          <cell r="AL323">
            <v>32390</v>
          </cell>
        </row>
        <row r="324">
          <cell r="G324" t="str">
            <v>TGS8X424 MONTHS/300 000 KM48 MONTHS/600 000 KMCombinationYes</v>
          </cell>
          <cell r="H324">
            <v>81370</v>
          </cell>
          <cell r="AC324" t="str">
            <v>TGS6X4HYDRO48 MONTHS/400 000 KMEntire VehicleYes</v>
          </cell>
          <cell r="AD324">
            <v>152470</v>
          </cell>
          <cell r="AK324" t="str">
            <v>TGS6X648 MONTHS/300 000 KMDrivelineYes</v>
          </cell>
          <cell r="AL324">
            <v>26070</v>
          </cell>
        </row>
        <row r="325">
          <cell r="G325" t="str">
            <v>TGS8X424 MONTHS/225 000 KM48 MONTHS/300 000 KMCombinationNo</v>
          </cell>
          <cell r="H325">
            <v>71100</v>
          </cell>
          <cell r="AC325" t="str">
            <v>TGS6X4HYDRO48 MONTHS/500 000 KMEntire VehicleNo</v>
          </cell>
          <cell r="AD325">
            <v>187230</v>
          </cell>
          <cell r="AK325" t="str">
            <v>TGS6X648 MONTHS/400 000 KMDrivelineNo</v>
          </cell>
          <cell r="AL325">
            <v>41870</v>
          </cell>
        </row>
        <row r="326">
          <cell r="G326" t="str">
            <v>TGS8X424 MONTHS/225 000 KM48 MONTHS/300 000 KMCombinationYes</v>
          </cell>
          <cell r="H326">
            <v>56880</v>
          </cell>
          <cell r="AC326" t="str">
            <v>TGS6X4HYDRO48 MONTHS/600 000 KMEntire VehicleYes</v>
          </cell>
          <cell r="AD326">
            <v>191970</v>
          </cell>
          <cell r="AK326" t="str">
            <v>TGS6X648 MONTHS/400 000 KMDrivelineYes</v>
          </cell>
          <cell r="AL326">
            <v>33970</v>
          </cell>
        </row>
        <row r="327">
          <cell r="G327" t="str">
            <v>TGS8X436 MONTHS/450 000 KM48 MONTHS/600 000 KMCombinationNo</v>
          </cell>
          <cell r="H327">
            <v>126400</v>
          </cell>
          <cell r="AC327" t="str">
            <v>TGS6X4HYDRO60 MONTHS/125 000 KMEntire VehicleNo</v>
          </cell>
          <cell r="AD327">
            <v>176960</v>
          </cell>
          <cell r="AK327" t="str">
            <v>TGS6X648 MONTHS/500 000 KMDrivelineNo</v>
          </cell>
          <cell r="AL327">
            <v>58460</v>
          </cell>
        </row>
        <row r="328">
          <cell r="G328" t="str">
            <v>TGS8X436 MONTHS/450 000 KM48 MONTHS/600 000 KMCombinationYes</v>
          </cell>
          <cell r="H328">
            <v>101120</v>
          </cell>
          <cell r="AC328" t="str">
            <v>TGS6X4HYDRO60 MONTHS/250 000 KMEntire VehicleYes</v>
          </cell>
          <cell r="AD328">
            <v>208560</v>
          </cell>
          <cell r="AK328" t="str">
            <v>TGS6X648 MONTHS/500 000 KMDrivelineYes</v>
          </cell>
          <cell r="AL328">
            <v>47400</v>
          </cell>
        </row>
        <row r="329">
          <cell r="G329" t="str">
            <v>TGS8X424 MONTHS/150 000 KM60 MONTHS/375 000 KM CombinationNo</v>
          </cell>
          <cell r="H329">
            <v>72680</v>
          </cell>
          <cell r="AC329" t="str">
            <v>TGS6X4HYDRO60 MONTHS/375 000 KMEntire VehicleNo</v>
          </cell>
          <cell r="AD329">
            <v>244110</v>
          </cell>
          <cell r="AK329" t="str">
            <v>TGS6X648 MONTHS/600 000 KMDrivelineNo</v>
          </cell>
          <cell r="AL329">
            <v>62410</v>
          </cell>
        </row>
        <row r="330">
          <cell r="G330" t="str">
            <v>TGS8X424 MONTHS/150 000 KM60 MONTHS/375 000 KM CombinationYes</v>
          </cell>
          <cell r="H330">
            <v>58460</v>
          </cell>
          <cell r="AC330" t="str">
            <v>TGS6X4HYDRO60 MONTHS/500 000 KMEntire VehicleYes</v>
          </cell>
          <cell r="AD330">
            <v>319160</v>
          </cell>
          <cell r="AK330" t="str">
            <v>TGS6X648 MONTHS/600 000 KMDrivelineYes</v>
          </cell>
          <cell r="AL330">
            <v>50560</v>
          </cell>
        </row>
        <row r="331">
          <cell r="G331" t="str">
            <v>TGS8X424 MONTHS/300 000 KM60 MONTHS/750 000 KMCombinationNo</v>
          </cell>
          <cell r="H331">
            <v>170640</v>
          </cell>
          <cell r="AC331" t="str">
            <v>TGS6X4HYDRO60 MONTHS/625 000 KMEntire VehicleNo</v>
          </cell>
          <cell r="AD331">
            <v>392630</v>
          </cell>
          <cell r="AK331" t="str">
            <v>TGS6X660 MONTHS/125 000 KMDrivelineNo</v>
          </cell>
          <cell r="AL331">
            <v>48190</v>
          </cell>
        </row>
        <row r="332">
          <cell r="G332" t="str">
            <v>TGS8X424 MONTHS/300 000 KM60 MONTHS/750 000 KMCombinationYes</v>
          </cell>
          <cell r="H332">
            <v>135880</v>
          </cell>
          <cell r="AC332" t="str">
            <v>TGS6X4HYDRO60 MONTHS/750 000 KMEntire VehicleYes</v>
          </cell>
          <cell r="AD332">
            <v>402900</v>
          </cell>
          <cell r="AK332" t="str">
            <v>TGS6X660 MONTHS/125 000 KMDrivelineYes</v>
          </cell>
          <cell r="AL332">
            <v>38710</v>
          </cell>
        </row>
        <row r="333">
          <cell r="G333" t="str">
            <v>TGS8X436 MONTHS/225 000 KM60 MONTHS/375 000 KMCombinationNo</v>
          </cell>
          <cell r="H333">
            <v>91640</v>
          </cell>
          <cell r="AC333" t="str">
            <v>TGS6X624 MONTHS/50 000 KMEntire VehicleNo</v>
          </cell>
          <cell r="AD333">
            <v>7900</v>
          </cell>
          <cell r="AK333" t="str">
            <v>TGS6X660 MONTHS/250 000 KMDrivelineNo</v>
          </cell>
          <cell r="AL333">
            <v>56880</v>
          </cell>
        </row>
        <row r="334">
          <cell r="G334" t="str">
            <v>TGS8X436 MONTHS/225 000 KM60 MONTHS/375 000 KMCombinationYes</v>
          </cell>
          <cell r="H334">
            <v>73470</v>
          </cell>
          <cell r="AC334" t="str">
            <v>TGS6X624 MONTHS/50 000 KMEntire VehicleYes</v>
          </cell>
          <cell r="AD334">
            <v>6320</v>
          </cell>
          <cell r="AK334" t="str">
            <v>TGS6X660 MONTHS/250 000 KMDrivelineYes</v>
          </cell>
          <cell r="AL334">
            <v>45820</v>
          </cell>
        </row>
        <row r="335">
          <cell r="G335" t="str">
            <v>TGS8X436 MONTHS/450 000 KM60 MONTHS/750 000 KMCombinationNo</v>
          </cell>
          <cell r="H335">
            <v>195920</v>
          </cell>
          <cell r="AC335" t="str">
            <v>TGS6X624 MONTHS/100 000 KMEntire VehicleNo</v>
          </cell>
          <cell r="AD335">
            <v>9480</v>
          </cell>
          <cell r="AK335" t="str">
            <v>TGS6X660 MONTHS/375 000 KMDrivelineNo</v>
          </cell>
          <cell r="AL335">
            <v>66360</v>
          </cell>
        </row>
        <row r="336">
          <cell r="G336" t="str">
            <v>TGS8X436 MONTHS/450 000 KM60 MONTHS/750 000 KMCombinationYes</v>
          </cell>
          <cell r="H336">
            <v>157210</v>
          </cell>
          <cell r="AC336" t="str">
            <v>TGS6X624 MONTHS/100 000 KMEntire VehicleYes</v>
          </cell>
          <cell r="AD336">
            <v>7900</v>
          </cell>
          <cell r="AK336" t="str">
            <v>TGS6X660 MONTHS/375 000 KMDrivelineYes</v>
          </cell>
          <cell r="AL336">
            <v>53720</v>
          </cell>
        </row>
        <row r="337">
          <cell r="G337" t="str">
            <v>TGS8X448 MONTHS/300 000 KM60 MONTHS/375 000 KMCombinationNo</v>
          </cell>
          <cell r="H337">
            <v>154840</v>
          </cell>
          <cell r="AC337" t="str">
            <v>TGS6X624 MONTHS/150 000 KMEntire VehicleNo</v>
          </cell>
          <cell r="AD337">
            <v>11850</v>
          </cell>
          <cell r="AK337" t="str">
            <v>TGS6X660 MONTHS/500 000 KMDrivelineNo</v>
          </cell>
          <cell r="AL337">
            <v>100330</v>
          </cell>
        </row>
        <row r="338">
          <cell r="G338" t="str">
            <v>TGS8X448 MONTHS/300 000 KM60 MONTHS/375 000 KMCombinationYes</v>
          </cell>
          <cell r="H338">
            <v>134300</v>
          </cell>
          <cell r="AC338" t="str">
            <v>TGS6X624 MONTHS/150 000 KMEntire VehicleYes</v>
          </cell>
          <cell r="AD338">
            <v>9480</v>
          </cell>
          <cell r="AK338" t="str">
            <v>TGS6X660 MONTHS/500 000 KMDrivelineYes</v>
          </cell>
          <cell r="AL338">
            <v>80580</v>
          </cell>
        </row>
        <row r="339">
          <cell r="G339" t="str">
            <v>TGS8X448 MONTHS/600 000 KM60 MONTHS/750 000 KMCombinationNo</v>
          </cell>
          <cell r="H339">
            <v>290720</v>
          </cell>
          <cell r="AC339" t="str">
            <v>TGS6X624 MONTHS/200 000 KMEntire VehicleNo</v>
          </cell>
          <cell r="AD339">
            <v>14220</v>
          </cell>
          <cell r="AK339" t="str">
            <v>TGS6X660 MONTHS/625 000 KMDrivelineNo</v>
          </cell>
          <cell r="AL339">
            <v>129560</v>
          </cell>
        </row>
        <row r="340">
          <cell r="G340" t="str">
            <v>TGS8X448 MONTHS/600 000 KM60 MONTHS/750 000 KMCombinationYes</v>
          </cell>
          <cell r="H340">
            <v>233050</v>
          </cell>
          <cell r="AC340" t="str">
            <v>TGS6X624 MONTHS/200 000 KMEntire VehicleYes</v>
          </cell>
          <cell r="AD340">
            <v>11850</v>
          </cell>
          <cell r="AK340" t="str">
            <v>TGS6X660 MONTHS/625 000 KMDrivelineYes</v>
          </cell>
          <cell r="AL340">
            <v>104280</v>
          </cell>
        </row>
        <row r="341">
          <cell r="G341" t="str">
            <v>TGS8X6 H/D (ABN)24 MONTHS/150 000 KM36 MONTHS/225 000 KMCombinationNo</v>
          </cell>
          <cell r="H341">
            <v>76630</v>
          </cell>
          <cell r="AC341" t="str">
            <v>TGS6X624 MONTHS/250 000 KMEntire VehicleNo</v>
          </cell>
          <cell r="AD341">
            <v>16590</v>
          </cell>
          <cell r="AK341" t="str">
            <v>TGS6X660 MONTHS/750 000 KMDrivelineNo</v>
          </cell>
          <cell r="AL341">
            <v>139040</v>
          </cell>
        </row>
        <row r="342">
          <cell r="G342" t="str">
            <v>TGS8X6 H/D (ABN)24 MONTHS/150 000 KM36 MONTHS/225 000 KMCombinationYes</v>
          </cell>
          <cell r="H342">
            <v>28440</v>
          </cell>
          <cell r="AC342" t="str">
            <v>TGS6X624 MONTHS/250 000 KMEntire VehicleYes</v>
          </cell>
          <cell r="AD342">
            <v>13430</v>
          </cell>
          <cell r="AK342" t="str">
            <v>TGS6X660 MONTHS/750 000 KMDrivelineYes</v>
          </cell>
          <cell r="AL342">
            <v>111390</v>
          </cell>
        </row>
        <row r="343">
          <cell r="G343" t="str">
            <v>TGS8X6 H/D (ABN)24 MONTHS/150 000 KM48 MONTHS/300 000 KMCombinationNo</v>
          </cell>
          <cell r="H343">
            <v>120080</v>
          </cell>
          <cell r="AC343" t="str">
            <v>TGS6X624 MONTHS/300 000 KMEntire VehicleNo</v>
          </cell>
          <cell r="AD343">
            <v>17380</v>
          </cell>
          <cell r="AK343" t="str">
            <v>TGS6X672 MONTHS/150 000 KMDrivelineNo</v>
          </cell>
          <cell r="AL343">
            <v>72680</v>
          </cell>
        </row>
        <row r="344">
          <cell r="G344" t="str">
            <v>TGS8X6 H/D (ABN)24 MONTHS/150 000 KM48 MONTHS/300 000 KMCombinationYes</v>
          </cell>
          <cell r="H344">
            <v>51350</v>
          </cell>
          <cell r="AC344" t="str">
            <v>TGS6X624 MONTHS/300 000 KMEntire VehicleYes</v>
          </cell>
          <cell r="AD344">
            <v>14220</v>
          </cell>
          <cell r="AK344" t="str">
            <v>TGS6X672 MONTHS/150 000 KMDrivelineYes</v>
          </cell>
          <cell r="AL344">
            <v>60040</v>
          </cell>
        </row>
        <row r="345">
          <cell r="G345" t="str">
            <v>TGS8X6 H/D (ABN)24 MONTHS/150 000 KM60 MONTHS/375 000 KMCombinationNo</v>
          </cell>
          <cell r="H345">
            <v>228310</v>
          </cell>
          <cell r="AC345" t="str">
            <v>TGS6X636 MONTHS/75 000 KMEntire VehicleNo</v>
          </cell>
          <cell r="AD345">
            <v>29230</v>
          </cell>
          <cell r="AK345" t="str">
            <v>TGS6X672 MONTHS/300 000 KMDrivelineNo</v>
          </cell>
          <cell r="AL345">
            <v>132720</v>
          </cell>
        </row>
        <row r="346">
          <cell r="G346" t="str">
            <v>TGS8X6 H/D (ABN)24 MONTHS/150 000 KM60 MONTHS/375 000 KMCombinationYes</v>
          </cell>
          <cell r="H346">
            <v>94800</v>
          </cell>
          <cell r="AC346" t="str">
            <v>TGS6X636 MONTHS/75 000 KMEntire VehicleYes</v>
          </cell>
          <cell r="AD346">
            <v>23700</v>
          </cell>
          <cell r="AK346" t="str">
            <v>TGS6X672 MONTHS/300 000 KMDrivelineYes</v>
          </cell>
          <cell r="AL346">
            <v>110600</v>
          </cell>
        </row>
        <row r="347">
          <cell r="G347" t="str">
            <v>TGS8X6 H/D (ABN)24 MONTHS/300 000 KM36 MONTHS/450 000 KMCombinationNo</v>
          </cell>
          <cell r="H347">
            <v>135880</v>
          </cell>
          <cell r="AC347" t="str">
            <v>TGS6X636 MONTHS/150 000 KMEntire VehicleNo</v>
          </cell>
          <cell r="AD347">
            <v>34760</v>
          </cell>
          <cell r="AK347" t="str">
            <v>TGS6X672 MONTHS/450 000 KMDrivelineNo</v>
          </cell>
          <cell r="AL347">
            <v>201450</v>
          </cell>
        </row>
        <row r="348">
          <cell r="G348" t="str">
            <v>TGS8X6 H/D (ABN)24 MONTHS/300 000 KM36 MONTHS/450 000 KMCombinationYes</v>
          </cell>
          <cell r="H348">
            <v>48702.987012987011</v>
          </cell>
          <cell r="AC348" t="str">
            <v>TGS6X636 MONTHS/150 000 KMEntire VehicleYes</v>
          </cell>
          <cell r="AD348">
            <v>28440</v>
          </cell>
          <cell r="AK348" t="str">
            <v>TGS6X672 MONTHS/450 000 KMDrivelineYes</v>
          </cell>
          <cell r="AL348">
            <v>167480</v>
          </cell>
        </row>
        <row r="349">
          <cell r="G349" t="str">
            <v>TGS8X6 H/D (ABN)24 MONTHS/300 000 KM48 MONTHS/600 000 KMCombinationNo</v>
          </cell>
          <cell r="H349">
            <v>207770</v>
          </cell>
          <cell r="AC349" t="str">
            <v>TGS6X636 MONTHS/225 000 KMEntire VehicleNo</v>
          </cell>
          <cell r="AD349">
            <v>41080</v>
          </cell>
          <cell r="AK349" t="str">
            <v>TGS6X672 MONTHS/600 000 KMDrivelineNo</v>
          </cell>
          <cell r="AL349">
            <v>268600</v>
          </cell>
        </row>
        <row r="350">
          <cell r="G350" t="str">
            <v>TGS8X6 H/D (ABN)24 MONTHS/300 000 KM48 MONTHS/600 000 KMCombinationYes</v>
          </cell>
          <cell r="H350">
            <v>82950</v>
          </cell>
          <cell r="AC350" t="str">
            <v>TGS6X636 MONTHS/225 000 KMEntire VehicleYes</v>
          </cell>
          <cell r="AD350">
            <v>33180</v>
          </cell>
          <cell r="AK350" t="str">
            <v>TGS6X672 MONTHS/600 000 KMDrivelineYes</v>
          </cell>
          <cell r="AL350">
            <v>223570</v>
          </cell>
        </row>
        <row r="351">
          <cell r="G351" t="str">
            <v>TGS8X6 H/D (ABN)24 MONTHS/300 000 KM60 MONTHS/750 000 KMCombinationNo</v>
          </cell>
          <cell r="H351">
            <v>387100</v>
          </cell>
          <cell r="AC351" t="str">
            <v>TGS6X636 MONTHS/300 000 KMEntire VehicleNo</v>
          </cell>
          <cell r="AD351">
            <v>52930</v>
          </cell>
          <cell r="AK351" t="str">
            <v>TGS6X672 MONTHS/750 000 KMDrivelineNo</v>
          </cell>
          <cell r="AL351">
            <v>319160</v>
          </cell>
        </row>
        <row r="352">
          <cell r="G352" t="str">
            <v>TGS8X6 H/D (ABN)24 MONTHS/300 000 KM60 MONTHS/750 000 KMCombinationYes</v>
          </cell>
          <cell r="H352">
            <v>158790</v>
          </cell>
          <cell r="AC352" t="str">
            <v>TGS6X636 MONTHS/300 000 KMEntire VehicleYes</v>
          </cell>
          <cell r="AD352">
            <v>42660</v>
          </cell>
          <cell r="AK352" t="str">
            <v>TGS6X672 MONTHS/750 000 KMDrivelineYes</v>
          </cell>
          <cell r="AL352">
            <v>265440</v>
          </cell>
        </row>
        <row r="353">
          <cell r="G353" t="str">
            <v>TGS8X6 H/D (ABN)36 MONTHS/225 000 KM48 MONTHS/300 000 KM CombinationNo</v>
          </cell>
          <cell r="H353">
            <v>142200</v>
          </cell>
          <cell r="AC353" t="str">
            <v>TGS6X636 MONTHS/375 000 KMEntire VehicleNo</v>
          </cell>
          <cell r="AD353">
            <v>64780</v>
          </cell>
          <cell r="AK353" t="str">
            <v>TGS6X672 MONTHS/900 000 KMDrivelineNo</v>
          </cell>
          <cell r="AL353">
            <v>380780</v>
          </cell>
        </row>
        <row r="354">
          <cell r="G354" t="str">
            <v>TGS8X6 H/D (ABN)36 MONTHS/225 000 KM48 MONTHS/300 000 KM CombinationYes</v>
          </cell>
          <cell r="H354">
            <v>66360</v>
          </cell>
          <cell r="AC354" t="str">
            <v>TGS6X636 MONTHS/375 000 KMEntire VehicleYes</v>
          </cell>
          <cell r="AD354">
            <v>52140</v>
          </cell>
          <cell r="AK354" t="str">
            <v>TGS6X672 MONTHS/900 000 KMDrivelineYes</v>
          </cell>
          <cell r="AL354">
            <v>316790</v>
          </cell>
        </row>
        <row r="355">
          <cell r="G355" t="str">
            <v>TGS8X6 H/D (ABN)36 MONTHS/225 000 KM60 MONTHS/750 000 KMCombinationNo</v>
          </cell>
          <cell r="H355">
            <v>250430</v>
          </cell>
          <cell r="AC355" t="str">
            <v>TGS6X636 MONTHS/450 000 KMEntire VehicleNo</v>
          </cell>
          <cell r="AD355">
            <v>70310</v>
          </cell>
          <cell r="AK355" t="str">
            <v>TGS6X6H/D36 MONTHS/150 000 KMDrivelineNo</v>
          </cell>
          <cell r="AL355">
            <v>41080</v>
          </cell>
        </row>
        <row r="356">
          <cell r="G356" t="str">
            <v>TGS8X6 H/D (ABN)36 MONTHS/225 000 KM60 MONTHS/750 000 KMCombinationYes</v>
          </cell>
          <cell r="H356">
            <v>109810</v>
          </cell>
          <cell r="AC356" t="str">
            <v>TGS6X636 MONTHS/450 000 KMEntire VehicleYes</v>
          </cell>
          <cell r="AD356">
            <v>56880</v>
          </cell>
          <cell r="AK356" t="str">
            <v>TGS6X6H/D36 MONTHS/225 000 KMDrivelineYes</v>
          </cell>
          <cell r="AL356">
            <v>48190</v>
          </cell>
        </row>
        <row r="357">
          <cell r="G357" t="str">
            <v>TGS8X6 H/D (ABN)36 MONTHS/450 000 KM48 MONTHS/600 000 KMCombinationNo</v>
          </cell>
          <cell r="H357">
            <v>233050</v>
          </cell>
          <cell r="AC357" t="str">
            <v>TGS6X648 MONTHS/100 000 KMEntire VehicleNo</v>
          </cell>
          <cell r="AD357">
            <v>93220</v>
          </cell>
          <cell r="AK357" t="str">
            <v>TGS6X6H/D36 MONTHS/300 000 KMDrivelineNo</v>
          </cell>
          <cell r="AL357">
            <v>62410</v>
          </cell>
        </row>
        <row r="358">
          <cell r="G358" t="str">
            <v>TGS8X6 H/D (ABN)36 MONTHS/450 000 KM48 MONTHS/600 000 KMCombinationYes</v>
          </cell>
          <cell r="H358">
            <v>105860</v>
          </cell>
          <cell r="AC358" t="str">
            <v>TGS6X648 MONTHS/100 000 KMEntire VehicleYes</v>
          </cell>
          <cell r="AD358">
            <v>75050</v>
          </cell>
          <cell r="AK358" t="str">
            <v>TGS6X6H/D36 MONTHS/375 000 KMDrivelineYes</v>
          </cell>
          <cell r="AL358">
            <v>76630</v>
          </cell>
        </row>
        <row r="359">
          <cell r="G359" t="str">
            <v>TGS8X6 H/D (ABN)36 MONTHS/450 000 KM60 MONTHS/750 000 KMCombinationNo</v>
          </cell>
          <cell r="H359">
            <v>412380</v>
          </cell>
          <cell r="AC359" t="str">
            <v>TGS6X648 MONTHS/200 000 KMEntire VehicleNo</v>
          </cell>
          <cell r="AD359">
            <v>109020</v>
          </cell>
          <cell r="AK359" t="str">
            <v>TGS6X6H/D36 MONTHS/450 000 KMDrivelineNo</v>
          </cell>
          <cell r="AL359">
            <v>79000</v>
          </cell>
        </row>
        <row r="360">
          <cell r="G360" t="str">
            <v>TGS8X6 H/D (ABN)36 MONTHS/450 000 KM60 MONTHS/750 000 KMCombinationYes</v>
          </cell>
          <cell r="H360">
            <v>181700</v>
          </cell>
          <cell r="AC360" t="str">
            <v>TGS6X648 MONTHS/200 000 KMEntire VehicleYes</v>
          </cell>
          <cell r="AD360">
            <v>87690</v>
          </cell>
          <cell r="AK360" t="str">
            <v>TGS6X6H/D36 MONTHS/75 000 KMDrivelineYes</v>
          </cell>
          <cell r="AL360">
            <v>34760</v>
          </cell>
        </row>
        <row r="361">
          <cell r="G361" t="str">
            <v>TGS8X6 H/D (ABN)48 MONTHS/300 000 KM60 MONTHS/750 000 KMCombinationNo</v>
          </cell>
          <cell r="H361">
            <v>299410</v>
          </cell>
          <cell r="AC361" t="str">
            <v>TGS6X648 MONTHS/300 000 KMEntire VehicleNo</v>
          </cell>
          <cell r="AD361">
            <v>127190</v>
          </cell>
          <cell r="AK361" t="str">
            <v>TGS6X6H/D48 MONTHS/100 000 KMDrivelineNo</v>
          </cell>
          <cell r="AL361">
            <v>62410</v>
          </cell>
        </row>
        <row r="362">
          <cell r="G362" t="str">
            <v>TGS8X6 H/D (ABN)48 MONTHS/300 000 KM60 MONTHS/750 000 KMCombinationYes</v>
          </cell>
          <cell r="H362">
            <v>495330</v>
          </cell>
          <cell r="AC362" t="str">
            <v>TGS6X648 MONTHS/300 000 KMEntire VehicleYes</v>
          </cell>
          <cell r="AD362">
            <v>101910</v>
          </cell>
          <cell r="AK362" t="str">
            <v>TGS6X6H/D48 MONTHS/200 000 KMDrivelineYes</v>
          </cell>
          <cell r="AL362">
            <v>73448.503401360547</v>
          </cell>
        </row>
        <row r="363">
          <cell r="G363" t="str">
            <v>TGS8X6 H/D (ABN)48 MONTHS/300 000 KM60 MONTHS/750 000 KMCombinationNo</v>
          </cell>
          <cell r="H363">
            <v>159580</v>
          </cell>
          <cell r="AC363" t="str">
            <v>TGS6X648 MONTHS/400 000 KMEntire VehicleNo</v>
          </cell>
          <cell r="AD363">
            <v>166690</v>
          </cell>
          <cell r="AK363" t="str">
            <v>TGS6X6H/D48 MONTHS/300 000 KMDrivelineNo</v>
          </cell>
          <cell r="AL363">
            <v>86110</v>
          </cell>
        </row>
        <row r="364">
          <cell r="G364" t="str">
            <v>TGS8X6 H/D (ABN)48 MONTHS/300 000 KM60 MONTHS/750 000 KMCombinationYes</v>
          </cell>
          <cell r="H364">
            <v>267810</v>
          </cell>
          <cell r="AC364" t="str">
            <v>TGS6X648 MONTHS/400 000 KMEntire VehicleYes</v>
          </cell>
          <cell r="AD364">
            <v>133510</v>
          </cell>
          <cell r="AK364" t="str">
            <v>TGS6X6H/D48 MONTHS/400 000 KMDrivelineYes</v>
          </cell>
          <cell r="AL364">
            <v>112180</v>
          </cell>
        </row>
        <row r="365">
          <cell r="G365" t="str">
            <v>TGS8X6 H/D24 MONTHS/150 000 KM36 MONTHS/225 000 KMCombinationNo</v>
          </cell>
          <cell r="H365">
            <v>33970</v>
          </cell>
          <cell r="AC365" t="str">
            <v>TGS6X648 MONTHS/500 000 KMEntire VehicleNo</v>
          </cell>
          <cell r="AD365">
            <v>204610</v>
          </cell>
          <cell r="AK365" t="str">
            <v>TGS6X6H/D48 MONTHS/500 000 KMDrivelineNo</v>
          </cell>
          <cell r="AL365">
            <v>137460</v>
          </cell>
        </row>
        <row r="366">
          <cell r="G366" t="str">
            <v>TGS8X6 H/D24 MONTHS/150 000 KM36 MONTHS/225 000 KMCombinationYes</v>
          </cell>
          <cell r="H366">
            <v>65570</v>
          </cell>
          <cell r="AC366" t="str">
            <v>TGS6X648 MONTHS/500 000 KMEntire VehicleYes</v>
          </cell>
          <cell r="AD366">
            <v>164320</v>
          </cell>
          <cell r="AK366" t="str">
            <v>TGS6X6H/D48 MONTHS/600 000 KMDrivelineYes</v>
          </cell>
          <cell r="AL366">
            <v>141410</v>
          </cell>
        </row>
        <row r="367">
          <cell r="G367" t="str">
            <v>TGS8X6 H/D24 MONTHS/150 000 KM48 MONTHS/300 000 KMCombinationNo</v>
          </cell>
          <cell r="H367">
            <v>60040</v>
          </cell>
          <cell r="AC367" t="str">
            <v>TGS6X648 MONTHS/600 000 KMEntire VehicleNo</v>
          </cell>
          <cell r="AD367">
            <v>210140</v>
          </cell>
          <cell r="AK367" t="str">
            <v>TGS6X6H/D60 MONTHS/125 000 KMDrivelineNo</v>
          </cell>
          <cell r="AL367">
            <v>130350</v>
          </cell>
        </row>
        <row r="368">
          <cell r="G368" t="str">
            <v>TGS8X6 H/D24 MONTHS/150 000 KM48 MONTHS/300 000 KMCombinationYes</v>
          </cell>
          <cell r="H368">
            <v>103490</v>
          </cell>
          <cell r="AC368" t="str">
            <v>TGS6X648 MONTHS/600 000 KMEntire VehicleYes</v>
          </cell>
          <cell r="AD368">
            <v>168270</v>
          </cell>
          <cell r="AK368" t="str">
            <v>TGS6X6H/D60 MONTHS/250 000 KMDrivelineYes</v>
          </cell>
          <cell r="AL368">
            <v>153260</v>
          </cell>
        </row>
        <row r="369">
          <cell r="G369" t="str">
            <v>TGS8X6 H/D24 MONTHS/150 000 KM60 MONTHS/375 000 KMCombinationNo</v>
          </cell>
          <cell r="H369">
            <v>109810</v>
          </cell>
          <cell r="AC369" t="str">
            <v>TGS6X660 MONTHS/125 000 KMEntire VehicleNo</v>
          </cell>
          <cell r="AD369">
            <v>193550</v>
          </cell>
          <cell r="AK369" t="str">
            <v>TGS6X6H/D60 MONTHS/375 000 KMDrivelineNo</v>
          </cell>
          <cell r="AL369">
            <v>180120</v>
          </cell>
        </row>
        <row r="370">
          <cell r="G370" t="str">
            <v>TGS8X6 H/D24 MONTHS/150 000 KM60 MONTHS/375 000 KMCombinationYes</v>
          </cell>
          <cell r="H370">
            <v>197500</v>
          </cell>
          <cell r="AC370" t="str">
            <v>TGS6X660 MONTHS/125 000 KMEntire VehicleYes</v>
          </cell>
          <cell r="AD370">
            <v>154840</v>
          </cell>
          <cell r="AK370" t="str">
            <v>TGS6X6H/D60 MONTHS/500 000 KMDrivelineYes</v>
          </cell>
          <cell r="AL370">
            <v>234630</v>
          </cell>
        </row>
        <row r="371">
          <cell r="G371" t="str">
            <v>TGS8X6 H/D24 MONTHS/300 000 KM36 MONTHS/450 000 KMCombinationNo</v>
          </cell>
          <cell r="H371">
            <v>56880</v>
          </cell>
          <cell r="AC371" t="str">
            <v>TGS6X660 MONTHS/250 000 KMEntire VehicleNo</v>
          </cell>
          <cell r="AD371">
            <v>228310</v>
          </cell>
          <cell r="AK371" t="str">
            <v>TGS6X6H/D60 MONTHS/625 000 KMDrivelineNo</v>
          </cell>
          <cell r="AL371">
            <v>289140</v>
          </cell>
        </row>
        <row r="372">
          <cell r="G372" t="str">
            <v>TGS8X6 H/D24 MONTHS/300 000 KM36 MONTHS/450 000 KMCombinationYes</v>
          </cell>
          <cell r="H372">
            <v>117710</v>
          </cell>
          <cell r="AC372" t="str">
            <v>TGS6X660 MONTHS/250 000 KMEntire VehicleYes</v>
          </cell>
          <cell r="AD372">
            <v>183280</v>
          </cell>
          <cell r="AK372" t="str">
            <v>TGS6X6H/D60 MONTHS/750 000 KMDrivelineYes</v>
          </cell>
          <cell r="AL372">
            <v>297040</v>
          </cell>
        </row>
        <row r="373">
          <cell r="G373" t="str">
            <v>TGS8X6 H/D24 MONTHS/300 000 KM48 MONTHS/600 000 KMCombinationNo</v>
          </cell>
          <cell r="H373">
            <v>95590</v>
          </cell>
          <cell r="AC373" t="str">
            <v>TGS6X660 MONTHS/375 000 KMEntire VehicleNo</v>
          </cell>
          <cell r="AD373">
            <v>267810</v>
          </cell>
          <cell r="AK373" t="str">
            <v>TGS6X6HYDRO36 MONTHS/150 000 KMDrivelineNo</v>
          </cell>
          <cell r="AL373">
            <v>15010</v>
          </cell>
        </row>
        <row r="374">
          <cell r="G374" t="str">
            <v>TGS8X6 H/D24 MONTHS/300 000 KM48 MONTHS/600 000 KMCombinationYes</v>
          </cell>
          <cell r="H374">
            <v>180120</v>
          </cell>
          <cell r="AC374" t="str">
            <v>TGS6X660 MONTHS/375 000 KMEntire VehicleYes</v>
          </cell>
          <cell r="AD374">
            <v>214880</v>
          </cell>
          <cell r="AK374" t="str">
            <v>TGS6X6HYDRO36 MONTHS/225 000 KMDrivelineYes</v>
          </cell>
          <cell r="AL374">
            <v>17380</v>
          </cell>
        </row>
        <row r="375">
          <cell r="G375" t="str">
            <v>TGS8X6 H/D24 MONTHS/300 000 KM60 MONTHS/750 000 KMCombinationNo</v>
          </cell>
          <cell r="H375">
            <v>183280</v>
          </cell>
          <cell r="AC375" t="str">
            <v>TGS6X660 MONTHS/500 000 KMEntire VehicleNo</v>
          </cell>
          <cell r="AD375">
            <v>349180</v>
          </cell>
          <cell r="AK375" t="str">
            <v>TGS6X6HYDRO36 MONTHS/300 000 KMDrivelineNo</v>
          </cell>
          <cell r="AL375">
            <v>22120</v>
          </cell>
        </row>
        <row r="376">
          <cell r="G376" t="str">
            <v>TGS8X6 H/D24 MONTHS/300 000 KM60 MONTHS/750 000 KMCombinationYes</v>
          </cell>
          <cell r="H376">
            <v>335750</v>
          </cell>
          <cell r="AC376" t="str">
            <v>TGS6X660 MONTHS/500 000 KMEntire VehicleYes</v>
          </cell>
          <cell r="AD376">
            <v>279660</v>
          </cell>
          <cell r="AK376" t="str">
            <v>TGS6X6HYDRO36 MONTHS/375 000 KMDrivelineYes</v>
          </cell>
          <cell r="AL376">
            <v>27650</v>
          </cell>
        </row>
        <row r="377">
          <cell r="G377" t="str">
            <v>TGS8X6 H/D36 MONTHS/225 000 KM48 MONTHS/300 000 KM CombinationNo</v>
          </cell>
          <cell r="H377">
            <v>76630</v>
          </cell>
          <cell r="AC377" t="str">
            <v>TGS6X660 MONTHS/625 000 KMEntire VehicleNo</v>
          </cell>
          <cell r="AD377">
            <v>429760</v>
          </cell>
          <cell r="AK377" t="str">
            <v>TGS6X6HYDRO36 MONTHS/450 000 KMDrivelineNo</v>
          </cell>
          <cell r="AL377">
            <v>28440</v>
          </cell>
        </row>
        <row r="378">
          <cell r="G378" t="str">
            <v>TGS8X6 H/D36 MONTHS/225 000 KM48 MONTHS/300 000 KM CombinationYes</v>
          </cell>
          <cell r="H378">
            <v>123240</v>
          </cell>
          <cell r="AC378" t="str">
            <v>TGS6X660 MONTHS/625 000 KMEntire VehicleYes</v>
          </cell>
          <cell r="AD378">
            <v>344440</v>
          </cell>
          <cell r="AK378" t="str">
            <v>TGS6X6HYDRO36 MONTHS/75 000 KMDrivelineYes</v>
          </cell>
          <cell r="AL378">
            <v>12640</v>
          </cell>
        </row>
        <row r="379">
          <cell r="G379" t="str">
            <v>TGS8X6 H/D36 MONTHS/225 000 KM60 MONTHS/750 000 KMCombinationNo</v>
          </cell>
          <cell r="H379">
            <v>126400</v>
          </cell>
          <cell r="AC379" t="str">
            <v>TGS6X660 MONTHS/750 000 KMEntire VehicleNo</v>
          </cell>
          <cell r="AD379">
            <v>440820</v>
          </cell>
          <cell r="AK379" t="str">
            <v>TGS6X6HYDRO48 MONTHS/100 000 KMDrivelineNo</v>
          </cell>
          <cell r="AL379">
            <v>29230</v>
          </cell>
        </row>
        <row r="380">
          <cell r="G380" t="str">
            <v>TGS8X6 H/D36 MONTHS/225 000 KM60 MONTHS/750 000 KMCombinationYes</v>
          </cell>
          <cell r="H380">
            <v>217250</v>
          </cell>
          <cell r="AC380" t="str">
            <v>TGS6X660 MONTHS/750 000 KMEntire VehicleYes</v>
          </cell>
          <cell r="AD380">
            <v>353130</v>
          </cell>
          <cell r="AK380" t="str">
            <v>TGS6X6HYDRO48 MONTHS/200 000 KMDrivelineYes</v>
          </cell>
          <cell r="AL380">
            <v>33970</v>
          </cell>
        </row>
        <row r="381">
          <cell r="G381" t="str">
            <v>TGS8X6 H/D36 MONTHS/450 000 KM48 MONTHS/600 000 KMCombinationNo</v>
          </cell>
          <cell r="H381">
            <v>121660</v>
          </cell>
          <cell r="AC381" t="str">
            <v>TGS6X6H/D24 MONTHS/100 000 KMEntire VehicleNo</v>
          </cell>
          <cell r="AD381">
            <v>14220</v>
          </cell>
          <cell r="AK381" t="str">
            <v>TGS6X6HYDRO48 MONTHS/300 000 KMDrivelineNo</v>
          </cell>
          <cell r="AL381">
            <v>40290</v>
          </cell>
        </row>
        <row r="382">
          <cell r="G382" t="str">
            <v>TGS8X6 H/D36 MONTHS/450 000 KM48 MONTHS/600 000 KMCombinationYes</v>
          </cell>
          <cell r="H382">
            <v>202240</v>
          </cell>
          <cell r="AC382" t="str">
            <v>TGS6X6H/D24 MONTHS/150 000 KMEntire VehicleYes</v>
          </cell>
          <cell r="AD382">
            <v>17380</v>
          </cell>
          <cell r="AK382" t="str">
            <v>TGS6X6HYDRO48 MONTHS/400 000 KMDrivelineYes</v>
          </cell>
          <cell r="AL382">
            <v>52140</v>
          </cell>
        </row>
        <row r="383">
          <cell r="G383" t="str">
            <v>TGS8X6 H/D36 MONTHS/450 000 KM60 MONTHS/750 000 KMCombinationNo</v>
          </cell>
          <cell r="H383">
            <v>209350</v>
          </cell>
          <cell r="AC383" t="str">
            <v>TGS6X6H/D24 MONTHS/200 000 KMEntire VehicleNo</v>
          </cell>
          <cell r="AD383">
            <v>22120</v>
          </cell>
          <cell r="AK383" t="str">
            <v>TGS6X6HYDRO48 MONTHS/500 000 KMDrivelineNo</v>
          </cell>
          <cell r="AL383">
            <v>60830</v>
          </cell>
        </row>
        <row r="384">
          <cell r="G384" t="str">
            <v>TGS8X6 H/D36 MONTHS/450 000 KM60 MONTHS/750 000 KMCombinationYes</v>
          </cell>
          <cell r="H384">
            <v>357870</v>
          </cell>
          <cell r="AC384" t="str">
            <v>TGS6X6H/D24 MONTHS/250 000 KMEntire VehicleYes</v>
          </cell>
          <cell r="AD384">
            <v>30020</v>
          </cell>
          <cell r="AK384" t="str">
            <v>TGS6X6HYDRO48 MONTHS/600 000 KMDrivelineYes</v>
          </cell>
          <cell r="AL384">
            <v>62410</v>
          </cell>
        </row>
        <row r="385">
          <cell r="G385" t="str">
            <v>TGS8X6 H/D48 MONTHS/300 000 KM60 MONTHS/750 000 KMCombinationNo</v>
          </cell>
          <cell r="H385">
            <v>184070</v>
          </cell>
          <cell r="AC385" t="str">
            <v>TGS6X6H/D24 MONTHS/300 000 KMEntire VehicleNo</v>
          </cell>
          <cell r="AD385">
            <v>38710</v>
          </cell>
          <cell r="AK385" t="str">
            <v>TGS6X6HYDRO60 MONTHS/125 000 KMDrivelineNo</v>
          </cell>
          <cell r="AL385">
            <v>60830</v>
          </cell>
        </row>
        <row r="386">
          <cell r="G386" t="str">
            <v>TGS8X6 H/D48 MONTHS/300 000 KM60 MONTHS/750 000 KMCombinationYes</v>
          </cell>
          <cell r="H386">
            <v>308890</v>
          </cell>
          <cell r="AC386" t="str">
            <v>TGS6X6H/D24 MONTHS/50 000 KMEntire VehicleYes</v>
          </cell>
          <cell r="AD386">
            <v>11060</v>
          </cell>
          <cell r="AK386" t="str">
            <v>TGS6X6HYDRO60 MONTHS/250 000 KMDrivelineYes</v>
          </cell>
          <cell r="AL386">
            <v>71890</v>
          </cell>
        </row>
        <row r="387">
          <cell r="G387" t="str">
            <v>TGS8X6 H/D48 MONTHS/300 000 KM60 MONTHS/750 000 KMCombinationNo</v>
          </cell>
          <cell r="H387">
            <v>259910</v>
          </cell>
          <cell r="AC387" t="str">
            <v>TGS6X6H/D36 MONTHS/150 000 KMEntire VehicleNo</v>
          </cell>
          <cell r="AD387">
            <v>72680</v>
          </cell>
          <cell r="AK387" t="str">
            <v>TGS6X6HYDRO60 MONTHS/375 000 KMDrivelineNo</v>
          </cell>
          <cell r="AL387">
            <v>83740</v>
          </cell>
        </row>
        <row r="388">
          <cell r="G388" t="str">
            <v>TGS8X6 H/D48 MONTHS/300 000 KM60 MONTHS/750 000 KMCombinationYes</v>
          </cell>
          <cell r="H388">
            <v>429760</v>
          </cell>
          <cell r="AC388" t="str">
            <v>TGS6X6H/D36 MONTHS/225 000 KMEntire VehicleYes</v>
          </cell>
          <cell r="AD388">
            <v>85320</v>
          </cell>
          <cell r="AK388" t="str">
            <v>TGS6X6HYDRO60 MONTHS/500 000 KMDrivelineYes</v>
          </cell>
          <cell r="AL388">
            <v>109810</v>
          </cell>
        </row>
        <row r="389">
          <cell r="G389" t="str">
            <v>TGS8X624 MONTHS/150 000 KM 36 MONTHS/225 000 KMCombinationNo</v>
          </cell>
          <cell r="H389">
            <v>31600</v>
          </cell>
          <cell r="AC389" t="str">
            <v>TGS6X6H/D36 MONTHS/300 000 KMEntire VehicleNo</v>
          </cell>
          <cell r="AD389">
            <v>117371.42857142859</v>
          </cell>
          <cell r="AK389" t="str">
            <v>TGS6X6HYDRO60 MONTHS/625 000 KMDrivelineNo</v>
          </cell>
          <cell r="AL389">
            <v>127190</v>
          </cell>
        </row>
        <row r="390">
          <cell r="G390" t="str">
            <v>TGS8X624 MONTHS/150 000 KM 36 MONTHS/225 000 KMCombinationYes</v>
          </cell>
          <cell r="H390">
            <v>25280</v>
          </cell>
          <cell r="AC390" t="str">
            <v>TGS6X6H/D36 MONTHS/375 000 KMEntire VehicleYes</v>
          </cell>
          <cell r="AD390">
            <v>136670</v>
          </cell>
          <cell r="AK390" t="str">
            <v>TGS6X6HYDRO60 MONTHS/750 000 KMDrivelineYes</v>
          </cell>
          <cell r="AL390">
            <v>138250</v>
          </cell>
        </row>
        <row r="391">
          <cell r="G391" t="str">
            <v>TGS8X624 MONTHS/300 000 KM36 MONTHS/450 000 KMCombinationNo</v>
          </cell>
          <cell r="H391">
            <v>57670</v>
          </cell>
          <cell r="AC391" t="str">
            <v>TGS6X6H/D36 MONTHS/450 000 KMEntire VehicleNo</v>
          </cell>
          <cell r="AD391">
            <v>139830</v>
          </cell>
          <cell r="AK391" t="str">
            <v>TGS8X236 MONTHS/75 000 KMDrivelineNo</v>
          </cell>
          <cell r="AL391">
            <v>8690</v>
          </cell>
        </row>
        <row r="392">
          <cell r="G392" t="str">
            <v>TGS8X624 MONTHS/300 000 KM36 MONTHS/450 000 KMCombinationYes</v>
          </cell>
          <cell r="H392">
            <v>46610</v>
          </cell>
          <cell r="AC392" t="str">
            <v>TGS6X6H/D36 MONTHS/75 000 KMEntire VehicleYes</v>
          </cell>
          <cell r="AD392">
            <v>61620</v>
          </cell>
          <cell r="AK392" t="str">
            <v>TGS8X236 MONTHS/75 000 KMDrivelineYes</v>
          </cell>
          <cell r="AL392">
            <v>7110</v>
          </cell>
        </row>
        <row r="393">
          <cell r="G393" t="str">
            <v>TGS8X624 MONTHS/150 000 KM48 MONTHS/300 000 KMCombinationNo</v>
          </cell>
          <cell r="H393">
            <v>52140</v>
          </cell>
          <cell r="AC393" t="str">
            <v>TGS6X6H/D48 MONTHS/100 000 KMEntire VehicleNo</v>
          </cell>
          <cell r="AD393">
            <v>120080</v>
          </cell>
          <cell r="AK393" t="str">
            <v>TGS8X236 MONTHS/125 000 KMDrivelineNo</v>
          </cell>
          <cell r="AL393">
            <v>9480</v>
          </cell>
        </row>
        <row r="394">
          <cell r="G394" t="str">
            <v>TGS8X624 MONTHS/150 000 KM48 MONTHS/300 000 KMCombinationYes</v>
          </cell>
          <cell r="H394">
            <v>41870</v>
          </cell>
          <cell r="AC394" t="str">
            <v>TGS6X6H/D48 MONTHS/200 000 KMEntire VehicleYes</v>
          </cell>
          <cell r="AD394">
            <v>141410</v>
          </cell>
          <cell r="AK394" t="str">
            <v>TGS8X236 MONTHS/125 000 KMDrivelineYes</v>
          </cell>
          <cell r="AL394">
            <v>7900</v>
          </cell>
        </row>
        <row r="395">
          <cell r="G395" t="str">
            <v>TGS8X624 MONTHS/300 000 KM48 MONTHS/600 000 KMCombinationNo</v>
          </cell>
          <cell r="H395">
            <v>101120</v>
          </cell>
          <cell r="AC395" t="str">
            <v>TGS6X6H/D48 MONTHS/300 000 KMEntire VehicleNo</v>
          </cell>
          <cell r="AD395">
            <v>165900</v>
          </cell>
          <cell r="AK395" t="str">
            <v>TGS8X236 MONTHS/225 000 KMDrivelineNo</v>
          </cell>
          <cell r="AL395">
            <v>10270</v>
          </cell>
        </row>
        <row r="396">
          <cell r="G396" t="str">
            <v>TGS8X624 MONTHS/300 000 KM48 MONTHS/600 000 KMCombinationYes</v>
          </cell>
          <cell r="H396">
            <v>81370</v>
          </cell>
          <cell r="AC396" t="str">
            <v>TGS6X6H/D48 MONTHS/400 000 KMEntire VehicleYes</v>
          </cell>
          <cell r="AD396">
            <v>216460</v>
          </cell>
          <cell r="AK396" t="str">
            <v>TGS8X236 MONTHS/225 000 KMDrivelineYes</v>
          </cell>
          <cell r="AL396">
            <v>8690</v>
          </cell>
        </row>
        <row r="397">
          <cell r="G397" t="str">
            <v>TGS8X624 MONTHS/225 000 KM48 MONTHS/300 000 KMCombinationNo</v>
          </cell>
          <cell r="H397">
            <v>71100</v>
          </cell>
          <cell r="AC397" t="str">
            <v>TGS6X6H/D48 MONTHS/500 000 KMEntire VehicleNo</v>
          </cell>
          <cell r="AD397">
            <v>267020</v>
          </cell>
          <cell r="AK397" t="str">
            <v>TGS8X236 MONTHS/300 000 KMDrivelineNo</v>
          </cell>
          <cell r="AL397">
            <v>11850</v>
          </cell>
        </row>
        <row r="398">
          <cell r="G398" t="str">
            <v>TGS8X624 MONTHS/225 000 KM48 MONTHS/300 000 KMCombinationYes</v>
          </cell>
          <cell r="H398">
            <v>56880</v>
          </cell>
          <cell r="AC398" t="str">
            <v>TGS6X6H/D48 MONTHS/600 000 KMEntire VehicleYes</v>
          </cell>
          <cell r="AD398">
            <v>274130</v>
          </cell>
          <cell r="AK398" t="str">
            <v>TGS8X236 MONTHS/300 000 KMDrivelineYes</v>
          </cell>
          <cell r="AL398">
            <v>9480</v>
          </cell>
        </row>
        <row r="399">
          <cell r="G399" t="str">
            <v>TGS8X636 MONTHS/450 000 KM48 MONTHS/600 000 KMCombinationNo</v>
          </cell>
          <cell r="H399">
            <v>126400</v>
          </cell>
          <cell r="AC399" t="str">
            <v>TGS6X6H/D60 MONTHS/125 000 KMEntire VehicleNo</v>
          </cell>
          <cell r="AD399">
            <v>252800</v>
          </cell>
          <cell r="AK399" t="str">
            <v>TGS8X236 MONTHS/375 000 KMDrivelineNo</v>
          </cell>
          <cell r="AL399">
            <v>15010</v>
          </cell>
        </row>
        <row r="400">
          <cell r="G400" t="str">
            <v>TGS8X636 MONTHS/450 000 KM48 MONTHS/600 000 KMCombinationYes</v>
          </cell>
          <cell r="H400">
            <v>101120</v>
          </cell>
          <cell r="AC400" t="str">
            <v>TGS6X6H/D60 MONTHS/250 000 KMEntire VehicleYes</v>
          </cell>
          <cell r="AD400">
            <v>297040</v>
          </cell>
          <cell r="AK400" t="str">
            <v>TGS8X236 MONTHS/375 000 KMDrivelineYes</v>
          </cell>
          <cell r="AL400">
            <v>12640</v>
          </cell>
        </row>
        <row r="401">
          <cell r="G401" t="str">
            <v>TGS8X624 MONTHS/150 000 KM60 MONTHS/375 000 KM CombinationNo</v>
          </cell>
          <cell r="H401">
            <v>72680</v>
          </cell>
          <cell r="AC401" t="str">
            <v>TGS6X6H/D60 MONTHS/375 000 KMEntire VehicleNo</v>
          </cell>
          <cell r="AD401">
            <v>348390</v>
          </cell>
          <cell r="AK401" t="str">
            <v>TGS8X236 MONTHS/450 000 KMDrivelineNo</v>
          </cell>
          <cell r="AL401">
            <v>17380</v>
          </cell>
        </row>
        <row r="402">
          <cell r="G402" t="str">
            <v>TGS8X624 MONTHS/150 000 KM60 MONTHS/375 000 KM CombinationYes</v>
          </cell>
          <cell r="H402">
            <v>58460</v>
          </cell>
          <cell r="AC402" t="str">
            <v>TGS6X6H/D60 MONTHS/500 000 KMEntire VehicleYes</v>
          </cell>
          <cell r="AD402">
            <v>454250</v>
          </cell>
          <cell r="AK402" t="str">
            <v>TGS8X236 MONTHS/450 000 KMDrivelineYes</v>
          </cell>
          <cell r="AL402">
            <v>14220</v>
          </cell>
        </row>
        <row r="403">
          <cell r="G403" t="str">
            <v>TGS8X624 MONTHS/300 000 KM60 MONTHS/750 000 KMCombinationNo</v>
          </cell>
          <cell r="H403">
            <v>170640</v>
          </cell>
          <cell r="AC403" t="str">
            <v>TGS6X6H/D60 MONTHS/625 000 KMEntire VehicleNo</v>
          </cell>
          <cell r="AD403">
            <v>560110</v>
          </cell>
          <cell r="AK403" t="str">
            <v>TGS8X236 MONTHS/525 000 KMDrivelineNo</v>
          </cell>
          <cell r="AL403">
            <v>20540</v>
          </cell>
        </row>
        <row r="404">
          <cell r="G404" t="str">
            <v>TGS8X624 MONTHS/300 000 KM60 MONTHS/750 000 KMCombinationYes</v>
          </cell>
          <cell r="H404">
            <v>135880</v>
          </cell>
          <cell r="AC404" t="str">
            <v>TGS6X6H/D60 MONTHS/750 000 KMEntire VehicleYes</v>
          </cell>
          <cell r="AD404">
            <v>575120</v>
          </cell>
          <cell r="AK404" t="str">
            <v>TGS8X236 MONTHS/525 000 KMDrivelineYes</v>
          </cell>
          <cell r="AL404">
            <v>16590</v>
          </cell>
        </row>
        <row r="405">
          <cell r="G405" t="str">
            <v>TGS8X636 MONTHS/225 000 KM60 MONTHS/375 000 KMCombinationNo</v>
          </cell>
          <cell r="H405">
            <v>91640</v>
          </cell>
          <cell r="AC405" t="str">
            <v>TGS6X6HYDRO24 MONTHS/100 000 KMEntire VehicleNo</v>
          </cell>
          <cell r="AD405">
            <v>9480</v>
          </cell>
          <cell r="AK405" t="str">
            <v>TGS8X236 MONTHS/600 000 KMDrivelineNo</v>
          </cell>
          <cell r="AL405">
            <v>23700</v>
          </cell>
        </row>
        <row r="406">
          <cell r="G406" t="str">
            <v>TGS8X636 MONTHS/225 000 KM60 MONTHS/375 000 KMCombinationYes</v>
          </cell>
          <cell r="H406">
            <v>73470</v>
          </cell>
          <cell r="AC406" t="str">
            <v>TGS6X6HYDRO24 MONTHS/150 000 KMEntire VehicleYes</v>
          </cell>
          <cell r="AD406">
            <v>11060</v>
          </cell>
          <cell r="AK406" t="str">
            <v>TGS8X236 MONTHS/600 000 KMDrivelineYes</v>
          </cell>
          <cell r="AL406">
            <v>18960</v>
          </cell>
        </row>
        <row r="407">
          <cell r="G407" t="str">
            <v>TGS8X636 MONTHS/450 000 KM60 MONTHS/750 000 KMCombinationNo</v>
          </cell>
          <cell r="H407">
            <v>195920</v>
          </cell>
          <cell r="AC407" t="str">
            <v>TGS6X6HYDRO24 MONTHS/200 000 KMEntire VehicleNo</v>
          </cell>
          <cell r="AD407">
            <v>14220</v>
          </cell>
          <cell r="AK407" t="str">
            <v>TGS8X248 MONTHS/100 000 KMDrivelineNo</v>
          </cell>
          <cell r="AL407">
            <v>11850</v>
          </cell>
        </row>
        <row r="408">
          <cell r="G408" t="str">
            <v>TGS8X636 MONTHS/450 000 KM60 MONTHS/750 000 KMCombinationYes</v>
          </cell>
          <cell r="H408">
            <v>157210</v>
          </cell>
          <cell r="AC408" t="str">
            <v>TGS6X6HYDRO24 MONTHS/250 000 KMEntire VehicleYes</v>
          </cell>
          <cell r="AD408">
            <v>18960</v>
          </cell>
          <cell r="AK408" t="str">
            <v>TGS8X248 MONTHS/100 000 KMDrivelineYes</v>
          </cell>
          <cell r="AL408">
            <v>9480</v>
          </cell>
        </row>
        <row r="409">
          <cell r="G409" t="str">
            <v>TGS8X648 MONTHS/300 000 KM60 MONTHS/375 000 KMCombinationNo</v>
          </cell>
          <cell r="H409">
            <v>154840</v>
          </cell>
          <cell r="AC409" t="str">
            <v>TGS6X6HYDRO24 MONTHS/300 000 KMEntire VehicleNo</v>
          </cell>
          <cell r="AD409">
            <v>20540</v>
          </cell>
          <cell r="AK409" t="str">
            <v>TGS8X248 MONTHS/200 000 KMDrivelineNo</v>
          </cell>
          <cell r="AL409">
            <v>12640</v>
          </cell>
        </row>
        <row r="410">
          <cell r="G410" t="str">
            <v>TGS8X648 MONTHS/300 000 KM60 MONTHS/375 000 KMCombinationYes</v>
          </cell>
          <cell r="H410">
            <v>134300</v>
          </cell>
          <cell r="AC410" t="str">
            <v>TGS6X6HYDRO24 MONTHS/50 000 KMEntire VehicleYes</v>
          </cell>
          <cell r="AD410">
            <v>7110</v>
          </cell>
          <cell r="AK410" t="str">
            <v>TGS8X248 MONTHS/200 000 KMDrivelineYes</v>
          </cell>
          <cell r="AL410">
            <v>10270</v>
          </cell>
        </row>
        <row r="411">
          <cell r="G411" t="str">
            <v>TGS8X648 MONTHS/600 000 KM60 MONTHS/750 000 KMCombinationNo</v>
          </cell>
          <cell r="H411">
            <v>290720</v>
          </cell>
          <cell r="AC411" t="str">
            <v>TGS6X6HYDRO36 MONTHS/150 000 KMEntire VehicleNo</v>
          </cell>
          <cell r="AD411">
            <v>37130</v>
          </cell>
          <cell r="AK411" t="str">
            <v>TGS8X248 MONTHS/300 000 KMDrivelineNo</v>
          </cell>
          <cell r="AL411">
            <v>13430</v>
          </cell>
        </row>
        <row r="412">
          <cell r="G412" t="str">
            <v>TGS8X648 MONTHS/600 000 KM60 MONTHS/750 000 KMCombinationYes</v>
          </cell>
          <cell r="H412">
            <v>233050</v>
          </cell>
          <cell r="AC412" t="str">
            <v>TGS6X6HYDRO36 MONTHS/225 000 KMEntire VehicleYes</v>
          </cell>
          <cell r="AD412">
            <v>43450</v>
          </cell>
          <cell r="AK412" t="str">
            <v>TGS8X248 MONTHS/300 000 KMDrivelineYes</v>
          </cell>
          <cell r="AL412">
            <v>11060</v>
          </cell>
        </row>
        <row r="413">
          <cell r="G413" t="str">
            <v>TGS8X824 MONTHS/150 000 KM 36 MONTHS/225 000 KMCombinationNo</v>
          </cell>
          <cell r="H413">
            <v>31600</v>
          </cell>
          <cell r="AC413" t="str">
            <v>TGS6X6HYDRO36 MONTHS/300 000 KMEntire VehicleNo</v>
          </cell>
          <cell r="AD413">
            <v>56090</v>
          </cell>
          <cell r="AK413" t="str">
            <v>TGS8X248 MONTHS/400 000 KMDrivelineNo</v>
          </cell>
          <cell r="AL413">
            <v>18170</v>
          </cell>
        </row>
        <row r="414">
          <cell r="G414" t="str">
            <v>TGS8X824 MONTHS/150 000 KM 36 MONTHS/225 000 KMCombinationYes</v>
          </cell>
          <cell r="H414">
            <v>25280</v>
          </cell>
          <cell r="AC414" t="str">
            <v>TGS6X6HYDRO36 MONTHS/375 000 KMEntire VehicleYes</v>
          </cell>
          <cell r="AD414">
            <v>69520</v>
          </cell>
          <cell r="AK414" t="str">
            <v>TGS8X248 MONTHS/400 000 KMDrivelineYes</v>
          </cell>
          <cell r="AL414">
            <v>15010</v>
          </cell>
        </row>
        <row r="415">
          <cell r="G415" t="str">
            <v>TGS8X824 MONTHS/300 000 KM36 MONTHS/450 000 KMCombinationNo</v>
          </cell>
          <cell r="H415">
            <v>57670</v>
          </cell>
          <cell r="AC415" t="str">
            <v>TGS6X6HYDRO36 MONTHS/450 000 KMEntire VehicleNo</v>
          </cell>
          <cell r="AD415">
            <v>71890</v>
          </cell>
          <cell r="AK415" t="str">
            <v>TGS8X248 MONTHS/500 000 KMDrivelineNo</v>
          </cell>
          <cell r="AL415">
            <v>26070</v>
          </cell>
        </row>
        <row r="416">
          <cell r="G416" t="str">
            <v>TGS8X824 MONTHS/300 000 KM36 MONTHS/450 000 KMCombinationYes</v>
          </cell>
          <cell r="H416">
            <v>46610</v>
          </cell>
          <cell r="AC416" t="str">
            <v>TGS6X6HYDRO36 MONTHS/75 000 KMEntire VehicleYes</v>
          </cell>
          <cell r="AD416">
            <v>31600</v>
          </cell>
          <cell r="AK416" t="str">
            <v>TGS8X248 MONTHS/500 000 KMDrivelineYes</v>
          </cell>
          <cell r="AL416">
            <v>21330</v>
          </cell>
        </row>
        <row r="417">
          <cell r="G417" t="str">
            <v>TGS8X824 MONTHS/150 000 KM48 MONTHS/300 000 KMCombinationNo</v>
          </cell>
          <cell r="H417">
            <v>52140</v>
          </cell>
          <cell r="AC417" t="str">
            <v>TGS6X6HYDRO48 MONTHS/100 000 KMEntire VehicleNo</v>
          </cell>
          <cell r="AD417">
            <v>85803.673469387766</v>
          </cell>
          <cell r="AK417" t="str">
            <v>TGS8X248 MONTHS/600 000 KMDrivelineNo</v>
          </cell>
          <cell r="AL417">
            <v>35550</v>
          </cell>
        </row>
        <row r="418">
          <cell r="G418" t="str">
            <v>TGS8X824 MONTHS/150 000 KM48 MONTHS/300 000 KMCombinationYes</v>
          </cell>
          <cell r="H418">
            <v>41870</v>
          </cell>
          <cell r="AC418" t="str">
            <v>TGS6X6HYDRO48 MONTHS/200 000 KMEntire VehicleYes</v>
          </cell>
          <cell r="AD418">
            <v>99540</v>
          </cell>
          <cell r="AK418" t="str">
            <v>TGS8X248 MONTHS/600 000 KMDrivelineYes</v>
          </cell>
          <cell r="AL418">
            <v>28440</v>
          </cell>
        </row>
        <row r="419">
          <cell r="G419" t="str">
            <v>TGS8X824 MONTHS/300 000 KM48 MONTHS/600 000 KMCombinationNo</v>
          </cell>
          <cell r="H419">
            <v>101120</v>
          </cell>
          <cell r="AC419" t="str">
            <v>TGS6X6HYDRO48 MONTHS/300 000 KMEntire VehicleNo</v>
          </cell>
          <cell r="AD419">
            <v>116130</v>
          </cell>
          <cell r="AK419" t="str">
            <v>TGS8X248 MONTHS/700 000 KMDrivelineNo</v>
          </cell>
          <cell r="AL419">
            <v>45820</v>
          </cell>
        </row>
        <row r="420">
          <cell r="G420" t="str">
            <v>TGS8X824 MONTHS/300 000 KM48 MONTHS/600 000 KMCombinationYes</v>
          </cell>
          <cell r="H420">
            <v>81370</v>
          </cell>
          <cell r="AC420" t="str">
            <v>TGS6X6HYDRO48 MONTHS/400 000 KMEntire VehicleYes</v>
          </cell>
          <cell r="AD420">
            <v>152470</v>
          </cell>
          <cell r="AK420" t="str">
            <v>TGS8X248 MONTHS/700 000 KMDrivelineYes</v>
          </cell>
          <cell r="AL420">
            <v>37130</v>
          </cell>
        </row>
        <row r="421">
          <cell r="G421" t="str">
            <v>TGS8X824 MONTHS/225 000 KM48 MONTHS/300 000 KMCombinationNo</v>
          </cell>
          <cell r="H421">
            <v>71100</v>
          </cell>
          <cell r="AC421" t="str">
            <v>TGS6X6HYDRO48 MONTHS/500 000 KMEntire VehicleNo</v>
          </cell>
          <cell r="AD421">
            <v>187230</v>
          </cell>
          <cell r="AK421" t="str">
            <v>TGS8X248 MONTHS/800 000 KMDrivelineNo</v>
          </cell>
          <cell r="AL421">
            <v>56090</v>
          </cell>
        </row>
        <row r="422">
          <cell r="G422" t="str">
            <v>TGS8X824 MONTHS/225 000 KM48 MONTHS/300 000 KMCombinationYes</v>
          </cell>
          <cell r="H422">
            <v>56880</v>
          </cell>
          <cell r="AC422" t="str">
            <v>TGS6X6HYDRO48 MONTHS/600 000 KMEntire VehicleYes</v>
          </cell>
          <cell r="AD422">
            <v>191970</v>
          </cell>
          <cell r="AK422" t="str">
            <v>TGS8X248 MONTHS/800 000 KMDrivelineYes</v>
          </cell>
          <cell r="AL422">
            <v>45030</v>
          </cell>
        </row>
        <row r="423">
          <cell r="G423" t="str">
            <v>TGS8X836 MONTHS/450 000 KM48 MONTHS/600 000 KMCombinationNo</v>
          </cell>
          <cell r="H423">
            <v>126400</v>
          </cell>
          <cell r="AC423" t="str">
            <v>TGS6X6HYDRO60 MONTHS/125 000 KMEntire VehicleNo</v>
          </cell>
          <cell r="AD423">
            <v>176960</v>
          </cell>
          <cell r="AK423" t="str">
            <v>TGS8X260 MONTHS/125 000 KMDrivelineNo</v>
          </cell>
          <cell r="AL423">
            <v>25280</v>
          </cell>
        </row>
        <row r="424">
          <cell r="G424" t="str">
            <v>TGS8X836 MONTHS/450 000 KM48 MONTHS/600 000 KMCombinationYes</v>
          </cell>
          <cell r="H424">
            <v>101120</v>
          </cell>
          <cell r="AC424" t="str">
            <v>TGS6X6HYDRO60 MONTHS/250 000 KMEntire VehicleYes</v>
          </cell>
          <cell r="AD424">
            <v>208560</v>
          </cell>
          <cell r="AK424" t="str">
            <v>TGS8X260 MONTHS/125 000 KMDrivelineYes</v>
          </cell>
          <cell r="AL424">
            <v>21330</v>
          </cell>
        </row>
        <row r="425">
          <cell r="G425" t="str">
            <v>TGS8X824 MONTHS/150 000 KM60 MONTHS/375 000 KM CombinationNo</v>
          </cell>
          <cell r="H425">
            <v>72680</v>
          </cell>
          <cell r="AC425" t="str">
            <v>TGS6X6HYDRO60 MONTHS/375 000 KMEntire VehicleNo</v>
          </cell>
          <cell r="AD425">
            <v>244110</v>
          </cell>
          <cell r="AK425" t="str">
            <v>TGS8X260 MONTHS/250 000 KMDrivelineNo</v>
          </cell>
          <cell r="AL425">
            <v>26070</v>
          </cell>
        </row>
        <row r="426">
          <cell r="G426" t="str">
            <v>TGS8X824 MONTHS/150 000 KM60 MONTHS/375 000 KM CombinationYes</v>
          </cell>
          <cell r="H426">
            <v>58460</v>
          </cell>
          <cell r="AC426" t="str">
            <v>TGS6X6HYDRO60 MONTHS/500 000 KMEntire VehicleYes</v>
          </cell>
          <cell r="AD426">
            <v>319160</v>
          </cell>
          <cell r="AK426" t="str">
            <v>TGS8X260 MONTHS/250 000 KMDrivelineYes</v>
          </cell>
          <cell r="AL426">
            <v>22120</v>
          </cell>
        </row>
        <row r="427">
          <cell r="G427" t="str">
            <v>TGS8X824 MONTHS/300 000 KM60 MONTHS/750 000 KMCombinationNo</v>
          </cell>
          <cell r="H427">
            <v>170640</v>
          </cell>
          <cell r="AC427" t="str">
            <v>TGS6X6HYDRO60 MONTHS/625 000 KMEntire VehicleNo</v>
          </cell>
          <cell r="AD427">
            <v>392630</v>
          </cell>
          <cell r="AK427" t="str">
            <v>TGS8X260 MONTHS/375 000 KMDrivelineNo</v>
          </cell>
          <cell r="AL427">
            <v>26860</v>
          </cell>
        </row>
        <row r="428">
          <cell r="G428" t="str">
            <v>TGS8X824 MONTHS/300 000 KM60 MONTHS/750 000 KMCombinationYes</v>
          </cell>
          <cell r="H428">
            <v>135880</v>
          </cell>
          <cell r="AC428" t="str">
            <v>TGS6X6HYDRO60 MONTHS/750 000 KMEntire VehicleYes</v>
          </cell>
          <cell r="AD428">
            <v>402900</v>
          </cell>
          <cell r="AK428" t="str">
            <v>TGS8X260 MONTHS/375 000 KMDrivelineYes</v>
          </cell>
          <cell r="AL428">
            <v>22910</v>
          </cell>
        </row>
        <row r="429">
          <cell r="G429" t="str">
            <v>TGS8X836 MONTHS/225 000 KM60 MONTHS/375 000 KMCombinationNo</v>
          </cell>
          <cell r="H429">
            <v>91640</v>
          </cell>
          <cell r="AC429" t="str">
            <v>TGS8X224 MONTHS/50 000 KMEntire VehicleNo</v>
          </cell>
          <cell r="AD429">
            <v>4740</v>
          </cell>
          <cell r="AK429" t="str">
            <v>TGS8X260 MONTHS/500 000 KMDrivelineNo</v>
          </cell>
          <cell r="AL429">
            <v>36340</v>
          </cell>
        </row>
        <row r="430">
          <cell r="G430" t="str">
            <v>TGS8X836 MONTHS/225 000 KM60 MONTHS/375 000 KMCombinationYes</v>
          </cell>
          <cell r="H430">
            <v>73470</v>
          </cell>
          <cell r="AC430" t="str">
            <v>TGS8X224 MONTHS/50 000 KMEntire VehicleYes</v>
          </cell>
          <cell r="AD430">
            <v>3950</v>
          </cell>
          <cell r="AK430" t="str">
            <v>TGS8X260 MONTHS/500 000 KMDrivelineYes</v>
          </cell>
          <cell r="AL430">
            <v>29230</v>
          </cell>
        </row>
        <row r="431">
          <cell r="G431" t="str">
            <v>TGS8X836 MONTHS/450 000 KM60 MONTHS/750 000 KMCombinationNo</v>
          </cell>
          <cell r="H431">
            <v>195920</v>
          </cell>
          <cell r="AC431" t="str">
            <v>TGS8X224 MONTHS/100 000 KMEntire VehicleNo</v>
          </cell>
          <cell r="AD431">
            <v>6320</v>
          </cell>
          <cell r="AK431" t="str">
            <v>TGS8X260 MONTHS/625 000 KMDrivelineNo</v>
          </cell>
          <cell r="AL431">
            <v>47400</v>
          </cell>
        </row>
        <row r="432">
          <cell r="G432" t="str">
            <v>TGS8X836 MONTHS/450 000 KM60 MONTHS/750 000 KMCombinationYes</v>
          </cell>
          <cell r="H432">
            <v>157210</v>
          </cell>
          <cell r="AC432" t="str">
            <v>TGS8X224 MONTHS/100 000 KMEntire VehicleYes</v>
          </cell>
          <cell r="AD432">
            <v>4740</v>
          </cell>
          <cell r="AK432" t="str">
            <v>TGS8X260 MONTHS/625 000 KMDrivelineYes</v>
          </cell>
          <cell r="AL432">
            <v>37920</v>
          </cell>
        </row>
        <row r="433">
          <cell r="G433" t="str">
            <v>TGS8X848 MONTHS/300 000 KM60 MONTHS/375 000 KMCombinationNo</v>
          </cell>
          <cell r="H433">
            <v>154840</v>
          </cell>
          <cell r="AC433" t="str">
            <v>TGS8X224 MONTHS/150 000 KMEntire VehicleNo</v>
          </cell>
          <cell r="AD433">
            <v>7900</v>
          </cell>
          <cell r="AK433" t="str">
            <v>TGS8X260 MONTHS/750 000 KMDrivelineNo</v>
          </cell>
          <cell r="AL433">
            <v>60040</v>
          </cell>
        </row>
        <row r="434">
          <cell r="G434" t="str">
            <v>TGS8X848 MONTHS/300 000 KM60 MONTHS/375 000 KMCombinationYes</v>
          </cell>
          <cell r="H434">
            <v>134300</v>
          </cell>
          <cell r="AC434" t="str">
            <v>TGS8X224 MONTHS/150 000 KMEntire VehicleYes</v>
          </cell>
          <cell r="AD434">
            <v>6320</v>
          </cell>
          <cell r="AK434" t="str">
            <v>TGS8X260 MONTHS/750 000 KMDrivelineYes</v>
          </cell>
          <cell r="AL434">
            <v>48190</v>
          </cell>
        </row>
        <row r="435">
          <cell r="G435" t="str">
            <v>TGS8X848 MONTHS/600 000 KM60 MONTHS/750 000 KMCombinationNo</v>
          </cell>
          <cell r="H435">
            <v>290720</v>
          </cell>
          <cell r="AC435" t="str">
            <v>TGS8X224 MONTHS/200 000 KMEntire VehicleNo</v>
          </cell>
          <cell r="AD435">
            <v>9480</v>
          </cell>
          <cell r="AK435" t="str">
            <v>TGS8X260 MONTHS/875 000 KMDrivelineNo</v>
          </cell>
          <cell r="AL435">
            <v>71890</v>
          </cell>
        </row>
        <row r="436">
          <cell r="G436" t="str">
            <v>TGS8X848 MONTHS/600 000 KM60 MONTHS/750 000 KMCombinationYes</v>
          </cell>
          <cell r="H436">
            <v>233050</v>
          </cell>
          <cell r="AC436" t="str">
            <v>TGS8X224 MONTHS/200 000 KMEntire VehicleYes</v>
          </cell>
          <cell r="AD436">
            <v>7900</v>
          </cell>
          <cell r="AK436" t="str">
            <v>TGS8X260 MONTHS/875 000 KMDrivelineYes</v>
          </cell>
          <cell r="AL436">
            <v>57670</v>
          </cell>
        </row>
        <row r="437">
          <cell r="G437"/>
          <cell r="H437"/>
          <cell r="AC437" t="str">
            <v>TGS8X224 MONTHS/250 000 KMEntire VehicleNo</v>
          </cell>
          <cell r="AD437">
            <v>11850</v>
          </cell>
          <cell r="AK437" t="str">
            <v>TGS8X260 MONTHS/1 000 000 KMDrivelineNo</v>
          </cell>
          <cell r="AL437">
            <v>86110</v>
          </cell>
        </row>
        <row r="438">
          <cell r="G438"/>
          <cell r="H438"/>
          <cell r="AC438" t="str">
            <v>TGS8X224 MONTHS/250 000 KMEntire VehicleYes</v>
          </cell>
          <cell r="AD438">
            <v>9480</v>
          </cell>
          <cell r="AK438" t="str">
            <v>TGS8X260 MONTHS/1 000 000 KMDrivelineYes</v>
          </cell>
          <cell r="AL438">
            <v>69520</v>
          </cell>
        </row>
        <row r="439">
          <cell r="G439"/>
          <cell r="H439"/>
          <cell r="AC439" t="str">
            <v>TGS8X224 MONTHS/300 000 KMEntire VehicleNo</v>
          </cell>
          <cell r="AD439">
            <v>15010</v>
          </cell>
          <cell r="AK439" t="str">
            <v>TGS8X272 MONTHS/150 000 KMDrivelineNo</v>
          </cell>
          <cell r="AL439">
            <v>54510</v>
          </cell>
        </row>
        <row r="440">
          <cell r="G440"/>
          <cell r="H440"/>
          <cell r="AC440" t="str">
            <v>TGS8X224 MONTHS/300 000 KMEntire VehicleYes</v>
          </cell>
          <cell r="AD440">
            <v>12640</v>
          </cell>
          <cell r="AK440" t="str">
            <v>TGS8X272 MONTHS/150 000 KMDrivelineYes</v>
          </cell>
          <cell r="AL440">
            <v>44240</v>
          </cell>
        </row>
        <row r="441">
          <cell r="G441"/>
          <cell r="H441"/>
          <cell r="AC441" t="str">
            <v>TGS8X224 MONTHS/350 000 KMEntire VehicleNo</v>
          </cell>
          <cell r="AD441">
            <v>16590</v>
          </cell>
          <cell r="AK441" t="str">
            <v>TGS8X272 MONTHS/300 000 KMDrivelineNo</v>
          </cell>
          <cell r="AL441">
            <v>122450</v>
          </cell>
        </row>
        <row r="442">
          <cell r="G442"/>
          <cell r="H442"/>
          <cell r="AC442" t="str">
            <v>TGS8X224 MONTHS/350 000 KMEntire VehicleYes</v>
          </cell>
          <cell r="AD442">
            <v>13430</v>
          </cell>
          <cell r="AK442" t="str">
            <v>TGS8X272 MONTHS/300 000 KMDrivelineYes</v>
          </cell>
          <cell r="AL442">
            <v>97960</v>
          </cell>
        </row>
        <row r="443">
          <cell r="G443"/>
          <cell r="H443"/>
          <cell r="AC443" t="str">
            <v>TGS8X224 MONTHS/400 000 KMEntire VehicleNo</v>
          </cell>
          <cell r="AD443">
            <v>17380</v>
          </cell>
          <cell r="AK443" t="str">
            <v>TGS8X272 MONTHS/450 000 KMDrivelineNo</v>
          </cell>
          <cell r="AL443">
            <v>191970</v>
          </cell>
        </row>
        <row r="444">
          <cell r="G444"/>
          <cell r="H444"/>
          <cell r="AC444" t="str">
            <v>TGS8X224 MONTHS/400 000 KMEntire VehicleYes</v>
          </cell>
          <cell r="AD444">
            <v>14220</v>
          </cell>
          <cell r="AK444" t="str">
            <v>TGS8X272 MONTHS/450 000 KMDrivelineYes</v>
          </cell>
          <cell r="AL444">
            <v>154050</v>
          </cell>
        </row>
        <row r="445">
          <cell r="G445"/>
          <cell r="H445"/>
          <cell r="AC445" t="str">
            <v>TGS8X236 MONTHS/75 000 KMEntire VehicleNo</v>
          </cell>
          <cell r="AD445">
            <v>12640</v>
          </cell>
          <cell r="AK445" t="str">
            <v>TGS8X272 MONTHS/600 000 KMDrivelineNo</v>
          </cell>
          <cell r="AL445">
            <v>260700</v>
          </cell>
        </row>
        <row r="446">
          <cell r="G446"/>
          <cell r="H446"/>
          <cell r="AC446" t="str">
            <v>TGS8X236 MONTHS/75 000 KMEntire VehicleYes</v>
          </cell>
          <cell r="AD446">
            <v>10270</v>
          </cell>
          <cell r="AK446" t="str">
            <v>TGS8X272 MONTHS/600 000 KMDrivelineYes</v>
          </cell>
          <cell r="AL446">
            <v>208560</v>
          </cell>
        </row>
        <row r="447">
          <cell r="G447"/>
          <cell r="H447"/>
          <cell r="AC447" t="str">
            <v>TGS8X236 MONTHS/150 000 KMEntire VehicleNo</v>
          </cell>
          <cell r="AD447">
            <v>17380</v>
          </cell>
          <cell r="AK447" t="str">
            <v>TGS8X272 MONTHS/750 000 KMDrivelineNo</v>
          </cell>
          <cell r="AL447">
            <v>330220</v>
          </cell>
        </row>
        <row r="448">
          <cell r="G448"/>
          <cell r="H448"/>
          <cell r="AC448" t="str">
            <v>TGS8X236 MONTHS/150 000 KMEntire VehicleYes</v>
          </cell>
          <cell r="AD448">
            <v>14220</v>
          </cell>
          <cell r="AK448" t="str">
            <v>TGS8X272 MONTHS/750 000 KMDrivelineYes</v>
          </cell>
          <cell r="AL448">
            <v>264650</v>
          </cell>
        </row>
        <row r="449">
          <cell r="G449"/>
          <cell r="H449"/>
          <cell r="AC449" t="str">
            <v>TGS8X236 MONTHS/225 000 KMEntire VehicleNo</v>
          </cell>
          <cell r="AD449">
            <v>27650</v>
          </cell>
          <cell r="AK449" t="str">
            <v>TGS8X272 MONTHS/900 000 KMDrivelineNo</v>
          </cell>
          <cell r="AL449">
            <v>399740</v>
          </cell>
        </row>
        <row r="450">
          <cell r="G450"/>
          <cell r="H450"/>
          <cell r="AC450" t="str">
            <v>TGS8X236 MONTHS/225 000 KMEntire VehicleYes</v>
          </cell>
          <cell r="AD450">
            <v>22120</v>
          </cell>
          <cell r="AK450" t="str">
            <v>TGS8X272 MONTHS/900 000 KMDrivelineYes</v>
          </cell>
          <cell r="AL450">
            <v>319950</v>
          </cell>
        </row>
        <row r="451">
          <cell r="G451"/>
          <cell r="H451"/>
          <cell r="AC451" t="str">
            <v>TGS8X236 MONTHS/300 000 KMEntire VehicleNo</v>
          </cell>
          <cell r="AD451">
            <v>31600</v>
          </cell>
          <cell r="AK451" t="str">
            <v>TGS8X436 MONTHS/75 000 KMDrivelineNo</v>
          </cell>
          <cell r="AL451">
            <v>10270</v>
          </cell>
        </row>
        <row r="452">
          <cell r="G452"/>
          <cell r="H452"/>
          <cell r="AC452" t="str">
            <v>TGS8X236 MONTHS/300 000 KMEntire VehicleYes</v>
          </cell>
          <cell r="AD452">
            <v>25280</v>
          </cell>
          <cell r="AK452" t="str">
            <v>TGS8X436 MONTHS/75 000 KMDrivelineYes</v>
          </cell>
          <cell r="AL452">
            <v>9480</v>
          </cell>
        </row>
        <row r="453">
          <cell r="G453"/>
          <cell r="H453"/>
          <cell r="AC453" t="str">
            <v>TGS8X236 MONTHS/375 000 KMEntire VehicleNo</v>
          </cell>
          <cell r="AD453">
            <v>37920</v>
          </cell>
          <cell r="AK453" t="str">
            <v>TGS8X436 MONTHS/150 000 KMDrivelineNo</v>
          </cell>
          <cell r="AL453">
            <v>15800</v>
          </cell>
        </row>
        <row r="454">
          <cell r="AC454" t="str">
            <v>TGS8X236 MONTHS/375 000 KMEntire VehicleYes</v>
          </cell>
          <cell r="AD454">
            <v>30810</v>
          </cell>
          <cell r="AK454" t="str">
            <v>TGS8X436 MONTHS/150 000 KMDrivelineYes</v>
          </cell>
          <cell r="AL454">
            <v>12640</v>
          </cell>
        </row>
        <row r="455">
          <cell r="AC455" t="str">
            <v>TGS8X236 MONTHS/450 000 KMEntire VehicleNo</v>
          </cell>
          <cell r="AD455">
            <v>43450</v>
          </cell>
          <cell r="AK455" t="str">
            <v>TGS8X436 MONTHS/225 000 KMDrivelineNo</v>
          </cell>
          <cell r="AL455">
            <v>18170</v>
          </cell>
        </row>
        <row r="456">
          <cell r="AC456" t="str">
            <v>TGS8X236 MONTHS/450 000 KMEntire VehicleYes</v>
          </cell>
          <cell r="AD456">
            <v>34760</v>
          </cell>
          <cell r="AK456" t="str">
            <v>TGS8X436 MONTHS/225 000 KMDrivelineYes</v>
          </cell>
          <cell r="AL456">
            <v>15010</v>
          </cell>
        </row>
        <row r="457">
          <cell r="AC457" t="str">
            <v>TGS8X236 MONTHS/525 000 KMEntire VehicleNo</v>
          </cell>
          <cell r="AD457">
            <v>48190</v>
          </cell>
          <cell r="AK457" t="str">
            <v>TGS8X436 MONTHS/300 000 KMDrivelineNo</v>
          </cell>
          <cell r="AL457">
            <v>23700</v>
          </cell>
        </row>
        <row r="458">
          <cell r="AC458" t="str">
            <v>TGS8X236 MONTHS/525 000 KMEntire VehicleYes</v>
          </cell>
          <cell r="AD458">
            <v>38710</v>
          </cell>
          <cell r="AK458" t="str">
            <v>TGS8X436 MONTHS/300 000 KMDrivelineYes</v>
          </cell>
          <cell r="AL458">
            <v>18960</v>
          </cell>
        </row>
        <row r="459">
          <cell r="AC459" t="str">
            <v>TGS8X236 MONTHS/600 000 KMEntire VehicleNo</v>
          </cell>
          <cell r="AD459">
            <v>53720</v>
          </cell>
          <cell r="AK459" t="str">
            <v>TGS8X436 MONTHS/375 000 KMDrivelineNo</v>
          </cell>
          <cell r="AL459">
            <v>29230</v>
          </cell>
        </row>
        <row r="460">
          <cell r="AC460" t="str">
            <v>TGS8X236 MONTHS/600 000 KMEntire VehicleYes</v>
          </cell>
          <cell r="AD460">
            <v>43450</v>
          </cell>
          <cell r="AK460" t="str">
            <v>TGS8X436 MONTHS/375 000 KMDrivelineYes</v>
          </cell>
          <cell r="AL460">
            <v>23700</v>
          </cell>
        </row>
        <row r="461">
          <cell r="AC461" t="str">
            <v>TGS8X248 MONTHS/100 000 KMEntire VehicleNo</v>
          </cell>
          <cell r="AD461">
            <v>18960</v>
          </cell>
          <cell r="AK461" t="str">
            <v>TGS8X436 MONTHS/450 000 KMDrivelineNo</v>
          </cell>
          <cell r="AL461">
            <v>33970</v>
          </cell>
        </row>
        <row r="462">
          <cell r="AC462" t="str">
            <v>TGS8X248 MONTHS/100 000 KMEntire VehicleYes</v>
          </cell>
          <cell r="AD462">
            <v>15800</v>
          </cell>
          <cell r="AK462" t="str">
            <v>TGS8X436 MONTHS/450 000 KMDrivelineYes</v>
          </cell>
          <cell r="AL462">
            <v>27650</v>
          </cell>
        </row>
        <row r="463">
          <cell r="AC463" t="str">
            <v>TGS8X248 MONTHS/200 000 KMEntire VehicleNo</v>
          </cell>
          <cell r="AD463">
            <v>32390</v>
          </cell>
          <cell r="AK463" t="str">
            <v>TGS8X448 MONTHS/100 000 KMDrivelineNo</v>
          </cell>
          <cell r="AL463">
            <v>27650</v>
          </cell>
        </row>
        <row r="464">
          <cell r="AC464" t="str">
            <v>TGS8X248 MONTHS/200 000 KMEntire VehicleYes</v>
          </cell>
          <cell r="AD464">
            <v>26860</v>
          </cell>
          <cell r="AK464" t="str">
            <v>TGS8X448 MONTHS/100 000 KMDrivelineYes</v>
          </cell>
          <cell r="AL464">
            <v>22120</v>
          </cell>
        </row>
        <row r="465">
          <cell r="AC465" t="str">
            <v>TGS8X248 MONTHS/300 000 KMEntire VehicleNo</v>
          </cell>
          <cell r="AD465">
            <v>54510</v>
          </cell>
          <cell r="AK465" t="str">
            <v>TGS8X448 MONTHS/200 000 KMDrivelineNo</v>
          </cell>
          <cell r="AL465">
            <v>32390</v>
          </cell>
        </row>
        <row r="466">
          <cell r="AC466" t="str">
            <v>TGS8X248 MONTHS/300 000 KMEntire VehicleYes</v>
          </cell>
          <cell r="AD466">
            <v>44240</v>
          </cell>
          <cell r="AK466" t="str">
            <v>TGS8X448 MONTHS/200 000 KMDrivelineYes</v>
          </cell>
          <cell r="AL466">
            <v>26070</v>
          </cell>
        </row>
        <row r="467">
          <cell r="AC467" t="str">
            <v>TGS8X248 MONTHS/400 000 KMEntire VehicleNo</v>
          </cell>
          <cell r="AD467">
            <v>70310</v>
          </cell>
          <cell r="AK467" t="str">
            <v>TGS8X448 MONTHS/300 000 KMDrivelineNo</v>
          </cell>
          <cell r="AL467">
            <v>38710</v>
          </cell>
        </row>
        <row r="468">
          <cell r="AC468" t="str">
            <v>TGS8X248 MONTHS/400 000 KMEntire VehicleYes</v>
          </cell>
          <cell r="AD468">
            <v>56880</v>
          </cell>
          <cell r="AK468" t="str">
            <v>TGS8X448 MONTHS/300 000 KMDrivelineYes</v>
          </cell>
          <cell r="AL468">
            <v>31600</v>
          </cell>
        </row>
        <row r="469">
          <cell r="AC469" t="str">
            <v>TGS8X248 MONTHS/500 000 KMEntire VehicleNo</v>
          </cell>
          <cell r="AD469">
            <v>86110</v>
          </cell>
          <cell r="AK469" t="str">
            <v>TGS8X448 MONTHS/400 000 KMDrivelineNo</v>
          </cell>
          <cell r="AL469">
            <v>49770</v>
          </cell>
        </row>
        <row r="470">
          <cell r="AC470" t="str">
            <v>TGS8X248 MONTHS/500 000 KMEntire VehicleYes</v>
          </cell>
          <cell r="AD470">
            <v>69520</v>
          </cell>
          <cell r="AK470" t="str">
            <v>TGS8X448 MONTHS/400 000 KMDrivelineYes</v>
          </cell>
          <cell r="AL470">
            <v>40290</v>
          </cell>
        </row>
        <row r="471">
          <cell r="AC471" t="str">
            <v>TGS8X248 MONTHS/600 000 KMEntire VehicleNo</v>
          </cell>
          <cell r="AD471">
            <v>94800</v>
          </cell>
          <cell r="AK471" t="str">
            <v>TGS8X448 MONTHS/500 000 KMDrivelineNo</v>
          </cell>
          <cell r="AL471">
            <v>75840</v>
          </cell>
        </row>
        <row r="472">
          <cell r="AC472" t="str">
            <v>TGS8X248 MONTHS/600 000 KMEntire VehicleYes</v>
          </cell>
          <cell r="AD472">
            <v>75840</v>
          </cell>
          <cell r="AK472" t="str">
            <v>TGS8X448 MONTHS/500 000 KMDrivelineYes</v>
          </cell>
          <cell r="AL472">
            <v>60830</v>
          </cell>
        </row>
        <row r="473">
          <cell r="AC473" t="str">
            <v>TGS8X248 MONTHS/700 000 KMEntire VehicleNo</v>
          </cell>
          <cell r="AD473">
            <v>101120</v>
          </cell>
          <cell r="AK473" t="str">
            <v>TGS8X448 MONTHS/600 000 KMDrivelineNo</v>
          </cell>
          <cell r="AL473">
            <v>77420</v>
          </cell>
        </row>
        <row r="474">
          <cell r="AC474" t="str">
            <v>TGS8X248 MONTHS/700 000 KMEntire VehicleYes</v>
          </cell>
          <cell r="AD474">
            <v>81370</v>
          </cell>
          <cell r="AK474" t="str">
            <v>TGS8X448 MONTHS/600 000 KMDrivelineYes</v>
          </cell>
          <cell r="AL474">
            <v>62410</v>
          </cell>
        </row>
        <row r="475">
          <cell r="AC475" t="str">
            <v>TGS8X248 MONTHS/800 000 KMEntire VehicleNo</v>
          </cell>
          <cell r="AD475">
            <v>108230</v>
          </cell>
          <cell r="AK475" t="str">
            <v>TGS8X460 MONTHS/125 000 KMDrivelineNo</v>
          </cell>
          <cell r="AL475">
            <v>43450</v>
          </cell>
        </row>
        <row r="476">
          <cell r="AC476" t="str">
            <v>TGS8X248 MONTHS/800 000 KMEntire VehicleYes</v>
          </cell>
          <cell r="AD476">
            <v>86900</v>
          </cell>
          <cell r="AK476" t="str">
            <v>TGS8X460 MONTHS/125 000 KMDrivelineYes</v>
          </cell>
          <cell r="AL476">
            <v>34760</v>
          </cell>
        </row>
        <row r="477">
          <cell r="AC477" t="str">
            <v>TGS8X260 MONTHS/125 000 KMEntire VehicleNo</v>
          </cell>
          <cell r="AD477">
            <v>94800</v>
          </cell>
          <cell r="AK477" t="str">
            <v>TGS8X460 MONTHS/250 000 KMDrivelineNo</v>
          </cell>
          <cell r="AL477">
            <v>51350</v>
          </cell>
        </row>
        <row r="478">
          <cell r="AC478" t="str">
            <v>TGS8X260 MONTHS/125 000 KMEntire VehicleYes</v>
          </cell>
          <cell r="AD478">
            <v>79000</v>
          </cell>
          <cell r="AK478" t="str">
            <v>TGS8X460 MONTHS/250 000 KMDrivelineYes</v>
          </cell>
          <cell r="AL478">
            <v>41080</v>
          </cell>
        </row>
        <row r="479">
          <cell r="AC479" t="str">
            <v>TGS8X260 MONTHS/250 000 KMEntire VehicleNo</v>
          </cell>
          <cell r="AD479">
            <v>98750</v>
          </cell>
          <cell r="AK479" t="str">
            <v>TGS8X460 MONTHS/375 000 KMDrivelineNo</v>
          </cell>
          <cell r="AL479">
            <v>59250</v>
          </cell>
        </row>
        <row r="480">
          <cell r="AC480" t="str">
            <v>TGS8X260 MONTHS/250 000 KMEntire VehicleYes</v>
          </cell>
          <cell r="AD480">
            <v>82160</v>
          </cell>
          <cell r="AK480" t="str">
            <v>TGS8X460 MONTHS/375 000 KMDrivelineYes</v>
          </cell>
          <cell r="AL480">
            <v>47400</v>
          </cell>
        </row>
        <row r="481">
          <cell r="AC481" t="str">
            <v>TGS8X260 MONTHS/375 000 KMEntire VehicleNo</v>
          </cell>
          <cell r="AD481">
            <v>102700</v>
          </cell>
          <cell r="AK481" t="str">
            <v>TGS8X460 MONTHS/500 000 KMDrivelineNo</v>
          </cell>
          <cell r="AL481">
            <v>96380</v>
          </cell>
        </row>
        <row r="482">
          <cell r="AC482" t="str">
            <v>TGS8X260 MONTHS/375 000 KMEntire VehicleYes</v>
          </cell>
          <cell r="AD482">
            <v>82160</v>
          </cell>
          <cell r="AK482" t="str">
            <v>TGS8X460 MONTHS/500 000 KMDrivelineYes</v>
          </cell>
          <cell r="AL482">
            <v>77420</v>
          </cell>
        </row>
        <row r="483">
          <cell r="AC483" t="str">
            <v>TGS8X260 MONTHS/500 000 KMEntire VehicleNo</v>
          </cell>
          <cell r="AD483">
            <v>135880</v>
          </cell>
          <cell r="AK483" t="str">
            <v>TGS8X460 MONTHS/625 000 KMDrivelineNo</v>
          </cell>
          <cell r="AL483">
            <v>142200</v>
          </cell>
        </row>
        <row r="484">
          <cell r="AC484" t="str">
            <v>TGS8X260 MONTHS/500 000 KMEntire VehicleYes</v>
          </cell>
          <cell r="AD484">
            <v>109020</v>
          </cell>
          <cell r="AK484" t="str">
            <v>TGS8X460 MONTHS/625 000 KMDrivelineYes</v>
          </cell>
          <cell r="AL484">
            <v>113760</v>
          </cell>
        </row>
        <row r="485">
          <cell r="AC485" t="str">
            <v>TGS8X260 MONTHS/625 000 KMEntire VehicleNo</v>
          </cell>
          <cell r="AD485">
            <v>161950</v>
          </cell>
          <cell r="AK485" t="str">
            <v>TGS8X460 MONTHS/750 000 KMDrivelineNo</v>
          </cell>
          <cell r="AL485">
            <v>146940</v>
          </cell>
        </row>
        <row r="486">
          <cell r="AC486" t="str">
            <v>TGS8X260 MONTHS/625 000 KMEntire VehicleYes</v>
          </cell>
          <cell r="AD486">
            <v>129560</v>
          </cell>
          <cell r="AK486" t="str">
            <v>TGS8X460 MONTHS/750 000 KMDrivelineYes</v>
          </cell>
          <cell r="AL486">
            <v>117710</v>
          </cell>
        </row>
        <row r="487">
          <cell r="AC487" t="str">
            <v>TGS8X260 MONTHS/750 000 KMEntire VehicleNo</v>
          </cell>
          <cell r="AD487">
            <v>175380</v>
          </cell>
          <cell r="AK487" t="str">
            <v>TGS8X472 MONTHS/150 000 KMDrivelineNo</v>
          </cell>
          <cell r="AL487">
            <v>75050</v>
          </cell>
        </row>
        <row r="488">
          <cell r="AC488" t="str">
            <v>TGS8X260 MONTHS/750 000 KMEntire VehicleYes</v>
          </cell>
          <cell r="AD488">
            <v>140620</v>
          </cell>
          <cell r="AK488" t="str">
            <v>TGS8X472 MONTHS/150 000 KMDrivelineYes</v>
          </cell>
          <cell r="AL488">
            <v>62410</v>
          </cell>
        </row>
        <row r="489">
          <cell r="AC489" t="str">
            <v>TGS8X260 MONTHS/875 000 KMEntire VehicleNo</v>
          </cell>
          <cell r="AD489">
            <v>184860</v>
          </cell>
          <cell r="AK489" t="str">
            <v>TGS8X472 MONTHS/300 000 KMDrivelineNo</v>
          </cell>
          <cell r="AL489">
            <v>141410</v>
          </cell>
        </row>
        <row r="490">
          <cell r="AC490" t="str">
            <v>TGS8X260 MONTHS/875 000 KMEntire VehicleYes</v>
          </cell>
          <cell r="AD490">
            <v>148520</v>
          </cell>
          <cell r="AK490" t="str">
            <v>TGS8X472 MONTHS/300 000 KMDrivelineYes</v>
          </cell>
          <cell r="AL490">
            <v>117710</v>
          </cell>
        </row>
        <row r="491">
          <cell r="AC491" t="str">
            <v>TGS8X260 MONTHS/1 000 000 KMEntire VehicleNo</v>
          </cell>
          <cell r="AD491">
            <v>203820</v>
          </cell>
          <cell r="AK491" t="str">
            <v>TGS8X472 MONTHS/450 000 KMDrivelineNo</v>
          </cell>
          <cell r="AL491">
            <v>211720</v>
          </cell>
        </row>
        <row r="492">
          <cell r="AC492" t="str">
            <v>TGS8X260 MONTHS/1 000 000 KMEntire VehicleYes</v>
          </cell>
          <cell r="AD492">
            <v>163530</v>
          </cell>
          <cell r="AK492" t="str">
            <v>TGS8X472 MONTHS/450 000 KMDrivelineYes</v>
          </cell>
          <cell r="AL492">
            <v>176170</v>
          </cell>
        </row>
        <row r="493">
          <cell r="AC493" t="str">
            <v>TGS8X4H/D36 MONTHS/300 000 KMEntire VehicleNo</v>
          </cell>
          <cell r="AD493">
            <v>117371.42857142859</v>
          </cell>
          <cell r="AK493" t="str">
            <v>TGS8X472 MONTHS/600 000 KMDrivelineNo</v>
          </cell>
          <cell r="AL493">
            <v>282030</v>
          </cell>
        </row>
        <row r="494">
          <cell r="AC494" t="str">
            <v>TGS8X4H/D36 MONTHS/375 000 KMEntire VehicleYes</v>
          </cell>
          <cell r="AD494">
            <v>136670</v>
          </cell>
          <cell r="AK494" t="str">
            <v>TGS8X472 MONTHS/600 000 KMDrivelineYes</v>
          </cell>
          <cell r="AL494">
            <v>234630</v>
          </cell>
        </row>
        <row r="495">
          <cell r="AC495" t="str">
            <v>TGS8X4H/D36 MONTHS/450 000 KMEntire VehicleNo</v>
          </cell>
          <cell r="AD495">
            <v>139830</v>
          </cell>
          <cell r="AK495" t="str">
            <v>TGS8X472 MONTHS/750 000 KMDrivelineNo</v>
          </cell>
          <cell r="AL495">
            <v>345230</v>
          </cell>
        </row>
        <row r="496">
          <cell r="AC496" t="str">
            <v>TGS8X4H/D36 MONTHS/75 000 KMEntire VehicleYes</v>
          </cell>
          <cell r="AD496">
            <v>61620</v>
          </cell>
          <cell r="AK496" t="str">
            <v>TGS8X472 MONTHS/750 000 KMDrivelineYes</v>
          </cell>
          <cell r="AL496">
            <v>287560</v>
          </cell>
        </row>
        <row r="497">
          <cell r="AC497" t="str">
            <v>TGS8X4H/D48 MONTHS/100 000 KMEntire VehicleNo</v>
          </cell>
          <cell r="AD497">
            <v>120080</v>
          </cell>
          <cell r="AK497" t="str">
            <v>TGS8X472 MONTHS/900 000 KMDrivelineNo</v>
          </cell>
          <cell r="AL497">
            <v>415540</v>
          </cell>
        </row>
        <row r="498">
          <cell r="AC498" t="str">
            <v>TGS8X4H/D48 MONTHS/200 000 KMEntire VehicleYes</v>
          </cell>
          <cell r="AD498">
            <v>141410</v>
          </cell>
          <cell r="AK498" t="str">
            <v>TGS8X472 MONTHS/900 000 KMDrivelineYes</v>
          </cell>
          <cell r="AL498">
            <v>346020</v>
          </cell>
        </row>
        <row r="499">
          <cell r="AC499" t="str">
            <v>TGS8X4H/D48 MONTHS/300 000 KMEntire VehicleNo</v>
          </cell>
          <cell r="AD499">
            <v>165900</v>
          </cell>
          <cell r="AK499" t="str">
            <v>TGS8X4H/D36 MONTHS/150 000 KMDrivelineNo</v>
          </cell>
          <cell r="AL499">
            <v>41080</v>
          </cell>
        </row>
        <row r="500">
          <cell r="AC500" t="str">
            <v>TGS8X4H/D48 MONTHS/400 000 KMEntire VehicleYes</v>
          </cell>
          <cell r="AD500">
            <v>216460</v>
          </cell>
          <cell r="AK500" t="str">
            <v>TGS8X4H/D36 MONTHS/225 000 KMDrivelineYes</v>
          </cell>
          <cell r="AL500">
            <v>48190</v>
          </cell>
        </row>
        <row r="501">
          <cell r="AC501" t="str">
            <v>TGS8X4H/D48 MONTHS/500 000 KMEntire VehicleNo</v>
          </cell>
          <cell r="AD501">
            <v>267020</v>
          </cell>
          <cell r="AK501" t="str">
            <v>TGS8X4H/D36 MONTHS/300 000 KMDrivelineNo</v>
          </cell>
          <cell r="AL501">
            <v>62410</v>
          </cell>
        </row>
        <row r="502">
          <cell r="AC502" t="str">
            <v>TGS8X4H/D48 MONTHS/600 000 KMEntire VehicleYes</v>
          </cell>
          <cell r="AD502">
            <v>274130</v>
          </cell>
          <cell r="AK502" t="str">
            <v>TGS8X4H/D36 MONTHS/375 000 KMDrivelineYes</v>
          </cell>
          <cell r="AL502">
            <v>76630</v>
          </cell>
        </row>
        <row r="503">
          <cell r="AC503" t="str">
            <v>TGS8X4H/D60 MONTHS/125 000 KMEntire VehicleNo</v>
          </cell>
          <cell r="AD503">
            <v>252800</v>
          </cell>
          <cell r="AK503" t="str">
            <v>TGS8X4H/D36 MONTHS/450 000 KMDrivelineNo</v>
          </cell>
          <cell r="AL503">
            <v>79000</v>
          </cell>
        </row>
        <row r="504">
          <cell r="AC504" t="str">
            <v>TGS8X4H/D60 MONTHS/250 000 KMEntire VehicleYes</v>
          </cell>
          <cell r="AD504">
            <v>297040</v>
          </cell>
          <cell r="AK504" t="str">
            <v>TGS8X4H/D36 MONTHS/75 000 KMDrivelineYes</v>
          </cell>
          <cell r="AL504">
            <v>34760</v>
          </cell>
        </row>
        <row r="505">
          <cell r="AC505" t="str">
            <v>TGS8X4H/D60 MONTHS/375 000 KMEntire VehicleNo</v>
          </cell>
          <cell r="AD505">
            <v>348390</v>
          </cell>
          <cell r="AK505" t="str">
            <v>TGS8X4H/D48 MONTHS/100 000 KMDrivelineNo</v>
          </cell>
          <cell r="AL505">
            <v>62410</v>
          </cell>
        </row>
        <row r="506">
          <cell r="AC506" t="str">
            <v>TGS8X4H/D60 MONTHS/500 000 KMEntire VehicleYes</v>
          </cell>
          <cell r="AD506">
            <v>454250</v>
          </cell>
          <cell r="AK506" t="str">
            <v>TGS8X4H/D48 MONTHS/200 000 KMDrivelineYes</v>
          </cell>
          <cell r="AL506">
            <v>73448.503401360547</v>
          </cell>
        </row>
        <row r="507">
          <cell r="AC507" t="str">
            <v>TGS8X4H/D60 MONTHS/625 000 KMEntire VehicleNo</v>
          </cell>
          <cell r="AD507">
            <v>560110</v>
          </cell>
          <cell r="AK507" t="str">
            <v>TGS8X4H/D48 MONTHS/300 000 KMDrivelineNo</v>
          </cell>
          <cell r="AL507">
            <v>86110</v>
          </cell>
        </row>
        <row r="508">
          <cell r="AC508" t="str">
            <v>TGS8X4H/D60 MONTHS/750 000 KMEntire VehicleYes</v>
          </cell>
          <cell r="AD508">
            <v>575120</v>
          </cell>
          <cell r="AK508" t="str">
            <v>TGS8X4H/D48 MONTHS/400 000 KMDrivelineYes</v>
          </cell>
          <cell r="AL508">
            <v>112180</v>
          </cell>
        </row>
        <row r="509">
          <cell r="AC509" t="str">
            <v>TGS8X4HYDRO24 MONTHS/100 000 KMEntire VehicleNo</v>
          </cell>
          <cell r="AD509">
            <v>9480</v>
          </cell>
          <cell r="AK509" t="str">
            <v>TGS8X4H/D48 MONTHS/500 000 KMDrivelineNo</v>
          </cell>
          <cell r="AL509">
            <v>137460</v>
          </cell>
        </row>
        <row r="510">
          <cell r="AC510" t="str">
            <v>TGS8X4HYDRO24 MONTHS/150 000 KMEntire VehicleYes</v>
          </cell>
          <cell r="AD510">
            <v>11060</v>
          </cell>
          <cell r="AK510" t="str">
            <v>TGS8X4H/D48 MONTHS/600 000 KMDrivelineYes</v>
          </cell>
          <cell r="AL510">
            <v>141410</v>
          </cell>
        </row>
        <row r="511">
          <cell r="AC511" t="str">
            <v>TGS8X4HYDRO24 MONTHS/200 000 KMEntire VehicleNo</v>
          </cell>
          <cell r="AD511">
            <v>14220</v>
          </cell>
          <cell r="AK511" t="str">
            <v>TGS8X4H/D60 MONTHS/125 000 KMDrivelineNo</v>
          </cell>
          <cell r="AL511">
            <v>130350</v>
          </cell>
        </row>
        <row r="512">
          <cell r="AC512" t="str">
            <v>TGS8X4HYDRO24 MONTHS/250 000 KMEntire VehicleYes</v>
          </cell>
          <cell r="AD512">
            <v>18960</v>
          </cell>
          <cell r="AK512" t="str">
            <v>TGS8X4H/D60 MONTHS/250 000 KMDrivelineYes</v>
          </cell>
          <cell r="AL512">
            <v>153260</v>
          </cell>
        </row>
        <row r="513">
          <cell r="AC513" t="str">
            <v>TGS8X4HYDRO24 MONTHS/300 000 KMEntire VehicleNo</v>
          </cell>
          <cell r="AD513">
            <v>20540</v>
          </cell>
          <cell r="AK513" t="str">
            <v>TGS8X4H/D60 MONTHS/375 000 KMDrivelineNo</v>
          </cell>
          <cell r="AL513">
            <v>180120</v>
          </cell>
        </row>
        <row r="514">
          <cell r="AC514" t="str">
            <v>TGS8X4HYDRO24 MONTHS/50 000 KMEntire VehicleYes</v>
          </cell>
          <cell r="AD514">
            <v>7110</v>
          </cell>
          <cell r="AK514" t="str">
            <v>TGS8X4H/D60 MONTHS/500 000 KMDrivelineYes</v>
          </cell>
          <cell r="AL514">
            <v>234630</v>
          </cell>
        </row>
        <row r="515">
          <cell r="AC515" t="str">
            <v>TGS8X4HYDRO36 MONTHS/150 000 KMEntire VehicleNo</v>
          </cell>
          <cell r="AD515">
            <v>37130</v>
          </cell>
          <cell r="AK515" t="str">
            <v>TGS8X4H/D60 MONTHS/625 000 KMDrivelineNo</v>
          </cell>
          <cell r="AL515">
            <v>289140</v>
          </cell>
        </row>
        <row r="516">
          <cell r="AC516" t="str">
            <v>TGS8X4HYDRO36 MONTHS/225 000 KMEntire VehicleYes</v>
          </cell>
          <cell r="AD516">
            <v>43450</v>
          </cell>
          <cell r="AK516" t="str">
            <v>TGS8X4H/D60 MONTHS/750 000 KMDrivelineYes</v>
          </cell>
          <cell r="AL516">
            <v>297040</v>
          </cell>
        </row>
        <row r="517">
          <cell r="AC517" t="str">
            <v>TGS8X4HYDRO36 MONTHS/300 000 KMEntire VehicleNo</v>
          </cell>
          <cell r="AD517">
            <v>56090</v>
          </cell>
          <cell r="AK517" t="str">
            <v>TGS8X4HYDRO36 MONTHS/150 000 KMDrivelineNo</v>
          </cell>
          <cell r="AL517">
            <v>15010</v>
          </cell>
        </row>
        <row r="518">
          <cell r="AC518" t="str">
            <v>TGS8X4HYDRO36 MONTHS/375 000 KMEntire VehicleYes</v>
          </cell>
          <cell r="AD518">
            <v>69520</v>
          </cell>
          <cell r="AK518" t="str">
            <v>TGS8X4HYDRO36 MONTHS/225 000 KMDrivelineYes</v>
          </cell>
          <cell r="AL518">
            <v>17380</v>
          </cell>
        </row>
        <row r="519">
          <cell r="AC519" t="str">
            <v>TGS8X4HYDRO36 MONTHS/450 000 KMEntire VehicleNo</v>
          </cell>
          <cell r="AD519">
            <v>71890</v>
          </cell>
          <cell r="AK519" t="str">
            <v>TGS8X4HYDRO36 MONTHS/300 000 KMDrivelineNo</v>
          </cell>
          <cell r="AL519">
            <v>22120</v>
          </cell>
        </row>
        <row r="520">
          <cell r="AC520" t="str">
            <v>TGS8X4HYDRO36 MONTHS/75 000 KMEntire VehicleYes</v>
          </cell>
          <cell r="AD520">
            <v>31600</v>
          </cell>
          <cell r="AK520" t="str">
            <v>TGS8X4HYDRO36 MONTHS/375 000 KMDrivelineYes</v>
          </cell>
          <cell r="AL520">
            <v>27650</v>
          </cell>
        </row>
        <row r="521">
          <cell r="AC521" t="str">
            <v>TGS8X4HYDRO48 MONTHS/100 000 KMEntire VehicleNo</v>
          </cell>
          <cell r="AD521">
            <v>85803.673469387766</v>
          </cell>
          <cell r="AK521" t="str">
            <v>TGS8X4HYDRO36 MONTHS/450 000 KMDrivelineNo</v>
          </cell>
          <cell r="AL521">
            <v>28440</v>
          </cell>
        </row>
        <row r="522">
          <cell r="AC522" t="str">
            <v>TGS8X4HYDRO48 MONTHS/200 000 KMEntire VehicleYes</v>
          </cell>
          <cell r="AD522">
            <v>99540</v>
          </cell>
          <cell r="AK522" t="str">
            <v>TGS8X4HYDRO36 MONTHS/75 000 KMDrivelineYes</v>
          </cell>
          <cell r="AL522">
            <v>12640</v>
          </cell>
        </row>
        <row r="523">
          <cell r="AC523" t="str">
            <v>TGS8X4HYDRO48 MONTHS/300 000 KMEntire VehicleNo</v>
          </cell>
          <cell r="AD523">
            <v>116130</v>
          </cell>
          <cell r="AK523" t="str">
            <v>TGS8X4HYDRO48 MONTHS/100 000 KMDrivelineNo</v>
          </cell>
          <cell r="AL523">
            <v>29230</v>
          </cell>
        </row>
        <row r="524">
          <cell r="AC524" t="str">
            <v>TGS8X4HYDRO48 MONTHS/400 000 KMEntire VehicleYes</v>
          </cell>
          <cell r="AD524">
            <v>152470</v>
          </cell>
          <cell r="AK524" t="str">
            <v>TGS8X4HYDRO48 MONTHS/200 000 KMDrivelineYes</v>
          </cell>
          <cell r="AL524">
            <v>33970</v>
          </cell>
        </row>
        <row r="525">
          <cell r="AC525" t="str">
            <v>TGS8X4HYDRO48 MONTHS/500 000 KMEntire VehicleNo</v>
          </cell>
          <cell r="AD525">
            <v>187230</v>
          </cell>
          <cell r="AK525" t="str">
            <v>TGS8X4HYDRO48 MONTHS/300 000 KMDrivelineNo</v>
          </cell>
          <cell r="AL525">
            <v>40290</v>
          </cell>
        </row>
        <row r="526">
          <cell r="AC526" t="str">
            <v>TGS8X4HYDRO48 MONTHS/600 000 KMEntire VehicleYes</v>
          </cell>
          <cell r="AD526">
            <v>191970</v>
          </cell>
          <cell r="AK526" t="str">
            <v>TGS8X4HYDRO48 MONTHS/400 000 KMDrivelineYes</v>
          </cell>
          <cell r="AL526">
            <v>52140</v>
          </cell>
        </row>
        <row r="527">
          <cell r="AC527" t="str">
            <v>TGS8X4HYDRO60 MONTHS/125 000 KMEntire VehicleNo</v>
          </cell>
          <cell r="AD527">
            <v>176960</v>
          </cell>
          <cell r="AK527" t="str">
            <v>TGS8X4HYDRO48 MONTHS/500 000 KMDrivelineNo</v>
          </cell>
          <cell r="AL527">
            <v>60830</v>
          </cell>
        </row>
        <row r="528">
          <cell r="AC528" t="str">
            <v>TGS8X4HYDRO60 MONTHS/250 000 KMEntire VehicleYes</v>
          </cell>
          <cell r="AD528">
            <v>208560</v>
          </cell>
          <cell r="AK528" t="str">
            <v>TGS8X4HYDRO48 MONTHS/600 000 KMDrivelineYes</v>
          </cell>
          <cell r="AL528">
            <v>62410</v>
          </cell>
        </row>
        <row r="529">
          <cell r="AC529" t="str">
            <v>TGS8X4HYDRO60 MONTHS/375 000 KMEntire VehicleNo</v>
          </cell>
          <cell r="AD529">
            <v>244110</v>
          </cell>
          <cell r="AK529" t="str">
            <v>TGS8X4HYDRO60 MONTHS/125 000 KMDrivelineNo</v>
          </cell>
          <cell r="AL529">
            <v>60830</v>
          </cell>
        </row>
        <row r="530">
          <cell r="AC530" t="str">
            <v>TGS8X4HYDRO60 MONTHS/500 000 KMEntire VehicleYes</v>
          </cell>
          <cell r="AD530">
            <v>319160</v>
          </cell>
          <cell r="AK530" t="str">
            <v>TGS8X4HYDRO60 MONTHS/250 000 KMDrivelineYes</v>
          </cell>
          <cell r="AL530">
            <v>71890</v>
          </cell>
        </row>
        <row r="531">
          <cell r="AC531" t="str">
            <v>TGS8X4HYDRO60 MONTHS/625 000 KMEntire VehicleNo</v>
          </cell>
          <cell r="AD531">
            <v>392630</v>
          </cell>
          <cell r="AK531" t="str">
            <v>TGS8X4HYDRO60 MONTHS/375 000 KMDrivelineNo</v>
          </cell>
          <cell r="AL531">
            <v>83740</v>
          </cell>
        </row>
        <row r="532">
          <cell r="AC532" t="str">
            <v>TGS8X4HYDRO60 MONTHS/750 000 KMEntire VehicleYes</v>
          </cell>
          <cell r="AD532">
            <v>402900</v>
          </cell>
          <cell r="AK532" t="str">
            <v>TGS8X4HYDRO60 MONTHS/500 000 KMDrivelineYes</v>
          </cell>
          <cell r="AL532">
            <v>109810</v>
          </cell>
        </row>
        <row r="533">
          <cell r="AC533" t="str">
            <v>TGS8X424 MONTHS/50 000 KMEntire VehicleNo</v>
          </cell>
          <cell r="AD533">
            <v>8690</v>
          </cell>
          <cell r="AK533" t="str">
            <v>TGS8X4HYDRO60 MONTHS/625 000 KMDrivelineNo</v>
          </cell>
          <cell r="AL533">
            <v>127190</v>
          </cell>
        </row>
        <row r="534">
          <cell r="AC534" t="str">
            <v>TGS8X424 MONTHS/50 000 KMEntire VehicleYes</v>
          </cell>
          <cell r="AD534">
            <v>7110</v>
          </cell>
          <cell r="AK534" t="str">
            <v>TGS8X4HYDRO60 MONTHS/750 000 KMDrivelineYes</v>
          </cell>
          <cell r="AL534">
            <v>138250</v>
          </cell>
        </row>
        <row r="535">
          <cell r="AC535" t="str">
            <v>TGS8X424 MONTHS/100 000 KMEntire VehicleNo</v>
          </cell>
          <cell r="AD535">
            <v>11060</v>
          </cell>
          <cell r="AK535" t="str">
            <v>TGS8X636 MONTHS/75 000 KMDrivelineNo</v>
          </cell>
          <cell r="AL535">
            <v>10270</v>
          </cell>
        </row>
        <row r="536">
          <cell r="AC536" t="str">
            <v>TGS8X424 MONTHS/100 000 KMEntire VehicleYes</v>
          </cell>
          <cell r="AD536">
            <v>9480</v>
          </cell>
          <cell r="AK536" t="str">
            <v>TGS8X636 MONTHS/75 000 KMDrivelineYes</v>
          </cell>
          <cell r="AL536">
            <v>9480</v>
          </cell>
        </row>
        <row r="537">
          <cell r="AC537" t="str">
            <v>TGS8X424 MONTHS/150 000 KMEntire VehicleNo</v>
          </cell>
          <cell r="AD537">
            <v>13430</v>
          </cell>
          <cell r="AK537" t="str">
            <v>TGS8X636 MONTHS/150 000 KMDrivelineNo</v>
          </cell>
          <cell r="AL537">
            <v>15800</v>
          </cell>
        </row>
        <row r="538">
          <cell r="AC538" t="str">
            <v>TGS8X424 MONTHS/150 000 KMEntire VehicleYes</v>
          </cell>
          <cell r="AD538">
            <v>11060</v>
          </cell>
          <cell r="AK538" t="str">
            <v>TGS8X636 MONTHS/150 000 KMDrivelineYes</v>
          </cell>
          <cell r="AL538">
            <v>12640</v>
          </cell>
        </row>
        <row r="539">
          <cell r="AC539" t="str">
            <v>TGS8X424 MONTHS/200 000 KMEntire VehicleNo</v>
          </cell>
          <cell r="AD539">
            <v>16590</v>
          </cell>
          <cell r="AK539" t="str">
            <v>TGS8X636 MONTHS/225 000 KMDrivelineNo</v>
          </cell>
          <cell r="AL539">
            <v>18170</v>
          </cell>
        </row>
        <row r="540">
          <cell r="AC540" t="str">
            <v>TGS8X424 MONTHS/200 000 KMEntire VehicleYes</v>
          </cell>
          <cell r="AD540">
            <v>13430</v>
          </cell>
          <cell r="AK540" t="str">
            <v>TGS8X636 MONTHS/225 000 KMDrivelineYes</v>
          </cell>
          <cell r="AL540">
            <v>15010</v>
          </cell>
        </row>
        <row r="541">
          <cell r="AC541" t="str">
            <v>TGS8X424 MONTHS/250 000 KMEntire VehicleNo</v>
          </cell>
          <cell r="AD541">
            <v>22120</v>
          </cell>
          <cell r="AK541" t="str">
            <v>TGS8X636 MONTHS/300 000 KMDrivelineNo</v>
          </cell>
          <cell r="AL541">
            <v>23700</v>
          </cell>
        </row>
        <row r="542">
          <cell r="AC542" t="str">
            <v>TGS8X424 MONTHS/250 000 KMEntire VehicleYes</v>
          </cell>
          <cell r="AD542">
            <v>18170</v>
          </cell>
          <cell r="AK542" t="str">
            <v>TGS8X636 MONTHS/300 000 KMDrivelineYes</v>
          </cell>
          <cell r="AL542">
            <v>18960</v>
          </cell>
        </row>
        <row r="543">
          <cell r="AC543" t="str">
            <v>TGS8X424 MONTHS/300 000 KMEntire VehicleNo</v>
          </cell>
          <cell r="AD543">
            <v>23700</v>
          </cell>
          <cell r="AK543" t="str">
            <v>TGS8X636 MONTHS/375 000 KMDrivelineNo</v>
          </cell>
          <cell r="AL543">
            <v>29230</v>
          </cell>
        </row>
        <row r="544">
          <cell r="AC544" t="str">
            <v>TGS8X424 MONTHS/300 000 KMEntire VehicleYes</v>
          </cell>
          <cell r="AD544">
            <v>18960</v>
          </cell>
          <cell r="AK544" t="str">
            <v>TGS8X636 MONTHS/375 000 KMDrivelineYes</v>
          </cell>
          <cell r="AL544">
            <v>23700</v>
          </cell>
        </row>
        <row r="545">
          <cell r="AC545" t="str">
            <v>TGS8X436 MONTHS/75 000 KMEntire VehicleNo</v>
          </cell>
          <cell r="AD545">
            <v>36340</v>
          </cell>
          <cell r="AK545" t="str">
            <v>TGS8X636 MONTHS/450 000 KMDrivelineNo</v>
          </cell>
          <cell r="AL545">
            <v>33970</v>
          </cell>
        </row>
        <row r="546">
          <cell r="AC546" t="str">
            <v>TGS8X436 MONTHS/75 000 KMEntire VehicleYes</v>
          </cell>
          <cell r="AD546">
            <v>29230</v>
          </cell>
          <cell r="AK546" t="str">
            <v>TGS8X636 MONTHS/450 000 KMDrivelineYes</v>
          </cell>
          <cell r="AL546">
            <v>27650</v>
          </cell>
        </row>
        <row r="547">
          <cell r="AC547" t="str">
            <v>TGS8X436 MONTHS/150 000 KMEntire VehicleNo</v>
          </cell>
          <cell r="AD547">
            <v>43450</v>
          </cell>
          <cell r="AK547" t="str">
            <v>TGS8X648 MONTHS/100 000 KMDrivelineNo</v>
          </cell>
          <cell r="AL547">
            <v>27650</v>
          </cell>
        </row>
        <row r="548">
          <cell r="AC548" t="str">
            <v>TGS8X436 MONTHS/150 000 KMEntire VehicleYes</v>
          </cell>
          <cell r="AD548">
            <v>34760</v>
          </cell>
          <cell r="AK548" t="str">
            <v>TGS8X648 MONTHS/100 000 KMDrivelineYes</v>
          </cell>
          <cell r="AL548">
            <v>22120</v>
          </cell>
        </row>
        <row r="549">
          <cell r="AC549" t="str">
            <v>TGS8X436 MONTHS/225 000 KMEntire VehicleNo</v>
          </cell>
          <cell r="AD549">
            <v>50560</v>
          </cell>
          <cell r="AK549" t="str">
            <v>TGS8X648 MONTHS/200 000 KMDrivelineNo</v>
          </cell>
          <cell r="AL549">
            <v>32390</v>
          </cell>
        </row>
        <row r="550">
          <cell r="AC550" t="str">
            <v>TGS8X436 MONTHS/225 000 KMEntire VehicleYes</v>
          </cell>
          <cell r="AD550">
            <v>41080</v>
          </cell>
          <cell r="AK550" t="str">
            <v>TGS8X648 MONTHS/200 000 KMDrivelineYes</v>
          </cell>
          <cell r="AL550">
            <v>26070</v>
          </cell>
        </row>
        <row r="551">
          <cell r="AC551" t="str">
            <v>TGS8X436 MONTHS/300 000 KMEntire VehicleNo</v>
          </cell>
          <cell r="AD551">
            <v>64780</v>
          </cell>
          <cell r="AK551" t="str">
            <v>TGS8X648 MONTHS/300 000 KMDrivelineNo</v>
          </cell>
          <cell r="AL551">
            <v>38710</v>
          </cell>
        </row>
        <row r="552">
          <cell r="AC552" t="str">
            <v>TGS8X436 MONTHS/300 000 KMEntire VehicleYes</v>
          </cell>
          <cell r="AD552">
            <v>52140</v>
          </cell>
          <cell r="AK552" t="str">
            <v>TGS8X648 MONTHS/300 000 KMDrivelineYes</v>
          </cell>
          <cell r="AL552">
            <v>31600</v>
          </cell>
        </row>
        <row r="553">
          <cell r="AC553" t="str">
            <v>TGS8X436 MONTHS/375 000 KMEntire VehicleNo</v>
          </cell>
          <cell r="AD553">
            <v>80580</v>
          </cell>
          <cell r="AK553" t="str">
            <v>TGS8X648 MONTHS/400 000 KMDrivelineNo</v>
          </cell>
          <cell r="AL553">
            <v>49770</v>
          </cell>
        </row>
        <row r="554">
          <cell r="AC554" t="str">
            <v>TGS8X436 MONTHS/375 000 KMEntire VehicleYes</v>
          </cell>
          <cell r="AD554">
            <v>64780</v>
          </cell>
          <cell r="AK554" t="str">
            <v>TGS8X648 MONTHS/400 000 KMDrivelineYes</v>
          </cell>
          <cell r="AL554">
            <v>40290</v>
          </cell>
        </row>
        <row r="555">
          <cell r="AC555" t="str">
            <v>TGS8X436 MONTHS/450 000 KMEntire VehicleNo</v>
          </cell>
          <cell r="AD555">
            <v>82950</v>
          </cell>
          <cell r="AK555" t="str">
            <v>TGS8X648 MONTHS/500 000 KMDrivelineNo</v>
          </cell>
          <cell r="AL555">
            <v>75840</v>
          </cell>
        </row>
        <row r="556">
          <cell r="AC556" t="str">
            <v>TGS8X436 MONTHS/450 000 KMEntire VehicleYes</v>
          </cell>
          <cell r="AD556">
            <v>66360</v>
          </cell>
          <cell r="AK556" t="str">
            <v>TGS8X648 MONTHS/500 000 KMDrivelineYes</v>
          </cell>
          <cell r="AL556">
            <v>60830</v>
          </cell>
        </row>
        <row r="557">
          <cell r="AC557" t="str">
            <v>TGS8X448 MONTHS/100 000 KMEntire VehicleNo</v>
          </cell>
          <cell r="AD557">
            <v>98750</v>
          </cell>
          <cell r="AK557" t="str">
            <v>TGS8X648 MONTHS/600 000 KMDrivelineNo</v>
          </cell>
          <cell r="AL557">
            <v>77420</v>
          </cell>
        </row>
        <row r="558">
          <cell r="AC558" t="str">
            <v>TGS8X448 MONTHS/100 000 KMEntire VehicleYes</v>
          </cell>
          <cell r="AD558">
            <v>79000</v>
          </cell>
          <cell r="AK558" t="str">
            <v>TGS8X648 MONTHS/600 000 KMDrivelineYes</v>
          </cell>
          <cell r="AL558">
            <v>62410</v>
          </cell>
        </row>
        <row r="559">
          <cell r="AC559" t="str">
            <v>TGS8X448 MONTHS/200 000 KMEntire VehicleNo</v>
          </cell>
          <cell r="AD559">
            <v>114550</v>
          </cell>
          <cell r="AK559" t="str">
            <v>TGS8X660 MONTHS/125 000 KMDrivelineNo</v>
          </cell>
          <cell r="AL559">
            <v>43450</v>
          </cell>
        </row>
        <row r="560">
          <cell r="AC560" t="str">
            <v>TGS8X448 MONTHS/200 000 KMEntire VehicleYes</v>
          </cell>
          <cell r="AD560">
            <v>91640</v>
          </cell>
          <cell r="AK560" t="str">
            <v>TGS8X660 MONTHS/125 000 KMDrivelineYes</v>
          </cell>
          <cell r="AL560">
            <v>34760</v>
          </cell>
        </row>
        <row r="561">
          <cell r="AC561" t="str">
            <v>TGS8X448 MONTHS/300 000 KMEntire VehicleNo</v>
          </cell>
          <cell r="AD561">
            <v>134300</v>
          </cell>
          <cell r="AK561" t="str">
            <v>TGS8X660 MONTHS/250 000 KMDrivelineNo</v>
          </cell>
          <cell r="AL561">
            <v>51350</v>
          </cell>
        </row>
        <row r="562">
          <cell r="AC562" t="str">
            <v>TGS8X448 MONTHS/300 000 KMEntire VehicleYes</v>
          </cell>
          <cell r="AD562">
            <v>107440</v>
          </cell>
          <cell r="AK562" t="str">
            <v>TGS8X660 MONTHS/250 000 KMDrivelineYes</v>
          </cell>
          <cell r="AL562">
            <v>41080</v>
          </cell>
        </row>
        <row r="563">
          <cell r="AC563" t="str">
            <v>TGS8X448 MONTHS/400 000 KMEntire VehicleNo</v>
          </cell>
          <cell r="AD563">
            <v>175380</v>
          </cell>
          <cell r="AK563" t="str">
            <v>TGS8X660 MONTHS/375 000 KMDrivelineNo</v>
          </cell>
          <cell r="AL563">
            <v>59250</v>
          </cell>
        </row>
        <row r="564">
          <cell r="AC564" t="str">
            <v>TGS8X448 MONTHS/400 000 KMEntire VehicleYes</v>
          </cell>
          <cell r="AD564">
            <v>140620</v>
          </cell>
          <cell r="AK564" t="str">
            <v>TGS8X660 MONTHS/375 000 KMDrivelineYes</v>
          </cell>
          <cell r="AL564">
            <v>47400</v>
          </cell>
        </row>
        <row r="565">
          <cell r="AC565" t="str">
            <v>TGS8X448 MONTHS/500 000 KMEntire VehicleNo</v>
          </cell>
          <cell r="AD565">
            <v>215670</v>
          </cell>
          <cell r="AK565" t="str">
            <v>TGS8X660 MONTHS/500 000 KMDrivelineNo</v>
          </cell>
          <cell r="AL565">
            <v>96380</v>
          </cell>
        </row>
        <row r="566">
          <cell r="AC566" t="str">
            <v>TGS8X448 MONTHS/500 000 KMEntire VehicleYes</v>
          </cell>
          <cell r="AD566">
            <v>173010</v>
          </cell>
          <cell r="AK566" t="str">
            <v>TGS8X660 MONTHS/500 000 KMDrivelineYes</v>
          </cell>
          <cell r="AL566">
            <v>77420</v>
          </cell>
        </row>
        <row r="567">
          <cell r="AC567" t="str">
            <v>TGS8X448 MONTHS/600 000 KMEntire VehicleNo</v>
          </cell>
          <cell r="AD567">
            <v>221200</v>
          </cell>
          <cell r="AK567" t="str">
            <v>TGS8X660 MONTHS/625 000 KMDrivelineNo</v>
          </cell>
          <cell r="AL567">
            <v>142200</v>
          </cell>
        </row>
        <row r="568">
          <cell r="AC568" t="str">
            <v>TGS8X448 MONTHS/600 000 KMEntire VehicleYes</v>
          </cell>
          <cell r="AD568">
            <v>176960</v>
          </cell>
          <cell r="AK568" t="str">
            <v>TGS8X660 MONTHS/625 000 KMDrivelineYes</v>
          </cell>
          <cell r="AL568">
            <v>113760</v>
          </cell>
        </row>
        <row r="569">
          <cell r="AC569" t="str">
            <v>TGS8X460 MONTHS/125 000 KMEntire VehicleNo</v>
          </cell>
          <cell r="AD569">
            <v>203820</v>
          </cell>
          <cell r="AK569" t="str">
            <v>TGS8X660 MONTHS/750 000 KMDrivelineNo</v>
          </cell>
          <cell r="AL569">
            <v>146940</v>
          </cell>
        </row>
        <row r="570">
          <cell r="AC570" t="str">
            <v>TGS8X460 MONTHS/125 000 KMEntire VehicleYes</v>
          </cell>
          <cell r="AD570">
            <v>163530</v>
          </cell>
          <cell r="AK570" t="str">
            <v>TGS8X660 MONTHS/750 000 KMDrivelineYes</v>
          </cell>
          <cell r="AL570">
            <v>117710</v>
          </cell>
        </row>
        <row r="571">
          <cell r="AC571" t="str">
            <v>TGS8X460 MONTHS/250 000 KMEntire VehicleNo</v>
          </cell>
          <cell r="AD571">
            <v>240160</v>
          </cell>
          <cell r="AK571" t="str">
            <v>TGS8X672 MONTHS/150 000 KMDrivelineNo</v>
          </cell>
          <cell r="AL571">
            <v>75050</v>
          </cell>
        </row>
        <row r="572">
          <cell r="AC572" t="str">
            <v>TGS8X460 MONTHS/250 000 KMEntire VehicleYes</v>
          </cell>
          <cell r="AD572">
            <v>192760</v>
          </cell>
          <cell r="AK572" t="str">
            <v>TGS8X672 MONTHS/150 000 KMDrivelineYes</v>
          </cell>
          <cell r="AL572">
            <v>62410</v>
          </cell>
        </row>
        <row r="573">
          <cell r="AC573" t="str">
            <v>TGS8X460 MONTHS/375 000 KMEntire VehicleNo</v>
          </cell>
          <cell r="AD573">
            <v>281240</v>
          </cell>
          <cell r="AK573" t="str">
            <v>TGS8X672 MONTHS/300 000 KMDrivelineNo</v>
          </cell>
          <cell r="AL573">
            <v>141410</v>
          </cell>
        </row>
        <row r="574">
          <cell r="AC574" t="str">
            <v>TGS8X460 MONTHS/375 000 KMEntire VehicleYes</v>
          </cell>
          <cell r="AD574">
            <v>225150</v>
          </cell>
          <cell r="AK574" t="str">
            <v>TGS8X672 MONTHS/300 000 KMDrivelineYes</v>
          </cell>
          <cell r="AL574">
            <v>117710</v>
          </cell>
        </row>
        <row r="575">
          <cell r="AC575" t="str">
            <v>TGS8X460 MONTHS/500 000 KMEntire VehicleNo</v>
          </cell>
          <cell r="AD575">
            <v>367350</v>
          </cell>
          <cell r="AK575" t="str">
            <v>TGS8X672 MONTHS/450 000 KMDrivelineNo</v>
          </cell>
          <cell r="AL575">
            <v>211720</v>
          </cell>
        </row>
        <row r="576">
          <cell r="AC576" t="str">
            <v>TGS8X460 MONTHS/500 000 KMEntire VehicleYes</v>
          </cell>
          <cell r="AD576">
            <v>293880</v>
          </cell>
          <cell r="AK576" t="str">
            <v>TGS8X672 MONTHS/450 000 KMDrivelineYes</v>
          </cell>
          <cell r="AL576">
            <v>176170</v>
          </cell>
        </row>
        <row r="577">
          <cell r="AC577" t="str">
            <v>TGS8X460 MONTHS/625 000 KMEntire VehicleNo</v>
          </cell>
          <cell r="AD577">
            <v>451880</v>
          </cell>
          <cell r="AK577" t="str">
            <v>TGS8X672 MONTHS/600 000 KMDrivelineNo</v>
          </cell>
          <cell r="AL577">
            <v>282030</v>
          </cell>
        </row>
        <row r="578">
          <cell r="AC578" t="str">
            <v>TGS8X460 MONTHS/625 000 KMEntire VehicleYes</v>
          </cell>
          <cell r="AD578">
            <v>361820</v>
          </cell>
          <cell r="AK578" t="str">
            <v>TGS8X672 MONTHS/600 000 KMDrivelineYes</v>
          </cell>
          <cell r="AL578">
            <v>234630</v>
          </cell>
        </row>
        <row r="579">
          <cell r="AC579" t="str">
            <v>TGS8X460 MONTHS/750 000 KMEntire VehicleNo</v>
          </cell>
          <cell r="AD579">
            <v>463730</v>
          </cell>
          <cell r="AK579" t="str">
            <v>TGS8X672 MONTHS/750 000 KMDrivelineNo</v>
          </cell>
          <cell r="AL579">
            <v>345230</v>
          </cell>
        </row>
        <row r="580">
          <cell r="AC580" t="str">
            <v>TGS8X460 MONTHS/750 000 KMEntire VehicleYes</v>
          </cell>
          <cell r="AD580">
            <v>371300</v>
          </cell>
          <cell r="AK580" t="str">
            <v>TGS8X672 MONTHS/750 000 KMDrivelineYes</v>
          </cell>
          <cell r="AL580">
            <v>287560</v>
          </cell>
        </row>
        <row r="581">
          <cell r="AC581" t="str">
            <v>TGS8X624 MONTHS/50 000 KMEntire VehicleNo</v>
          </cell>
          <cell r="AD581">
            <v>8690</v>
          </cell>
          <cell r="AK581" t="str">
            <v>TGS8X672 MONTHS/900 000 KMDrivelineNo</v>
          </cell>
          <cell r="AL581">
            <v>415540</v>
          </cell>
        </row>
        <row r="582">
          <cell r="AC582" t="str">
            <v>TGS8X624 MONTHS/50 000 KMEntire VehicleYes</v>
          </cell>
          <cell r="AD582">
            <v>7110</v>
          </cell>
          <cell r="AK582" t="str">
            <v>TGS8X672 MONTHS/900 000 KMDrivelineYes</v>
          </cell>
          <cell r="AL582">
            <v>346020</v>
          </cell>
        </row>
        <row r="583">
          <cell r="AC583" t="str">
            <v>TGS8X624 MONTHS/100 000 KMEntire VehicleNo</v>
          </cell>
          <cell r="AD583">
            <v>11060</v>
          </cell>
          <cell r="AK583" t="str">
            <v>TGS8X6H/D36 MONTHS/150 000 KMDrivelineNo</v>
          </cell>
          <cell r="AL583">
            <v>41080</v>
          </cell>
        </row>
        <row r="584">
          <cell r="AC584" t="str">
            <v>TGS8X624 MONTHS/100 000 KMEntire VehicleYes</v>
          </cell>
          <cell r="AD584">
            <v>9480</v>
          </cell>
          <cell r="AK584" t="str">
            <v>TGS8X6H/D36 MONTHS/225 000 KMDrivelineYes</v>
          </cell>
          <cell r="AL584">
            <v>48190</v>
          </cell>
        </row>
        <row r="585">
          <cell r="AC585" t="str">
            <v>TGS8X624 MONTHS/150 000 KMEntire VehicleNo</v>
          </cell>
          <cell r="AD585">
            <v>13430</v>
          </cell>
          <cell r="AK585" t="str">
            <v>TGS8X6H/D36 MONTHS/300 000 KMDrivelineNo</v>
          </cell>
          <cell r="AL585">
            <v>62410</v>
          </cell>
        </row>
        <row r="586">
          <cell r="AC586" t="str">
            <v>TGS8X624 MONTHS/150 000 KMEntire VehicleYes</v>
          </cell>
          <cell r="AD586">
            <v>11060</v>
          </cell>
          <cell r="AK586" t="str">
            <v>TGS8X6H/D36 MONTHS/375 000 KMDrivelineYes</v>
          </cell>
          <cell r="AL586">
            <v>76630</v>
          </cell>
        </row>
        <row r="587">
          <cell r="AC587" t="str">
            <v>TGS8X624 MONTHS/200 000 KMEntire VehicleNo</v>
          </cell>
          <cell r="AD587">
            <v>16590</v>
          </cell>
          <cell r="AK587" t="str">
            <v>TGS8X6H/D36 MONTHS/450 000 KMDrivelineNo</v>
          </cell>
          <cell r="AL587">
            <v>79000</v>
          </cell>
        </row>
        <row r="588">
          <cell r="AC588" t="str">
            <v>TGS8X624 MONTHS/200 000 KMEntire VehicleYes</v>
          </cell>
          <cell r="AD588">
            <v>13430</v>
          </cell>
          <cell r="AK588" t="str">
            <v>TGS8X6H/D36 MONTHS/75 000 KMDrivelineYes</v>
          </cell>
          <cell r="AL588">
            <v>34760</v>
          </cell>
        </row>
        <row r="589">
          <cell r="AC589" t="str">
            <v>TGS8X624 MONTHS/250 000 KMEntire VehicleNo</v>
          </cell>
          <cell r="AD589">
            <v>22120</v>
          </cell>
          <cell r="AK589" t="str">
            <v>TGS8X6H/D48 MONTHS/100 000 KMDrivelineNo</v>
          </cell>
          <cell r="AL589">
            <v>62410</v>
          </cell>
        </row>
        <row r="590">
          <cell r="AC590" t="str">
            <v>TGS8X624 MONTHS/250 000 KMEntire VehicleYes</v>
          </cell>
          <cell r="AD590">
            <v>18170</v>
          </cell>
          <cell r="AK590" t="str">
            <v>TGS8X6H/D48 MONTHS/200 000 KMDrivelineYes</v>
          </cell>
          <cell r="AL590">
            <v>73448.503401360547</v>
          </cell>
        </row>
        <row r="591">
          <cell r="AC591" t="str">
            <v>TGS8X624 MONTHS/300 000 KMEntire VehicleNo</v>
          </cell>
          <cell r="AD591">
            <v>23700</v>
          </cell>
          <cell r="AK591" t="str">
            <v>TGS8X6H/D48 MONTHS/300 000 KMDrivelineNo</v>
          </cell>
          <cell r="AL591">
            <v>86110</v>
          </cell>
        </row>
        <row r="592">
          <cell r="AC592" t="str">
            <v>TGS8X624 MONTHS/300 000 KMEntire VehicleYes</v>
          </cell>
          <cell r="AD592">
            <v>18960</v>
          </cell>
          <cell r="AK592" t="str">
            <v>TGS8X6H/D48 MONTHS/400 000 KMDrivelineYes</v>
          </cell>
          <cell r="AL592">
            <v>112180</v>
          </cell>
        </row>
        <row r="593">
          <cell r="AC593" t="str">
            <v>TGS8X636 MONTHS/75 000 KMEntire VehicleNo</v>
          </cell>
          <cell r="AD593">
            <v>36340</v>
          </cell>
          <cell r="AK593" t="str">
            <v>TGS8X6H/D48 MONTHS/500 000 KMDrivelineNo</v>
          </cell>
          <cell r="AL593">
            <v>137460</v>
          </cell>
        </row>
        <row r="594">
          <cell r="AC594" t="str">
            <v>TGS8X636 MONTHS/75 000 KMEntire VehicleYes</v>
          </cell>
          <cell r="AD594">
            <v>29230</v>
          </cell>
          <cell r="AK594" t="str">
            <v>TGS8X6H/D48 MONTHS/600 000 KMDrivelineYes</v>
          </cell>
          <cell r="AL594">
            <v>141410</v>
          </cell>
        </row>
        <row r="595">
          <cell r="AC595" t="str">
            <v>TGS8X636 MONTHS/150 000 KMEntire VehicleNo</v>
          </cell>
          <cell r="AD595">
            <v>43450</v>
          </cell>
          <cell r="AK595" t="str">
            <v>TGS8X6H/D60 MONTHS/125 000 KMDrivelineNo</v>
          </cell>
          <cell r="AL595">
            <v>130350</v>
          </cell>
        </row>
        <row r="596">
          <cell r="AC596" t="str">
            <v>TGS8X636 MONTHS/150 000 KMEntire VehicleYes</v>
          </cell>
          <cell r="AD596">
            <v>34760</v>
          </cell>
          <cell r="AK596" t="str">
            <v>TGS8X6H/D60 MONTHS/250 000 KMDrivelineYes</v>
          </cell>
          <cell r="AL596">
            <v>153260</v>
          </cell>
        </row>
        <row r="597">
          <cell r="AC597" t="str">
            <v>TGS8X636 MONTHS/225 000 KMEntire VehicleNo</v>
          </cell>
          <cell r="AD597">
            <v>50560</v>
          </cell>
          <cell r="AK597" t="str">
            <v>TGS8X6H/D60 MONTHS/375 000 KMDrivelineNo</v>
          </cell>
          <cell r="AL597">
            <v>180120</v>
          </cell>
        </row>
        <row r="598">
          <cell r="AC598" t="str">
            <v>TGS8X636 MONTHS/225 000 KMEntire VehicleYes</v>
          </cell>
          <cell r="AD598">
            <v>41080</v>
          </cell>
          <cell r="AK598" t="str">
            <v>TGS8X6H/D60 MONTHS/500 000 KMDrivelineYes</v>
          </cell>
          <cell r="AL598">
            <v>234630</v>
          </cell>
        </row>
        <row r="599">
          <cell r="AC599" t="str">
            <v>TGS8X636 MONTHS/300 000 KMEntire VehicleNo</v>
          </cell>
          <cell r="AD599">
            <v>64780</v>
          </cell>
          <cell r="AK599" t="str">
            <v>TGS8X6H/D60 MONTHS/625 000 KMDrivelineNo</v>
          </cell>
          <cell r="AL599">
            <v>289140</v>
          </cell>
        </row>
        <row r="600">
          <cell r="AC600" t="str">
            <v>TGS8X636 MONTHS/300 000 KMEntire VehicleYes</v>
          </cell>
          <cell r="AD600">
            <v>52140</v>
          </cell>
          <cell r="AK600" t="str">
            <v>TGS8X6H/D60 MONTHS/750 000 KMDrivelineYes</v>
          </cell>
          <cell r="AL600">
            <v>297040</v>
          </cell>
        </row>
      </sheetData>
      <sheetData sheetId="7">
        <row r="4">
          <cell r="N4" t="str">
            <v>TGX4X424 MONTHS/300 000 KM</v>
          </cell>
          <cell r="O4">
            <v>1580</v>
          </cell>
        </row>
        <row r="5">
          <cell r="G5" t="str">
            <v>TGX4X224 MONTHS/300 000 KM36 MONTHS/450 000 KMCombinationYes</v>
          </cell>
          <cell r="H5">
            <v>26070</v>
          </cell>
          <cell r="N5" t="str">
            <v>TGX4X436 MONTHS/150 000 KM</v>
          </cell>
          <cell r="O5">
            <v>5530</v>
          </cell>
          <cell r="AC5" t="str">
            <v>TGX4X224 MONTHS/50 000 KMEntire VehicleYes</v>
          </cell>
          <cell r="AD5">
            <v>3950</v>
          </cell>
          <cell r="AK5" t="str">
            <v>TGX4X236 MONTHS/75 000 KMDrivelineYes</v>
          </cell>
          <cell r="AL5">
            <v>3950</v>
          </cell>
        </row>
        <row r="6">
          <cell r="G6" t="str">
            <v>TGX4X224 MONTHS/400 000 KM36 MONTHS/600 000 KMCombinationNo</v>
          </cell>
          <cell r="H6">
            <v>41080</v>
          </cell>
          <cell r="N6" t="str">
            <v>TGX4X436 MONTHS/225 000 KM</v>
          </cell>
          <cell r="O6">
            <v>6320</v>
          </cell>
          <cell r="AC6" t="str">
            <v>TGX4X224 MONTHS/100 000 KMEntire VehicleNo</v>
          </cell>
          <cell r="AD6">
            <v>6320</v>
          </cell>
          <cell r="AK6" t="str">
            <v>TGX4X236 MONTHS/125 000 KMDrivelineNo</v>
          </cell>
          <cell r="AL6">
            <v>8690</v>
          </cell>
        </row>
        <row r="7">
          <cell r="G7" t="str">
            <v>TGX4X224 MONTHS/400 000 KM36 MONTHS/600 000 KMCombinationYes</v>
          </cell>
          <cell r="H7">
            <v>33180</v>
          </cell>
          <cell r="N7" t="str">
            <v>TGX4X436 MONTHS/300 000 KM</v>
          </cell>
          <cell r="O7">
            <v>7900</v>
          </cell>
          <cell r="AC7" t="str">
            <v>TGX4X224 MONTHS/100 000 KMEntire VehicleYes</v>
          </cell>
          <cell r="AD7">
            <v>4740</v>
          </cell>
          <cell r="AK7" t="str">
            <v>TGX4X236 MONTHS/125 000 KMDrivelineYes</v>
          </cell>
          <cell r="AL7">
            <v>7110</v>
          </cell>
        </row>
        <row r="8">
          <cell r="G8" t="str">
            <v>TGX4X224 MONTHS/300 000 KM48 MONTHS/600 000 KMCombinationNo</v>
          </cell>
          <cell r="H8">
            <v>50560</v>
          </cell>
          <cell r="N8" t="str">
            <v>TGX4X436 MONTHS/375 000 KM</v>
          </cell>
          <cell r="O8">
            <v>9480</v>
          </cell>
          <cell r="AC8" t="str">
            <v>TGX4X224 MONTHS/150 000 KMEntire VehicleNo</v>
          </cell>
          <cell r="AD8">
            <v>7900</v>
          </cell>
          <cell r="AK8" t="str">
            <v>TGX4X236 MONTHS/225 000 KMDrivelineNo</v>
          </cell>
          <cell r="AL8">
            <v>10270</v>
          </cell>
        </row>
        <row r="9">
          <cell r="G9" t="str">
            <v>TGX4X224 MONTHS/300 000 KM48 MONTHS/600 000 KMCombinationYes</v>
          </cell>
          <cell r="H9">
            <v>41080</v>
          </cell>
          <cell r="N9" t="str">
            <v>TGX4X436 MONTHS/450 000 KM</v>
          </cell>
          <cell r="O9">
            <v>11060</v>
          </cell>
          <cell r="AC9" t="str">
            <v>TGX4X224 MONTHS/150 000 KMEntire VehicleYes</v>
          </cell>
          <cell r="AD9">
            <v>6320</v>
          </cell>
          <cell r="AK9" t="str">
            <v>TGX4X236 MONTHS/225 000 KMDrivelineYes</v>
          </cell>
          <cell r="AL9">
            <v>8690</v>
          </cell>
        </row>
        <row r="10">
          <cell r="G10" t="str">
            <v>TGX4X224 MONTHS/400 000 KM48 MONTHS/800 000 KMCombinationNo</v>
          </cell>
          <cell r="H10">
            <v>73470</v>
          </cell>
          <cell r="N10" t="str">
            <v>TGX4X436 MONTHS/75 000 KM</v>
          </cell>
          <cell r="O10">
            <v>4740</v>
          </cell>
          <cell r="AC10" t="str">
            <v>TGX4X224 MONTHS/200 000 KMEntire VehicleNo</v>
          </cell>
          <cell r="AD10">
            <v>9480</v>
          </cell>
          <cell r="AK10" t="str">
            <v>TGX4X236 MONTHS/300 000 KMDrivelineNo</v>
          </cell>
          <cell r="AL10">
            <v>11850</v>
          </cell>
        </row>
        <row r="11">
          <cell r="G11" t="str">
            <v>TGX4X224 MONTHS/400 000 KM48 MONTHS/800 000 KMCombinationYes</v>
          </cell>
          <cell r="H11">
            <v>59250</v>
          </cell>
          <cell r="N11" t="str">
            <v>TGX4X448 MONTHS/100 000 KM</v>
          </cell>
          <cell r="O11">
            <v>8690</v>
          </cell>
          <cell r="AC11" t="str">
            <v>TGX4X224 MONTHS/200 000 KMEntire VehicleYes</v>
          </cell>
          <cell r="AD11">
            <v>7900</v>
          </cell>
          <cell r="AK11" t="str">
            <v>TGX4X236 MONTHS/300 000 KMDrivelineYes</v>
          </cell>
          <cell r="AL11">
            <v>9480</v>
          </cell>
        </row>
        <row r="12">
          <cell r="G12" t="str">
            <v>TGX4X236 MONTHS/450 000 KM48 MONTHS/600 000 KMCombinationNo</v>
          </cell>
          <cell r="H12">
            <v>61620</v>
          </cell>
          <cell r="N12" t="str">
            <v>TGX4X448 MONTHS/200 000 KM</v>
          </cell>
          <cell r="O12">
            <v>10270</v>
          </cell>
          <cell r="AC12" t="str">
            <v>TGX4X224 MONTHS/250 000 KMEntire VehicleNo</v>
          </cell>
          <cell r="AD12">
            <v>11850</v>
          </cell>
          <cell r="AK12" t="str">
            <v>TGX4X236 MONTHS/375 000 KMDrivelineNo</v>
          </cell>
          <cell r="AL12">
            <v>15010</v>
          </cell>
        </row>
        <row r="13">
          <cell r="G13" t="str">
            <v>TGX4X236 MONTHS/450 000 KM48 MONTHS/600 000 KMCombinationYes</v>
          </cell>
          <cell r="H13">
            <v>49770</v>
          </cell>
          <cell r="N13" t="str">
            <v>TGX4X448 MONTHS/300 000 KM</v>
          </cell>
          <cell r="O13">
            <v>11850</v>
          </cell>
          <cell r="AC13" t="str">
            <v>TGX4X224 MONTHS/250 000 KMEntire VehicleYes</v>
          </cell>
          <cell r="AD13">
            <v>9480</v>
          </cell>
          <cell r="AK13" t="str">
            <v>TGX4X236 MONTHS/375 000 KMDrivelineYes</v>
          </cell>
          <cell r="AL13">
            <v>12640</v>
          </cell>
        </row>
        <row r="14">
          <cell r="G14" t="str">
            <v>TGX4X236 MONTHS/400 000 KM48 MONTHS/800 000 KMCombinationNo</v>
          </cell>
          <cell r="H14">
            <v>86110</v>
          </cell>
          <cell r="N14" t="str">
            <v>TGX4X448 MONTHS/400 000 KM</v>
          </cell>
          <cell r="O14">
            <v>14220</v>
          </cell>
          <cell r="AC14" t="str">
            <v>TGX4X224 MONTHS/300 000 KMEntire VehicleNo</v>
          </cell>
          <cell r="AD14">
            <v>15010</v>
          </cell>
          <cell r="AK14" t="str">
            <v>TGX4X236 MONTHS/450 000 KMDrivelineNo</v>
          </cell>
          <cell r="AL14">
            <v>17380</v>
          </cell>
        </row>
        <row r="15">
          <cell r="G15" t="str">
            <v>TGX4X236 MONTHS/400 000 KM48 MONTHS/800 000 KMCombinationYes</v>
          </cell>
          <cell r="H15">
            <v>69520</v>
          </cell>
          <cell r="N15" t="str">
            <v>TGX4X448 MONTHS/500 000 KM</v>
          </cell>
          <cell r="O15">
            <v>16590</v>
          </cell>
          <cell r="AC15" t="str">
            <v>TGX4X224 MONTHS/300 000 KMEntire VehicleYes</v>
          </cell>
          <cell r="AD15">
            <v>12640</v>
          </cell>
          <cell r="AK15" t="str">
            <v>TGX4X236 MONTHS/450 000 KMDrivelineYes</v>
          </cell>
          <cell r="AL15">
            <v>14220</v>
          </cell>
        </row>
        <row r="16">
          <cell r="G16" t="str">
            <v>TGX4X224 MONTHS/300 000 KM60 MONTHS/750 000 KMCombinationNo</v>
          </cell>
          <cell r="H16">
            <v>75050</v>
          </cell>
          <cell r="N16" t="str">
            <v>TGX4X448 MONTHS/600 000 KM</v>
          </cell>
          <cell r="O16">
            <v>18960</v>
          </cell>
          <cell r="AC16" t="str">
            <v>TGX4X224 MONTHS/350 000 KMEntire VehicleNo</v>
          </cell>
          <cell r="AD16">
            <v>16590</v>
          </cell>
          <cell r="AK16" t="str">
            <v>TGX4X236 MONTHS/525 000 KMDrivelineNo</v>
          </cell>
          <cell r="AL16">
            <v>20540</v>
          </cell>
        </row>
        <row r="17">
          <cell r="G17" t="str">
            <v>TGX4X224 MONTHS/300 000 KM60 MONTHS/750 000 KMCombinationYes</v>
          </cell>
          <cell r="H17">
            <v>60040</v>
          </cell>
          <cell r="N17" t="str">
            <v>TGX4X460 MONTHS/125 000 KM</v>
          </cell>
          <cell r="O17">
            <v>17380</v>
          </cell>
          <cell r="AC17" t="str">
            <v>TGX4X224 MONTHS/350 000 KMEntire VehicleYes</v>
          </cell>
          <cell r="AD17">
            <v>13430</v>
          </cell>
          <cell r="AK17" t="str">
            <v>TGX4X236 MONTHS/525 000 KMDrivelineYes</v>
          </cell>
          <cell r="AL17">
            <v>16590</v>
          </cell>
        </row>
        <row r="18">
          <cell r="G18" t="str">
            <v>TGX4X224 MONTHS/400 000 KM60 MONTHS/1000 000 KMCombinationNo</v>
          </cell>
          <cell r="H18">
            <v>103490</v>
          </cell>
          <cell r="N18" t="str">
            <v>TGX4X460 MONTHS/250 000 KM</v>
          </cell>
          <cell r="O18">
            <v>20540</v>
          </cell>
          <cell r="AC18" t="str">
            <v>TGX4X224 MONTHS/400 000 KMEntire VehicleNo</v>
          </cell>
          <cell r="AD18">
            <v>17380</v>
          </cell>
          <cell r="AK18" t="str">
            <v>TGX4X236 MONTHS/600 000 KMDrivelineNo</v>
          </cell>
          <cell r="AL18">
            <v>23700</v>
          </cell>
        </row>
        <row r="19">
          <cell r="G19" t="str">
            <v>TGX4X224 MONTHS/400 000 KM60 MONTHS/1000 000 KMCombinationYes</v>
          </cell>
          <cell r="H19">
            <v>82950</v>
          </cell>
          <cell r="N19" t="str">
            <v>TGX4X460 MONTHS/375 000 KM</v>
          </cell>
          <cell r="O19">
            <v>24490</v>
          </cell>
          <cell r="AC19" t="str">
            <v>TGX4X224 MONTHS/400 000 KMEntire VehicleYes</v>
          </cell>
          <cell r="AD19">
            <v>14220</v>
          </cell>
          <cell r="AK19" t="str">
            <v>TGX4X236 MONTHS/600 000 KMDrivelineYes</v>
          </cell>
          <cell r="AL19">
            <v>18960</v>
          </cell>
        </row>
        <row r="20">
          <cell r="G20" t="str">
            <v>TGX4X236 MONTHS/450 000 KM60 MONTHS/750 000 KMCombinationNo</v>
          </cell>
          <cell r="H20">
            <v>86110</v>
          </cell>
          <cell r="N20" t="str">
            <v>TGX4X460 MONTHS/500 000 KM</v>
          </cell>
          <cell r="O20">
            <v>29230</v>
          </cell>
          <cell r="AC20" t="str">
            <v>TGX4X236 MONTHS/75 000 KMEntire VehicleNo</v>
          </cell>
          <cell r="AD20">
            <v>12640</v>
          </cell>
          <cell r="AK20" t="str">
            <v>TGX4X242 MONTHS/350 000 KMDrivelineNo</v>
          </cell>
          <cell r="AL20">
            <v>15010</v>
          </cell>
        </row>
        <row r="21">
          <cell r="G21" t="str">
            <v>TGX4X236 MONTHS/450 000 KM60 MONTHS/750 000 KMCombinationYes</v>
          </cell>
          <cell r="H21">
            <v>69520</v>
          </cell>
          <cell r="N21" t="str">
            <v>TGX4X460 MONTHS/625 000 KM</v>
          </cell>
          <cell r="O21">
            <v>33970</v>
          </cell>
          <cell r="AC21" t="str">
            <v>TGX4X236 MONTHS/75 000 KMEntire VehicleYes</v>
          </cell>
          <cell r="AD21">
            <v>10270</v>
          </cell>
          <cell r="AK21" t="str">
            <v>TGX4X242 MONTHS/350 000 KMDrivelineYes</v>
          </cell>
          <cell r="AL21">
            <v>12640</v>
          </cell>
        </row>
        <row r="22">
          <cell r="G22" t="str">
            <v>TGX4X236 MONTHS/600 000 KM60 MONTHS/1000 000 KMCombinationNo</v>
          </cell>
          <cell r="H22">
            <v>116130</v>
          </cell>
          <cell r="N22" t="str">
            <v>TGX4X460 MONTHS/750 000 KM</v>
          </cell>
          <cell r="O22">
            <v>37920</v>
          </cell>
          <cell r="AC22" t="str">
            <v>TGX4X236 MONTHS/150 000 KMEntire VehicleNo</v>
          </cell>
          <cell r="AD22">
            <v>17380</v>
          </cell>
          <cell r="AK22" t="str">
            <v>TGX4X242 MONTHS/437 500 KMDrivelineNo</v>
          </cell>
          <cell r="AL22">
            <v>20540</v>
          </cell>
        </row>
        <row r="23">
          <cell r="G23" t="str">
            <v>TGX4X236 MONTHS/600 000 KM60 MONTHS/1000 000 KMCombinationYes</v>
          </cell>
          <cell r="H23">
            <v>93220</v>
          </cell>
          <cell r="N23" t="str">
            <v>TGX6X424 MONTHS/300 000 KM</v>
          </cell>
          <cell r="O23">
            <v>1580</v>
          </cell>
          <cell r="AC23" t="str">
            <v>TGX4X236 MONTHS/150 000 KMEntire VehicleYes</v>
          </cell>
          <cell r="AD23">
            <v>14220</v>
          </cell>
          <cell r="AK23" t="str">
            <v>TGX4X242 MONTHS/437 500 KMDrivelineYes</v>
          </cell>
          <cell r="AL23">
            <v>16590</v>
          </cell>
        </row>
        <row r="24">
          <cell r="G24" t="str">
            <v>TGX4X248 MONTHS/600 000 KM60 MONTHS/750 000 KMCombinationNo</v>
          </cell>
          <cell r="H24">
            <v>119290</v>
          </cell>
          <cell r="N24" t="str">
            <v>TGX6X436 MONTHS/150 000 KM</v>
          </cell>
          <cell r="O24">
            <v>5530</v>
          </cell>
          <cell r="AC24" t="str">
            <v>TGX4X236 MONTHS/225 000 KMEntire VehicleNo</v>
          </cell>
          <cell r="AD24">
            <v>27650</v>
          </cell>
          <cell r="AK24" t="str">
            <v>TGX4X242 MONTHS/525 000 KMDrivelineNo</v>
          </cell>
          <cell r="AL24">
            <v>26860</v>
          </cell>
        </row>
        <row r="25">
          <cell r="G25" t="str">
            <v>TGX4X248 MONTHS/600 000 KM60 MONTHS/750 000 KMCombinationYes</v>
          </cell>
          <cell r="H25">
            <v>95590</v>
          </cell>
          <cell r="N25" t="str">
            <v>TGX6X436 MONTHS/225 000 KM</v>
          </cell>
          <cell r="O25">
            <v>6320</v>
          </cell>
          <cell r="AC25" t="str">
            <v>TGX4X236 MONTHS/225 000 KMEntire VehicleYes</v>
          </cell>
          <cell r="AD25">
            <v>22120</v>
          </cell>
          <cell r="AK25" t="str">
            <v>TGX4X242 MONTHS/525 000 KMDrivelineYes</v>
          </cell>
          <cell r="AL25">
            <v>22120</v>
          </cell>
        </row>
        <row r="26">
          <cell r="G26" t="str">
            <v>TGX4X248 MONTHS/800 000 KM60 MONTHS/1000 000 KMCombinationNo</v>
          </cell>
          <cell r="H26">
            <v>138250</v>
          </cell>
          <cell r="N26" t="str">
            <v>TGX6X436 MONTHS/300 000 KM</v>
          </cell>
          <cell r="O26">
            <v>7900</v>
          </cell>
          <cell r="AC26" t="str">
            <v>TGX4X236 MONTHS/300 000 KMEntire VehicleNo</v>
          </cell>
          <cell r="AD26">
            <v>31600</v>
          </cell>
          <cell r="AK26" t="str">
            <v>TGX4X242 MONTHS/612 500 KMDrivelineNo</v>
          </cell>
          <cell r="AL26">
            <v>33180</v>
          </cell>
        </row>
        <row r="27">
          <cell r="G27" t="str">
            <v>TGX4X248 MONTHS/800 000 KM60 MONTHS/1000 000 KMCombinationYes</v>
          </cell>
          <cell r="H27">
            <v>110600</v>
          </cell>
          <cell r="N27" t="str">
            <v>TGX6X436 MONTHS/375 000 KM</v>
          </cell>
          <cell r="O27">
            <v>9480</v>
          </cell>
          <cell r="AC27" t="str">
            <v>TGX4X236 MONTHS/300 000 KMEntire VehicleYes</v>
          </cell>
          <cell r="AD27">
            <v>25280</v>
          </cell>
          <cell r="AK27" t="str">
            <v>TGX4X242 MONTHS/612 500 KMDrivelineYes</v>
          </cell>
          <cell r="AL27">
            <v>26860</v>
          </cell>
        </row>
        <row r="28">
          <cell r="G28" t="str">
            <v>TGX4X4 H/D24 MONTHS/150 000 KM36 MONTHS/225 000 KMCombinationNo</v>
          </cell>
          <cell r="H28">
            <v>33970</v>
          </cell>
          <cell r="N28" t="str">
            <v>TGX6X436 MONTHS/450 000 KM</v>
          </cell>
          <cell r="O28">
            <v>11060</v>
          </cell>
          <cell r="AC28" t="str">
            <v>TGX4X236 MONTHS/375 000 KMEntire VehicleNo</v>
          </cell>
          <cell r="AD28">
            <v>37920</v>
          </cell>
          <cell r="AK28" t="str">
            <v>TGX4X248 MONTHS/100 000 KMDrivelineNo</v>
          </cell>
          <cell r="AL28">
            <v>3950</v>
          </cell>
        </row>
        <row r="29">
          <cell r="G29" t="str">
            <v>TGX4X4 H/D24 MONTHS/150 000 KM36 MONTHS/225 000 KMCombinationYes</v>
          </cell>
          <cell r="H29">
            <v>65570</v>
          </cell>
          <cell r="N29" t="str">
            <v>TGX6X436 MONTHS/75 000 KM</v>
          </cell>
          <cell r="O29">
            <v>4740</v>
          </cell>
          <cell r="AC29" t="str">
            <v>TGX4X236 MONTHS/375 000 KMEntire VehicleYes</v>
          </cell>
          <cell r="AD29">
            <v>30810</v>
          </cell>
          <cell r="AK29" t="str">
            <v>TGX4X248 MONTHS/100 000 KMDrivelineYes</v>
          </cell>
          <cell r="AL29">
            <v>3160</v>
          </cell>
        </row>
        <row r="30">
          <cell r="G30" t="str">
            <v>TGX4X4 H/D24 MONTHS/150 000 KM48 MONTHS/300 000 KMCombinationNo</v>
          </cell>
          <cell r="H30">
            <v>60040</v>
          </cell>
          <cell r="N30" t="str">
            <v>TGX6X448 MONTHS/100 000 KM</v>
          </cell>
          <cell r="O30">
            <v>8690</v>
          </cell>
          <cell r="AC30" t="str">
            <v>TGX4X236 MONTHS/450 000 KMEntire VehicleNo</v>
          </cell>
          <cell r="AD30">
            <v>43450</v>
          </cell>
          <cell r="AK30" t="str">
            <v>TGX4X248 MONTHS/200 000 KMDrivelineNo</v>
          </cell>
          <cell r="AL30">
            <v>7900</v>
          </cell>
        </row>
        <row r="31">
          <cell r="G31" t="str">
            <v>TGX4X4 H/D24 MONTHS/150 000 KM48 MONTHS/300 000 KMCombinationYes</v>
          </cell>
          <cell r="H31">
            <v>103490</v>
          </cell>
          <cell r="N31" t="str">
            <v>TGX6X448 MONTHS/200 000 KM</v>
          </cell>
          <cell r="O31">
            <v>10270</v>
          </cell>
          <cell r="AC31" t="str">
            <v>TGX4X236 MONTHS/450 000 KMEntire VehicleYes</v>
          </cell>
          <cell r="AD31">
            <v>34760</v>
          </cell>
          <cell r="AK31" t="str">
            <v>TGX4X248 MONTHS/200 000 KMDrivelineYes</v>
          </cell>
          <cell r="AL31">
            <v>6320</v>
          </cell>
        </row>
        <row r="32">
          <cell r="G32" t="str">
            <v>TGX4X4 H/D24 MONTHS/150 000 KM60 MONTHS/375 000 KMCombinationNo</v>
          </cell>
          <cell r="H32">
            <v>109810</v>
          </cell>
          <cell r="N32" t="str">
            <v>TGX6X448 MONTHS/300 000 KM</v>
          </cell>
          <cell r="O32">
            <v>11850</v>
          </cell>
          <cell r="AC32" t="str">
            <v>TGX4X236 MONTHS/525 000 KMEntire VehicleNo</v>
          </cell>
          <cell r="AD32">
            <v>48190</v>
          </cell>
          <cell r="AK32" t="str">
            <v>TGX4X248 MONTHS/300 000 KMDrivelineNo</v>
          </cell>
          <cell r="AL32">
            <v>13430</v>
          </cell>
        </row>
        <row r="33">
          <cell r="G33" t="str">
            <v>TGX4X4 H/D24 MONTHS/150 000 KM60 MONTHS/375 000 KMCombinationYes</v>
          </cell>
          <cell r="H33">
            <v>197500</v>
          </cell>
          <cell r="N33" t="str">
            <v>TGX6X448 MONTHS/400 000 KM</v>
          </cell>
          <cell r="O33">
            <v>14220</v>
          </cell>
          <cell r="AC33" t="str">
            <v>TGX4X236 MONTHS/525 000 KMEntire VehicleYes</v>
          </cell>
          <cell r="AD33">
            <v>38710</v>
          </cell>
          <cell r="AK33" t="str">
            <v>TGX4X248 MONTHS/300 000 KMDrivelineYes</v>
          </cell>
          <cell r="AL33">
            <v>11060</v>
          </cell>
        </row>
        <row r="34">
          <cell r="G34" t="str">
            <v>TGX4X4 H/D24 MONTHS/300 000 KM36 MONTHS/450 000 KMCombinationNo</v>
          </cell>
          <cell r="H34">
            <v>56880</v>
          </cell>
          <cell r="N34" t="str">
            <v>TGX6X448 MONTHS/500 000 KM</v>
          </cell>
          <cell r="O34">
            <v>16590</v>
          </cell>
          <cell r="AC34" t="str">
            <v>TGX4X236 MONTHS/600 000 KMEntire VehicleNo</v>
          </cell>
          <cell r="AD34">
            <v>53720</v>
          </cell>
          <cell r="AK34" t="str">
            <v>TGX4X248 MONTHS/400 000 KMDrivelineNo</v>
          </cell>
          <cell r="AL34">
            <v>18170</v>
          </cell>
        </row>
        <row r="35">
          <cell r="G35" t="str">
            <v>TGX4X4 H/D24 MONTHS/300 000 KM36 MONTHS/450 000 KMCombinationYes</v>
          </cell>
          <cell r="H35">
            <v>117710</v>
          </cell>
          <cell r="N35" t="str">
            <v>TGX6X448 MONTHS/600 000 KM</v>
          </cell>
          <cell r="O35">
            <v>18960</v>
          </cell>
          <cell r="AC35" t="str">
            <v>TGX4X236 MONTHS/600 000 KMEntire VehicleYes</v>
          </cell>
          <cell r="AD35">
            <v>43450</v>
          </cell>
          <cell r="AK35" t="str">
            <v>TGX4X248 MONTHS/400 000 KMDrivelineYes</v>
          </cell>
          <cell r="AL35">
            <v>15010</v>
          </cell>
        </row>
        <row r="36">
          <cell r="G36" t="str">
            <v>TGX4X4 H/D24 MONTHS/300 000 KM48 MONTHS/600 000 KMCombinationNo</v>
          </cell>
          <cell r="H36">
            <v>95590</v>
          </cell>
          <cell r="N36" t="str">
            <v>TGX6X460 MONTHS/125 000 KM</v>
          </cell>
          <cell r="O36">
            <v>17380</v>
          </cell>
          <cell r="AC36" t="str">
            <v>TGX4X242 MONTHS/350 000 KMEntire VehicleNo</v>
          </cell>
          <cell r="AD36">
            <v>50560</v>
          </cell>
          <cell r="AK36" t="str">
            <v>TGX4X248 MONTHS/500 000 KMDrivelineNo</v>
          </cell>
          <cell r="AL36">
            <v>26070</v>
          </cell>
        </row>
        <row r="37">
          <cell r="G37" t="str">
            <v>TGX4X4 H/D24 MONTHS/300 000 KM48 MONTHS/600 000 KMCombinationYes</v>
          </cell>
          <cell r="H37">
            <v>180120</v>
          </cell>
          <cell r="N37" t="str">
            <v>TGX6X460 MONTHS/250 000 KM</v>
          </cell>
          <cell r="O37">
            <v>20540</v>
          </cell>
          <cell r="AC37" t="str">
            <v>TGX4X242 MONTHS/350 000 KMEntire VehicleYes</v>
          </cell>
          <cell r="AD37">
            <v>41080</v>
          </cell>
          <cell r="AK37" t="str">
            <v>TGX4X248 MONTHS/500 000 KMDrivelineYes</v>
          </cell>
          <cell r="AL37">
            <v>21330</v>
          </cell>
        </row>
        <row r="38">
          <cell r="G38" t="str">
            <v>TGX4X4 H/D24 MONTHS/300 000 KM60 MONTHS/750 000 KMCombinationNo</v>
          </cell>
          <cell r="H38">
            <v>183280</v>
          </cell>
          <cell r="N38" t="str">
            <v>TGX6X460 MONTHS/375 000 KM</v>
          </cell>
          <cell r="O38">
            <v>24490</v>
          </cell>
          <cell r="AC38" t="str">
            <v>TGX4X242 MONTHS/437 500 KMEntire VehicleNo</v>
          </cell>
          <cell r="AD38">
            <v>61620</v>
          </cell>
          <cell r="AK38" t="str">
            <v>TGX4X248 MONTHS/600 000 KMDrivelineNo</v>
          </cell>
          <cell r="AL38">
            <v>35550</v>
          </cell>
        </row>
        <row r="39">
          <cell r="G39" t="str">
            <v>TGX4X4 H/D24 MONTHS/300 000 KM60 MONTHS/750 000 KMCombinationYes</v>
          </cell>
          <cell r="H39">
            <v>335750</v>
          </cell>
          <cell r="N39" t="str">
            <v>TGX6X460 MONTHS/500 000 KM</v>
          </cell>
          <cell r="O39">
            <v>29230</v>
          </cell>
          <cell r="AC39" t="str">
            <v>TGX4X242 MONTHS/437 500 KMEntire VehicleYes</v>
          </cell>
          <cell r="AD39">
            <v>49770</v>
          </cell>
          <cell r="AK39" t="str">
            <v>TGX4X248 MONTHS/600 000 KMDrivelineYes</v>
          </cell>
          <cell r="AL39">
            <v>28440</v>
          </cell>
        </row>
        <row r="40">
          <cell r="G40" t="str">
            <v>TGX4X4 H/D36 MONTHS/225 000 KM48 MONTHS/300 000 KM CombinationNo</v>
          </cell>
          <cell r="H40">
            <v>76630</v>
          </cell>
          <cell r="N40" t="str">
            <v>TGX6X460 MONTHS/625 000 KM</v>
          </cell>
          <cell r="O40">
            <v>33970</v>
          </cell>
          <cell r="AC40" t="str">
            <v>TGX4X242 MONTHS/525 000 KMEntire VehicleNo</v>
          </cell>
          <cell r="AD40">
            <v>68730</v>
          </cell>
          <cell r="AK40" t="str">
            <v>TGX4X248 MONTHS/700 000 KMDrivelineNo</v>
          </cell>
          <cell r="AL40">
            <v>45820</v>
          </cell>
        </row>
        <row r="41">
          <cell r="G41" t="str">
            <v>TGX4X4 H/D36 MONTHS/225 000 KM48 MONTHS/300 000 KM CombinationYes</v>
          </cell>
          <cell r="H41">
            <v>123240</v>
          </cell>
          <cell r="N41" t="str">
            <v>TGX6X460 MONTHS/750 000 KM</v>
          </cell>
          <cell r="O41">
            <v>37920</v>
          </cell>
          <cell r="AC41" t="str">
            <v>TGX4X242 MONTHS/525 000 KMEntire VehicleYes</v>
          </cell>
          <cell r="AD41">
            <v>55300</v>
          </cell>
          <cell r="AK41" t="str">
            <v>TGX4X248 MONTHS/700 000 KMDrivelineYes</v>
          </cell>
          <cell r="AL41">
            <v>37130</v>
          </cell>
        </row>
        <row r="42">
          <cell r="G42" t="str">
            <v>TGX4X4 H/D36 MONTHS/225 000 KM60 MONTHS/750 000 KMCombinationNo</v>
          </cell>
          <cell r="H42">
            <v>126400</v>
          </cell>
          <cell r="N42" t="str">
            <v>TGX6X624 MONTHS/300 000 KM</v>
          </cell>
          <cell r="O42">
            <v>1580</v>
          </cell>
          <cell r="AC42" t="str">
            <v>TGX4X242 MONTHS/612 500 KMEntire VehicleNo</v>
          </cell>
          <cell r="AD42">
            <v>75050</v>
          </cell>
          <cell r="AK42" t="str">
            <v>TGX4X248 MONTHS/800 000 KMDrivelineNo</v>
          </cell>
          <cell r="AL42">
            <v>56090</v>
          </cell>
        </row>
        <row r="43">
          <cell r="G43" t="str">
            <v>TGX4X4 H/D36 MONTHS/225 000 KM60 MONTHS/750 000 KMCombinationYes</v>
          </cell>
          <cell r="H43">
            <v>217250</v>
          </cell>
          <cell r="N43" t="str">
            <v>TGX6X636 MONTHS/150 000 KM</v>
          </cell>
          <cell r="O43">
            <v>5530</v>
          </cell>
          <cell r="AC43" t="str">
            <v>TGX4X242 MONTHS/612 500 KMEntire VehicleYes</v>
          </cell>
          <cell r="AD43">
            <v>60040</v>
          </cell>
          <cell r="AK43" t="str">
            <v>TGX4X248 MONTHS/800 000 KMDrivelineYes</v>
          </cell>
          <cell r="AL43">
            <v>45030</v>
          </cell>
        </row>
        <row r="44">
          <cell r="G44" t="str">
            <v>TGX4X4 H/D36 MONTHS/450 000 KM48 MONTHS/600 000 KMCombinationNo</v>
          </cell>
          <cell r="H44">
            <v>121660</v>
          </cell>
          <cell r="N44" t="str">
            <v>TGX6X636 MONTHS/225 000 KM</v>
          </cell>
          <cell r="O44">
            <v>6320</v>
          </cell>
          <cell r="AC44" t="str">
            <v>TGX4X248 MONTHS/100 000 KMEntire VehicleNo</v>
          </cell>
          <cell r="AD44">
            <v>18960</v>
          </cell>
          <cell r="AK44" t="str">
            <v>TGX4X254 MONTHS/450 000 KMDrivelineNo</v>
          </cell>
          <cell r="AL44">
            <v>27650</v>
          </cell>
        </row>
        <row r="45">
          <cell r="G45" t="str">
            <v>TGX4X4 H/D36 MONTHS/450 000 KM48 MONTHS/600 000 KMCombinationYes</v>
          </cell>
          <cell r="H45">
            <v>202240</v>
          </cell>
          <cell r="N45" t="str">
            <v>TGX6X636 MONTHS/300 000 KM</v>
          </cell>
          <cell r="O45">
            <v>7900</v>
          </cell>
          <cell r="AC45" t="str">
            <v>TGX4X248 MONTHS/100 000 KMEntire VehicleYes</v>
          </cell>
          <cell r="AD45">
            <v>15800</v>
          </cell>
          <cell r="AK45" t="str">
            <v>TGX4X254 MONTHS/450 000 KMDrivelineYes</v>
          </cell>
          <cell r="AL45">
            <v>22120</v>
          </cell>
        </row>
        <row r="46">
          <cell r="G46" t="str">
            <v>TGX4X4 H/D36 MONTHS/450 000 KM60 MONTHS/750 000 KMCombinationNo</v>
          </cell>
          <cell r="H46">
            <v>209350</v>
          </cell>
          <cell r="N46" t="str">
            <v>TGX6X636 MONTHS/375 000 KM</v>
          </cell>
          <cell r="O46">
            <v>9480</v>
          </cell>
          <cell r="AC46" t="str">
            <v>TGX4X248 MONTHS/200 000 KMEntire VehicleNo</v>
          </cell>
          <cell r="AD46">
            <v>32390</v>
          </cell>
          <cell r="AK46" t="str">
            <v>TGX4X254 MONTHS/562 500 KMDrivelineNo</v>
          </cell>
          <cell r="AL46">
            <v>36340</v>
          </cell>
        </row>
        <row r="47">
          <cell r="G47" t="str">
            <v>TGX4X4 H/D36 MONTHS/450 000 KM60 MONTHS/750 000 KMCombinationYes</v>
          </cell>
          <cell r="H47">
            <v>357870</v>
          </cell>
          <cell r="N47" t="str">
            <v>TGX6X636 MONTHS/450 000 KM</v>
          </cell>
          <cell r="O47">
            <v>11060</v>
          </cell>
          <cell r="AC47" t="str">
            <v>TGX4X248 MONTHS/200 000 KMEntire VehicleYes</v>
          </cell>
          <cell r="AD47">
            <v>26860</v>
          </cell>
          <cell r="AK47" t="str">
            <v>TGX4X254 MONTHS/562 500 KMDrivelineYes</v>
          </cell>
          <cell r="AL47">
            <v>29230</v>
          </cell>
        </row>
        <row r="48">
          <cell r="G48" t="str">
            <v>TGX4X4 H/D48 MONTHS/300 000 KM60 MONTHS/750 000 KMCombinationNo</v>
          </cell>
          <cell r="H48">
            <v>184070</v>
          </cell>
          <cell r="N48" t="str">
            <v>TGX6X636 MONTHS/75 000 KM</v>
          </cell>
          <cell r="O48">
            <v>4740</v>
          </cell>
          <cell r="AC48" t="str">
            <v>TGX4X248 MONTHS/300 000 KMEntire VehicleNo</v>
          </cell>
          <cell r="AD48">
            <v>54510</v>
          </cell>
          <cell r="AK48" t="str">
            <v>TGX4X254 MONTHS/675 000 KMDrivelineNo</v>
          </cell>
          <cell r="AL48">
            <v>48190</v>
          </cell>
        </row>
        <row r="49">
          <cell r="G49" t="str">
            <v>TGX4X4 H/D48 MONTHS/300 000 KM60 MONTHS/750 000 KMCombinationYes</v>
          </cell>
          <cell r="H49">
            <v>308890</v>
          </cell>
          <cell r="N49" t="str">
            <v>TGX6X648 MONTHS/100 000 KM</v>
          </cell>
          <cell r="O49">
            <v>8690</v>
          </cell>
          <cell r="AC49" t="str">
            <v>TGX4X248 MONTHS/300 000 KMEntire VehicleYes</v>
          </cell>
          <cell r="AD49">
            <v>44240</v>
          </cell>
          <cell r="AK49" t="str">
            <v>TGX4X254 MONTHS/675 000 KMDrivelineYes</v>
          </cell>
          <cell r="AL49">
            <v>38710</v>
          </cell>
        </row>
        <row r="50">
          <cell r="G50" t="str">
            <v>TGX4X4 H/D48 MONTHS/300 000 KM60 MONTHS/750 000 KMCombinationNo</v>
          </cell>
          <cell r="H50">
            <v>259910</v>
          </cell>
          <cell r="N50" t="str">
            <v>TGX6X648 MONTHS/200 000 KM</v>
          </cell>
          <cell r="O50">
            <v>10270</v>
          </cell>
          <cell r="AC50" t="str">
            <v>TGX4X248 MONTHS/400 000 KMEntire VehicleNo</v>
          </cell>
          <cell r="AD50">
            <v>70310</v>
          </cell>
          <cell r="AK50" t="str">
            <v>TGX4X254 MONTHS/787 500 KMDrivelineNo</v>
          </cell>
          <cell r="AL50">
            <v>59250</v>
          </cell>
        </row>
        <row r="51">
          <cell r="G51" t="str">
            <v>TGX4X4 H/D48 MONTHS/300 000 KM60 MONTHS/750 000 KMCombinationYes</v>
          </cell>
          <cell r="H51">
            <v>429760</v>
          </cell>
          <cell r="N51" t="str">
            <v>TGX6X648 MONTHS/300 000 KM</v>
          </cell>
          <cell r="O51">
            <v>11850</v>
          </cell>
          <cell r="AC51" t="str">
            <v>TGX4X248 MONTHS/400 000 KMEntire VehicleYes</v>
          </cell>
          <cell r="AD51">
            <v>56880</v>
          </cell>
          <cell r="AK51" t="str">
            <v>TGX4X254 MONTHS/787 500 KMDrivelineYes</v>
          </cell>
          <cell r="AL51">
            <v>47400</v>
          </cell>
        </row>
        <row r="52">
          <cell r="G52" t="str">
            <v>TGX4X424 MONTHS/150 000 KM 36 MONTHS/225 000 KMCombinationNo</v>
          </cell>
          <cell r="H52">
            <v>28440</v>
          </cell>
          <cell r="N52" t="str">
            <v>TGX6X648 MONTHS/400 000 KM</v>
          </cell>
          <cell r="O52">
            <v>14220</v>
          </cell>
          <cell r="AC52" t="str">
            <v>TGX4X248 MONTHS/500 000 KMEntire VehicleNo</v>
          </cell>
          <cell r="AD52">
            <v>86110</v>
          </cell>
          <cell r="AK52" t="str">
            <v>TGX4X260 MONTHS/125 000 KMDrivelineNo</v>
          </cell>
          <cell r="AL52">
            <v>25280</v>
          </cell>
        </row>
        <row r="53">
          <cell r="G53" t="str">
            <v>TGX4X424 MONTHS/150 000 KM 36 MONTHS/225 000 KMCombinationYes</v>
          </cell>
          <cell r="H53">
            <v>22910</v>
          </cell>
          <cell r="N53" t="str">
            <v>TGX6X648 MONTHS/500 000 KM</v>
          </cell>
          <cell r="O53">
            <v>16590</v>
          </cell>
          <cell r="AC53" t="str">
            <v>TGX4X248 MONTHS/500 000 KMEntire VehicleYes</v>
          </cell>
          <cell r="AD53">
            <v>69520</v>
          </cell>
          <cell r="AK53" t="str">
            <v>TGX4X260 MONTHS/125 000 KMDrivelineYes</v>
          </cell>
          <cell r="AL53">
            <v>21330</v>
          </cell>
        </row>
        <row r="54">
          <cell r="G54" t="str">
            <v>TGX4X424 MONTHS/300 000 KM36 MONTHS/450 000 KMCombinationNo</v>
          </cell>
          <cell r="H54">
            <v>44240</v>
          </cell>
          <cell r="N54" t="str">
            <v>TGX6X648 MONTHS/600 000 KM</v>
          </cell>
          <cell r="O54">
            <v>18960</v>
          </cell>
          <cell r="AC54" t="str">
            <v>TGX4X248 MONTHS/600 000 KMEntire VehicleNo</v>
          </cell>
          <cell r="AD54">
            <v>94800</v>
          </cell>
          <cell r="AK54" t="str">
            <v>TGX4X260 MONTHS/250 000 KMDrivelineNo</v>
          </cell>
          <cell r="AL54">
            <v>26070</v>
          </cell>
        </row>
        <row r="55">
          <cell r="G55" t="str">
            <v>TGX4X424 MONTHS/300 000 KM36 MONTHS/450 000 KMCombinationYes</v>
          </cell>
          <cell r="H55">
            <v>35550</v>
          </cell>
          <cell r="N55" t="str">
            <v>TGX6X660 MONTHS/125 000 KM</v>
          </cell>
          <cell r="O55">
            <v>17380</v>
          </cell>
          <cell r="AC55" t="str">
            <v>TGX4X248 MONTHS/600 000 KMEntire VehicleYes</v>
          </cell>
          <cell r="AD55">
            <v>75840</v>
          </cell>
          <cell r="AK55" t="str">
            <v>TGX4X260 MONTHS/250 000 KMDrivelineYes</v>
          </cell>
          <cell r="AL55">
            <v>22120</v>
          </cell>
        </row>
        <row r="56">
          <cell r="G56" t="str">
            <v>TGX4X424 MONTHS/150 000 KM48 MONTHS/300 000 KMCombinationNo</v>
          </cell>
          <cell r="H56">
            <v>44240</v>
          </cell>
          <cell r="N56" t="str">
            <v>TGX6X660 MONTHS/250 000 KM</v>
          </cell>
          <cell r="O56">
            <v>20540</v>
          </cell>
          <cell r="AC56" t="str">
            <v>TGX4X248 MONTHS/700 000 KMEntire VehicleNo</v>
          </cell>
          <cell r="AD56">
            <v>101120</v>
          </cell>
          <cell r="AK56" t="str">
            <v>TGX4X260 MONTHS/375 000 KMDrivelineNo</v>
          </cell>
          <cell r="AL56">
            <v>26860</v>
          </cell>
        </row>
        <row r="57">
          <cell r="G57" t="str">
            <v>TGX4X424 MONTHS/150 000 KM48 MONTHS/300 000 KMCombinationYes</v>
          </cell>
          <cell r="H57">
            <v>35550</v>
          </cell>
          <cell r="N57" t="str">
            <v>TGX6X660 MONTHS/375 000 KM</v>
          </cell>
          <cell r="O57">
            <v>24490</v>
          </cell>
          <cell r="AC57" t="str">
            <v>TGX4X248 MONTHS/700 000 KMEntire VehicleYes</v>
          </cell>
          <cell r="AD57">
            <v>81370</v>
          </cell>
          <cell r="AK57" t="str">
            <v>TGX4X260 MONTHS/375 000 KMDrivelineYes</v>
          </cell>
          <cell r="AL57">
            <v>22910</v>
          </cell>
        </row>
        <row r="58">
          <cell r="G58" t="str">
            <v>TGX4X424 MONTHS/300 000 KM48 MONTHS/600 000 KMCombinationNo</v>
          </cell>
          <cell r="H58">
            <v>79790</v>
          </cell>
          <cell r="N58" t="str">
            <v>TGX6X660 MONTHS/500 000 KM</v>
          </cell>
          <cell r="O58">
            <v>29230</v>
          </cell>
          <cell r="AC58" t="str">
            <v>TGX4X248 MONTHS/800 000 KMEntire VehicleNo</v>
          </cell>
          <cell r="AD58">
            <v>108230</v>
          </cell>
          <cell r="AK58" t="str">
            <v>TGX4X260 MONTHS/500 000 KMDrivelineNo</v>
          </cell>
          <cell r="AL58">
            <v>36340</v>
          </cell>
        </row>
        <row r="59">
          <cell r="G59" t="str">
            <v>TGX4X424 MONTHS/300 000 KM48 MONTHS/600 000 KMCombinationYes</v>
          </cell>
          <cell r="H59">
            <v>63990</v>
          </cell>
          <cell r="N59" t="str">
            <v>TGX6X660 MONTHS/625 000 KM</v>
          </cell>
          <cell r="O59">
            <v>33970</v>
          </cell>
          <cell r="AC59" t="str">
            <v>TGX4X248 MONTHS/800 000 KMEntire VehicleYes</v>
          </cell>
          <cell r="AD59">
            <v>86900</v>
          </cell>
          <cell r="AK59" t="str">
            <v>TGX4X260 MONTHS/500 000 KMDrivelineYes</v>
          </cell>
          <cell r="AL59">
            <v>29230</v>
          </cell>
        </row>
        <row r="60">
          <cell r="G60" t="str">
            <v>TGX4X424 MONTHS/225 000 KM48 MONTHS/300 000 KMCombinationNo</v>
          </cell>
          <cell r="H60">
            <v>56880</v>
          </cell>
          <cell r="N60" t="str">
            <v>TGX6X660 MONTHS/750 000 KM</v>
          </cell>
          <cell r="O60">
            <v>37920</v>
          </cell>
          <cell r="AC60" t="str">
            <v>TGX4X254 MONTHS/450 000 KMEntire VehicleNo</v>
          </cell>
          <cell r="AD60">
            <v>102700</v>
          </cell>
          <cell r="AK60" t="str">
            <v>TGX4X260 MONTHS/625 000 KMDrivelineNo</v>
          </cell>
          <cell r="AL60">
            <v>47400</v>
          </cell>
        </row>
        <row r="61">
          <cell r="G61" t="str">
            <v>TGX4X424 MONTHS/225 000 KM48 MONTHS/300 000 KMCombinationYes</v>
          </cell>
          <cell r="H61">
            <v>45820</v>
          </cell>
          <cell r="N61" t="str">
            <v>TGX8X224 MONTHS/300 000 KM</v>
          </cell>
          <cell r="O61">
            <v>1580</v>
          </cell>
          <cell r="AC61" t="str">
            <v>TGX4X254 MONTHS/450 000 KMEntire VehicleYes</v>
          </cell>
          <cell r="AD61">
            <v>82160</v>
          </cell>
          <cell r="AK61" t="str">
            <v>TGX4X260 MONTHS/625 000 KMDrivelineYes</v>
          </cell>
          <cell r="AL61">
            <v>37920</v>
          </cell>
        </row>
        <row r="62">
          <cell r="G62" t="str">
            <v>TGX4X436 MONTHS/450 000 KM48 MONTHS/600 000 KMCombinationNo</v>
          </cell>
          <cell r="H62">
            <v>105860</v>
          </cell>
          <cell r="N62" t="str">
            <v>TGX8X236 MONTHS/150 000 KM</v>
          </cell>
          <cell r="O62">
            <v>7900</v>
          </cell>
          <cell r="AC62" t="str">
            <v>TGX4X254 MONTHS/562 500 KMEntire VehicleNo</v>
          </cell>
          <cell r="AD62">
            <v>124030</v>
          </cell>
          <cell r="AK62" t="str">
            <v>TGX4X260 MONTHS/750 000 KMDrivelineNo</v>
          </cell>
          <cell r="AL62">
            <v>60040</v>
          </cell>
        </row>
        <row r="63">
          <cell r="G63" t="str">
            <v>TGX4X436 MONTHS/450 000 KM48 MONTHS/600 000 KMCombinationYes</v>
          </cell>
          <cell r="H63">
            <v>85320</v>
          </cell>
          <cell r="N63" t="str">
            <v>TGX8X236 MONTHS/225 000 KM</v>
          </cell>
          <cell r="O63">
            <v>9480</v>
          </cell>
          <cell r="AC63" t="str">
            <v>TGX4X254 MONTHS/562 500 KMEntire VehicleYes</v>
          </cell>
          <cell r="AD63">
            <v>99540</v>
          </cell>
          <cell r="AK63" t="str">
            <v>TGX4X260 MONTHS/750 000 KMDrivelineYes</v>
          </cell>
          <cell r="AL63">
            <v>48190</v>
          </cell>
        </row>
        <row r="64">
          <cell r="G64" t="str">
            <v>TGX4X424 MONTHS/150 000 KM60 MONTHS/375 000 KM CombinationNo</v>
          </cell>
          <cell r="H64">
            <v>78210</v>
          </cell>
          <cell r="N64" t="str">
            <v>TGX8X236 MONTHS/300 000 KM</v>
          </cell>
          <cell r="O64">
            <v>11060</v>
          </cell>
          <cell r="AC64" t="str">
            <v>TGX4X254 MONTHS/675 000 KMEntire VehicleNo</v>
          </cell>
          <cell r="AD64">
            <v>135090</v>
          </cell>
          <cell r="AK64" t="str">
            <v>TGX4X260 MONTHS/875 000 KMDrivelineNo</v>
          </cell>
          <cell r="AL64">
            <v>71890</v>
          </cell>
        </row>
        <row r="65">
          <cell r="G65" t="str">
            <v>TGX4X424 MONTHS/150 000 KM60 MONTHS/375 000 KM CombinationYes</v>
          </cell>
          <cell r="H65">
            <v>63200</v>
          </cell>
          <cell r="N65" t="str">
            <v>TGX8X236 MONTHS/375 000 KM</v>
          </cell>
          <cell r="O65">
            <v>12640</v>
          </cell>
          <cell r="AC65" t="str">
            <v>TGX4X254 MONTHS/675 000 KMEntire VehicleYes</v>
          </cell>
          <cell r="AD65">
            <v>108230</v>
          </cell>
          <cell r="AK65" t="str">
            <v>TGX4X260 MONTHS/875 000 KMDrivelineYes</v>
          </cell>
          <cell r="AL65">
            <v>57670</v>
          </cell>
        </row>
        <row r="66">
          <cell r="G66" t="str">
            <v>TGX4X424 MONTHS/300 000 KM60 MONTHS/750 000 KMCombinationNo</v>
          </cell>
          <cell r="H66">
            <v>156420</v>
          </cell>
          <cell r="N66" t="str">
            <v>TGX8X236 MONTHS/450 000 KM</v>
          </cell>
          <cell r="O66">
            <v>13430</v>
          </cell>
          <cell r="AC66" t="str">
            <v>TGX4X254 MONTHS/787 500 KMEntire VehicleNo</v>
          </cell>
          <cell r="AD66">
            <v>142990</v>
          </cell>
          <cell r="AK66" t="str">
            <v>TGX4X260 MONTHS/1 000 000 KMDrivelineNo</v>
          </cell>
          <cell r="AL66">
            <v>86110</v>
          </cell>
        </row>
        <row r="67">
          <cell r="G67" t="str">
            <v>TGX4X424 MONTHS/300 000 KM60 MONTHS/750 000 KMCombinationYes</v>
          </cell>
          <cell r="H67">
            <v>125610</v>
          </cell>
          <cell r="N67" t="str">
            <v>TGX8X236 MONTHS/75 000 KM</v>
          </cell>
          <cell r="O67">
            <v>6320</v>
          </cell>
          <cell r="AC67" t="str">
            <v>TGX4X254 MONTHS/787 500 KMEntire VehicleYes</v>
          </cell>
          <cell r="AD67">
            <v>114550</v>
          </cell>
          <cell r="AK67" t="str">
            <v>TGX4X260 MONTHS/1 000 000 KMDrivelineYes</v>
          </cell>
          <cell r="AL67">
            <v>69520</v>
          </cell>
        </row>
        <row r="68">
          <cell r="G68" t="str">
            <v>TGX4X436 MONTHS/225 000 KM60 MONTHS/375 000 KMCombinationNo</v>
          </cell>
          <cell r="H68">
            <v>90850</v>
          </cell>
          <cell r="N68" t="str">
            <v>TGX8X248 MONTHS/100 000 KM</v>
          </cell>
          <cell r="O68">
            <v>11850</v>
          </cell>
          <cell r="AC68" t="str">
            <v>TGX4X260 MONTHS/125 000 KMEntire VehicleNo</v>
          </cell>
          <cell r="AD68">
            <v>44240</v>
          </cell>
          <cell r="AK68" t="str">
            <v>TGX4X272 MONTHS/150 000 KMDrivelineNo</v>
          </cell>
          <cell r="AL68">
            <v>54510</v>
          </cell>
        </row>
        <row r="69">
          <cell r="G69" t="str">
            <v>TGX4X436 MONTHS/225 000 KM60 MONTHS/375 000 KMCombinationYes</v>
          </cell>
          <cell r="H69">
            <v>72680</v>
          </cell>
          <cell r="N69" t="str">
            <v>TGX8X248 MONTHS/200 000 KM</v>
          </cell>
          <cell r="O69">
            <v>13430</v>
          </cell>
          <cell r="AC69" t="str">
            <v>TGX4X260 MONTHS/125 000 KMEntire VehicleYes</v>
          </cell>
          <cell r="AD69">
            <v>36340</v>
          </cell>
          <cell r="AK69" t="str">
            <v>TGX4X272 MONTHS/150 000 KMDrivelineYes</v>
          </cell>
          <cell r="AL69">
            <v>44240</v>
          </cell>
        </row>
        <row r="70">
          <cell r="G70" t="str">
            <v>TGX4X436 MONTHS/450 000 KM60 MONTHS/750 000 KMCombinationNo</v>
          </cell>
          <cell r="H70">
            <v>181700</v>
          </cell>
          <cell r="N70" t="str">
            <v>TGX8X248 MONTHS/300 000 KM</v>
          </cell>
          <cell r="O70">
            <v>15800</v>
          </cell>
          <cell r="AC70" t="str">
            <v>TGX4X260 MONTHS/250 000 KMEntire VehicleNo</v>
          </cell>
          <cell r="AD70">
            <v>64780</v>
          </cell>
          <cell r="AK70" t="str">
            <v>TGX4X272 MONTHS/300 000 KMDrivelineNo</v>
          </cell>
          <cell r="AL70">
            <v>122450</v>
          </cell>
        </row>
        <row r="71">
          <cell r="G71" t="str">
            <v>TGX4X436 MONTHS/450 000 KM60 MONTHS/750 000 KMCombinationYes</v>
          </cell>
          <cell r="H71">
            <v>146150</v>
          </cell>
          <cell r="N71" t="str">
            <v>TGX8X248 MONTHS/400 000 KM</v>
          </cell>
          <cell r="O71">
            <v>19750</v>
          </cell>
          <cell r="AC71" t="str">
            <v>TGX4X260 MONTHS/250 000 KMEntire VehicleYes</v>
          </cell>
          <cell r="AD71">
            <v>53720</v>
          </cell>
          <cell r="AK71" t="str">
            <v>TGX4X272 MONTHS/300 000 KMDrivelineYes</v>
          </cell>
          <cell r="AL71">
            <v>97960</v>
          </cell>
        </row>
        <row r="72">
          <cell r="G72" t="str">
            <v>TGX4X448 MONTHS/300 000 KM60 MONTHS/375 000 KMCombinationNo</v>
          </cell>
          <cell r="H72">
            <v>161160</v>
          </cell>
          <cell r="N72" t="str">
            <v>TGX8X248 MONTHS/500 000 KM</v>
          </cell>
          <cell r="O72">
            <v>23700</v>
          </cell>
          <cell r="AC72" t="str">
            <v>TGX4X260 MONTHS/375 000 KMEntire VehicleNo</v>
          </cell>
          <cell r="AD72">
            <v>102700</v>
          </cell>
          <cell r="AK72" t="str">
            <v>TGX4X272 MONTHS/450 000 KMDrivelineNo</v>
          </cell>
          <cell r="AL72">
            <v>191970</v>
          </cell>
        </row>
        <row r="73">
          <cell r="G73" t="str">
            <v>TGX4X448 MONTHS/300 000 KM60 MONTHS/375 000 KMCombinationYes</v>
          </cell>
          <cell r="H73">
            <v>145360</v>
          </cell>
          <cell r="N73" t="str">
            <v>TGX8X248 MONTHS/600 000 KM</v>
          </cell>
          <cell r="O73">
            <v>26070</v>
          </cell>
          <cell r="AC73" t="str">
            <v>TGX4X260 MONTHS/375 000 KMEntire VehicleYes</v>
          </cell>
          <cell r="AD73">
            <v>82160</v>
          </cell>
          <cell r="AK73" t="str">
            <v>TGX4X272 MONTHS/450 000 KMDrivelineYes</v>
          </cell>
          <cell r="AL73">
            <v>154050</v>
          </cell>
        </row>
        <row r="74">
          <cell r="G74" t="str">
            <v>TGX4X448 MONTHS/600 000 KM60 MONTHS/750 000 KMCombinationNo</v>
          </cell>
          <cell r="H74">
            <v>286770</v>
          </cell>
          <cell r="N74" t="str">
            <v>TGX8X260 MONTHS/125 000 KM</v>
          </cell>
          <cell r="O74">
            <v>24490</v>
          </cell>
          <cell r="AC74" t="str">
            <v>TGX4X260 MONTHS/500 000 KMEntire VehicleNo</v>
          </cell>
          <cell r="AD74">
            <v>135880</v>
          </cell>
          <cell r="AK74" t="str">
            <v>TGX4X272 MONTHS/600 000 KMDrivelineNo</v>
          </cell>
          <cell r="AL74">
            <v>260700</v>
          </cell>
        </row>
        <row r="75">
          <cell r="G75" t="str">
            <v>TGX4X448 MONTHS/600 000 KM60 MONTHS/750 000 KMCombinationYes</v>
          </cell>
          <cell r="H75">
            <v>229890</v>
          </cell>
          <cell r="N75" t="str">
            <v>TGX8X260 MONTHS/250 000 KM</v>
          </cell>
          <cell r="O75">
            <v>28440</v>
          </cell>
          <cell r="AC75" t="str">
            <v>TGX4X260 MONTHS/500 000 KMEntire VehicleYes</v>
          </cell>
          <cell r="AD75">
            <v>109020</v>
          </cell>
          <cell r="AK75" t="str">
            <v>TGX4X272 MONTHS/600 000 KMDrivelineYes</v>
          </cell>
          <cell r="AL75">
            <v>208560</v>
          </cell>
        </row>
        <row r="76">
          <cell r="G76" t="str">
            <v>TGX6X224 MONTHS/300 000 KM36 MONTHS/450 000 KMCombinationNo</v>
          </cell>
          <cell r="H76">
            <v>32390</v>
          </cell>
          <cell r="N76" t="str">
            <v>TGX8X260 MONTHS/375 000 KM</v>
          </cell>
          <cell r="O76">
            <v>33180</v>
          </cell>
          <cell r="AC76" t="str">
            <v>TGX4X260 MONTHS/625 000 KMEntire VehicleNo</v>
          </cell>
          <cell r="AD76">
            <v>161950</v>
          </cell>
          <cell r="AK76" t="str">
            <v>TGX4X272 MONTHS/750 000 KMDrivelineNo</v>
          </cell>
          <cell r="AL76">
            <v>330220</v>
          </cell>
        </row>
        <row r="77">
          <cell r="G77" t="str">
            <v>TGX6X224 MONTHS/300 000 KM36 MONTHS/450 000 KMCombinationYes</v>
          </cell>
          <cell r="H77">
            <v>26070</v>
          </cell>
          <cell r="N77" t="str">
            <v>TGX8X260 MONTHS/500 000 KM</v>
          </cell>
          <cell r="O77">
            <v>41870</v>
          </cell>
          <cell r="AC77" t="str">
            <v>TGX4X260 MONTHS/625 000 KMEntire VehicleYes</v>
          </cell>
          <cell r="AD77">
            <v>129560</v>
          </cell>
          <cell r="AK77" t="str">
            <v>TGX4X272 MONTHS/750 000 KMDrivelineYes</v>
          </cell>
          <cell r="AL77">
            <v>264650</v>
          </cell>
        </row>
        <row r="78">
          <cell r="G78" t="str">
            <v>TGX6X224 MONTHS/400 000 KM36 MONTHS/600 000 KMCombinationNo</v>
          </cell>
          <cell r="H78">
            <v>41080</v>
          </cell>
          <cell r="N78" t="str">
            <v>TGX8X260 MONTHS/625 000 KM</v>
          </cell>
          <cell r="O78">
            <v>49770</v>
          </cell>
          <cell r="AC78" t="str">
            <v>TGX4X260 MONTHS/750 000 KMEntire VehicleNo</v>
          </cell>
          <cell r="AD78">
            <v>175380</v>
          </cell>
          <cell r="AK78" t="str">
            <v>TGX4X272 MONTHS/900 000 KMDrivelineNo</v>
          </cell>
          <cell r="AL78">
            <v>399740</v>
          </cell>
        </row>
        <row r="79">
          <cell r="G79" t="str">
            <v>TGX6X224 MONTHS/400 000 KM36 MONTHS/600 000 KMCombinationYes</v>
          </cell>
          <cell r="H79">
            <v>33180</v>
          </cell>
          <cell r="N79" t="str">
            <v>TGX8X260 MONTHS/750 000 KM</v>
          </cell>
          <cell r="O79">
            <v>56880</v>
          </cell>
          <cell r="AC79" t="str">
            <v>TGX4X260 MONTHS/750 000 KMEntire VehicleYes</v>
          </cell>
          <cell r="AD79">
            <v>140620</v>
          </cell>
          <cell r="AK79" t="str">
            <v>TGX4X272 MONTHS/900 000 KMDrivelineYes</v>
          </cell>
          <cell r="AL79">
            <v>319950</v>
          </cell>
        </row>
        <row r="80">
          <cell r="G80" t="str">
            <v>TGX6X224 MONTHS/300 000 KM48 MONTHS/600 000 KMCombinationNo</v>
          </cell>
          <cell r="H80">
            <v>50560</v>
          </cell>
          <cell r="N80" t="str">
            <v>TGX8X424 MONTHS/300 000 KM</v>
          </cell>
          <cell r="O80">
            <v>1580</v>
          </cell>
          <cell r="AC80" t="str">
            <v>TGX4X260 MONTHS/875 000 KMEntire VehicleNo</v>
          </cell>
          <cell r="AD80">
            <v>184860</v>
          </cell>
          <cell r="AK80" t="str">
            <v>TGX4X436 MONTHS/75 000 KMDrivelineNo</v>
          </cell>
          <cell r="AL80">
            <v>9480</v>
          </cell>
        </row>
        <row r="81">
          <cell r="G81" t="str">
            <v>TGX6X224 MONTHS/300 000 KM48 MONTHS/600 000 KMCombinationYes</v>
          </cell>
          <cell r="H81">
            <v>41080</v>
          </cell>
          <cell r="N81" t="str">
            <v>TGX8X436 MONTHS/150 000 KM</v>
          </cell>
          <cell r="O81">
            <v>5530</v>
          </cell>
          <cell r="AC81" t="str">
            <v>TGX4X260 MONTHS/875 000 KMEntire VehicleYes</v>
          </cell>
          <cell r="AD81">
            <v>148520</v>
          </cell>
          <cell r="AK81" t="str">
            <v>TGX4X436 MONTHS/75 000 KMDrivelineYes</v>
          </cell>
          <cell r="AL81">
            <v>7900</v>
          </cell>
        </row>
        <row r="82">
          <cell r="G82" t="str">
            <v>TGX6X224 MONTHS/400 000 KM48 MONTHS/800 000 KMCombinationNo</v>
          </cell>
          <cell r="H82">
            <v>73470</v>
          </cell>
          <cell r="N82" t="str">
            <v>TGX8X436 MONTHS/225 000 KM</v>
          </cell>
          <cell r="O82">
            <v>6320</v>
          </cell>
          <cell r="AC82" t="str">
            <v>TGX4X260 MONTHS/1 000 000 KMEntire VehicleNo</v>
          </cell>
          <cell r="AD82">
            <v>203820</v>
          </cell>
          <cell r="AK82" t="str">
            <v>TGX4X436 MONTHS/150 000 KMDrivelineNo</v>
          </cell>
          <cell r="AL82">
            <v>15010</v>
          </cell>
        </row>
        <row r="83">
          <cell r="G83" t="str">
            <v>TGX6X224 MONTHS/400 000 KM48 MONTHS/800 000 KMCombinationYes</v>
          </cell>
          <cell r="H83">
            <v>59250</v>
          </cell>
          <cell r="N83" t="str">
            <v>TGX8X436 MONTHS/300 000 KM</v>
          </cell>
          <cell r="O83">
            <v>7900</v>
          </cell>
          <cell r="AC83" t="str">
            <v>TGX4X260 MONTHS/1 000 000 KMEntire VehicleYes</v>
          </cell>
          <cell r="AD83">
            <v>163530</v>
          </cell>
          <cell r="AK83" t="str">
            <v>TGX4X436 MONTHS/150 000 KMDrivelineYes</v>
          </cell>
          <cell r="AL83">
            <v>12640</v>
          </cell>
        </row>
        <row r="84">
          <cell r="G84" t="str">
            <v>TGX6X236 MONTHS/450 000 KM48 MONTHS/600 000 KMCombinationNo</v>
          </cell>
          <cell r="H84">
            <v>61620</v>
          </cell>
          <cell r="N84" t="str">
            <v>TGX8X436 MONTHS/375 000 KM</v>
          </cell>
          <cell r="O84">
            <v>9480</v>
          </cell>
          <cell r="AC84" t="str">
            <v>TGX4X424 MONTHS/50 000 KMEntire VehicleNo</v>
          </cell>
          <cell r="AD84">
            <v>7900</v>
          </cell>
          <cell r="AK84" t="str">
            <v>TGX4X436 MONTHS/225 000 KMDrivelineNo</v>
          </cell>
          <cell r="AL84">
            <v>16590</v>
          </cell>
        </row>
        <row r="85">
          <cell r="G85" t="str">
            <v>TGX6X236 MONTHS/450 000 KM48 MONTHS/600 000 KMCombinationYes</v>
          </cell>
          <cell r="H85">
            <v>49770</v>
          </cell>
          <cell r="N85" t="str">
            <v>TGX8X436 MONTHS/450 000 KM</v>
          </cell>
          <cell r="O85">
            <v>11060</v>
          </cell>
          <cell r="AC85" t="str">
            <v>TGX4X424 MONTHS/50 000 KMEntire VehicleYes</v>
          </cell>
          <cell r="AD85">
            <v>6320</v>
          </cell>
          <cell r="AK85" t="str">
            <v>TGX4X436 MONTHS/225 000 KMDrivelineYes</v>
          </cell>
          <cell r="AL85">
            <v>13430</v>
          </cell>
        </row>
        <row r="86">
          <cell r="G86" t="str">
            <v>TGX6X236 MONTHS/400 000 KM48 MONTHS/800 000 KMCombinationNo</v>
          </cell>
          <cell r="H86">
            <v>86110</v>
          </cell>
          <cell r="N86" t="str">
            <v>TGX8X436 MONTHS/75 000 KM</v>
          </cell>
          <cell r="O86">
            <v>4740</v>
          </cell>
          <cell r="AC86" t="str">
            <v>TGX4X424 MONTHS/100 000 KMEntire VehicleNo</v>
          </cell>
          <cell r="AD86">
            <v>9480</v>
          </cell>
          <cell r="AK86" t="str">
            <v>TGX4X436 MONTHS/300 000 KMDrivelineNo</v>
          </cell>
          <cell r="AL86">
            <v>21330</v>
          </cell>
        </row>
        <row r="87">
          <cell r="G87" t="str">
            <v>TGX6X236 MONTHS/400 000 KM48 MONTHS/800 000 KMCombinationYes</v>
          </cell>
          <cell r="H87">
            <v>69520</v>
          </cell>
          <cell r="N87" t="str">
            <v>TGX8X448 MONTHS/100 000 KM</v>
          </cell>
          <cell r="O87">
            <v>8690</v>
          </cell>
          <cell r="AC87" t="str">
            <v>TGX4X424 MONTHS/100 000 KMEntire VehicleYes</v>
          </cell>
          <cell r="AD87">
            <v>7900</v>
          </cell>
          <cell r="AK87" t="str">
            <v>TGX4X436 MONTHS/300 000 KMDrivelineYes</v>
          </cell>
          <cell r="AL87">
            <v>17380</v>
          </cell>
        </row>
        <row r="88">
          <cell r="G88" t="str">
            <v>TGX6X224 MONTHS/300 000 KM60 MONTHS/750 000 KMCombinationNo</v>
          </cell>
          <cell r="H88">
            <v>75050</v>
          </cell>
          <cell r="N88" t="str">
            <v>TGX8X448 MONTHS/200 000 KM</v>
          </cell>
          <cell r="O88">
            <v>10270</v>
          </cell>
          <cell r="AC88" t="str">
            <v>TGX4X424 MONTHS/150 000 KMEntire VehicleNo</v>
          </cell>
          <cell r="AD88">
            <v>11850</v>
          </cell>
          <cell r="AK88" t="str">
            <v>TGX4X436 MONTHS/375 000 KMDrivelineNo</v>
          </cell>
          <cell r="AL88">
            <v>26070</v>
          </cell>
        </row>
        <row r="89">
          <cell r="G89" t="str">
            <v>TGX6X224 MONTHS/300 000 KM60 MONTHS/750 000 KMCombinationYes</v>
          </cell>
          <cell r="H89">
            <v>60040</v>
          </cell>
          <cell r="N89" t="str">
            <v>TGX8X448 MONTHS/300 000 KM</v>
          </cell>
          <cell r="O89">
            <v>11850</v>
          </cell>
          <cell r="AC89" t="str">
            <v>TGX4X424 MONTHS/150 000 KMEntire VehicleYes</v>
          </cell>
          <cell r="AD89">
            <v>9480</v>
          </cell>
          <cell r="AK89" t="str">
            <v>TGX4X436 MONTHS/375 000 KMDrivelineYes</v>
          </cell>
          <cell r="AL89">
            <v>21330</v>
          </cell>
        </row>
        <row r="90">
          <cell r="G90" t="str">
            <v>TGX6X224 MONTHS/400 000 KM60 MONTHS/1000 000 KMCombinationNo</v>
          </cell>
          <cell r="H90">
            <v>103490</v>
          </cell>
          <cell r="N90" t="str">
            <v>TGX8X448 MONTHS/400 000 KM</v>
          </cell>
          <cell r="O90">
            <v>14220</v>
          </cell>
          <cell r="AC90" t="str">
            <v>TGX4X424 MONTHS/200 000 KMEntire VehicleNo</v>
          </cell>
          <cell r="AD90">
            <v>14220</v>
          </cell>
          <cell r="AK90" t="str">
            <v>TGX4X436 MONTHS/450 000 KMDrivelineNo</v>
          </cell>
          <cell r="AL90">
            <v>26860</v>
          </cell>
        </row>
        <row r="91">
          <cell r="G91" t="str">
            <v>TGX6X224 MONTHS/400 000 KM60 MONTHS/1000 000 KMCombinationYes</v>
          </cell>
          <cell r="H91">
            <v>82950</v>
          </cell>
          <cell r="N91" t="str">
            <v>TGX8X448 MONTHS/500 000 KM</v>
          </cell>
          <cell r="O91">
            <v>16590</v>
          </cell>
          <cell r="AC91" t="str">
            <v>TGX4X424 MONTHS/200 000 KMEntire VehicleYes</v>
          </cell>
          <cell r="AD91">
            <v>11850</v>
          </cell>
          <cell r="AK91" t="str">
            <v>TGX4X436 MONTHS/450 000 KMDrivelineYes</v>
          </cell>
          <cell r="AL91">
            <v>22120</v>
          </cell>
        </row>
        <row r="92">
          <cell r="G92" t="str">
            <v>TGX6X236 MONTHS/450 000 KM60 MONTHS/750 000 KMCombinationNo</v>
          </cell>
          <cell r="H92">
            <v>86110</v>
          </cell>
          <cell r="N92" t="str">
            <v>TGX8X448 MONTHS/600 000 KM</v>
          </cell>
          <cell r="O92">
            <v>18960</v>
          </cell>
          <cell r="AC92" t="str">
            <v>TGX4X424 MONTHS/250 000 KMEntire VehicleNo</v>
          </cell>
          <cell r="AD92">
            <v>16590</v>
          </cell>
          <cell r="AK92" t="str">
            <v>TGX4X448 MONTHS/100 000 KMDrivelineNo</v>
          </cell>
          <cell r="AL92">
            <v>23700</v>
          </cell>
        </row>
        <row r="93">
          <cell r="G93" t="str">
            <v>TGX6X236 MONTHS/450 000 KM60 MONTHS/750 000 KMCombinationYes</v>
          </cell>
          <cell r="H93">
            <v>69520</v>
          </cell>
          <cell r="N93" t="str">
            <v>TGX8X460 MONTHS/125 000 KM</v>
          </cell>
          <cell r="O93">
            <v>17380</v>
          </cell>
          <cell r="AC93" t="str">
            <v>TGX4X424 MONTHS/250 000 KMEntire VehicleYes</v>
          </cell>
          <cell r="AD93">
            <v>13430</v>
          </cell>
          <cell r="AK93" t="str">
            <v>TGX4X448 MONTHS/100 000 KMDrivelineYes</v>
          </cell>
          <cell r="AL93">
            <v>18960</v>
          </cell>
        </row>
        <row r="94">
          <cell r="G94" t="str">
            <v>TGX6X236 MONTHS/600 000 KM60 MONTHS/1000 000 KMCombinationNo</v>
          </cell>
          <cell r="H94">
            <v>116130</v>
          </cell>
          <cell r="N94" t="str">
            <v>TGX8X460 MONTHS/250 000 KM</v>
          </cell>
          <cell r="O94">
            <v>20540</v>
          </cell>
          <cell r="AC94" t="str">
            <v>TGX4X424 MONTHS/300 000 KMEntire VehicleNo</v>
          </cell>
          <cell r="AD94">
            <v>17380</v>
          </cell>
          <cell r="AK94" t="str">
            <v>TGX4X448 MONTHS/200 000 KMDrivelineNo</v>
          </cell>
          <cell r="AL94">
            <v>27650</v>
          </cell>
        </row>
        <row r="95">
          <cell r="G95" t="str">
            <v>TGX6X236 MONTHS/600 000 KM60 MONTHS/1000 000 KMCombinationYes</v>
          </cell>
          <cell r="H95">
            <v>93220</v>
          </cell>
          <cell r="N95" t="str">
            <v>TGX8X460 MONTHS/375 000 KM</v>
          </cell>
          <cell r="O95">
            <v>24490</v>
          </cell>
          <cell r="AC95" t="str">
            <v>TGX4X424 MONTHS/300 000 KMEntire VehicleYes</v>
          </cell>
          <cell r="AD95">
            <v>14220</v>
          </cell>
          <cell r="AK95" t="str">
            <v>TGX4X448 MONTHS/200 000 KMDrivelineYes</v>
          </cell>
          <cell r="AL95">
            <v>22120</v>
          </cell>
        </row>
        <row r="96">
          <cell r="G96" t="str">
            <v>TGX6X248 MONTHS/600 000 KM60 MONTHS/750 000 KMCombinationNo</v>
          </cell>
          <cell r="H96">
            <v>119290</v>
          </cell>
          <cell r="N96" t="str">
            <v>TGX8X460 MONTHS/500 000 KM</v>
          </cell>
          <cell r="O96">
            <v>29230</v>
          </cell>
          <cell r="AC96" t="str">
            <v>TGX4X436 MONTHS/75 000 KMEntire VehicleNo</v>
          </cell>
          <cell r="AD96">
            <v>29230</v>
          </cell>
          <cell r="AK96" t="str">
            <v>TGX4X448 MONTHS/300 000 KMDrivelineNo</v>
          </cell>
          <cell r="AL96">
            <v>32390</v>
          </cell>
        </row>
        <row r="97">
          <cell r="G97" t="str">
            <v>TGX6X248 MONTHS/600 000 KM60 MONTHS/750 000 KMCombinationYes</v>
          </cell>
          <cell r="H97">
            <v>95590</v>
          </cell>
          <cell r="N97" t="str">
            <v>TGX8X460 MONTHS/625 000 KM</v>
          </cell>
          <cell r="O97">
            <v>33970</v>
          </cell>
          <cell r="AC97" t="str">
            <v>TGX4X436 MONTHS/75 000 KMEntire VehicleYes</v>
          </cell>
          <cell r="AD97">
            <v>23700</v>
          </cell>
          <cell r="AK97" t="str">
            <v>TGX4X448 MONTHS/300 000 KMDrivelineYes</v>
          </cell>
          <cell r="AL97">
            <v>26070</v>
          </cell>
        </row>
        <row r="98">
          <cell r="G98" t="str">
            <v>TGX6X248 MONTHS/800 000 KM60 MONTHS/1000 000 KMCombinationNo</v>
          </cell>
          <cell r="H98">
            <v>138250</v>
          </cell>
          <cell r="N98" t="str">
            <v>TGX8X460 MONTHS/750 000 KM</v>
          </cell>
          <cell r="O98">
            <v>37920</v>
          </cell>
          <cell r="AC98" t="str">
            <v>TGX4X436 MONTHS/150 000 KMEntire VehicleNo</v>
          </cell>
          <cell r="AD98">
            <v>34760</v>
          </cell>
          <cell r="AK98" t="str">
            <v>TGX4X448 MONTHS/400 000 KMDrivelineNo</v>
          </cell>
          <cell r="AL98">
            <v>41870</v>
          </cell>
        </row>
        <row r="99">
          <cell r="G99" t="str">
            <v>TGX6X248 MONTHS/800 000 KM60 MONTHS/1000 000 KMCombinationYes</v>
          </cell>
          <cell r="H99">
            <v>110600</v>
          </cell>
          <cell r="N99" t="str">
            <v>TGX8X624 MONTHS/300 000 KM</v>
          </cell>
          <cell r="O99">
            <v>1580</v>
          </cell>
          <cell r="AC99" t="str">
            <v>TGX4X436 MONTHS/150 000 KMEntire VehicleYes</v>
          </cell>
          <cell r="AD99">
            <v>28440</v>
          </cell>
          <cell r="AK99" t="str">
            <v>TGX4X448 MONTHS/400 000 KMDrivelineYes</v>
          </cell>
          <cell r="AL99">
            <v>33970</v>
          </cell>
        </row>
        <row r="100">
          <cell r="G100" t="str">
            <v>TGX6X4 H/D (ABN)24 MONTHS/150 000 KM36 MONTHS/225 000 KMCombinationNo</v>
          </cell>
          <cell r="H100">
            <v>76630</v>
          </cell>
          <cell r="N100" t="str">
            <v>TGX8X636 MONTHS/150 000 KM</v>
          </cell>
          <cell r="O100">
            <v>5530</v>
          </cell>
          <cell r="AC100" t="str">
            <v>TGX4X436 MONTHS/225 000 KMEntire VehicleNo</v>
          </cell>
          <cell r="AD100">
            <v>41080</v>
          </cell>
          <cell r="AK100" t="str">
            <v>TGX4X448 MONTHS/500 000 KMDrivelineNo</v>
          </cell>
          <cell r="AL100">
            <v>58460</v>
          </cell>
        </row>
        <row r="101">
          <cell r="G101" t="str">
            <v>TGX6X4 H/D (ABN)24 MONTHS/150 000 KM36 MONTHS/225 000 KMCombinationYes</v>
          </cell>
          <cell r="H101">
            <v>28440</v>
          </cell>
          <cell r="N101" t="str">
            <v>TGX8X636 MONTHS/225 000 KM</v>
          </cell>
          <cell r="O101">
            <v>6320</v>
          </cell>
          <cell r="AC101" t="str">
            <v>TGX4X436 MONTHS/225 000 KMEntire VehicleYes</v>
          </cell>
          <cell r="AD101">
            <v>33180</v>
          </cell>
          <cell r="AK101" t="str">
            <v>TGX4X448 MONTHS/500 000 KMDrivelineYes</v>
          </cell>
          <cell r="AL101">
            <v>47400</v>
          </cell>
        </row>
        <row r="102">
          <cell r="G102" t="str">
            <v>TGX6X4 H/D (ABN)24 MONTHS/150 000 KM48 MONTHS/300 000 KMCombinationNo</v>
          </cell>
          <cell r="H102">
            <v>120080</v>
          </cell>
          <cell r="N102" t="str">
            <v>TGX8X636 MONTHS/300 000 KM</v>
          </cell>
          <cell r="O102">
            <v>7900</v>
          </cell>
          <cell r="AC102" t="str">
            <v>TGX4X436 MONTHS/300 000 KMEntire VehicleNo</v>
          </cell>
          <cell r="AD102">
            <v>52930</v>
          </cell>
          <cell r="AK102" t="str">
            <v>TGX4X448 MONTHS/600 000 KMDrivelineNo</v>
          </cell>
          <cell r="AL102">
            <v>62410</v>
          </cell>
        </row>
        <row r="103">
          <cell r="G103" t="str">
            <v>TGX6X4 H/D (ABN)24 MONTHS/150 000 KM48 MONTHS/300 000 KMCombinationYes</v>
          </cell>
          <cell r="H103">
            <v>51350</v>
          </cell>
          <cell r="N103" t="str">
            <v>TGX8X636 MONTHS/375 000 KM</v>
          </cell>
          <cell r="O103">
            <v>9480</v>
          </cell>
          <cell r="AC103" t="str">
            <v>TGX4X436 MONTHS/300 000 KMEntire VehicleYes</v>
          </cell>
          <cell r="AD103">
            <v>42660</v>
          </cell>
          <cell r="AK103" t="str">
            <v>TGX4X448 MONTHS/600 000 KMDrivelineYes</v>
          </cell>
          <cell r="AL103">
            <v>50560</v>
          </cell>
        </row>
        <row r="104">
          <cell r="G104" t="str">
            <v>TGX6X4 H/D (ABN)24 MONTHS/150 000 KM60 MONTHS/375 000 KMCombinationNo</v>
          </cell>
          <cell r="H104">
            <v>228310</v>
          </cell>
          <cell r="N104" t="str">
            <v>TGX8X636 MONTHS/450 000 KM</v>
          </cell>
          <cell r="O104">
            <v>11060</v>
          </cell>
          <cell r="AC104" t="str">
            <v>TGX4X436 MONTHS/375 000 KMEntire VehicleNo</v>
          </cell>
          <cell r="AD104">
            <v>64780</v>
          </cell>
          <cell r="AK104" t="str">
            <v>TGX4X460 MONTHS/125 000 KMDrivelineNo</v>
          </cell>
          <cell r="AL104">
            <v>48190</v>
          </cell>
        </row>
        <row r="105">
          <cell r="G105" t="str">
            <v>TGX6X4 H/D (ABN)24 MONTHS/150 000 KM60 MONTHS/375 000 KMCombinationYes</v>
          </cell>
          <cell r="H105">
            <v>94800</v>
          </cell>
          <cell r="N105" t="str">
            <v>TGX8X636 MONTHS/75 000 KM</v>
          </cell>
          <cell r="O105">
            <v>4740</v>
          </cell>
          <cell r="AC105" t="str">
            <v>TGX4X436 MONTHS/375 000 KMEntire VehicleYes</v>
          </cell>
          <cell r="AD105">
            <v>52140</v>
          </cell>
          <cell r="AK105" t="str">
            <v>TGX4X460 MONTHS/125 000 KMDrivelineYes</v>
          </cell>
          <cell r="AL105">
            <v>38710</v>
          </cell>
        </row>
        <row r="106">
          <cell r="G106" t="str">
            <v>TGX6X4 H/D (ABN)24 MONTHS/300 000 KM36 MONTHS/450 000 KMCombinationNo</v>
          </cell>
          <cell r="H106">
            <v>135880</v>
          </cell>
          <cell r="N106" t="str">
            <v>TGX8X648 MONTHS/100 000 KM</v>
          </cell>
          <cell r="O106">
            <v>8690</v>
          </cell>
          <cell r="AC106" t="str">
            <v>TGX4X436 MONTHS/450 000 KMEntire VehicleNo</v>
          </cell>
          <cell r="AD106">
            <v>70310</v>
          </cell>
          <cell r="AK106" t="str">
            <v>TGX4X460 MONTHS/250 000 KMDrivelineNo</v>
          </cell>
          <cell r="AL106">
            <v>56880</v>
          </cell>
        </row>
        <row r="107">
          <cell r="G107" t="str">
            <v>TGX6X4 H/D (ABN)24 MONTHS/300 000 KM36 MONTHS/450 000 KMCombinationYes</v>
          </cell>
          <cell r="H107">
            <v>48702.987012987011</v>
          </cell>
          <cell r="N107" t="str">
            <v>TGX8X648 MONTHS/200 000 KM</v>
          </cell>
          <cell r="O107">
            <v>10270</v>
          </cell>
          <cell r="AC107" t="str">
            <v>TGX4X436 MONTHS/450 000 KMEntire VehicleYes</v>
          </cell>
          <cell r="AD107">
            <v>56880</v>
          </cell>
          <cell r="AK107" t="str">
            <v>TGX4X460 MONTHS/250 000 KMDrivelineYes</v>
          </cell>
          <cell r="AL107">
            <v>45820</v>
          </cell>
        </row>
        <row r="108">
          <cell r="G108" t="str">
            <v>TGX6X4 H/D (ABN)24 MONTHS/300 000 KM48 MONTHS/600 000 KMCombinationNo</v>
          </cell>
          <cell r="H108">
            <v>207770</v>
          </cell>
          <cell r="N108" t="str">
            <v>TGX8X648 MONTHS/300 000 KM</v>
          </cell>
          <cell r="O108">
            <v>11850</v>
          </cell>
          <cell r="AC108" t="str">
            <v>TGX4X448 MONTHS/100 000 KMEntire VehicleNo</v>
          </cell>
          <cell r="AD108">
            <v>93220</v>
          </cell>
          <cell r="AK108" t="str">
            <v>TGX4X460 MONTHS/375 000 KMDrivelineNo</v>
          </cell>
          <cell r="AL108">
            <v>66360</v>
          </cell>
        </row>
        <row r="109">
          <cell r="G109" t="str">
            <v>TGX6X4 H/D (ABN)24 MONTHS/300 000 KM48 MONTHS/600 000 KMCombinationYes</v>
          </cell>
          <cell r="H109">
            <v>82950</v>
          </cell>
          <cell r="N109" t="str">
            <v>TGX8X648 MONTHS/400 000 KM</v>
          </cell>
          <cell r="O109">
            <v>14220</v>
          </cell>
          <cell r="AC109" t="str">
            <v>TGX4X448 MONTHS/100 000 KMEntire VehicleYes</v>
          </cell>
          <cell r="AD109">
            <v>75050</v>
          </cell>
          <cell r="AK109" t="str">
            <v>TGX4X460 MONTHS/375 000 KMDrivelineYes</v>
          </cell>
          <cell r="AL109">
            <v>53720</v>
          </cell>
        </row>
        <row r="110">
          <cell r="G110" t="str">
            <v>TGX6X4 H/D (ABN)24 MONTHS/300 000 KM60 MONTHS/750 000 KMCombinationNo</v>
          </cell>
          <cell r="H110">
            <v>387100</v>
          </cell>
          <cell r="N110" t="str">
            <v>TGX8X648 MONTHS/500 000 KM</v>
          </cell>
          <cell r="O110">
            <v>16590</v>
          </cell>
          <cell r="AC110" t="str">
            <v>TGX4X448 MONTHS/200 000 KMEntire VehicleNo</v>
          </cell>
          <cell r="AD110">
            <v>109020</v>
          </cell>
          <cell r="AK110" t="str">
            <v>TGX4X460 MONTHS/500 000 KMDrivelineNo</v>
          </cell>
          <cell r="AL110">
            <v>100330</v>
          </cell>
        </row>
        <row r="111">
          <cell r="G111" t="str">
            <v>TGX6X4 H/D (ABN)24 MONTHS/300 000 KM60 MONTHS/750 000 KMCombinationYes</v>
          </cell>
          <cell r="H111">
            <v>158790</v>
          </cell>
          <cell r="N111" t="str">
            <v>TGX8X648 MONTHS/600 000 KM</v>
          </cell>
          <cell r="O111">
            <v>18960</v>
          </cell>
          <cell r="AC111" t="str">
            <v>TGX4X448 MONTHS/200 000 KMEntire VehicleYes</v>
          </cell>
          <cell r="AD111">
            <v>87690</v>
          </cell>
          <cell r="AK111" t="str">
            <v>TGX4X460 MONTHS/500 000 KMDrivelineYes</v>
          </cell>
          <cell r="AL111">
            <v>80580</v>
          </cell>
        </row>
        <row r="112">
          <cell r="G112" t="str">
            <v>TGX6X4 H/D (ABN)36 MONTHS/225 000 KM48 MONTHS/300 000 KM CombinationNo</v>
          </cell>
          <cell r="H112">
            <v>142200</v>
          </cell>
          <cell r="N112" t="str">
            <v>TGX8X660 MONTHS/125 000 KM</v>
          </cell>
          <cell r="O112">
            <v>17380</v>
          </cell>
          <cell r="AC112" t="str">
            <v>TGX4X448 MONTHS/300 000 KMEntire VehicleNo</v>
          </cell>
          <cell r="AD112">
            <v>127190</v>
          </cell>
          <cell r="AK112" t="str">
            <v>TGX4X460 MONTHS/625 000 KMDrivelineNo</v>
          </cell>
          <cell r="AL112">
            <v>129560</v>
          </cell>
        </row>
        <row r="113">
          <cell r="G113" t="str">
            <v>TGX6X4 H/D (ABN)36 MONTHS/225 000 KM48 MONTHS/300 000 KM CombinationYes</v>
          </cell>
          <cell r="H113">
            <v>66360</v>
          </cell>
          <cell r="N113" t="str">
            <v>TGX8X660 MONTHS/250 000 KM</v>
          </cell>
          <cell r="O113">
            <v>20540</v>
          </cell>
          <cell r="AC113" t="str">
            <v>TGX4X448 MONTHS/300 000 KMEntire VehicleYes</v>
          </cell>
          <cell r="AD113">
            <v>101910</v>
          </cell>
          <cell r="AK113" t="str">
            <v>TGX4X460 MONTHS/625 000 KMDrivelineYes</v>
          </cell>
          <cell r="AL113">
            <v>104280</v>
          </cell>
        </row>
        <row r="114">
          <cell r="G114" t="str">
            <v>TGX6X4 H/D (ABN)36 MONTHS/225 000 KM60 MONTHS/750 000 KMCombinationNo</v>
          </cell>
          <cell r="H114">
            <v>250430</v>
          </cell>
          <cell r="N114" t="str">
            <v>TGX8X660 MONTHS/375 000 KM</v>
          </cell>
          <cell r="O114">
            <v>24490</v>
          </cell>
          <cell r="AC114" t="str">
            <v>TGX4X448 MONTHS/400 000 KMEntire VehicleNo</v>
          </cell>
          <cell r="AD114">
            <v>166690</v>
          </cell>
          <cell r="AK114" t="str">
            <v>TGX4X460 MONTHS/750 000 KMDrivelineNo</v>
          </cell>
          <cell r="AL114">
            <v>139040</v>
          </cell>
        </row>
        <row r="115">
          <cell r="G115" t="str">
            <v>TGX6X4 H/D (ABN)36 MONTHS/225 000 KM60 MONTHS/750 000 KMCombinationYes</v>
          </cell>
          <cell r="H115">
            <v>109810</v>
          </cell>
          <cell r="N115" t="str">
            <v>TGX8X660 MONTHS/500 000 KM</v>
          </cell>
          <cell r="O115">
            <v>29230</v>
          </cell>
          <cell r="AC115" t="str">
            <v>TGX4X448 MONTHS/400 000 KMEntire VehicleYes</v>
          </cell>
          <cell r="AD115">
            <v>133510</v>
          </cell>
          <cell r="AK115" t="str">
            <v>TGX4X460 MONTHS/750 000 KMDrivelineYes</v>
          </cell>
          <cell r="AL115">
            <v>111390</v>
          </cell>
        </row>
        <row r="116">
          <cell r="G116" t="str">
            <v>TGX6X4 H/D (ABN)36 MONTHS/450 000 KM48 MONTHS/600 000 KMCombinationNo</v>
          </cell>
          <cell r="H116">
            <v>233050</v>
          </cell>
          <cell r="N116" t="str">
            <v>TGX8X660 MONTHS/625 000 KM</v>
          </cell>
          <cell r="O116">
            <v>33970</v>
          </cell>
          <cell r="AC116" t="str">
            <v>TGX4X448 MONTHS/500 000 KMEntire VehicleNo</v>
          </cell>
          <cell r="AD116">
            <v>204610</v>
          </cell>
          <cell r="AK116" t="str">
            <v>TGX4X472 MONTHS/150 000 KMDrivelineNo</v>
          </cell>
          <cell r="AL116">
            <v>72680</v>
          </cell>
        </row>
        <row r="117">
          <cell r="G117" t="str">
            <v>TGX6X4 H/D (ABN)36 MONTHS/450 000 KM48 MONTHS/600 000 KMCombinationYes</v>
          </cell>
          <cell r="H117">
            <v>105860</v>
          </cell>
          <cell r="N117" t="str">
            <v>TGX8X660 MONTHS/750 000 KM</v>
          </cell>
          <cell r="O117">
            <v>37920</v>
          </cell>
          <cell r="AC117" t="str">
            <v>TGX4X448 MONTHS/500 000 KMEntire VehicleYes</v>
          </cell>
          <cell r="AD117">
            <v>164320</v>
          </cell>
          <cell r="AK117" t="str">
            <v>TGX4X472 MONTHS/150 000 KMDrivelineYes</v>
          </cell>
          <cell r="AL117">
            <v>60040</v>
          </cell>
        </row>
        <row r="118">
          <cell r="G118" t="str">
            <v>TGX6X4 H/D (ABN)36 MONTHS/450 000 KM60 MONTHS/750 000 KMCombinationNo</v>
          </cell>
          <cell r="H118">
            <v>412380</v>
          </cell>
          <cell r="N118" t="str">
            <v>TGX8X824 MONTHS/300 000 KM</v>
          </cell>
          <cell r="O118">
            <v>1580</v>
          </cell>
          <cell r="AC118" t="str">
            <v>TGX4X448 MONTHS/600 000 KMEntire VehicleNo</v>
          </cell>
          <cell r="AD118">
            <v>210140</v>
          </cell>
          <cell r="AK118" t="str">
            <v>TGX4X472 MONTHS/300 000 KMDrivelineNo</v>
          </cell>
          <cell r="AL118">
            <v>132720</v>
          </cell>
        </row>
        <row r="119">
          <cell r="G119" t="str">
            <v>TGX6X4 H/D (ABN)36 MONTHS/450 000 KM60 MONTHS/750 000 KMCombinationYes</v>
          </cell>
          <cell r="H119">
            <v>181700</v>
          </cell>
          <cell r="N119" t="str">
            <v>TGX8X836 MONTHS/150 000 KM</v>
          </cell>
          <cell r="O119">
            <v>5530</v>
          </cell>
          <cell r="AC119" t="str">
            <v>TGX4X448 MONTHS/600 000 KMEntire VehicleYes</v>
          </cell>
          <cell r="AD119">
            <v>168270</v>
          </cell>
          <cell r="AK119" t="str">
            <v>TGX4X472 MONTHS/300 000 KMDrivelineYes</v>
          </cell>
          <cell r="AL119">
            <v>110600</v>
          </cell>
        </row>
        <row r="120">
          <cell r="G120" t="str">
            <v>TGX6X4 H/D (ABN)48 MONTHS/300 000 KM60 MONTHS/750 000 KMCombinationNo</v>
          </cell>
          <cell r="H120">
            <v>299410</v>
          </cell>
          <cell r="N120" t="str">
            <v>TGX8X836 MONTHS/225 000 KM</v>
          </cell>
          <cell r="O120">
            <v>6320</v>
          </cell>
          <cell r="AC120" t="str">
            <v>TGX4X460 MONTHS/125 000 KMEntire VehicleNo</v>
          </cell>
          <cell r="AD120">
            <v>193550</v>
          </cell>
          <cell r="AK120" t="str">
            <v>TGX4X472 MONTHS/450 000 KMDrivelineNo</v>
          </cell>
          <cell r="AL120">
            <v>201450</v>
          </cell>
        </row>
        <row r="121">
          <cell r="G121" t="str">
            <v>TGX6X4 H/D (ABN)48 MONTHS/300 000 KM60 MONTHS/750 000 KMCombinationYes</v>
          </cell>
          <cell r="H121">
            <v>495330</v>
          </cell>
          <cell r="N121" t="str">
            <v>TGX8X836 MONTHS/300 000 KM</v>
          </cell>
          <cell r="O121">
            <v>7900</v>
          </cell>
          <cell r="AC121" t="str">
            <v>TGX4X460 MONTHS/125 000 KMEntire VehicleYes</v>
          </cell>
          <cell r="AD121">
            <v>154840</v>
          </cell>
          <cell r="AK121" t="str">
            <v>TGX4X472 MONTHS/450 000 KMDrivelineYes</v>
          </cell>
          <cell r="AL121">
            <v>167480</v>
          </cell>
        </row>
        <row r="122">
          <cell r="G122" t="str">
            <v>TGX6X4 H/D (ABN)48 MONTHS/300 000 KM60 MONTHS/750 000 KMCombinationNo</v>
          </cell>
          <cell r="H122">
            <v>159580</v>
          </cell>
          <cell r="N122" t="str">
            <v>TGX8X836 MONTHS/375 000 KM</v>
          </cell>
          <cell r="O122">
            <v>9480</v>
          </cell>
          <cell r="AC122" t="str">
            <v>TGX4X460 MONTHS/250 000 KMEntire VehicleNo</v>
          </cell>
          <cell r="AD122">
            <v>228310</v>
          </cell>
          <cell r="AK122" t="str">
            <v>TGX4X472 MONTHS/600 000 KMDrivelineNo</v>
          </cell>
          <cell r="AL122">
            <v>268600</v>
          </cell>
        </row>
        <row r="123">
          <cell r="G123" t="str">
            <v>TGX6X4 H/D (ABN)48 MONTHS/300 000 KM60 MONTHS/750 000 KMCombinationYes</v>
          </cell>
          <cell r="H123">
            <v>267810</v>
          </cell>
          <cell r="N123" t="str">
            <v>TGX8X836 MONTHS/450 000 KM</v>
          </cell>
          <cell r="O123">
            <v>11060</v>
          </cell>
          <cell r="AC123" t="str">
            <v>TGX4X460 MONTHS/250 000 KMEntire VehicleYes</v>
          </cell>
          <cell r="AD123">
            <v>183280</v>
          </cell>
          <cell r="AK123" t="str">
            <v>TGX4X472 MONTHS/600 000 KMDrivelineYes</v>
          </cell>
          <cell r="AL123">
            <v>223570</v>
          </cell>
        </row>
        <row r="124">
          <cell r="G124" t="str">
            <v>TGX6X4 H/D24 MONTHS/150 000 KM36 MONTHS/225 000 KMCombinationNo</v>
          </cell>
          <cell r="H124">
            <v>33970</v>
          </cell>
          <cell r="N124" t="str">
            <v>TGX8X836 MONTHS/75 000 KM</v>
          </cell>
          <cell r="O124">
            <v>4740</v>
          </cell>
          <cell r="AC124" t="str">
            <v>TGX4X460 MONTHS/375 000 KMEntire VehicleNo</v>
          </cell>
          <cell r="AD124">
            <v>267810</v>
          </cell>
          <cell r="AK124" t="str">
            <v>TGX4X472 MONTHS/750 000 KMDrivelineNo</v>
          </cell>
          <cell r="AL124">
            <v>319160</v>
          </cell>
        </row>
        <row r="125">
          <cell r="G125" t="str">
            <v>TGX6X4 H/D24 MONTHS/150 000 KM36 MONTHS/225 000 KMCombinationYes</v>
          </cell>
          <cell r="H125">
            <v>65570</v>
          </cell>
          <cell r="N125" t="str">
            <v>TGX8X848 MONTHS/100 000 KM</v>
          </cell>
          <cell r="O125">
            <v>8690</v>
          </cell>
          <cell r="AC125" t="str">
            <v>TGX4X460 MONTHS/375 000 KMEntire VehicleYes</v>
          </cell>
          <cell r="AD125">
            <v>214880</v>
          </cell>
          <cell r="AK125" t="str">
            <v>TGX4X472 MONTHS/750 000 KMDrivelineYes</v>
          </cell>
          <cell r="AL125">
            <v>265440</v>
          </cell>
        </row>
        <row r="126">
          <cell r="G126" t="str">
            <v>TGX6X4 H/D24 MONTHS/150 000 KM48 MONTHS/300 000 KMCombinationNo</v>
          </cell>
          <cell r="H126">
            <v>60040</v>
          </cell>
          <cell r="N126" t="str">
            <v>TGX8X848 MONTHS/200 000 KM</v>
          </cell>
          <cell r="O126">
            <v>10270</v>
          </cell>
          <cell r="AC126" t="str">
            <v>TGX4X460 MONTHS/500 000 KMEntire VehicleNo</v>
          </cell>
          <cell r="AD126">
            <v>349180</v>
          </cell>
          <cell r="AK126" t="str">
            <v>TGX4X472 MONTHS/900 000 KMDrivelineNo</v>
          </cell>
          <cell r="AL126">
            <v>380780</v>
          </cell>
        </row>
        <row r="127">
          <cell r="G127" t="str">
            <v>TGX6X4 H/D24 MONTHS/150 000 KM48 MONTHS/300 000 KMCombinationYes</v>
          </cell>
          <cell r="H127">
            <v>103490</v>
          </cell>
          <cell r="N127" t="str">
            <v>TGX8X848 MONTHS/300 000 KM</v>
          </cell>
          <cell r="O127">
            <v>11850</v>
          </cell>
          <cell r="AC127" t="str">
            <v>TGX4X460 MONTHS/500 000 KMEntire VehicleYes</v>
          </cell>
          <cell r="AD127">
            <v>279660</v>
          </cell>
          <cell r="AK127" t="str">
            <v>TGX4X472 MONTHS/900 000 KMDrivelineYes</v>
          </cell>
          <cell r="AL127">
            <v>316790</v>
          </cell>
        </row>
        <row r="128">
          <cell r="G128" t="str">
            <v>TGX6X4 H/D24 MONTHS/150 000 KM60 MONTHS/375 000 KMCombinationNo</v>
          </cell>
          <cell r="H128">
            <v>109810</v>
          </cell>
          <cell r="N128" t="str">
            <v>TGX8X848 MONTHS/400 000 KM</v>
          </cell>
          <cell r="O128">
            <v>14220</v>
          </cell>
          <cell r="AC128" t="str">
            <v>TGX4X460 MONTHS/625 000 KMEntire VehicleNo</v>
          </cell>
          <cell r="AD128">
            <v>429760</v>
          </cell>
          <cell r="AK128" t="str">
            <v>TGX4X4HYDRO36 MONTHS/150 000 KMDrivelineNo</v>
          </cell>
          <cell r="AL128">
            <v>15010</v>
          </cell>
        </row>
        <row r="129">
          <cell r="G129" t="str">
            <v>TGX6X4 H/D24 MONTHS/150 000 KM60 MONTHS/375 000 KMCombinationYes</v>
          </cell>
          <cell r="H129">
            <v>197500</v>
          </cell>
          <cell r="N129" t="str">
            <v>TGX8X848 MONTHS/500 000 KM</v>
          </cell>
          <cell r="O129">
            <v>16590</v>
          </cell>
          <cell r="AC129" t="str">
            <v>TGX4X460 MONTHS/625 000 KMEntire VehicleYes</v>
          </cell>
          <cell r="AD129">
            <v>344440</v>
          </cell>
          <cell r="AK129" t="str">
            <v>TGX4X4HYDRO36 MONTHS/225 000 KMDrivelineYes</v>
          </cell>
          <cell r="AL129">
            <v>17380</v>
          </cell>
        </row>
        <row r="130">
          <cell r="G130" t="str">
            <v>TGX6X4 H/D24 MONTHS/300 000 KM36 MONTHS/450 000 KMCombinationNo</v>
          </cell>
          <cell r="H130">
            <v>56880</v>
          </cell>
          <cell r="N130" t="str">
            <v>TGX8X848 MONTHS/600 000 KM</v>
          </cell>
          <cell r="O130">
            <v>18960</v>
          </cell>
          <cell r="AC130" t="str">
            <v>TGX4X460 MONTHS/750 000 KMEntire VehicleNo</v>
          </cell>
          <cell r="AD130">
            <v>440820</v>
          </cell>
          <cell r="AK130" t="str">
            <v>TGX4X4HYDRO36 MONTHS/300 000 KMDrivelineNo</v>
          </cell>
          <cell r="AL130">
            <v>22120</v>
          </cell>
        </row>
        <row r="131">
          <cell r="G131" t="str">
            <v>TGX6X4 H/D24 MONTHS/300 000 KM36 MONTHS/450 000 KMCombinationYes</v>
          </cell>
          <cell r="H131">
            <v>117710</v>
          </cell>
          <cell r="N131" t="str">
            <v>TGX8X860 MONTHS/125 000 KM</v>
          </cell>
          <cell r="O131">
            <v>17380</v>
          </cell>
          <cell r="AC131" t="str">
            <v>TGX4X460 MONTHS/750 000 KMEntire VehicleYes</v>
          </cell>
          <cell r="AD131">
            <v>353130</v>
          </cell>
          <cell r="AK131" t="str">
            <v>TGX4X4HYDRO36 MONTHS/375 000 KMDrivelineYes</v>
          </cell>
          <cell r="AL131">
            <v>27650</v>
          </cell>
        </row>
        <row r="132">
          <cell r="G132" t="str">
            <v>TGX6X4 H/D24 MONTHS/300 000 KM48 MONTHS/600 000 KMCombinationNo</v>
          </cell>
          <cell r="H132">
            <v>95590</v>
          </cell>
          <cell r="N132" t="str">
            <v>TGX8X860 MONTHS/250 000 KM</v>
          </cell>
          <cell r="O132">
            <v>20540</v>
          </cell>
          <cell r="AC132" t="str">
            <v>TGX4X4HYDRO24 MONTHS/100 000 KMEntire VehicleNo</v>
          </cell>
          <cell r="AD132">
            <v>9480</v>
          </cell>
          <cell r="AK132" t="str">
            <v>TGX4X4HYDRO36 MONTHS/450 000 KMDrivelineNo</v>
          </cell>
          <cell r="AL132">
            <v>28440</v>
          </cell>
        </row>
        <row r="133">
          <cell r="G133" t="str">
            <v>TGX6X4 H/D24 MONTHS/300 000 KM48 MONTHS/600 000 KMCombinationYes</v>
          </cell>
          <cell r="H133">
            <v>180120</v>
          </cell>
          <cell r="N133" t="str">
            <v>TGX8X860 MONTHS/375 000 KM</v>
          </cell>
          <cell r="O133">
            <v>24490</v>
          </cell>
          <cell r="AC133" t="str">
            <v>TGX4X4HYDRO24 MONTHS/150 000 KMEntire VehicleYes</v>
          </cell>
          <cell r="AD133">
            <v>11060</v>
          </cell>
          <cell r="AK133" t="str">
            <v>TGX4X4HYDRO36 MONTHS/75 000 KMDrivelineYes</v>
          </cell>
          <cell r="AL133">
            <v>12640</v>
          </cell>
        </row>
        <row r="134">
          <cell r="G134" t="str">
            <v>TGX6X4 H/D24 MONTHS/300 000 KM60 MONTHS/750 000 KMCombinationNo</v>
          </cell>
          <cell r="H134">
            <v>183280</v>
          </cell>
          <cell r="N134" t="str">
            <v>TGX8X860 MONTHS/500 000 KM</v>
          </cell>
          <cell r="O134">
            <v>29230</v>
          </cell>
          <cell r="AC134" t="str">
            <v>TGX4X4HYDRO24 MONTHS/200 000 KMEntire VehicleNo</v>
          </cell>
          <cell r="AD134">
            <v>14220</v>
          </cell>
          <cell r="AK134" t="str">
            <v>TGX4X4HYDRO48 MONTHS/100 000 KMDrivelineNo</v>
          </cell>
          <cell r="AL134">
            <v>29230</v>
          </cell>
        </row>
        <row r="135">
          <cell r="G135" t="str">
            <v>TGX6X4 H/D24 MONTHS/300 000 KM60 MONTHS/750 000 KMCombinationYes</v>
          </cell>
          <cell r="H135">
            <v>335750</v>
          </cell>
          <cell r="N135" t="str">
            <v>TGX8X860 MONTHS/625 000 KM</v>
          </cell>
          <cell r="O135">
            <v>33970</v>
          </cell>
          <cell r="AC135" t="str">
            <v>TGX4X4HYDRO24 MONTHS/250 000 KMEntire VehicleYes</v>
          </cell>
          <cell r="AD135">
            <v>18960</v>
          </cell>
          <cell r="AK135" t="str">
            <v>TGX4X4HYDRO48 MONTHS/200 000 KMDrivelineYes</v>
          </cell>
          <cell r="AL135">
            <v>33970</v>
          </cell>
        </row>
        <row r="136">
          <cell r="G136" t="str">
            <v>TGX6X4 H/D36 MONTHS/225 000 KM48 MONTHS/300 000 KM CombinationNo</v>
          </cell>
          <cell r="H136">
            <v>76630</v>
          </cell>
          <cell r="N136" t="str">
            <v>TGX8X860 MONTHS/750 000 KM</v>
          </cell>
          <cell r="O136">
            <v>37920</v>
          </cell>
          <cell r="AC136" t="str">
            <v>TGX4X4HYDRO24 MONTHS/300 000 KMEntire VehicleNo</v>
          </cell>
          <cell r="AD136">
            <v>20540</v>
          </cell>
          <cell r="AK136" t="str">
            <v>TGX4X4HYDRO48 MONTHS/300 000 KMDrivelineNo</v>
          </cell>
          <cell r="AL136">
            <v>40290</v>
          </cell>
        </row>
        <row r="137">
          <cell r="G137" t="str">
            <v>TGX6X4 H/D36 MONTHS/225 000 KM48 MONTHS/300 000 KM CombinationYes</v>
          </cell>
          <cell r="H137">
            <v>123240</v>
          </cell>
          <cell r="N137" t="str">
            <v>TGX6X4H/D24 MONTHS/300 000 KM</v>
          </cell>
          <cell r="O137">
            <v>1580</v>
          </cell>
          <cell r="AC137" t="str">
            <v>TGX4X4HYDRO24 MONTHS/50 000 KMEntire VehicleYes</v>
          </cell>
          <cell r="AD137">
            <v>7110</v>
          </cell>
          <cell r="AK137" t="str">
            <v>TGX4X4HYDRO48 MONTHS/400 000 KMDrivelineYes</v>
          </cell>
          <cell r="AL137">
            <v>52140</v>
          </cell>
        </row>
        <row r="138">
          <cell r="G138" t="str">
            <v>TGX6X4 H/D36 MONTHS/225 000 KM60 MONTHS/750 000 KMCombinationNo</v>
          </cell>
          <cell r="H138">
            <v>126400</v>
          </cell>
          <cell r="N138" t="str">
            <v>TGX6X4H/D36 MONTHS/150 000 KM</v>
          </cell>
          <cell r="O138">
            <v>7900</v>
          </cell>
          <cell r="AC138" t="str">
            <v>TGX4X4HYDRO36 MONTHS/150 000 KMEntire VehicleNo</v>
          </cell>
          <cell r="AD138">
            <v>37130</v>
          </cell>
          <cell r="AK138" t="str">
            <v>TGX4X4HYDRO48 MONTHS/500 000 KMDrivelineNo</v>
          </cell>
          <cell r="AL138">
            <v>60830</v>
          </cell>
        </row>
        <row r="139">
          <cell r="G139" t="str">
            <v>TGX6X4 H/D36 MONTHS/225 000 KM60 MONTHS/750 000 KMCombinationYes</v>
          </cell>
          <cell r="H139">
            <v>217250</v>
          </cell>
          <cell r="N139" t="str">
            <v>TGX6X4H/D36 MONTHS/225 000 KM</v>
          </cell>
          <cell r="O139">
            <v>9480</v>
          </cell>
          <cell r="AC139" t="str">
            <v>TGX4X4HYDRO36 MONTHS/225 000 KMEntire VehicleYes</v>
          </cell>
          <cell r="AD139">
            <v>43450</v>
          </cell>
          <cell r="AK139" t="str">
            <v>TGX4X4HYDRO48 MONTHS/600 000 KMDrivelineYes</v>
          </cell>
          <cell r="AL139">
            <v>62410</v>
          </cell>
        </row>
        <row r="140">
          <cell r="G140" t="str">
            <v>TGX6X4 H/D36 MONTHS/450 000 KM48 MONTHS/600 000 KMCombinationNo</v>
          </cell>
          <cell r="H140">
            <v>121660</v>
          </cell>
          <cell r="N140" t="str">
            <v>TGX6X4H/D36 MONTHS/300 000 KM</v>
          </cell>
          <cell r="O140">
            <v>11060</v>
          </cell>
          <cell r="AC140" t="str">
            <v>TGX4X4HYDRO36 MONTHS/300 000 KMEntire VehicleNo</v>
          </cell>
          <cell r="AD140">
            <v>56090</v>
          </cell>
          <cell r="AK140" t="str">
            <v>TGX4X4HYDRO60 MONTHS/125 000 KMDrivelineNo</v>
          </cell>
          <cell r="AL140">
            <v>60830</v>
          </cell>
        </row>
        <row r="141">
          <cell r="G141" t="str">
            <v>TGX6X4 H/D36 MONTHS/450 000 KM48 MONTHS/600 000 KMCombinationYes</v>
          </cell>
          <cell r="H141">
            <v>202240</v>
          </cell>
          <cell r="N141" t="str">
            <v>TGX6X4H/D36 MONTHS/375 000 KM</v>
          </cell>
          <cell r="O141">
            <v>12640</v>
          </cell>
          <cell r="AC141" t="str">
            <v>TGX4X4HYDRO36 MONTHS/375 000 KMEntire VehicleYes</v>
          </cell>
          <cell r="AD141">
            <v>69520</v>
          </cell>
          <cell r="AK141" t="str">
            <v>TGX4X4HYDRO60 MONTHS/250 000 KMDrivelineYes</v>
          </cell>
          <cell r="AL141">
            <v>71890</v>
          </cell>
        </row>
        <row r="142">
          <cell r="G142" t="str">
            <v>TGX6X4 H/D36 MONTHS/450 000 KM60 MONTHS/750 000 KMCombinationNo</v>
          </cell>
          <cell r="H142">
            <v>209350</v>
          </cell>
          <cell r="N142" t="str">
            <v>TGX6X4H/D36 MONTHS/450 000 KM</v>
          </cell>
          <cell r="O142">
            <v>13430</v>
          </cell>
          <cell r="AC142" t="str">
            <v>TGX4X4HYDRO36 MONTHS/450 000 KMEntire VehicleNo</v>
          </cell>
          <cell r="AD142">
            <v>71890</v>
          </cell>
          <cell r="AK142" t="str">
            <v>TGX4X4HYDRO60 MONTHS/375 000 KMDrivelineNo</v>
          </cell>
          <cell r="AL142">
            <v>83740</v>
          </cell>
        </row>
        <row r="143">
          <cell r="G143" t="str">
            <v>TGX6X4 H/D36 MONTHS/450 000 KM60 MONTHS/750 000 KMCombinationYes</v>
          </cell>
          <cell r="H143">
            <v>357870</v>
          </cell>
          <cell r="N143" t="str">
            <v>TGX6X4H/D36 MONTHS/75 000 KM</v>
          </cell>
          <cell r="O143">
            <v>6320</v>
          </cell>
          <cell r="AC143" t="str">
            <v>TGX4X4HYDRO36 MONTHS/75 000 KMEntire VehicleYes</v>
          </cell>
          <cell r="AD143">
            <v>31600</v>
          </cell>
          <cell r="AK143" t="str">
            <v>TGX4X4HYDRO60 MONTHS/500 000 KMDrivelineYes</v>
          </cell>
          <cell r="AL143">
            <v>109810</v>
          </cell>
        </row>
        <row r="144">
          <cell r="G144" t="str">
            <v>TGX6X4 H/D48 MONTHS/300 000 KM60 MONTHS/750 000 KMCombinationNo</v>
          </cell>
          <cell r="H144">
            <v>184070</v>
          </cell>
          <cell r="N144" t="str">
            <v>TGX6X4H/D48 MONTHS/100 000 KM</v>
          </cell>
          <cell r="O144">
            <v>11850</v>
          </cell>
          <cell r="AC144" t="str">
            <v>TGX4X4HYDRO48 MONTHS/100 000 KMEntire VehicleNo</v>
          </cell>
          <cell r="AD144">
            <v>85803.673469387766</v>
          </cell>
          <cell r="AK144" t="str">
            <v>TGX4X4HYDRO60 MONTHS/625 000 KMDrivelineNo</v>
          </cell>
          <cell r="AL144">
            <v>127190</v>
          </cell>
        </row>
        <row r="145">
          <cell r="G145" t="str">
            <v>TGX6X4 H/D48 MONTHS/300 000 KM60 MONTHS/750 000 KMCombinationYes</v>
          </cell>
          <cell r="H145">
            <v>308890</v>
          </cell>
          <cell r="N145" t="str">
            <v>TGX6X4H/D48 MONTHS/200 000 KM</v>
          </cell>
          <cell r="O145">
            <v>13430</v>
          </cell>
          <cell r="AC145" t="str">
            <v>TGX4X4HYDRO48 MONTHS/200 000 KMEntire VehicleYes</v>
          </cell>
          <cell r="AD145">
            <v>99540</v>
          </cell>
          <cell r="AK145" t="str">
            <v>TGX4X4HYDRO60 MONTHS/750 000 KMDrivelineYes</v>
          </cell>
          <cell r="AL145">
            <v>138250</v>
          </cell>
        </row>
        <row r="146">
          <cell r="G146" t="str">
            <v>TGX6X4 H/D48 MONTHS/300 000 KM60 MONTHS/750 000 KMCombinationNo</v>
          </cell>
          <cell r="H146">
            <v>259910</v>
          </cell>
          <cell r="N146" t="str">
            <v>TGX6X4H/D48 MONTHS/300 000 KM</v>
          </cell>
          <cell r="O146">
            <v>15800</v>
          </cell>
          <cell r="AC146" t="str">
            <v>TGX4X4HYDRO48 MONTHS/300 000 KMEntire VehicleNo</v>
          </cell>
          <cell r="AD146">
            <v>116130</v>
          </cell>
          <cell r="AK146" t="str">
            <v>TGX6X236 MONTHS/75 000 KMDrivelineNo</v>
          </cell>
          <cell r="AL146">
            <v>4740</v>
          </cell>
        </row>
        <row r="147">
          <cell r="G147" t="str">
            <v>TGX6X4 H/D48 MONTHS/300 000 KM60 MONTHS/750 000 KMCombinationYes</v>
          </cell>
          <cell r="H147">
            <v>429760</v>
          </cell>
          <cell r="N147" t="str">
            <v>TGX6X4H/D48 MONTHS/400 000 KM</v>
          </cell>
          <cell r="O147">
            <v>19750</v>
          </cell>
          <cell r="AC147" t="str">
            <v>TGX4X4HYDRO48 MONTHS/400 000 KMEntire VehicleYes</v>
          </cell>
          <cell r="AD147">
            <v>152470</v>
          </cell>
          <cell r="AK147" t="str">
            <v>TGX6X236 MONTHS/75 000 KMDrivelineYes</v>
          </cell>
          <cell r="AL147">
            <v>3950</v>
          </cell>
        </row>
        <row r="148">
          <cell r="G148" t="str">
            <v>TGX6X424 MONTHS/150 000 KM 36 MONTHS/225 000 KMCombinationNo</v>
          </cell>
          <cell r="H148">
            <v>28440</v>
          </cell>
          <cell r="N148" t="str">
            <v>TGX6X4H/D48 MONTHS/500 000 KM</v>
          </cell>
          <cell r="O148">
            <v>23700</v>
          </cell>
          <cell r="AC148" t="str">
            <v>TGX4X4HYDRO48 MONTHS/500 000 KMEntire VehicleNo</v>
          </cell>
          <cell r="AD148">
            <v>187230</v>
          </cell>
          <cell r="AK148" t="str">
            <v>TGX6X236 MONTHS/125 000 KMDrivelineNo</v>
          </cell>
          <cell r="AL148">
            <v>8690</v>
          </cell>
        </row>
        <row r="149">
          <cell r="G149" t="str">
            <v>TGX6X424 MONTHS/150 000 KM 36 MONTHS/225 000 KMCombinationYes</v>
          </cell>
          <cell r="H149">
            <v>22910</v>
          </cell>
          <cell r="N149" t="str">
            <v>TGX6X4H/D48 MONTHS/600 000 KM</v>
          </cell>
          <cell r="O149">
            <v>26070</v>
          </cell>
          <cell r="AC149" t="str">
            <v>TGX4X4HYDRO48 MONTHS/600 000 KMEntire VehicleYes</v>
          </cell>
          <cell r="AD149">
            <v>191970</v>
          </cell>
          <cell r="AK149" t="str">
            <v>TGX6X236 MONTHS/125 000 KMDrivelineYes</v>
          </cell>
          <cell r="AL149">
            <v>7110</v>
          </cell>
        </row>
        <row r="150">
          <cell r="G150" t="str">
            <v>TGX6X424 MONTHS/300 000 KM36 MONTHS/450 000 KMCombinationNo</v>
          </cell>
          <cell r="H150">
            <v>44240</v>
          </cell>
          <cell r="N150" t="str">
            <v>TGX6X4H/D60 MONTHS/125 000 KM</v>
          </cell>
          <cell r="O150">
            <v>24490</v>
          </cell>
          <cell r="AC150" t="str">
            <v>TGX4X4HYDRO60 MONTHS/125 000 KMEntire VehicleNo</v>
          </cell>
          <cell r="AD150">
            <v>176960</v>
          </cell>
          <cell r="AK150" t="str">
            <v>TGX6X236 MONTHS/225 000 KMDrivelineNo</v>
          </cell>
          <cell r="AL150">
            <v>10270</v>
          </cell>
        </row>
        <row r="151">
          <cell r="G151" t="str">
            <v>TGX6X424 MONTHS/300 000 KM36 MONTHS/450 000 KMCombinationYes</v>
          </cell>
          <cell r="H151">
            <v>35550</v>
          </cell>
          <cell r="N151" t="str">
            <v>TGX6X4H/D60 MONTHS/250 000 KM</v>
          </cell>
          <cell r="O151">
            <v>28440</v>
          </cell>
          <cell r="AC151" t="str">
            <v>TGX4X4HYDRO60 MONTHS/250 000 KMEntire VehicleYes</v>
          </cell>
          <cell r="AD151">
            <v>208560</v>
          </cell>
          <cell r="AK151" t="str">
            <v>TGX6X236 MONTHS/225 000 KMDrivelineYes</v>
          </cell>
          <cell r="AL151">
            <v>8690</v>
          </cell>
        </row>
        <row r="152">
          <cell r="G152" t="str">
            <v>TGX6X424 MONTHS/150 000 KM48 MONTHS/300 000 KMCombinationNo</v>
          </cell>
          <cell r="H152">
            <v>44240</v>
          </cell>
          <cell r="N152" t="str">
            <v>TGX6X4H/D60 MONTHS/375 000 KM</v>
          </cell>
          <cell r="O152">
            <v>33180</v>
          </cell>
          <cell r="AC152" t="str">
            <v>TGX4X4HYDRO60 MONTHS/375 000 KMEntire VehicleNo</v>
          </cell>
          <cell r="AD152">
            <v>244110</v>
          </cell>
          <cell r="AK152" t="str">
            <v>TGX6X236 MONTHS/300 000 KMDrivelineNo</v>
          </cell>
          <cell r="AL152">
            <v>11850</v>
          </cell>
        </row>
        <row r="153">
          <cell r="G153" t="str">
            <v>TGX6X424 MONTHS/150 000 KM48 MONTHS/300 000 KMCombinationYes</v>
          </cell>
          <cell r="H153">
            <v>35550</v>
          </cell>
          <cell r="N153" t="str">
            <v>TGX6X4H/D60 MONTHS/500 000 KM</v>
          </cell>
          <cell r="O153">
            <v>41870</v>
          </cell>
          <cell r="AC153" t="str">
            <v>TGX4X4HYDRO60 MONTHS/500 000 KMEntire VehicleYes</v>
          </cell>
          <cell r="AD153">
            <v>319160</v>
          </cell>
          <cell r="AK153" t="str">
            <v>TGX6X236 MONTHS/300 000 KMDrivelineYes</v>
          </cell>
          <cell r="AL153">
            <v>9480</v>
          </cell>
        </row>
        <row r="154">
          <cell r="G154" t="str">
            <v>TGX6X424 MONTHS/300 000 KM48 MONTHS/600 000 KMCombinationNo</v>
          </cell>
          <cell r="H154">
            <v>79790</v>
          </cell>
          <cell r="N154" t="str">
            <v>TGX6X4H/D60 MONTHS/625 000 KM</v>
          </cell>
          <cell r="O154">
            <v>49770</v>
          </cell>
          <cell r="AC154" t="str">
            <v>TGX4X4HYDRO60 MONTHS/625 000 KMEntire VehicleNo</v>
          </cell>
          <cell r="AD154">
            <v>392630</v>
          </cell>
          <cell r="AK154" t="str">
            <v>TGX6X236 MONTHS/375 000 KMDrivelineNo</v>
          </cell>
          <cell r="AL154">
            <v>15010</v>
          </cell>
        </row>
        <row r="155">
          <cell r="G155" t="str">
            <v>TGX6X424 MONTHS/300 000 KM48 MONTHS/600 000 KMCombinationYes</v>
          </cell>
          <cell r="H155">
            <v>63990</v>
          </cell>
          <cell r="N155" t="str">
            <v>TGX6X4H/D60 MONTHS/750 000 KM</v>
          </cell>
          <cell r="O155">
            <v>56880</v>
          </cell>
          <cell r="AC155" t="str">
            <v>TGX4X4HYDRO60 MONTHS/750 000 KMEntire VehicleYes</v>
          </cell>
          <cell r="AD155">
            <v>402900</v>
          </cell>
          <cell r="AK155" t="str">
            <v>TGX6X236 MONTHS/375 000 KMDrivelineYes</v>
          </cell>
          <cell r="AL155">
            <v>12640</v>
          </cell>
        </row>
        <row r="156">
          <cell r="G156" t="str">
            <v>TGX6X424 MONTHS/225 000 KM48 MONTHS/300 000 KMCombinationNo</v>
          </cell>
          <cell r="H156">
            <v>56880</v>
          </cell>
          <cell r="N156" t="str">
            <v>TGX6X6H/D24 MONTHS/300 000 KM</v>
          </cell>
          <cell r="O156">
            <v>1580</v>
          </cell>
          <cell r="AC156" t="str">
            <v>TGX6X224 MONTHS/50 000 KMEntire VehicleNo</v>
          </cell>
          <cell r="AD156">
            <v>4740</v>
          </cell>
          <cell r="AK156" t="str">
            <v>TGX6X236 MONTHS/450 000 KMDrivelineNo</v>
          </cell>
          <cell r="AL156">
            <v>17380</v>
          </cell>
        </row>
        <row r="157">
          <cell r="G157" t="str">
            <v>TGX6X424 MONTHS/225 000 KM48 MONTHS/300 000 KMCombinationYes</v>
          </cell>
          <cell r="H157">
            <v>45820</v>
          </cell>
          <cell r="N157" t="str">
            <v>TGX6X6H/D36 MONTHS/150 000 KM</v>
          </cell>
          <cell r="O157">
            <v>7900</v>
          </cell>
          <cell r="AC157" t="str">
            <v>TGX6X224 MONTHS/50 000 KMEntire VehicleYes</v>
          </cell>
          <cell r="AD157">
            <v>3950</v>
          </cell>
          <cell r="AK157" t="str">
            <v>TGX6X236 MONTHS/450 000 KMDrivelineYes</v>
          </cell>
          <cell r="AL157">
            <v>14220</v>
          </cell>
        </row>
        <row r="158">
          <cell r="G158" t="str">
            <v>TGX6X436 MONTHS/450 000 KM48 MONTHS/600 000 KMCombinationNo</v>
          </cell>
          <cell r="H158">
            <v>105860</v>
          </cell>
          <cell r="N158" t="str">
            <v>TGX6X6H/D36 MONTHS/225 000 KM</v>
          </cell>
          <cell r="O158">
            <v>9480</v>
          </cell>
          <cell r="AC158" t="str">
            <v>TGX6X224 MONTHS/100 000 KMEntire VehicleNo</v>
          </cell>
          <cell r="AD158">
            <v>6320</v>
          </cell>
          <cell r="AK158" t="str">
            <v>TGX6X236 MONTHS/525 000 KMDrivelineNo</v>
          </cell>
          <cell r="AL158">
            <v>20540</v>
          </cell>
        </row>
        <row r="159">
          <cell r="G159" t="str">
            <v>TGX6X436 MONTHS/450 000 KM48 MONTHS/600 000 KMCombinationYes</v>
          </cell>
          <cell r="H159">
            <v>85320</v>
          </cell>
          <cell r="N159" t="str">
            <v>TGX6X6H/D36 MONTHS/300 000 KM</v>
          </cell>
          <cell r="O159">
            <v>11060</v>
          </cell>
          <cell r="AC159" t="str">
            <v>TGX6X224 MONTHS/100 000 KMEntire VehicleYes</v>
          </cell>
          <cell r="AD159">
            <v>4740</v>
          </cell>
          <cell r="AK159" t="str">
            <v>TGX6X236 MONTHS/525 000 KMDrivelineYes</v>
          </cell>
          <cell r="AL159">
            <v>16590</v>
          </cell>
        </row>
        <row r="160">
          <cell r="G160" t="str">
            <v>TGX6X424 MONTHS/150 000 KM60 MONTHS/375 000 KM CombinationNo</v>
          </cell>
          <cell r="H160">
            <v>78210</v>
          </cell>
          <cell r="N160" t="str">
            <v>TGX6X6H/D36 MONTHS/375 000 KM</v>
          </cell>
          <cell r="O160">
            <v>12640</v>
          </cell>
          <cell r="AC160" t="str">
            <v>TGX6X224 MONTHS/150 000 KMEntire VehicleNo</v>
          </cell>
          <cell r="AD160">
            <v>7900</v>
          </cell>
          <cell r="AK160" t="str">
            <v>TGX6X236 MONTHS/600 000 KMDrivelineNo</v>
          </cell>
          <cell r="AL160">
            <v>23700</v>
          </cell>
        </row>
        <row r="161">
          <cell r="G161" t="str">
            <v>TGX6X424 MONTHS/150 000 KM60 MONTHS/375 000 KM CombinationYes</v>
          </cell>
          <cell r="H161">
            <v>63200</v>
          </cell>
          <cell r="N161" t="str">
            <v>TGX6X6H/D36 MONTHS/450 000 KM</v>
          </cell>
          <cell r="O161">
            <v>13430</v>
          </cell>
          <cell r="AC161" t="str">
            <v>TGX6X224 MONTHS/150 000 KMEntire VehicleYes</v>
          </cell>
          <cell r="AD161">
            <v>6320</v>
          </cell>
          <cell r="AK161" t="str">
            <v>TGX6X236 MONTHS/600 000 KMDrivelineYes</v>
          </cell>
          <cell r="AL161">
            <v>18960</v>
          </cell>
        </row>
        <row r="162">
          <cell r="G162" t="str">
            <v>TGX6X424 MONTHS/300 000 KM60 MONTHS/750 000 KMCombinationNo</v>
          </cell>
          <cell r="H162">
            <v>156420</v>
          </cell>
          <cell r="N162" t="str">
            <v>TGX6X6H/D36 MONTHS/75 000 KM</v>
          </cell>
          <cell r="O162">
            <v>6320</v>
          </cell>
          <cell r="AC162" t="str">
            <v>TGX6X224 MONTHS/200 000 KMEntire VehicleNo</v>
          </cell>
          <cell r="AD162">
            <v>9480</v>
          </cell>
          <cell r="AK162" t="str">
            <v>TGX6X242 MONTHS/350 000 KMDrivelineNo</v>
          </cell>
          <cell r="AL162">
            <v>15010</v>
          </cell>
        </row>
        <row r="163">
          <cell r="G163" t="str">
            <v>TGX6X424 MONTHS/300 000 KM60 MONTHS/750 000 KMCombinationYes</v>
          </cell>
          <cell r="H163">
            <v>125610</v>
          </cell>
          <cell r="N163" t="str">
            <v>TGX6X6H/D48 MONTHS/100 000 KM</v>
          </cell>
          <cell r="O163">
            <v>11850</v>
          </cell>
          <cell r="AC163" t="str">
            <v>TGX6X224 MONTHS/200 000 KMEntire VehicleYes</v>
          </cell>
          <cell r="AD163">
            <v>7900</v>
          </cell>
          <cell r="AK163" t="str">
            <v>TGX6X242 MONTHS/350 000 KMDrivelineYes</v>
          </cell>
          <cell r="AL163">
            <v>12640</v>
          </cell>
        </row>
        <row r="164">
          <cell r="G164" t="str">
            <v>TGX6X436 MONTHS/225 000 KM60 MONTHS/375 000 KMCombinationNo</v>
          </cell>
          <cell r="H164">
            <v>90850</v>
          </cell>
          <cell r="N164" t="str">
            <v>TGX6X6H/D48 MONTHS/200 000 KM</v>
          </cell>
          <cell r="O164">
            <v>13430</v>
          </cell>
          <cell r="AC164" t="str">
            <v>TGX6X224 MONTHS/250 000 KMEntire VehicleNo</v>
          </cell>
          <cell r="AD164">
            <v>11850</v>
          </cell>
          <cell r="AK164" t="str">
            <v>TGX6X242 MONTHS/437 500 KMDrivelineNo</v>
          </cell>
          <cell r="AL164">
            <v>20540</v>
          </cell>
        </row>
        <row r="165">
          <cell r="G165" t="str">
            <v>TGX6X436 MONTHS/225 000 KM60 MONTHS/375 000 KMCombinationYes</v>
          </cell>
          <cell r="H165">
            <v>72680</v>
          </cell>
          <cell r="N165" t="str">
            <v>TGX6X6H/D48 MONTHS/300 000 KM</v>
          </cell>
          <cell r="O165">
            <v>15800</v>
          </cell>
          <cell r="AC165" t="str">
            <v>TGX6X224 MONTHS/250 000 KMEntire VehicleYes</v>
          </cell>
          <cell r="AD165">
            <v>9480</v>
          </cell>
          <cell r="AK165" t="str">
            <v>TGX6X242 MONTHS/437 500 KMDrivelineYes</v>
          </cell>
          <cell r="AL165">
            <v>16590</v>
          </cell>
        </row>
        <row r="166">
          <cell r="G166" t="str">
            <v>TGX6X436 MONTHS/450 000 KM60 MONTHS/750 000 KMCombinationNo</v>
          </cell>
          <cell r="H166">
            <v>181700</v>
          </cell>
          <cell r="N166" t="str">
            <v>TGX6X6H/D48 MONTHS/400 000 KM</v>
          </cell>
          <cell r="O166">
            <v>19750</v>
          </cell>
          <cell r="AC166" t="str">
            <v>TGX6X224 MONTHS/300 000 KMEntire VehicleNo</v>
          </cell>
          <cell r="AD166">
            <v>15010</v>
          </cell>
          <cell r="AK166" t="str">
            <v>TGX6X242 MONTHS/525 000 KMDrivelineNo</v>
          </cell>
          <cell r="AL166">
            <v>26860</v>
          </cell>
        </row>
        <row r="167">
          <cell r="G167" t="str">
            <v>TGX6X436 MONTHS/450 000 KM60 MONTHS/750 000 KMCombinationYes</v>
          </cell>
          <cell r="H167">
            <v>146150</v>
          </cell>
          <cell r="N167" t="str">
            <v>TGX6X6H/D48 MONTHS/500 000 KM</v>
          </cell>
          <cell r="O167">
            <v>23700</v>
          </cell>
          <cell r="AC167" t="str">
            <v>TGX6X224 MONTHS/300 000 KMEntire VehicleYes</v>
          </cell>
          <cell r="AD167">
            <v>12640</v>
          </cell>
          <cell r="AK167" t="str">
            <v>TGX6X242 MONTHS/525 000 KMDrivelineYes</v>
          </cell>
          <cell r="AL167">
            <v>22120</v>
          </cell>
        </row>
        <row r="168">
          <cell r="G168" t="str">
            <v>TGX6X448 MONTHS/300 000 KM60 MONTHS/375 000 KMCombinationNo</v>
          </cell>
          <cell r="H168">
            <v>161160</v>
          </cell>
          <cell r="N168" t="str">
            <v>TGX6X6H/D48 MONTHS/600 000 KM</v>
          </cell>
          <cell r="O168">
            <v>26070</v>
          </cell>
          <cell r="AC168" t="str">
            <v>TGX6X224 MONTHS/350 000 KMEntire VehicleNo</v>
          </cell>
          <cell r="AD168">
            <v>16590</v>
          </cell>
          <cell r="AK168" t="str">
            <v>TGX6X242 MONTHS/612 500 KMDrivelineNo</v>
          </cell>
          <cell r="AL168">
            <v>33180</v>
          </cell>
        </row>
        <row r="169">
          <cell r="G169" t="str">
            <v>TGX6X448 MONTHS/300 000 KM60 MONTHS/375 000 KMCombinationYes</v>
          </cell>
          <cell r="H169">
            <v>145360</v>
          </cell>
          <cell r="N169" t="str">
            <v>TGX6X6H/D60 MONTHS/125 000 KM</v>
          </cell>
          <cell r="O169">
            <v>24490</v>
          </cell>
          <cell r="AC169" t="str">
            <v>TGX6X224 MONTHS/350 000 KMEntire VehicleYes</v>
          </cell>
          <cell r="AD169">
            <v>13430</v>
          </cell>
          <cell r="AK169" t="str">
            <v>TGX6X242 MONTHS/612 500 KMDrivelineYes</v>
          </cell>
          <cell r="AL169">
            <v>26860</v>
          </cell>
        </row>
        <row r="170">
          <cell r="G170" t="str">
            <v>TGX6X448 MONTHS/600 000 KM60 MONTHS/750 000 KMCombinationNo</v>
          </cell>
          <cell r="H170">
            <v>286770</v>
          </cell>
          <cell r="N170" t="str">
            <v>TGX6X6H/D60 MONTHS/250 000 KM</v>
          </cell>
          <cell r="O170">
            <v>28440</v>
          </cell>
          <cell r="AC170" t="str">
            <v>TGX6X224 MONTHS/400 000 KMEntire VehicleNo</v>
          </cell>
          <cell r="AD170">
            <v>17380</v>
          </cell>
          <cell r="AK170" t="str">
            <v>TGX6X248 MONTHS/100 000 KMDrivelineNo</v>
          </cell>
          <cell r="AL170">
            <v>3950</v>
          </cell>
        </row>
        <row r="171">
          <cell r="G171" t="str">
            <v>TGX6X448 MONTHS/600 000 KM60 MONTHS/750 000 KMCombinationYes</v>
          </cell>
          <cell r="H171">
            <v>229890</v>
          </cell>
          <cell r="N171" t="str">
            <v>TGX6X6H/D60 MONTHS/375 000 KM</v>
          </cell>
          <cell r="O171">
            <v>33180</v>
          </cell>
          <cell r="AC171" t="str">
            <v>TGX6X224 MONTHS/400 000 KMEntire VehicleYes</v>
          </cell>
          <cell r="AD171">
            <v>14220</v>
          </cell>
          <cell r="AK171" t="str">
            <v>TGX6X248 MONTHS/100 000 KMDrivelineYes</v>
          </cell>
          <cell r="AL171">
            <v>3160</v>
          </cell>
        </row>
        <row r="172">
          <cell r="G172" t="str">
            <v>TGX6X6 H/D (ABN)24 MONTHS/150 000 KM36 MONTHS/225 000 KMCombinationNo</v>
          </cell>
          <cell r="H172">
            <v>76630</v>
          </cell>
          <cell r="N172" t="str">
            <v>TGX6X6H/D60 MONTHS/500 000 KM</v>
          </cell>
          <cell r="O172">
            <v>41870</v>
          </cell>
          <cell r="AC172" t="str">
            <v>TGX6X236 MONTHS/75 000 KMEntire VehicleNo</v>
          </cell>
          <cell r="AD172">
            <v>12640</v>
          </cell>
          <cell r="AK172" t="str">
            <v>TGX6X248 MONTHS/200 000 KMDrivelineNo</v>
          </cell>
          <cell r="AL172">
            <v>7900</v>
          </cell>
        </row>
        <row r="173">
          <cell r="G173" t="str">
            <v>TGX6X6 H/D (ABN)24 MONTHS/150 000 KM36 MONTHS/225 000 KMCombinationYes</v>
          </cell>
          <cell r="H173">
            <v>28440</v>
          </cell>
          <cell r="N173" t="str">
            <v>TGX6X6H/D60 MONTHS/625 000 KM</v>
          </cell>
          <cell r="O173">
            <v>49770</v>
          </cell>
          <cell r="AC173" t="str">
            <v>TGX6X236 MONTHS/75 000 KMEntire VehicleYes</v>
          </cell>
          <cell r="AD173">
            <v>10270</v>
          </cell>
          <cell r="AK173" t="str">
            <v>TGX6X248 MONTHS/200 000 KMDrivelineYes</v>
          </cell>
          <cell r="AL173">
            <v>6320</v>
          </cell>
        </row>
        <row r="174">
          <cell r="G174" t="str">
            <v>TGX6X6 H/D (ABN)24 MONTHS/150 000 KM48 MONTHS/300 000 KMCombinationNo</v>
          </cell>
          <cell r="H174">
            <v>120080</v>
          </cell>
          <cell r="N174" t="str">
            <v>TGX6X6H/D60 MONTHS/750 000 KM</v>
          </cell>
          <cell r="O174">
            <v>56880</v>
          </cell>
          <cell r="AC174" t="str">
            <v>TGX6X236 MONTHS/150 000 KMEntire VehicleNo</v>
          </cell>
          <cell r="AD174">
            <v>17380</v>
          </cell>
          <cell r="AK174" t="str">
            <v>TGX6X248 MONTHS/300 000 KMDrivelineNo</v>
          </cell>
          <cell r="AL174">
            <v>13430</v>
          </cell>
        </row>
        <row r="175">
          <cell r="G175" t="str">
            <v>TGX6X6 H/D (ABN)24 MONTHS/150 000 KM48 MONTHS/300 000 KMCombinationYes</v>
          </cell>
          <cell r="H175">
            <v>51350</v>
          </cell>
          <cell r="N175" t="str">
            <v>TGX8X4H/D24 MONTHS/300 000 KM</v>
          </cell>
          <cell r="O175">
            <v>1580</v>
          </cell>
          <cell r="AC175" t="str">
            <v>TGX6X236 MONTHS/150 000 KMEntire VehicleYes</v>
          </cell>
          <cell r="AD175">
            <v>14220</v>
          </cell>
          <cell r="AK175" t="str">
            <v>TGX6X248 MONTHS/300 000 KMDrivelineYes</v>
          </cell>
          <cell r="AL175">
            <v>11060</v>
          </cell>
        </row>
        <row r="176">
          <cell r="G176" t="str">
            <v>TGX6X6 H/D (ABN)24 MONTHS/150 000 KM60 MONTHS/375 000 KMCombinationNo</v>
          </cell>
          <cell r="H176">
            <v>228310</v>
          </cell>
          <cell r="N176" t="str">
            <v>TGX8X4H/D36 MONTHS/150 000 KM</v>
          </cell>
          <cell r="O176">
            <v>7900</v>
          </cell>
          <cell r="AC176" t="str">
            <v>TGX6X236 MONTHS/225 000 KMEntire VehicleNo</v>
          </cell>
          <cell r="AD176">
            <v>27650</v>
          </cell>
          <cell r="AK176" t="str">
            <v>TGX6X248 MONTHS/400 000 KMDrivelineNo</v>
          </cell>
          <cell r="AL176">
            <v>18170</v>
          </cell>
        </row>
        <row r="177">
          <cell r="G177" t="str">
            <v>TGX6X6 H/D (ABN)24 MONTHS/150 000 KM60 MONTHS/375 000 KMCombinationYes</v>
          </cell>
          <cell r="H177">
            <v>94800</v>
          </cell>
          <cell r="N177" t="str">
            <v>TGX8X4H/D36 MONTHS/225 000 KM</v>
          </cell>
          <cell r="O177">
            <v>9480</v>
          </cell>
          <cell r="AC177" t="str">
            <v>TGX6X236 MONTHS/225 000 KMEntire VehicleYes</v>
          </cell>
          <cell r="AD177">
            <v>22120</v>
          </cell>
          <cell r="AK177" t="str">
            <v>TGX6X248 MONTHS/400 000 KMDrivelineYes</v>
          </cell>
          <cell r="AL177">
            <v>15010</v>
          </cell>
        </row>
        <row r="178">
          <cell r="G178" t="str">
            <v>TGX6X6 H/D (ABN)24 MONTHS/300 000 KM36 MONTHS/450 000 KMCombinationNo</v>
          </cell>
          <cell r="H178">
            <v>135880</v>
          </cell>
          <cell r="N178" t="str">
            <v>TGX8X4H/D36 MONTHS/300 000 KM</v>
          </cell>
          <cell r="O178">
            <v>11060</v>
          </cell>
          <cell r="AC178" t="str">
            <v>TGX6X236 MONTHS/300 000 KMEntire VehicleNo</v>
          </cell>
          <cell r="AD178">
            <v>31600</v>
          </cell>
          <cell r="AK178" t="str">
            <v>TGX6X248 MONTHS/500 000 KMDrivelineNo</v>
          </cell>
          <cell r="AL178">
            <v>26070</v>
          </cell>
        </row>
        <row r="179">
          <cell r="G179" t="str">
            <v>TGX6X6 H/D (ABN)24 MONTHS/300 000 KM36 MONTHS/450 000 KMCombinationYes</v>
          </cell>
          <cell r="H179">
            <v>48702.987012987011</v>
          </cell>
          <cell r="N179" t="str">
            <v>TGX8X4H/D36 MONTHS/375 000 KM</v>
          </cell>
          <cell r="O179">
            <v>12640</v>
          </cell>
          <cell r="AC179" t="str">
            <v>TGX6X236 MONTHS/300 000 KMEntire VehicleYes</v>
          </cell>
          <cell r="AD179">
            <v>25280</v>
          </cell>
          <cell r="AK179" t="str">
            <v>TGX6X248 MONTHS/500 000 KMDrivelineYes</v>
          </cell>
          <cell r="AL179">
            <v>21330</v>
          </cell>
        </row>
        <row r="180">
          <cell r="G180" t="str">
            <v>TGX6X6 H/D (ABN)24 MONTHS/300 000 KM48 MONTHS/600 000 KMCombinationNo</v>
          </cell>
          <cell r="H180">
            <v>207770</v>
          </cell>
          <cell r="N180" t="str">
            <v>TGX8X4H/D36 MONTHS/450 000 KM</v>
          </cell>
          <cell r="O180">
            <v>13430</v>
          </cell>
          <cell r="AC180" t="str">
            <v>TGX6X236 MONTHS/375 000 KMEntire VehicleNo</v>
          </cell>
          <cell r="AD180">
            <v>37920</v>
          </cell>
          <cell r="AK180" t="str">
            <v>TGX6X248 MONTHS/600 000 KMDrivelineNo</v>
          </cell>
          <cell r="AL180">
            <v>35550</v>
          </cell>
        </row>
        <row r="181">
          <cell r="G181" t="str">
            <v>TGX6X6 H/D (ABN)24 MONTHS/300 000 KM48 MONTHS/600 000 KMCombinationYes</v>
          </cell>
          <cell r="H181">
            <v>82950</v>
          </cell>
          <cell r="N181" t="str">
            <v>TGX8X4H/D36 MONTHS/75 000 KM</v>
          </cell>
          <cell r="O181">
            <v>6320</v>
          </cell>
          <cell r="AC181" t="str">
            <v>TGX6X236 MONTHS/375 000 KMEntire VehicleYes</v>
          </cell>
          <cell r="AD181">
            <v>30810</v>
          </cell>
          <cell r="AK181" t="str">
            <v>TGX6X248 MONTHS/600 000 KMDrivelineYes</v>
          </cell>
          <cell r="AL181">
            <v>28440</v>
          </cell>
        </row>
        <row r="182">
          <cell r="G182" t="str">
            <v>TGX6X6 H/D (ABN)24 MONTHS/300 000 KM60 MONTHS/750 000 KMCombinationNo</v>
          </cell>
          <cell r="H182">
            <v>387100</v>
          </cell>
          <cell r="N182" t="str">
            <v>TGX8X4H/D48 MONTHS/100 000 KM</v>
          </cell>
          <cell r="O182">
            <v>11850</v>
          </cell>
          <cell r="AC182" t="str">
            <v>TGX6X236 MONTHS/450 000 KMEntire VehicleNo</v>
          </cell>
          <cell r="AD182">
            <v>43450</v>
          </cell>
          <cell r="AK182" t="str">
            <v>TGX6X248 MONTHS/700 000 KMDrivelineNo</v>
          </cell>
          <cell r="AL182">
            <v>45820</v>
          </cell>
        </row>
        <row r="183">
          <cell r="G183" t="str">
            <v>TGX6X6 H/D (ABN)24 MONTHS/300 000 KM60 MONTHS/750 000 KMCombinationYes</v>
          </cell>
          <cell r="H183">
            <v>158790</v>
          </cell>
          <cell r="N183" t="str">
            <v>TGX8X4H/D48 MONTHS/200 000 KM</v>
          </cell>
          <cell r="O183">
            <v>13430</v>
          </cell>
          <cell r="AC183" t="str">
            <v>TGX6X236 MONTHS/450 000 KMEntire VehicleYes</v>
          </cell>
          <cell r="AD183">
            <v>34760</v>
          </cell>
          <cell r="AK183" t="str">
            <v>TGX6X248 MONTHS/700 000 KMDrivelineYes</v>
          </cell>
          <cell r="AL183">
            <v>37130</v>
          </cell>
        </row>
        <row r="184">
          <cell r="G184" t="str">
            <v>TGX6X6 H/D (ABN)36 MONTHS/225 000 KM48 MONTHS/300 000 KM CombinationNo</v>
          </cell>
          <cell r="H184">
            <v>142200</v>
          </cell>
          <cell r="N184" t="str">
            <v>TGX8X4H/D48 MONTHS/300 000 KM</v>
          </cell>
          <cell r="O184">
            <v>15800</v>
          </cell>
          <cell r="AC184" t="str">
            <v>TGX6X236 MONTHS/525 000 KMEntire VehicleNo</v>
          </cell>
          <cell r="AD184">
            <v>48190</v>
          </cell>
          <cell r="AK184" t="str">
            <v>TGX6X248 MONTHS/800 000 KMDrivelineNo</v>
          </cell>
          <cell r="AL184">
            <v>56090</v>
          </cell>
        </row>
        <row r="185">
          <cell r="G185" t="str">
            <v>TGX6X6 H/D (ABN)36 MONTHS/225 000 KM48 MONTHS/300 000 KM CombinationYes</v>
          </cell>
          <cell r="H185">
            <v>66360</v>
          </cell>
          <cell r="N185" t="str">
            <v>TGX8X4H/D48 MONTHS/400 000 KM</v>
          </cell>
          <cell r="O185">
            <v>19750</v>
          </cell>
          <cell r="AC185" t="str">
            <v>TGX6X236 MONTHS/525 000 KMEntire VehicleYes</v>
          </cell>
          <cell r="AD185">
            <v>38710</v>
          </cell>
          <cell r="AK185" t="str">
            <v>TGX6X248 MONTHS/800 000 KMDrivelineYes</v>
          </cell>
          <cell r="AL185">
            <v>45030</v>
          </cell>
        </row>
        <row r="186">
          <cell r="G186" t="str">
            <v>TGX6X6 H/D (ABN)36 MONTHS/225 000 KM60 MONTHS/750 000 KMCombinationNo</v>
          </cell>
          <cell r="H186">
            <v>250430</v>
          </cell>
          <cell r="N186" t="str">
            <v>TGX8X4H/D48 MONTHS/500 000 KM</v>
          </cell>
          <cell r="O186">
            <v>23700</v>
          </cell>
          <cell r="AC186" t="str">
            <v>TGX6X236 MONTHS/600 000 KMEntire VehicleNo</v>
          </cell>
          <cell r="AD186">
            <v>53720</v>
          </cell>
          <cell r="AK186" t="str">
            <v>TGX6X254 MONTHS/450 000 KMDrivelineNo</v>
          </cell>
          <cell r="AL186">
            <v>27650</v>
          </cell>
        </row>
        <row r="187">
          <cell r="G187" t="str">
            <v>TGX6X6 H/D (ABN)36 MONTHS/225 000 KM60 MONTHS/750 000 KMCombinationYes</v>
          </cell>
          <cell r="H187">
            <v>109810</v>
          </cell>
          <cell r="N187" t="str">
            <v>TGX8X4H/D48 MONTHS/600 000 KM</v>
          </cell>
          <cell r="O187">
            <v>26070</v>
          </cell>
          <cell r="AC187" t="str">
            <v>TGX6X236 MONTHS/600 000 KMEntire VehicleYes</v>
          </cell>
          <cell r="AD187">
            <v>43450</v>
          </cell>
          <cell r="AK187" t="str">
            <v>TGX6X254 MONTHS/450 000 KMDrivelineYes</v>
          </cell>
          <cell r="AL187">
            <v>22120</v>
          </cell>
        </row>
        <row r="188">
          <cell r="G188" t="str">
            <v>TGX6X6 H/D (ABN)36 MONTHS/450 000 KM48 MONTHS/600 000 KMCombinationNo</v>
          </cell>
          <cell r="H188">
            <v>233050</v>
          </cell>
          <cell r="N188" t="str">
            <v>TGX8X4H/D60 MONTHS/125 000 KM</v>
          </cell>
          <cell r="O188">
            <v>24490</v>
          </cell>
          <cell r="AC188" t="str">
            <v>TGX6X242 MONTHS/350 000 KMEntire VehicleNo</v>
          </cell>
          <cell r="AD188">
            <v>50560</v>
          </cell>
          <cell r="AK188" t="str">
            <v>TGX6X254 MONTHS/562 500 KMDrivelineNo</v>
          </cell>
          <cell r="AL188">
            <v>36340</v>
          </cell>
        </row>
        <row r="189">
          <cell r="G189" t="str">
            <v>TGX6X6 H/D (ABN)36 MONTHS/450 000 KM48 MONTHS/600 000 KMCombinationYes</v>
          </cell>
          <cell r="H189">
            <v>105860</v>
          </cell>
          <cell r="N189" t="str">
            <v>TGX8X4H/D60 MONTHS/250 000 KM</v>
          </cell>
          <cell r="O189">
            <v>28440</v>
          </cell>
          <cell r="AC189" t="str">
            <v>TGX6X242 MONTHS/350 000 KMEntire VehicleYes</v>
          </cell>
          <cell r="AD189">
            <v>41080</v>
          </cell>
          <cell r="AK189" t="str">
            <v>TGX6X254 MONTHS/562 500 KMDrivelineYes</v>
          </cell>
          <cell r="AL189">
            <v>29230</v>
          </cell>
        </row>
        <row r="190">
          <cell r="G190" t="str">
            <v>TGX6X6 H/D (ABN)36 MONTHS/450 000 KM60 MONTHS/750 000 KMCombinationNo</v>
          </cell>
          <cell r="H190">
            <v>412380</v>
          </cell>
          <cell r="N190" t="str">
            <v>TGX8X4H/D60 MONTHS/375 000 KM</v>
          </cell>
          <cell r="O190">
            <v>33180</v>
          </cell>
          <cell r="AC190" t="str">
            <v>TGX6X242 MONTHS/437 500 KMEntire VehicleNo</v>
          </cell>
          <cell r="AD190">
            <v>61620</v>
          </cell>
          <cell r="AK190" t="str">
            <v>TGX6X254 MONTHS/675 000 KMDrivelineNo</v>
          </cell>
          <cell r="AL190">
            <v>48190</v>
          </cell>
        </row>
        <row r="191">
          <cell r="G191" t="str">
            <v>TGX6X6 H/D (ABN)36 MONTHS/450 000 KM60 MONTHS/750 000 KMCombinationYes</v>
          </cell>
          <cell r="H191">
            <v>181700</v>
          </cell>
          <cell r="N191" t="str">
            <v>TGX8X4H/D60 MONTHS/500 000 KM</v>
          </cell>
          <cell r="O191">
            <v>41870</v>
          </cell>
          <cell r="AC191" t="str">
            <v>TGX6X242 MONTHS/437 500 KMEntire VehicleYes</v>
          </cell>
          <cell r="AD191">
            <v>49770</v>
          </cell>
          <cell r="AK191" t="str">
            <v>TGX6X254 MONTHS/675 000 KMDrivelineYes</v>
          </cell>
          <cell r="AL191">
            <v>38710</v>
          </cell>
        </row>
        <row r="192">
          <cell r="G192" t="str">
            <v>TGX6X6 H/D (ABN)48 MONTHS/300 000 KM60 MONTHS/750 000 KMCombinationNo</v>
          </cell>
          <cell r="H192">
            <v>299410</v>
          </cell>
          <cell r="N192" t="str">
            <v>TGX8X4H/D60 MONTHS/625 000 KM</v>
          </cell>
          <cell r="O192">
            <v>49770</v>
          </cell>
          <cell r="AC192" t="str">
            <v>TGX6X242 MONTHS/525 000 KMEntire VehicleNo</v>
          </cell>
          <cell r="AD192">
            <v>68730</v>
          </cell>
          <cell r="AK192" t="str">
            <v>TGX6X254 MONTHS/787 500 KMDrivelineNo</v>
          </cell>
          <cell r="AL192">
            <v>59250</v>
          </cell>
        </row>
        <row r="193">
          <cell r="G193" t="str">
            <v>TGX6X6 H/D (ABN)48 MONTHS/300 000 KM60 MONTHS/750 000 KMCombinationYes</v>
          </cell>
          <cell r="H193">
            <v>495330</v>
          </cell>
          <cell r="N193" t="str">
            <v>TGX8X4H/D60 MONTHS/750 000 KM</v>
          </cell>
          <cell r="O193">
            <v>56880</v>
          </cell>
          <cell r="AC193" t="str">
            <v>TGX6X242 MONTHS/525 000 KMEntire VehicleYes</v>
          </cell>
          <cell r="AD193">
            <v>55300</v>
          </cell>
          <cell r="AK193" t="str">
            <v>TGX6X254 MONTHS/787 500 KMDrivelineYes</v>
          </cell>
          <cell r="AL193">
            <v>47400</v>
          </cell>
        </row>
        <row r="194">
          <cell r="G194" t="str">
            <v>TGX6X6 H/D (ABN)48 MONTHS/300 000 KM60 MONTHS/750 000 KMCombinationNo</v>
          </cell>
          <cell r="H194">
            <v>159580</v>
          </cell>
          <cell r="N194" t="str">
            <v>TGX8X6H/D24 MONTHS/300 000 KM</v>
          </cell>
          <cell r="O194">
            <v>1580</v>
          </cell>
          <cell r="AC194" t="str">
            <v>TGX6X242 MONTHS/612 500 KMEntire VehicleNo</v>
          </cell>
          <cell r="AD194">
            <v>75050</v>
          </cell>
          <cell r="AK194" t="str">
            <v>TGX6X260 MONTHS/125 000 KMDrivelineNo</v>
          </cell>
          <cell r="AL194">
            <v>25280</v>
          </cell>
        </row>
        <row r="195">
          <cell r="G195" t="str">
            <v>TGX6X6 H/D (ABN)48 MONTHS/300 000 KM60 MONTHS/750 000 KMCombinationYes</v>
          </cell>
          <cell r="H195">
            <v>267810</v>
          </cell>
          <cell r="N195" t="str">
            <v>TGX8X6H/D36 MONTHS/150 000 KM</v>
          </cell>
          <cell r="O195">
            <v>7900</v>
          </cell>
          <cell r="AC195" t="str">
            <v>TGX6X242 MONTHS/612 500 KMEntire VehicleYes</v>
          </cell>
          <cell r="AD195">
            <v>60040</v>
          </cell>
          <cell r="AK195" t="str">
            <v>TGX6X260 MONTHS/125 000 KMDrivelineYes</v>
          </cell>
          <cell r="AL195">
            <v>21330</v>
          </cell>
        </row>
        <row r="196">
          <cell r="G196" t="str">
            <v>TGX6X6 H/D24 MONTHS/150 000 KM36 MONTHS/225 000 KMCombinationNo</v>
          </cell>
          <cell r="H196">
            <v>33970</v>
          </cell>
          <cell r="N196" t="str">
            <v>TGX8X6H/D36 MONTHS/225 000 KM</v>
          </cell>
          <cell r="O196">
            <v>9480</v>
          </cell>
          <cell r="AC196" t="str">
            <v>TGX6X248 MONTHS/100 000 KMEntire VehicleNo</v>
          </cell>
          <cell r="AD196">
            <v>18960</v>
          </cell>
          <cell r="AK196" t="str">
            <v>TGX6X260 MONTHS/250 000 KMDrivelineNo</v>
          </cell>
          <cell r="AL196">
            <v>26070</v>
          </cell>
        </row>
        <row r="197">
          <cell r="G197" t="str">
            <v>TGX6X6 H/D24 MONTHS/150 000 KM36 MONTHS/225 000 KMCombinationYes</v>
          </cell>
          <cell r="H197">
            <v>65570</v>
          </cell>
          <cell r="N197" t="str">
            <v>TGX8X6H/D36 MONTHS/300 000 KM</v>
          </cell>
          <cell r="O197">
            <v>11060</v>
          </cell>
          <cell r="AC197" t="str">
            <v>TGX6X248 MONTHS/100 000 KMEntire VehicleYes</v>
          </cell>
          <cell r="AD197">
            <v>15800</v>
          </cell>
          <cell r="AK197" t="str">
            <v>TGX6X260 MONTHS/250 000 KMDrivelineYes</v>
          </cell>
          <cell r="AL197">
            <v>22120</v>
          </cell>
        </row>
        <row r="198">
          <cell r="G198" t="str">
            <v>TGX6X6 H/D24 MONTHS/150 000 KM48 MONTHS/300 000 KMCombinationNo</v>
          </cell>
          <cell r="H198">
            <v>60040</v>
          </cell>
          <cell r="N198" t="str">
            <v>TGX8X6H/D36 MONTHS/375 000 KM</v>
          </cell>
          <cell r="O198">
            <v>12640</v>
          </cell>
          <cell r="AC198" t="str">
            <v>TGX6X248 MONTHS/200 000 KMEntire VehicleNo</v>
          </cell>
          <cell r="AD198">
            <v>32390</v>
          </cell>
          <cell r="AK198" t="str">
            <v>TGX6X260 MONTHS/375 000 KMDrivelineNo</v>
          </cell>
          <cell r="AL198">
            <v>26860</v>
          </cell>
        </row>
        <row r="199">
          <cell r="G199" t="str">
            <v>TGX6X6 H/D24 MONTHS/150 000 KM48 MONTHS/300 000 KMCombinationYes</v>
          </cell>
          <cell r="H199">
            <v>103490</v>
          </cell>
          <cell r="N199" t="str">
            <v>TGX8X6H/D36 MONTHS/450 000 KM</v>
          </cell>
          <cell r="O199">
            <v>13430</v>
          </cell>
          <cell r="AC199" t="str">
            <v>TGX6X248 MONTHS/200 000 KMEntire VehicleYes</v>
          </cell>
          <cell r="AD199">
            <v>26860</v>
          </cell>
          <cell r="AK199" t="str">
            <v>TGX6X260 MONTHS/375 000 KMDrivelineYes</v>
          </cell>
          <cell r="AL199">
            <v>22910</v>
          </cell>
        </row>
        <row r="200">
          <cell r="G200" t="str">
            <v>TGX6X6 H/D24 MONTHS/150 000 KM60 MONTHS/375 000 KMCombinationNo</v>
          </cell>
          <cell r="H200">
            <v>109810</v>
          </cell>
          <cell r="N200" t="str">
            <v>TGX8X6H/D36 MONTHS/75 000 KM</v>
          </cell>
          <cell r="O200">
            <v>6320</v>
          </cell>
          <cell r="AC200" t="str">
            <v>TGX6X248 MONTHS/300 000 KMEntire VehicleNo</v>
          </cell>
          <cell r="AD200">
            <v>54510</v>
          </cell>
          <cell r="AK200" t="str">
            <v>TGX6X260 MONTHS/500 000 KMDrivelineNo</v>
          </cell>
          <cell r="AL200">
            <v>36340</v>
          </cell>
        </row>
        <row r="201">
          <cell r="G201" t="str">
            <v>TGX6X6 H/D24 MONTHS/150 000 KM60 MONTHS/375 000 KMCombinationYes</v>
          </cell>
          <cell r="H201">
            <v>197500</v>
          </cell>
          <cell r="N201" t="str">
            <v>TGX8X6H/D48 MONTHS/100 000 KM</v>
          </cell>
          <cell r="O201">
            <v>11850</v>
          </cell>
          <cell r="AC201" t="str">
            <v>TGX6X248 MONTHS/300 000 KMEntire VehicleYes</v>
          </cell>
          <cell r="AD201">
            <v>44240</v>
          </cell>
          <cell r="AK201" t="str">
            <v>TGX6X260 MONTHS/500 000 KMDrivelineYes</v>
          </cell>
          <cell r="AL201">
            <v>29230</v>
          </cell>
        </row>
        <row r="202">
          <cell r="G202" t="str">
            <v>TGX6X6 H/D24 MONTHS/300 000 KM36 MONTHS/450 000 KMCombinationNo</v>
          </cell>
          <cell r="H202">
            <v>56880</v>
          </cell>
          <cell r="N202" t="str">
            <v>TGX8X6H/D48 MONTHS/200 000 KM</v>
          </cell>
          <cell r="O202">
            <v>13430</v>
          </cell>
          <cell r="AC202" t="str">
            <v>TGX6X248 MONTHS/400 000 KMEntire VehicleNo</v>
          </cell>
          <cell r="AD202">
            <v>70310</v>
          </cell>
          <cell r="AK202" t="str">
            <v>TGX6X260 MONTHS/625 000 KMDrivelineNo</v>
          </cell>
          <cell r="AL202">
            <v>47400</v>
          </cell>
        </row>
        <row r="203">
          <cell r="G203" t="str">
            <v>TGX6X6 H/D24 MONTHS/300 000 KM36 MONTHS/450 000 KMCombinationYes</v>
          </cell>
          <cell r="H203">
            <v>117710</v>
          </cell>
          <cell r="N203" t="str">
            <v>TGX8X6H/D48 MONTHS/300 000 KM</v>
          </cell>
          <cell r="O203">
            <v>15800</v>
          </cell>
          <cell r="AC203" t="str">
            <v>TGX6X248 MONTHS/400 000 KMEntire VehicleYes</v>
          </cell>
          <cell r="AD203">
            <v>56880</v>
          </cell>
          <cell r="AK203" t="str">
            <v>TGX6X260 MONTHS/625 000 KMDrivelineYes</v>
          </cell>
          <cell r="AL203">
            <v>37920</v>
          </cell>
        </row>
        <row r="204">
          <cell r="G204" t="str">
            <v>TGX6X6 H/D24 MONTHS/300 000 KM48 MONTHS/600 000 KMCombinationNo</v>
          </cell>
          <cell r="H204">
            <v>95590</v>
          </cell>
          <cell r="N204" t="str">
            <v>TGX8X6H/D48 MONTHS/400 000 KM</v>
          </cell>
          <cell r="O204">
            <v>19750</v>
          </cell>
          <cell r="AC204" t="str">
            <v>TGX6X248 MONTHS/500 000 KMEntire VehicleNo</v>
          </cell>
          <cell r="AD204">
            <v>86110</v>
          </cell>
          <cell r="AK204" t="str">
            <v>TGX6X260 MONTHS/750 000 KMDrivelineNo</v>
          </cell>
          <cell r="AL204">
            <v>60040</v>
          </cell>
        </row>
        <row r="205">
          <cell r="G205" t="str">
            <v>TGX6X6 H/D24 MONTHS/300 000 KM48 MONTHS/600 000 KMCombinationYes</v>
          </cell>
          <cell r="H205">
            <v>180120</v>
          </cell>
          <cell r="N205" t="str">
            <v>TGX8X6H/D48 MONTHS/500 000 KM</v>
          </cell>
          <cell r="O205">
            <v>23700</v>
          </cell>
          <cell r="AC205" t="str">
            <v>TGX6X248 MONTHS/500 000 KMEntire VehicleYes</v>
          </cell>
          <cell r="AD205">
            <v>69520</v>
          </cell>
          <cell r="AK205" t="str">
            <v>TGX6X260 MONTHS/750 000 KMDrivelineYes</v>
          </cell>
          <cell r="AL205">
            <v>48190</v>
          </cell>
        </row>
        <row r="206">
          <cell r="G206" t="str">
            <v>TGX6X6 H/D24 MONTHS/300 000 KM60 MONTHS/750 000 KMCombinationNo</v>
          </cell>
          <cell r="H206">
            <v>183280</v>
          </cell>
          <cell r="N206" t="str">
            <v>TGX8X6H/D48 MONTHS/600 000 KM</v>
          </cell>
          <cell r="O206">
            <v>26070</v>
          </cell>
          <cell r="AC206" t="str">
            <v>TGX6X248 MONTHS/600 000 KMEntire VehicleNo</v>
          </cell>
          <cell r="AD206">
            <v>94800</v>
          </cell>
          <cell r="AK206" t="str">
            <v>TGX6X260 MONTHS/875 000 KMDrivelineNo</v>
          </cell>
          <cell r="AL206">
            <v>71890</v>
          </cell>
        </row>
        <row r="207">
          <cell r="G207" t="str">
            <v>TGX6X6 H/D24 MONTHS/300 000 KM60 MONTHS/750 000 KMCombinationYes</v>
          </cell>
          <cell r="H207">
            <v>335750</v>
          </cell>
          <cell r="N207" t="str">
            <v>TGX8X6H/D60 MONTHS/125 000 KM</v>
          </cell>
          <cell r="O207">
            <v>24490</v>
          </cell>
          <cell r="AC207" t="str">
            <v>TGX6X248 MONTHS/600 000 KMEntire VehicleYes</v>
          </cell>
          <cell r="AD207">
            <v>75840</v>
          </cell>
          <cell r="AK207" t="str">
            <v>TGX6X260 MONTHS/875 000 KMDrivelineYes</v>
          </cell>
          <cell r="AL207">
            <v>57670</v>
          </cell>
        </row>
        <row r="208">
          <cell r="G208" t="str">
            <v>TGX6X6 H/D36 MONTHS/225 000 KM48 MONTHS/300 000 KM CombinationNo</v>
          </cell>
          <cell r="H208">
            <v>76630</v>
          </cell>
          <cell r="N208" t="str">
            <v>TGX8X6H/D60 MONTHS/250 000 KM</v>
          </cell>
          <cell r="O208">
            <v>28440</v>
          </cell>
          <cell r="AC208" t="str">
            <v>TGX6X248 MONTHS/700 000 KMEntire VehicleNo</v>
          </cell>
          <cell r="AD208">
            <v>101120</v>
          </cell>
          <cell r="AK208" t="str">
            <v>TGX6X260 MONTHS/1 000 000 KMDrivelineNo</v>
          </cell>
          <cell r="AL208">
            <v>86110</v>
          </cell>
        </row>
        <row r="209">
          <cell r="G209" t="str">
            <v>TGX6X6 H/D36 MONTHS/225 000 KM48 MONTHS/300 000 KM CombinationYes</v>
          </cell>
          <cell r="H209">
            <v>123240</v>
          </cell>
          <cell r="N209" t="str">
            <v>TGX8X6H/D60 MONTHS/375 000 KM</v>
          </cell>
          <cell r="O209">
            <v>33180</v>
          </cell>
          <cell r="AC209" t="str">
            <v>TGX6X248 MONTHS/700 000 KMEntire VehicleYes</v>
          </cell>
          <cell r="AD209">
            <v>81370</v>
          </cell>
          <cell r="AK209" t="str">
            <v>TGX6X260 MONTHS/1 000 000 KMDrivelineYes</v>
          </cell>
          <cell r="AL209">
            <v>69520</v>
          </cell>
        </row>
        <row r="210">
          <cell r="G210" t="str">
            <v>TGX6X6 H/D36 MONTHS/225 000 KM60 MONTHS/750 000 KMCombinationNo</v>
          </cell>
          <cell r="H210">
            <v>126400</v>
          </cell>
          <cell r="N210" t="str">
            <v>TGX8X6H/D60 MONTHS/500 000 KM</v>
          </cell>
          <cell r="O210">
            <v>41870</v>
          </cell>
          <cell r="AC210" t="str">
            <v>TGX6X248 MONTHS/800 000 KMEntire VehicleNo</v>
          </cell>
          <cell r="AD210">
            <v>108230</v>
          </cell>
          <cell r="AK210" t="str">
            <v>TGX6X272 MONTHS/150 000 KMDrivelineNo</v>
          </cell>
          <cell r="AL210">
            <v>54510</v>
          </cell>
        </row>
        <row r="211">
          <cell r="G211" t="str">
            <v>TGX6X6 H/D36 MONTHS/225 000 KM60 MONTHS/750 000 KMCombinationYes</v>
          </cell>
          <cell r="H211">
            <v>217250</v>
          </cell>
          <cell r="N211" t="str">
            <v>TGX8X6H/D60 MONTHS/625 000 KM</v>
          </cell>
          <cell r="O211">
            <v>49770</v>
          </cell>
          <cell r="AC211" t="str">
            <v>TGX6X248 MONTHS/800 000 KMEntire VehicleYes</v>
          </cell>
          <cell r="AD211">
            <v>86900</v>
          </cell>
          <cell r="AK211" t="str">
            <v>TGX6X272 MONTHS/150 000 KMDrivelineYes</v>
          </cell>
          <cell r="AL211">
            <v>44240</v>
          </cell>
        </row>
        <row r="212">
          <cell r="G212" t="str">
            <v>TGX6X6 H/D36 MONTHS/450 000 KM48 MONTHS/600 000 KMCombinationNo</v>
          </cell>
          <cell r="H212">
            <v>121660</v>
          </cell>
          <cell r="N212" t="str">
            <v>TGX8X6H/D60 MONTHS/750 000 KM</v>
          </cell>
          <cell r="O212">
            <v>56880</v>
          </cell>
          <cell r="AC212" t="str">
            <v>TGX6X254 MONTHS/450 000 KMEntire VehicleNo</v>
          </cell>
          <cell r="AD212">
            <v>102700</v>
          </cell>
          <cell r="AK212" t="str">
            <v>TGX6X272 MONTHS/300 000 KMDrivelineNo</v>
          </cell>
          <cell r="AL212">
            <v>122450</v>
          </cell>
        </row>
        <row r="213">
          <cell r="G213" t="str">
            <v>TGX6X6 H/D36 MONTHS/450 000 KM48 MONTHS/600 000 KMCombinationYes</v>
          </cell>
          <cell r="H213">
            <v>202240</v>
          </cell>
          <cell r="AC213" t="str">
            <v>TGX6X254 MONTHS/450 000 KMEntire VehicleYes</v>
          </cell>
          <cell r="AD213">
            <v>82160</v>
          </cell>
          <cell r="AK213" t="str">
            <v>TGX6X272 MONTHS/300 000 KMDrivelineYes</v>
          </cell>
          <cell r="AL213">
            <v>97960</v>
          </cell>
        </row>
        <row r="214">
          <cell r="G214" t="str">
            <v>TGX6X6 H/D36 MONTHS/450 000 KM60 MONTHS/750 000 KMCombinationNo</v>
          </cell>
          <cell r="H214">
            <v>209350</v>
          </cell>
          <cell r="AC214" t="str">
            <v>TGX6X254 MONTHS/562 500 KMEntire VehicleNo</v>
          </cell>
          <cell r="AD214">
            <v>124030</v>
          </cell>
          <cell r="AK214" t="str">
            <v>TGX6X272 MONTHS/450 000 KMDrivelineNo</v>
          </cell>
          <cell r="AL214">
            <v>191970</v>
          </cell>
        </row>
        <row r="215">
          <cell r="G215" t="str">
            <v>TGX6X6 H/D36 MONTHS/450 000 KM60 MONTHS/750 000 KMCombinationYes</v>
          </cell>
          <cell r="H215">
            <v>357870</v>
          </cell>
          <cell r="AC215" t="str">
            <v>TGX6X254 MONTHS/562 500 KMEntire VehicleYes</v>
          </cell>
          <cell r="AD215">
            <v>99540</v>
          </cell>
          <cell r="AK215" t="str">
            <v>TGX6X272 MONTHS/450 000 KMDrivelineYes</v>
          </cell>
          <cell r="AL215">
            <v>154050</v>
          </cell>
        </row>
        <row r="216">
          <cell r="G216" t="str">
            <v>TGX6X6 H/D48 MONTHS/300 000 KM60 MONTHS/750 000 KMCombinationNo</v>
          </cell>
          <cell r="H216">
            <v>184070</v>
          </cell>
          <cell r="AC216" t="str">
            <v>TGX6X254 MONTHS/675 000 KMEntire VehicleNo</v>
          </cell>
          <cell r="AD216">
            <v>135090</v>
          </cell>
          <cell r="AK216" t="str">
            <v>TGX6X272 MONTHS/600 000 KMDrivelineNo</v>
          </cell>
          <cell r="AL216">
            <v>260700</v>
          </cell>
        </row>
        <row r="217">
          <cell r="G217" t="str">
            <v>TGX6X6 H/D48 MONTHS/300 000 KM60 MONTHS/750 000 KMCombinationYes</v>
          </cell>
          <cell r="H217">
            <v>308890</v>
          </cell>
          <cell r="AC217" t="str">
            <v>TGX6X254 MONTHS/675 000 KMEntire VehicleYes</v>
          </cell>
          <cell r="AD217">
            <v>108230</v>
          </cell>
          <cell r="AK217" t="str">
            <v>TGX6X272 MONTHS/600 000 KMDrivelineYes</v>
          </cell>
          <cell r="AL217">
            <v>208560</v>
          </cell>
        </row>
        <row r="218">
          <cell r="G218" t="str">
            <v>TGX6X6 H/D48 MONTHS/300 000 KM60 MONTHS/750 000 KMCombinationNo</v>
          </cell>
          <cell r="H218">
            <v>259910</v>
          </cell>
          <cell r="AC218" t="str">
            <v>TGX6X254 MONTHS/787 500 KMEntire VehicleNo</v>
          </cell>
          <cell r="AD218">
            <v>142990</v>
          </cell>
          <cell r="AK218" t="str">
            <v>TGX6X272 MONTHS/750 000 KMDrivelineNo</v>
          </cell>
          <cell r="AL218">
            <v>330220</v>
          </cell>
        </row>
        <row r="219">
          <cell r="G219" t="str">
            <v>TGX6X6 H/D48 MONTHS/300 000 KM60 MONTHS/750 000 KMCombinationYes</v>
          </cell>
          <cell r="H219">
            <v>429760</v>
          </cell>
          <cell r="AC219" t="str">
            <v>TGX6X254 MONTHS/787 500 KMEntire VehicleYes</v>
          </cell>
          <cell r="AD219">
            <v>114550</v>
          </cell>
          <cell r="AK219" t="str">
            <v>TGX6X272 MONTHS/750 000 KMDrivelineYes</v>
          </cell>
          <cell r="AL219">
            <v>264650</v>
          </cell>
        </row>
        <row r="220">
          <cell r="G220" t="str">
            <v>TGX6X624 MONTHS/150 000 KM 36 MONTHS/225 000 KMCombinationNo</v>
          </cell>
          <cell r="H220">
            <v>28440</v>
          </cell>
          <cell r="AC220" t="str">
            <v>TGX6X260 MONTHS/125 000 KMEntire VehicleNo</v>
          </cell>
          <cell r="AD220">
            <v>44240</v>
          </cell>
          <cell r="AK220" t="str">
            <v>TGX6X272 MONTHS/900 000 KMDrivelineNo</v>
          </cell>
          <cell r="AL220">
            <v>399740</v>
          </cell>
        </row>
        <row r="221">
          <cell r="G221" t="str">
            <v>TGX6X624 MONTHS/150 000 KM 36 MONTHS/225 000 KMCombinationYes</v>
          </cell>
          <cell r="H221">
            <v>22910</v>
          </cell>
          <cell r="AC221" t="str">
            <v>TGX6X260 MONTHS/125 000 KMEntire VehicleYes</v>
          </cell>
          <cell r="AD221">
            <v>36340</v>
          </cell>
          <cell r="AK221" t="str">
            <v>TGX6X272 MONTHS/900 000 KMDrivelineYes</v>
          </cell>
          <cell r="AL221">
            <v>319950</v>
          </cell>
        </row>
        <row r="222">
          <cell r="G222" t="str">
            <v>TGX6X624 MONTHS/300 000 KM36 MONTHS/450 000 KMCombinationNo</v>
          </cell>
          <cell r="H222">
            <v>44240</v>
          </cell>
          <cell r="AC222" t="str">
            <v>TGX6X260 MONTHS/250 000 KMEntire VehicleNo</v>
          </cell>
          <cell r="AD222">
            <v>64780</v>
          </cell>
          <cell r="AK222" t="str">
            <v>TGX6X436 MONTHS/75 000 KMDrivelineNo</v>
          </cell>
          <cell r="AL222">
            <v>9480</v>
          </cell>
        </row>
        <row r="223">
          <cell r="G223" t="str">
            <v>TGX6X624 MONTHS/300 000 KM36 MONTHS/450 000 KMCombinationYes</v>
          </cell>
          <cell r="H223">
            <v>35550</v>
          </cell>
          <cell r="AC223" t="str">
            <v>TGX6X260 MONTHS/250 000 KMEntire VehicleYes</v>
          </cell>
          <cell r="AD223">
            <v>53720</v>
          </cell>
          <cell r="AK223" t="str">
            <v>TGX6X436 MONTHS/75 000 KMDrivelineYes</v>
          </cell>
          <cell r="AL223">
            <v>7900</v>
          </cell>
        </row>
        <row r="224">
          <cell r="G224" t="str">
            <v>TGX6X624 MONTHS/150 000 KM48 MONTHS/300 000 KMCombinationNo</v>
          </cell>
          <cell r="H224">
            <v>44240</v>
          </cell>
          <cell r="AC224" t="str">
            <v>TGX6X260 MONTHS/375 000 KMEntire VehicleNo</v>
          </cell>
          <cell r="AD224">
            <v>102700</v>
          </cell>
          <cell r="AK224" t="str">
            <v>TGX6X436 MONTHS/150 000 KMDrivelineNo</v>
          </cell>
          <cell r="AL224">
            <v>15010</v>
          </cell>
        </row>
        <row r="225">
          <cell r="G225" t="str">
            <v>TGX6X624 MONTHS/150 000 KM48 MONTHS/300 000 KMCombinationYes</v>
          </cell>
          <cell r="H225">
            <v>35550</v>
          </cell>
          <cell r="AC225" t="str">
            <v>TGX6X260 MONTHS/375 000 KMEntire VehicleYes</v>
          </cell>
          <cell r="AD225">
            <v>82160</v>
          </cell>
          <cell r="AK225" t="str">
            <v>TGX6X436 MONTHS/150 000 KMDrivelineYes</v>
          </cell>
          <cell r="AL225">
            <v>12640</v>
          </cell>
        </row>
        <row r="226">
          <cell r="G226" t="str">
            <v>TGX6X624 MONTHS/300 000 KM48 MONTHS/600 000 KMCombinationNo</v>
          </cell>
          <cell r="H226">
            <v>79790</v>
          </cell>
          <cell r="AC226" t="str">
            <v>TGX6X260 MONTHS/500 000 KMEntire VehicleNo</v>
          </cell>
          <cell r="AD226">
            <v>135880</v>
          </cell>
          <cell r="AK226" t="str">
            <v>TGX6X436 MONTHS/225 000 KMDrivelineNo</v>
          </cell>
          <cell r="AL226">
            <v>16590</v>
          </cell>
        </row>
        <row r="227">
          <cell r="G227" t="str">
            <v>TGX6X624 MONTHS/300 000 KM48 MONTHS/600 000 KMCombinationYes</v>
          </cell>
          <cell r="H227">
            <v>63990</v>
          </cell>
          <cell r="AC227" t="str">
            <v>TGX6X260 MONTHS/500 000 KMEntire VehicleYes</v>
          </cell>
          <cell r="AD227">
            <v>109020</v>
          </cell>
          <cell r="AK227" t="str">
            <v>TGX6X436 MONTHS/225 000 KMDrivelineYes</v>
          </cell>
          <cell r="AL227">
            <v>13430</v>
          </cell>
        </row>
        <row r="228">
          <cell r="G228" t="str">
            <v>TGX6X624 MONTHS/225 000 KM48 MONTHS/300 000 KMCombinationNo</v>
          </cell>
          <cell r="H228">
            <v>56880</v>
          </cell>
          <cell r="AC228" t="str">
            <v>TGX6X260 MONTHS/625 000 KMEntire VehicleNo</v>
          </cell>
          <cell r="AD228">
            <v>161950</v>
          </cell>
          <cell r="AK228" t="str">
            <v>TGX6X436 MONTHS/300 000 KMDrivelineNo</v>
          </cell>
          <cell r="AL228">
            <v>21330</v>
          </cell>
        </row>
        <row r="229">
          <cell r="G229" t="str">
            <v>TGX6X624 MONTHS/225 000 KM48 MONTHS/300 000 KMCombinationYes</v>
          </cell>
          <cell r="H229">
            <v>45820</v>
          </cell>
          <cell r="AC229" t="str">
            <v>TGX6X260 MONTHS/625 000 KMEntire VehicleYes</v>
          </cell>
          <cell r="AD229">
            <v>129560</v>
          </cell>
          <cell r="AK229" t="str">
            <v>TGX6X436 MONTHS/300 000 KMDrivelineYes</v>
          </cell>
          <cell r="AL229">
            <v>17380</v>
          </cell>
        </row>
        <row r="230">
          <cell r="G230" t="str">
            <v>TGX6X636 MONTHS/450 000 KM48 MONTHS/600 000 KMCombinationNo</v>
          </cell>
          <cell r="H230">
            <v>105860</v>
          </cell>
          <cell r="AC230" t="str">
            <v>TGX6X260 MONTHS/750 000 KMEntire VehicleNo</v>
          </cell>
          <cell r="AD230">
            <v>175380</v>
          </cell>
          <cell r="AK230" t="str">
            <v>TGX6X436 MONTHS/375 000 KMDrivelineNo</v>
          </cell>
          <cell r="AL230">
            <v>26070</v>
          </cell>
        </row>
        <row r="231">
          <cell r="G231" t="str">
            <v>TGX6X636 MONTHS/450 000 KM48 MONTHS/600 000 KMCombinationYes</v>
          </cell>
          <cell r="H231">
            <v>85320</v>
          </cell>
          <cell r="AC231" t="str">
            <v>TGX6X260 MONTHS/750 000 KMEntire VehicleYes</v>
          </cell>
          <cell r="AD231">
            <v>140620</v>
          </cell>
          <cell r="AK231" t="str">
            <v>TGX6X436 MONTHS/375 000 KMDrivelineYes</v>
          </cell>
          <cell r="AL231">
            <v>21330</v>
          </cell>
        </row>
        <row r="232">
          <cell r="G232" t="str">
            <v>TGX6X624 MONTHS/150 000 KM60 MONTHS/375 000 KM CombinationNo</v>
          </cell>
          <cell r="H232">
            <v>78210</v>
          </cell>
          <cell r="AC232" t="str">
            <v>TGX6X260 MONTHS/875 000 KMEntire VehicleNo</v>
          </cell>
          <cell r="AD232">
            <v>184860</v>
          </cell>
          <cell r="AK232" t="str">
            <v>TGX6X436 MONTHS/450 000 KMDrivelineNo</v>
          </cell>
          <cell r="AL232">
            <v>26860</v>
          </cell>
        </row>
        <row r="233">
          <cell r="G233" t="str">
            <v>TGX6X624 MONTHS/150 000 KM60 MONTHS/375 000 KM CombinationYes</v>
          </cell>
          <cell r="H233">
            <v>63200</v>
          </cell>
          <cell r="AC233" t="str">
            <v>TGX6X260 MONTHS/875 000 KMEntire VehicleYes</v>
          </cell>
          <cell r="AD233">
            <v>148520</v>
          </cell>
          <cell r="AK233" t="str">
            <v>TGX6X436 MONTHS/450 000 KMDrivelineYes</v>
          </cell>
          <cell r="AL233">
            <v>22120</v>
          </cell>
        </row>
        <row r="234">
          <cell r="G234" t="str">
            <v>TGX6X624 MONTHS/300 000 KM60 MONTHS/750 000 KMCombinationNo</v>
          </cell>
          <cell r="H234">
            <v>156420</v>
          </cell>
          <cell r="AC234" t="str">
            <v>TGX6X260 MONTHS/1 000 000 KMEntire VehicleNo</v>
          </cell>
          <cell r="AD234">
            <v>203820</v>
          </cell>
          <cell r="AK234" t="str">
            <v>TGX6X448 MONTHS/100 000 KMDrivelineNo</v>
          </cell>
          <cell r="AL234">
            <v>23700</v>
          </cell>
        </row>
        <row r="235">
          <cell r="G235" t="str">
            <v>TGX6X624 MONTHS/300 000 KM60 MONTHS/750 000 KMCombinationYes</v>
          </cell>
          <cell r="H235">
            <v>125610</v>
          </cell>
          <cell r="AC235" t="str">
            <v>TGX6X260 MONTHS/1 000 000 KMEntire VehicleYes</v>
          </cell>
          <cell r="AD235">
            <v>163530</v>
          </cell>
          <cell r="AK235" t="str">
            <v>TGX6X448 MONTHS/100 000 KMDrivelineYes</v>
          </cell>
          <cell r="AL235">
            <v>18960</v>
          </cell>
        </row>
        <row r="236">
          <cell r="G236" t="str">
            <v>TGX6X636 MONTHS/225 000 KM60 MONTHS/375 000 KMCombinationNo</v>
          </cell>
          <cell r="H236">
            <v>90850</v>
          </cell>
          <cell r="AC236" t="str">
            <v>TGX6X424 MONTHS/50 000 KMEntire VehicleNo</v>
          </cell>
          <cell r="AD236">
            <v>7900</v>
          </cell>
          <cell r="AK236" t="str">
            <v>TGX6X448 MONTHS/200 000 KMDrivelineNo</v>
          </cell>
          <cell r="AL236">
            <v>27650</v>
          </cell>
        </row>
        <row r="237">
          <cell r="G237" t="str">
            <v>TGX6X636 MONTHS/225 000 KM60 MONTHS/375 000 KMCombinationYes</v>
          </cell>
          <cell r="H237">
            <v>72680</v>
          </cell>
          <cell r="AC237" t="str">
            <v>TGX6X424 MONTHS/50 000 KMEntire VehicleYes</v>
          </cell>
          <cell r="AD237">
            <v>6320</v>
          </cell>
          <cell r="AK237" t="str">
            <v>TGX6X448 MONTHS/200 000 KMDrivelineYes</v>
          </cell>
          <cell r="AL237">
            <v>22120</v>
          </cell>
        </row>
        <row r="238">
          <cell r="G238" t="str">
            <v>TGX6X636 MONTHS/450 000 KM60 MONTHS/750 000 KMCombinationNo</v>
          </cell>
          <cell r="H238">
            <v>181700</v>
          </cell>
          <cell r="AC238" t="str">
            <v>TGX6X424 MONTHS/100 000 KMEntire VehicleNo</v>
          </cell>
          <cell r="AD238">
            <v>9480</v>
          </cell>
          <cell r="AK238" t="str">
            <v>TGX6X448 MONTHS/300 000 KMDrivelineNo</v>
          </cell>
          <cell r="AL238">
            <v>32390</v>
          </cell>
        </row>
        <row r="239">
          <cell r="G239" t="str">
            <v>TGX6X636 MONTHS/450 000 KM60 MONTHS/750 000 KMCombinationYes</v>
          </cell>
          <cell r="H239">
            <v>146150</v>
          </cell>
          <cell r="AC239" t="str">
            <v>TGX6X424 MONTHS/100 000 KMEntire VehicleYes</v>
          </cell>
          <cell r="AD239">
            <v>7900</v>
          </cell>
          <cell r="AK239" t="str">
            <v>TGX6X448 MONTHS/300 000 KMDrivelineYes</v>
          </cell>
          <cell r="AL239">
            <v>26070</v>
          </cell>
        </row>
        <row r="240">
          <cell r="G240" t="str">
            <v>TGX6X648 MONTHS/300 000 KM60 MONTHS/375 000 KMCombinationNo</v>
          </cell>
          <cell r="H240">
            <v>161160</v>
          </cell>
          <cell r="AC240" t="str">
            <v>TGX6X424 MONTHS/150 000 KMEntire VehicleNo</v>
          </cell>
          <cell r="AD240">
            <v>11850</v>
          </cell>
          <cell r="AK240" t="str">
            <v>TGX6X448 MONTHS/400 000 KMDrivelineNo</v>
          </cell>
          <cell r="AL240">
            <v>41870</v>
          </cell>
        </row>
        <row r="241">
          <cell r="G241" t="str">
            <v>TGX6X648 MONTHS/300 000 KM60 MONTHS/375 000 KMCombinationYes</v>
          </cell>
          <cell r="H241">
            <v>145360</v>
          </cell>
          <cell r="AC241" t="str">
            <v>TGX6X424 MONTHS/150 000 KMEntire VehicleYes</v>
          </cell>
          <cell r="AD241">
            <v>9480</v>
          </cell>
          <cell r="AK241" t="str">
            <v>TGX6X448 MONTHS/400 000 KMDrivelineYes</v>
          </cell>
          <cell r="AL241">
            <v>33970</v>
          </cell>
        </row>
        <row r="242">
          <cell r="G242" t="str">
            <v>TGX6X648 MONTHS/600 000 KM60 MONTHS/750 000 KMCombinationNo</v>
          </cell>
          <cell r="H242">
            <v>286770</v>
          </cell>
          <cell r="AC242" t="str">
            <v>TGX6X424 MONTHS/200 000 KMEntire VehicleNo</v>
          </cell>
          <cell r="AD242">
            <v>14220</v>
          </cell>
          <cell r="AK242" t="str">
            <v>TGX6X448 MONTHS/500 000 KMDrivelineNo</v>
          </cell>
          <cell r="AL242">
            <v>58460</v>
          </cell>
        </row>
        <row r="243">
          <cell r="G243" t="str">
            <v>TGX6X648 MONTHS/600 000 KM60 MONTHS/750 000 KMCombinationYes</v>
          </cell>
          <cell r="H243">
            <v>229890</v>
          </cell>
          <cell r="AC243" t="str">
            <v>TGX6X424 MONTHS/200 000 KMEntire VehicleYes</v>
          </cell>
          <cell r="AD243">
            <v>11850</v>
          </cell>
          <cell r="AK243" t="str">
            <v>TGX6X448 MONTHS/500 000 KMDrivelineYes</v>
          </cell>
          <cell r="AL243">
            <v>47400</v>
          </cell>
        </row>
        <row r="244">
          <cell r="G244" t="str">
            <v>TGX8X224 MONTHS/300 000 KM36 MONTHS/450 000 KMCombinationNo</v>
          </cell>
          <cell r="H244">
            <v>32390</v>
          </cell>
          <cell r="AC244" t="str">
            <v>TGX6X424 MONTHS/250 000 KMEntire VehicleNo</v>
          </cell>
          <cell r="AD244">
            <v>16590</v>
          </cell>
          <cell r="AK244" t="str">
            <v>TGX6X448 MONTHS/600 000 KMDrivelineNo</v>
          </cell>
          <cell r="AL244">
            <v>62410</v>
          </cell>
        </row>
        <row r="245">
          <cell r="G245" t="str">
            <v>TGX8X224 MONTHS/300 000 KM36 MONTHS/450 000 KMCombinationYes</v>
          </cell>
          <cell r="H245">
            <v>26070</v>
          </cell>
          <cell r="AC245" t="str">
            <v>TGX6X424 MONTHS/250 000 KMEntire VehicleYes</v>
          </cell>
          <cell r="AD245">
            <v>13430</v>
          </cell>
          <cell r="AK245" t="str">
            <v>TGX6X448 MONTHS/600 000 KMDrivelineYes</v>
          </cell>
          <cell r="AL245">
            <v>50560</v>
          </cell>
        </row>
        <row r="246">
          <cell r="G246" t="str">
            <v>TGX8X224 MONTHS/400 000 KM36 MONTHS/600 000 KMCombinationNo</v>
          </cell>
          <cell r="H246">
            <v>41080</v>
          </cell>
          <cell r="AC246" t="str">
            <v>TGX6X424 MONTHS/300 000 KMEntire VehicleNo</v>
          </cell>
          <cell r="AD246">
            <v>17380</v>
          </cell>
          <cell r="AK246" t="str">
            <v>TGX6X460 MONTHS/125 000 KMDrivelineNo</v>
          </cell>
          <cell r="AL246">
            <v>48190</v>
          </cell>
        </row>
        <row r="247">
          <cell r="G247" t="str">
            <v>TGX8X224 MONTHS/400 000 KM36 MONTHS/600 000 KMCombinationYes</v>
          </cell>
          <cell r="H247">
            <v>33180</v>
          </cell>
          <cell r="AC247" t="str">
            <v>TGX6X424 MONTHS/300 000 KMEntire VehicleYes</v>
          </cell>
          <cell r="AD247">
            <v>14220</v>
          </cell>
          <cell r="AK247" t="str">
            <v>TGX6X460 MONTHS/125 000 KMDrivelineYes</v>
          </cell>
          <cell r="AL247">
            <v>38710</v>
          </cell>
        </row>
        <row r="248">
          <cell r="G248" t="str">
            <v>TGX8X224 MONTHS/300 000 KM48 MONTHS/600 000 KMCombinationNo</v>
          </cell>
          <cell r="H248">
            <v>50560</v>
          </cell>
          <cell r="AC248" t="str">
            <v>TGX6X436 MONTHS/75 000 KMEntire VehicleNo</v>
          </cell>
          <cell r="AD248">
            <v>29230</v>
          </cell>
          <cell r="AK248" t="str">
            <v>TGX6X460 MONTHS/250 000 KMDrivelineNo</v>
          </cell>
          <cell r="AL248">
            <v>56880</v>
          </cell>
        </row>
        <row r="249">
          <cell r="G249" t="str">
            <v>TGX8X224 MONTHS/300 000 KM48 MONTHS/600 000 KMCombinationYes</v>
          </cell>
          <cell r="H249">
            <v>41080</v>
          </cell>
          <cell r="AC249" t="str">
            <v>TGX6X436 MONTHS/75 000 KMEntire VehicleYes</v>
          </cell>
          <cell r="AD249">
            <v>23700</v>
          </cell>
          <cell r="AK249" t="str">
            <v>TGX6X460 MONTHS/250 000 KMDrivelineYes</v>
          </cell>
          <cell r="AL249">
            <v>45820</v>
          </cell>
        </row>
        <row r="250">
          <cell r="G250" t="str">
            <v>TGX8X224 MONTHS/400 000 KM48 MONTHS/800 000 KMCombinationNo</v>
          </cell>
          <cell r="H250">
            <v>73470</v>
          </cell>
          <cell r="AC250" t="str">
            <v>TGX6X436 MONTHS/150 000 KMEntire VehicleNo</v>
          </cell>
          <cell r="AD250">
            <v>34760</v>
          </cell>
          <cell r="AK250" t="str">
            <v>TGX6X460 MONTHS/375 000 KMDrivelineNo</v>
          </cell>
          <cell r="AL250">
            <v>66360</v>
          </cell>
        </row>
        <row r="251">
          <cell r="G251" t="str">
            <v>TGX8X224 MONTHS/400 000 KM48 MONTHS/800 000 KMCombinationYes</v>
          </cell>
          <cell r="H251">
            <v>59250</v>
          </cell>
          <cell r="AC251" t="str">
            <v>TGX6X436 MONTHS/150 000 KMEntire VehicleYes</v>
          </cell>
          <cell r="AD251">
            <v>28440</v>
          </cell>
          <cell r="AK251" t="str">
            <v>TGX6X460 MONTHS/375 000 KMDrivelineYes</v>
          </cell>
          <cell r="AL251">
            <v>53720</v>
          </cell>
        </row>
        <row r="252">
          <cell r="G252" t="str">
            <v>TGX8X236 MONTHS/450 000 KM48 MONTHS/600 000 KMCombinationNo</v>
          </cell>
          <cell r="H252">
            <v>61620</v>
          </cell>
          <cell r="AC252" t="str">
            <v>TGX6X436 MONTHS/225 000 KMEntire VehicleNo</v>
          </cell>
          <cell r="AD252">
            <v>41080</v>
          </cell>
          <cell r="AK252" t="str">
            <v>TGX6X460 MONTHS/500 000 KMDrivelineNo</v>
          </cell>
          <cell r="AL252">
            <v>100330</v>
          </cell>
        </row>
        <row r="253">
          <cell r="G253" t="str">
            <v>TGX8X236 MONTHS/450 000 KM48 MONTHS/600 000 KMCombinationYes</v>
          </cell>
          <cell r="H253">
            <v>49770</v>
          </cell>
          <cell r="AC253" t="str">
            <v>TGX6X436 MONTHS/225 000 KMEntire VehicleYes</v>
          </cell>
          <cell r="AD253">
            <v>33180</v>
          </cell>
          <cell r="AK253" t="str">
            <v>TGX6X460 MONTHS/500 000 KMDrivelineYes</v>
          </cell>
          <cell r="AL253">
            <v>80580</v>
          </cell>
        </row>
        <row r="254">
          <cell r="G254" t="str">
            <v>TGX8X236 MONTHS/400 000 KM48 MONTHS/800 000 KMCombinationNo</v>
          </cell>
          <cell r="H254">
            <v>86110</v>
          </cell>
          <cell r="AC254" t="str">
            <v>TGX6X436 MONTHS/300 000 KMEntire VehicleNo</v>
          </cell>
          <cell r="AD254">
            <v>52930</v>
          </cell>
          <cell r="AK254" t="str">
            <v>TGX6X460 MONTHS/625 000 KMDrivelineNo</v>
          </cell>
          <cell r="AL254">
            <v>129560</v>
          </cell>
        </row>
        <row r="255">
          <cell r="G255" t="str">
            <v>TGX8X236 MONTHS/400 000 KM48 MONTHS/800 000 KMCombinationYes</v>
          </cell>
          <cell r="H255">
            <v>69520</v>
          </cell>
          <cell r="AC255" t="str">
            <v>TGX6X436 MONTHS/300 000 KMEntire VehicleYes</v>
          </cell>
          <cell r="AD255">
            <v>42660</v>
          </cell>
          <cell r="AK255" t="str">
            <v>TGX6X460 MONTHS/625 000 KMDrivelineYes</v>
          </cell>
          <cell r="AL255">
            <v>104280</v>
          </cell>
        </row>
        <row r="256">
          <cell r="G256" t="str">
            <v>TGX8X224 MONTHS/300 000 KM60 MONTHS/750 000 KMCombinationNo</v>
          </cell>
          <cell r="H256">
            <v>75050</v>
          </cell>
          <cell r="AC256" t="str">
            <v>TGX6X436 MONTHS/375 000 KMEntire VehicleNo</v>
          </cell>
          <cell r="AD256">
            <v>64780</v>
          </cell>
          <cell r="AK256" t="str">
            <v>TGX6X460 MONTHS/750 000 KMDrivelineNo</v>
          </cell>
          <cell r="AL256">
            <v>139040</v>
          </cell>
        </row>
        <row r="257">
          <cell r="G257" t="str">
            <v>TGX8X224 MONTHS/300 000 KM60 MONTHS/750 000 KMCombinationYes</v>
          </cell>
          <cell r="H257">
            <v>60040</v>
          </cell>
          <cell r="AC257" t="str">
            <v>TGX6X436 MONTHS/375 000 KMEntire VehicleYes</v>
          </cell>
          <cell r="AD257">
            <v>52140</v>
          </cell>
          <cell r="AK257" t="str">
            <v>TGX6X460 MONTHS/750 000 KMDrivelineYes</v>
          </cell>
          <cell r="AL257">
            <v>111390</v>
          </cell>
        </row>
        <row r="258">
          <cell r="G258" t="str">
            <v>TGX8X224 MONTHS/400 000 KM60 MONTHS/1000 000 KMCombinationNo</v>
          </cell>
          <cell r="H258">
            <v>103490</v>
          </cell>
          <cell r="AC258" t="str">
            <v>TGX6X436 MONTHS/450 000 KMEntire VehicleNo</v>
          </cell>
          <cell r="AD258">
            <v>70310</v>
          </cell>
          <cell r="AK258" t="str">
            <v>TGX6X472 MONTHS/150 000 KMDrivelineNo</v>
          </cell>
          <cell r="AL258">
            <v>72680</v>
          </cell>
        </row>
        <row r="259">
          <cell r="G259" t="str">
            <v>TGX8X224 MONTHS/400 000 KM60 MONTHS/1000 000 KMCombinationYes</v>
          </cell>
          <cell r="H259">
            <v>82950</v>
          </cell>
          <cell r="AC259" t="str">
            <v>TGX6X436 MONTHS/450 000 KMEntire VehicleYes</v>
          </cell>
          <cell r="AD259">
            <v>56880</v>
          </cell>
          <cell r="AK259" t="str">
            <v>TGX6X472 MONTHS/150 000 KMDrivelineYes</v>
          </cell>
          <cell r="AL259">
            <v>60040</v>
          </cell>
        </row>
        <row r="260">
          <cell r="G260" t="str">
            <v>TGX8X236 MONTHS/450 000 KM60 MONTHS/750 000 KMCombinationNo</v>
          </cell>
          <cell r="H260">
            <v>86110</v>
          </cell>
          <cell r="AC260" t="str">
            <v>TGX6X448 MONTHS/100 000 KMEntire VehicleNo</v>
          </cell>
          <cell r="AD260">
            <v>93220</v>
          </cell>
          <cell r="AK260" t="str">
            <v>TGX6X472 MONTHS/300 000 KMDrivelineNo</v>
          </cell>
          <cell r="AL260">
            <v>132720</v>
          </cell>
        </row>
        <row r="261">
          <cell r="G261" t="str">
            <v>TGX8X236 MONTHS/450 000 KM60 MONTHS/750 000 KMCombinationYes</v>
          </cell>
          <cell r="H261">
            <v>69520</v>
          </cell>
          <cell r="AC261" t="str">
            <v>TGX6X448 MONTHS/100 000 KMEntire VehicleYes</v>
          </cell>
          <cell r="AD261">
            <v>75050</v>
          </cell>
          <cell r="AK261" t="str">
            <v>TGX6X472 MONTHS/300 000 KMDrivelineYes</v>
          </cell>
          <cell r="AL261">
            <v>110600</v>
          </cell>
        </row>
        <row r="262">
          <cell r="G262" t="str">
            <v>TGX8X236 MONTHS/600 000 KM60 MONTHS/1000 000 KMCombinationNo</v>
          </cell>
          <cell r="H262">
            <v>116130</v>
          </cell>
          <cell r="AC262" t="str">
            <v>TGX6X448 MONTHS/200 000 KMEntire VehicleNo</v>
          </cell>
          <cell r="AD262">
            <v>109020</v>
          </cell>
          <cell r="AK262" t="str">
            <v>TGX6X472 MONTHS/450 000 KMDrivelineNo</v>
          </cell>
          <cell r="AL262">
            <v>201450</v>
          </cell>
        </row>
        <row r="263">
          <cell r="G263" t="str">
            <v>TGX8X236 MONTHS/600 000 KM60 MONTHS/1000 000 KMCombinationYes</v>
          </cell>
          <cell r="H263">
            <v>93220</v>
          </cell>
          <cell r="AC263" t="str">
            <v>TGX6X448 MONTHS/200 000 KMEntire VehicleYes</v>
          </cell>
          <cell r="AD263">
            <v>87690</v>
          </cell>
          <cell r="AK263" t="str">
            <v>TGX6X472 MONTHS/450 000 KMDrivelineYes</v>
          </cell>
          <cell r="AL263">
            <v>167480</v>
          </cell>
        </row>
        <row r="264">
          <cell r="G264" t="str">
            <v>TGX8X248 MONTHS/600 000 KM60 MONTHS/750 000 KMCombinationNo</v>
          </cell>
          <cell r="H264">
            <v>119290</v>
          </cell>
          <cell r="AC264" t="str">
            <v>TGX6X448 MONTHS/300 000 KMEntire VehicleNo</v>
          </cell>
          <cell r="AD264">
            <v>127190</v>
          </cell>
          <cell r="AK264" t="str">
            <v>TGX6X472 MONTHS/600 000 KMDrivelineNo</v>
          </cell>
          <cell r="AL264">
            <v>268600</v>
          </cell>
        </row>
        <row r="265">
          <cell r="G265" t="str">
            <v>TGX8X248 MONTHS/600 000 KM60 MONTHS/750 000 KMCombinationYes</v>
          </cell>
          <cell r="H265">
            <v>95590</v>
          </cell>
          <cell r="AC265" t="str">
            <v>TGX6X448 MONTHS/300 000 KMEntire VehicleYes</v>
          </cell>
          <cell r="AD265">
            <v>101910</v>
          </cell>
          <cell r="AK265" t="str">
            <v>TGX6X472 MONTHS/600 000 KMDrivelineYes</v>
          </cell>
          <cell r="AL265">
            <v>223570</v>
          </cell>
        </row>
        <row r="266">
          <cell r="G266" t="str">
            <v>TGX8X248 MONTHS/800 000 KM60 MONTHS/1000 000 KMCombinationNo</v>
          </cell>
          <cell r="H266">
            <v>138250</v>
          </cell>
          <cell r="AC266" t="str">
            <v>TGX6X448 MONTHS/400 000 KMEntire VehicleNo</v>
          </cell>
          <cell r="AD266">
            <v>166690</v>
          </cell>
          <cell r="AK266" t="str">
            <v>TGX6X472 MONTHS/750 000 KMDrivelineNo</v>
          </cell>
          <cell r="AL266">
            <v>319160</v>
          </cell>
        </row>
        <row r="267">
          <cell r="G267" t="str">
            <v>TGX8X248 MONTHS/800 000 KM60 MONTHS/1000 000 KMCombinationYes</v>
          </cell>
          <cell r="H267">
            <v>110600</v>
          </cell>
          <cell r="AC267" t="str">
            <v>TGX6X448 MONTHS/400 000 KMEntire VehicleYes</v>
          </cell>
          <cell r="AD267">
            <v>133510</v>
          </cell>
          <cell r="AK267" t="str">
            <v>TGX6X472 MONTHS/750 000 KMDrivelineYes</v>
          </cell>
          <cell r="AL267">
            <v>265440</v>
          </cell>
        </row>
        <row r="268">
          <cell r="G268" t="str">
            <v>TGX8X4 H/D (ABN)24 MONTHS/150 000 KM36 MONTHS/225 000 KMCombinationNo</v>
          </cell>
          <cell r="H268">
            <v>76630</v>
          </cell>
          <cell r="AC268" t="str">
            <v>TGX6X448 MONTHS/500 000 KMEntire VehicleNo</v>
          </cell>
          <cell r="AD268">
            <v>204610</v>
          </cell>
          <cell r="AK268" t="str">
            <v>TGX6X472 MONTHS/900 000 KMDrivelineNo</v>
          </cell>
          <cell r="AL268">
            <v>380780</v>
          </cell>
        </row>
        <row r="269">
          <cell r="G269" t="str">
            <v>TGX8X4 H/D (ABN)24 MONTHS/150 000 KM36 MONTHS/225 000 KMCombinationYes</v>
          </cell>
          <cell r="H269">
            <v>28440</v>
          </cell>
          <cell r="AC269" t="str">
            <v>TGX6X448 MONTHS/500 000 KMEntire VehicleYes</v>
          </cell>
          <cell r="AD269">
            <v>164320</v>
          </cell>
          <cell r="AK269" t="str">
            <v>TGX6X472 MONTHS/900 000 KMDrivelineYes</v>
          </cell>
          <cell r="AL269">
            <v>316790</v>
          </cell>
        </row>
        <row r="270">
          <cell r="G270" t="str">
            <v>TGX8X4 H/D (ABN)24 MONTHS/150 000 KM48 MONTHS/300 000 KMCombinationNo</v>
          </cell>
          <cell r="H270">
            <v>120080</v>
          </cell>
          <cell r="AC270" t="str">
            <v>TGX6X448 MONTHS/600 000 KMEntire VehicleNo</v>
          </cell>
          <cell r="AD270">
            <v>210140</v>
          </cell>
          <cell r="AK270" t="str">
            <v>TGX6X4H/D36 MONTHS/150 000 KMDrivelineNo</v>
          </cell>
          <cell r="AL270">
            <v>41080</v>
          </cell>
        </row>
        <row r="271">
          <cell r="G271" t="str">
            <v>TGX8X4 H/D (ABN)24 MONTHS/150 000 KM48 MONTHS/300 000 KMCombinationYes</v>
          </cell>
          <cell r="H271">
            <v>51350</v>
          </cell>
          <cell r="AC271" t="str">
            <v>TGX6X448 MONTHS/600 000 KMEntire VehicleYes</v>
          </cell>
          <cell r="AD271">
            <v>168270</v>
          </cell>
          <cell r="AK271" t="str">
            <v>TGX6X4H/D36 MONTHS/225 000 KMDrivelineYes</v>
          </cell>
          <cell r="AL271">
            <v>48190</v>
          </cell>
        </row>
        <row r="272">
          <cell r="G272" t="str">
            <v>TGX8X4 H/D (ABN)24 MONTHS/150 000 KM60 MONTHS/375 000 KMCombinationNo</v>
          </cell>
          <cell r="H272">
            <v>228310</v>
          </cell>
          <cell r="AC272" t="str">
            <v>TGX6X460 MONTHS/125 000 KMEntire VehicleNo</v>
          </cell>
          <cell r="AD272">
            <v>193550</v>
          </cell>
          <cell r="AK272" t="str">
            <v>TGX6X4H/D36 MONTHS/300 000 KMDrivelineNo</v>
          </cell>
          <cell r="AL272">
            <v>62410</v>
          </cell>
        </row>
        <row r="273">
          <cell r="G273" t="str">
            <v>TGX8X4 H/D (ABN)24 MONTHS/150 000 KM60 MONTHS/375 000 KMCombinationYes</v>
          </cell>
          <cell r="H273">
            <v>94800</v>
          </cell>
          <cell r="AC273" t="str">
            <v>TGX6X460 MONTHS/125 000 KMEntire VehicleYes</v>
          </cell>
          <cell r="AD273">
            <v>154840</v>
          </cell>
          <cell r="AK273" t="str">
            <v>TGX6X4H/D36 MONTHS/375 000 KMDrivelineYes</v>
          </cell>
          <cell r="AL273">
            <v>76630</v>
          </cell>
        </row>
        <row r="274">
          <cell r="G274" t="str">
            <v>TGX8X4 H/D (ABN)24 MONTHS/300 000 KM36 MONTHS/450 000 KMCombinationNo</v>
          </cell>
          <cell r="H274">
            <v>135880</v>
          </cell>
          <cell r="AC274" t="str">
            <v>TGX6X460 MONTHS/250 000 KMEntire VehicleNo</v>
          </cell>
          <cell r="AD274">
            <v>228310</v>
          </cell>
          <cell r="AK274" t="str">
            <v>TGX6X4H/D36 MONTHS/450 000 KMDrivelineNo</v>
          </cell>
          <cell r="AL274">
            <v>79000</v>
          </cell>
        </row>
        <row r="275">
          <cell r="G275" t="str">
            <v>TGX8X4 H/D (ABN)24 MONTHS/300 000 KM36 MONTHS/450 000 KMCombinationYes</v>
          </cell>
          <cell r="H275">
            <v>48702.987012987011</v>
          </cell>
          <cell r="AC275" t="str">
            <v>TGX6X460 MONTHS/250 000 KMEntire VehicleYes</v>
          </cell>
          <cell r="AD275">
            <v>183280</v>
          </cell>
          <cell r="AK275" t="str">
            <v>TGX6X4H/D36 MONTHS/75 000 KMDrivelineYes</v>
          </cell>
          <cell r="AL275">
            <v>34760</v>
          </cell>
        </row>
        <row r="276">
          <cell r="G276" t="str">
            <v>TGX8X4 H/D (ABN)24 MONTHS/300 000 KM48 MONTHS/600 000 KMCombinationNo</v>
          </cell>
          <cell r="H276">
            <v>207770</v>
          </cell>
          <cell r="AC276" t="str">
            <v>TGX6X460 MONTHS/375 000 KMEntire VehicleNo</v>
          </cell>
          <cell r="AD276">
            <v>267810</v>
          </cell>
          <cell r="AK276" t="str">
            <v>TGX6X4H/D48 MONTHS/100 000 KMDrivelineNo</v>
          </cell>
          <cell r="AL276">
            <v>62410</v>
          </cell>
        </row>
        <row r="277">
          <cell r="G277" t="str">
            <v>TGX8X4 H/D (ABN)24 MONTHS/300 000 KM48 MONTHS/600 000 KMCombinationYes</v>
          </cell>
          <cell r="H277">
            <v>82950</v>
          </cell>
          <cell r="AC277" t="str">
            <v>TGX6X460 MONTHS/375 000 KMEntire VehicleYes</v>
          </cell>
          <cell r="AD277">
            <v>214880</v>
          </cell>
          <cell r="AK277" t="str">
            <v>TGX6X4H/D48 MONTHS/200 000 KMDrivelineYes</v>
          </cell>
          <cell r="AL277">
            <v>73448.503401360547</v>
          </cell>
        </row>
        <row r="278">
          <cell r="G278" t="str">
            <v>TGX8X4 H/D (ABN)24 MONTHS/300 000 KM60 MONTHS/750 000 KMCombinationNo</v>
          </cell>
          <cell r="H278">
            <v>387100</v>
          </cell>
          <cell r="AC278" t="str">
            <v>TGX6X460 MONTHS/500 000 KMEntire VehicleNo</v>
          </cell>
          <cell r="AD278">
            <v>349180</v>
          </cell>
          <cell r="AK278" t="str">
            <v>TGX6X4H/D48 MONTHS/300 000 KMDrivelineNo</v>
          </cell>
          <cell r="AL278">
            <v>86110</v>
          </cell>
        </row>
        <row r="279">
          <cell r="G279" t="str">
            <v>TGX8X4 H/D (ABN)24 MONTHS/300 000 KM60 MONTHS/750 000 KMCombinationYes</v>
          </cell>
          <cell r="H279">
            <v>158790</v>
          </cell>
          <cell r="AC279" t="str">
            <v>TGX6X460 MONTHS/500 000 KMEntire VehicleYes</v>
          </cell>
          <cell r="AD279">
            <v>279660</v>
          </cell>
          <cell r="AK279" t="str">
            <v>TGX6X4H/D48 MONTHS/400 000 KMDrivelineYes</v>
          </cell>
          <cell r="AL279">
            <v>112180</v>
          </cell>
        </row>
        <row r="280">
          <cell r="G280" t="str">
            <v>TGX8X4 H/D (ABN)36 MONTHS/225 000 KM48 MONTHS/300 000 KM CombinationNo</v>
          </cell>
          <cell r="H280">
            <v>142200</v>
          </cell>
          <cell r="AC280" t="str">
            <v>TGX6X460 MONTHS/625 000 KMEntire VehicleNo</v>
          </cell>
          <cell r="AD280">
            <v>429760</v>
          </cell>
          <cell r="AK280" t="str">
            <v>TGX6X4H/D48 MONTHS/500 000 KMDrivelineNo</v>
          </cell>
          <cell r="AL280">
            <v>137460</v>
          </cell>
        </row>
        <row r="281">
          <cell r="G281" t="str">
            <v>TGX8X4 H/D (ABN)36 MONTHS/225 000 KM48 MONTHS/300 000 KM CombinationYes</v>
          </cell>
          <cell r="H281">
            <v>66360</v>
          </cell>
          <cell r="AC281" t="str">
            <v>TGX6X460 MONTHS/625 000 KMEntire VehicleYes</v>
          </cell>
          <cell r="AD281">
            <v>344440</v>
          </cell>
          <cell r="AK281" t="str">
            <v>TGX6X4H/D48 MONTHS/600 000 KMDrivelineYes</v>
          </cell>
          <cell r="AL281">
            <v>141410</v>
          </cell>
        </row>
        <row r="282">
          <cell r="G282" t="str">
            <v>TGX8X4 H/D (ABN)36 MONTHS/225 000 KM60 MONTHS/750 000 KMCombinationNo</v>
          </cell>
          <cell r="H282">
            <v>250430</v>
          </cell>
          <cell r="AC282" t="str">
            <v>TGX6X460 MONTHS/750 000 KMEntire VehicleNo</v>
          </cell>
          <cell r="AD282">
            <v>440820</v>
          </cell>
          <cell r="AK282" t="str">
            <v>TGX6X4H/D60 MONTHS/125 000 KMDrivelineNo</v>
          </cell>
          <cell r="AL282">
            <v>130350</v>
          </cell>
        </row>
        <row r="283">
          <cell r="G283" t="str">
            <v>TGX8X4 H/D (ABN)36 MONTHS/225 000 KM60 MONTHS/750 000 KMCombinationYes</v>
          </cell>
          <cell r="H283">
            <v>109810</v>
          </cell>
          <cell r="AC283" t="str">
            <v>TGX6X460 MONTHS/750 000 KMEntire VehicleYes</v>
          </cell>
          <cell r="AD283">
            <v>353130</v>
          </cell>
          <cell r="AK283" t="str">
            <v>TGX6X4H/D60 MONTHS/250 000 KMDrivelineYes</v>
          </cell>
          <cell r="AL283">
            <v>153260</v>
          </cell>
        </row>
        <row r="284">
          <cell r="G284" t="str">
            <v>TGX8X4 H/D (ABN)36 MONTHS/450 000 KM48 MONTHS/600 000 KMCombinationNo</v>
          </cell>
          <cell r="H284">
            <v>233050</v>
          </cell>
          <cell r="AC284" t="str">
            <v>TGX6X4H/D24 MONTHS/100 000 KMEntire VehicleNo</v>
          </cell>
          <cell r="AD284">
            <v>14220</v>
          </cell>
          <cell r="AK284" t="str">
            <v>TGX6X4H/D60 MONTHS/375 000 KMDrivelineNo</v>
          </cell>
          <cell r="AL284">
            <v>180120</v>
          </cell>
        </row>
        <row r="285">
          <cell r="G285" t="str">
            <v>TGX8X4 H/D (ABN)36 MONTHS/450 000 KM48 MONTHS/600 000 KMCombinationYes</v>
          </cell>
          <cell r="H285">
            <v>105860</v>
          </cell>
          <cell r="AC285" t="str">
            <v>TGX6X4H/D24 MONTHS/150 000 KMEntire VehicleYes</v>
          </cell>
          <cell r="AD285">
            <v>17380</v>
          </cell>
          <cell r="AK285" t="str">
            <v>TGX6X4H/D60 MONTHS/500 000 KMDrivelineYes</v>
          </cell>
          <cell r="AL285">
            <v>234630</v>
          </cell>
        </row>
        <row r="286">
          <cell r="G286" t="str">
            <v>TGX8X4 H/D (ABN)36 MONTHS/450 000 KM60 MONTHS/750 000 KMCombinationNo</v>
          </cell>
          <cell r="H286">
            <v>412380</v>
          </cell>
          <cell r="AC286" t="str">
            <v>TGX6X4H/D24 MONTHS/200 000 KMEntire VehicleNo</v>
          </cell>
          <cell r="AD286">
            <v>22120</v>
          </cell>
          <cell r="AK286" t="str">
            <v>TGX6X4H/D60 MONTHS/625 000 KMDrivelineNo</v>
          </cell>
          <cell r="AL286">
            <v>289140</v>
          </cell>
        </row>
        <row r="287">
          <cell r="G287" t="str">
            <v>TGX8X4 H/D (ABN)36 MONTHS/450 000 KM60 MONTHS/750 000 KMCombinationYes</v>
          </cell>
          <cell r="H287">
            <v>181700</v>
          </cell>
          <cell r="AC287" t="str">
            <v>TGX6X4H/D24 MONTHS/250 000 KMEntire VehicleYes</v>
          </cell>
          <cell r="AD287">
            <v>30020</v>
          </cell>
          <cell r="AK287" t="str">
            <v>TGX6X4H/D60 MONTHS/750 000 KMDrivelineYes</v>
          </cell>
          <cell r="AL287">
            <v>297040</v>
          </cell>
        </row>
        <row r="288">
          <cell r="G288" t="str">
            <v>TGX8X4 H/D (ABN)48 MONTHS/300 000 KM60 MONTHS/750 000 KMCombinationNo</v>
          </cell>
          <cell r="H288">
            <v>299410</v>
          </cell>
          <cell r="AC288" t="str">
            <v>TGX6X4H/D24 MONTHS/300 000 KMEntire VehicleNo</v>
          </cell>
          <cell r="AD288">
            <v>38710</v>
          </cell>
          <cell r="AK288" t="str">
            <v>TGX6X4HYDRO36 MONTHS/150 000 KMDrivelineNo</v>
          </cell>
          <cell r="AL288">
            <v>15010</v>
          </cell>
        </row>
        <row r="289">
          <cell r="G289" t="str">
            <v>TGX8X4 H/D (ABN)48 MONTHS/300 000 KM60 MONTHS/750 000 KMCombinationYes</v>
          </cell>
          <cell r="H289">
            <v>495330</v>
          </cell>
          <cell r="AC289" t="str">
            <v>TGX6X4H/D24 MONTHS/50 000 KMEntire VehicleYes</v>
          </cell>
          <cell r="AD289">
            <v>11060</v>
          </cell>
          <cell r="AK289" t="str">
            <v>TGX6X4HYDRO36 MONTHS/225 000 KMDrivelineYes</v>
          </cell>
          <cell r="AL289">
            <v>17380</v>
          </cell>
        </row>
        <row r="290">
          <cell r="G290" t="str">
            <v>TGX8X4 H/D (ABN)48 MONTHS/300 000 KM60 MONTHS/750 000 KMCombinationNo</v>
          </cell>
          <cell r="H290">
            <v>159580</v>
          </cell>
          <cell r="AC290" t="str">
            <v>TGX6X4H/D36 MONTHS/150 000 KMEntire VehicleNo</v>
          </cell>
          <cell r="AD290">
            <v>72680</v>
          </cell>
          <cell r="AK290" t="str">
            <v>TGX6X4HYDRO36 MONTHS/300 000 KMDrivelineNo</v>
          </cell>
          <cell r="AL290">
            <v>22120</v>
          </cell>
        </row>
        <row r="291">
          <cell r="G291" t="str">
            <v>TGX8X4 H/D (ABN)48 MONTHS/300 000 KM60 MONTHS/750 000 KMCombinationYes</v>
          </cell>
          <cell r="H291">
            <v>267810</v>
          </cell>
          <cell r="AC291" t="str">
            <v>TGX6X4H/D36 MONTHS/225 000 KMEntire VehicleYes</v>
          </cell>
          <cell r="AD291">
            <v>85320</v>
          </cell>
          <cell r="AK291" t="str">
            <v>TGX6X4HYDRO36 MONTHS/375 000 KMDrivelineYes</v>
          </cell>
          <cell r="AL291">
            <v>27650</v>
          </cell>
        </row>
        <row r="292">
          <cell r="G292" t="str">
            <v>TGX8X4 H/D24 MONTHS/150 000 KM36 MONTHS/225 000 KMCombinationNo</v>
          </cell>
          <cell r="H292">
            <v>33970</v>
          </cell>
          <cell r="AC292" t="str">
            <v>TGX6X4H/D36 MONTHS/300 000 KMEntire VehicleNo</v>
          </cell>
          <cell r="AD292">
            <v>117371.42857142859</v>
          </cell>
          <cell r="AK292" t="str">
            <v>TGX6X4HYDRO36 MONTHS/450 000 KMDrivelineNo</v>
          </cell>
          <cell r="AL292">
            <v>28440</v>
          </cell>
        </row>
        <row r="293">
          <cell r="G293" t="str">
            <v>TGX8X4 H/D24 MONTHS/150 000 KM36 MONTHS/225 000 KMCombinationYes</v>
          </cell>
          <cell r="H293">
            <v>65570</v>
          </cell>
          <cell r="AC293" t="str">
            <v>TGX6X4H/D36 MONTHS/375 000 KMEntire VehicleYes</v>
          </cell>
          <cell r="AD293">
            <v>136670</v>
          </cell>
          <cell r="AK293" t="str">
            <v>TGX6X4HYDRO36 MONTHS/75 000 KMDrivelineYes</v>
          </cell>
          <cell r="AL293">
            <v>12640</v>
          </cell>
        </row>
        <row r="294">
          <cell r="G294" t="str">
            <v>TGX8X4 H/D24 MONTHS/150 000 KM48 MONTHS/300 000 KMCombinationNo</v>
          </cell>
          <cell r="H294">
            <v>60040</v>
          </cell>
          <cell r="AC294" t="str">
            <v>TGX6X4H/D36 MONTHS/450 000 KMEntire VehicleNo</v>
          </cell>
          <cell r="AD294">
            <v>139830</v>
          </cell>
          <cell r="AK294" t="str">
            <v>TGX6X4HYDRO48 MONTHS/100 000 KMDrivelineNo</v>
          </cell>
          <cell r="AL294">
            <v>29230</v>
          </cell>
        </row>
        <row r="295">
          <cell r="G295" t="str">
            <v>TGX8X4 H/D24 MONTHS/150 000 KM48 MONTHS/300 000 KMCombinationYes</v>
          </cell>
          <cell r="H295">
            <v>103490</v>
          </cell>
          <cell r="AC295" t="str">
            <v>TGX6X4H/D36 MONTHS/75 000 KMEntire VehicleYes</v>
          </cell>
          <cell r="AD295">
            <v>61620</v>
          </cell>
          <cell r="AK295" t="str">
            <v>TGX6X4HYDRO48 MONTHS/200 000 KMDrivelineYes</v>
          </cell>
          <cell r="AL295">
            <v>33970</v>
          </cell>
        </row>
        <row r="296">
          <cell r="G296" t="str">
            <v>TGX8X4 H/D24 MONTHS/150 000 KM60 MONTHS/375 000 KMCombinationNo</v>
          </cell>
          <cell r="H296">
            <v>109810</v>
          </cell>
          <cell r="AC296" t="str">
            <v>TGX6X4H/D48 MONTHS/100 000 KMEntire VehicleNo</v>
          </cell>
          <cell r="AD296">
            <v>120080</v>
          </cell>
          <cell r="AK296" t="str">
            <v>TGX6X4HYDRO48 MONTHS/300 000 KMDrivelineNo</v>
          </cell>
          <cell r="AL296">
            <v>40290</v>
          </cell>
        </row>
        <row r="297">
          <cell r="G297" t="str">
            <v>TGX8X4 H/D24 MONTHS/150 000 KM60 MONTHS/375 000 KMCombinationYes</v>
          </cell>
          <cell r="H297">
            <v>197500</v>
          </cell>
          <cell r="AC297" t="str">
            <v>TGX6X4H/D48 MONTHS/200 000 KMEntire VehicleYes</v>
          </cell>
          <cell r="AD297">
            <v>141410</v>
          </cell>
          <cell r="AK297" t="str">
            <v>TGX6X4HYDRO48 MONTHS/400 000 KMDrivelineYes</v>
          </cell>
          <cell r="AL297">
            <v>52140</v>
          </cell>
        </row>
        <row r="298">
          <cell r="G298" t="str">
            <v>TGX8X4 H/D24 MONTHS/300 000 KM36 MONTHS/450 000 KMCombinationNo</v>
          </cell>
          <cell r="H298">
            <v>56880</v>
          </cell>
          <cell r="AC298" t="str">
            <v>TGX6X4H/D48 MONTHS/300 000 KMEntire VehicleNo</v>
          </cell>
          <cell r="AD298">
            <v>165900</v>
          </cell>
          <cell r="AK298" t="str">
            <v>TGX6X4HYDRO48 MONTHS/500 000 KMDrivelineNo</v>
          </cell>
          <cell r="AL298">
            <v>60830</v>
          </cell>
        </row>
        <row r="299">
          <cell r="G299" t="str">
            <v>TGX8X4 H/D24 MONTHS/300 000 KM36 MONTHS/450 000 KMCombinationYes</v>
          </cell>
          <cell r="H299">
            <v>117710</v>
          </cell>
          <cell r="AC299" t="str">
            <v>TGX6X4H/D48 MONTHS/400 000 KMEntire VehicleYes</v>
          </cell>
          <cell r="AD299">
            <v>216460</v>
          </cell>
          <cell r="AK299" t="str">
            <v>TGX6X4HYDRO48 MONTHS/600 000 KMDrivelineYes</v>
          </cell>
          <cell r="AL299">
            <v>62410</v>
          </cell>
        </row>
        <row r="300">
          <cell r="G300" t="str">
            <v>TGX8X4 H/D24 MONTHS/300 000 KM48 MONTHS/600 000 KMCombinationNo</v>
          </cell>
          <cell r="H300">
            <v>95590</v>
          </cell>
          <cell r="AC300" t="str">
            <v>TGX6X4H/D48 MONTHS/500 000 KMEntire VehicleNo</v>
          </cell>
          <cell r="AD300">
            <v>267020</v>
          </cell>
          <cell r="AK300" t="str">
            <v>TGX6X4HYDRO60 MONTHS/125 000 KMDrivelineNo</v>
          </cell>
          <cell r="AL300">
            <v>60830</v>
          </cell>
        </row>
        <row r="301">
          <cell r="G301" t="str">
            <v>TGX8X4 H/D24 MONTHS/300 000 KM48 MONTHS/600 000 KMCombinationYes</v>
          </cell>
          <cell r="H301">
            <v>180120</v>
          </cell>
          <cell r="AC301" t="str">
            <v>TGX6X4H/D48 MONTHS/600 000 KMEntire VehicleYes</v>
          </cell>
          <cell r="AD301">
            <v>274130</v>
          </cell>
          <cell r="AK301" t="str">
            <v>TGX6X4HYDRO60 MONTHS/250 000 KMDrivelineYes</v>
          </cell>
          <cell r="AL301">
            <v>71890</v>
          </cell>
        </row>
        <row r="302">
          <cell r="G302" t="str">
            <v>TGX8X4 H/D24 MONTHS/300 000 KM60 MONTHS/750 000 KMCombinationNo</v>
          </cell>
          <cell r="H302">
            <v>183280</v>
          </cell>
          <cell r="AC302" t="str">
            <v>TGX6X4H/D60 MONTHS/125 000 KMEntire VehicleNo</v>
          </cell>
          <cell r="AD302">
            <v>252800</v>
          </cell>
          <cell r="AK302" t="str">
            <v>TGX6X4HYDRO60 MONTHS/375 000 KMDrivelineNo</v>
          </cell>
          <cell r="AL302">
            <v>83740</v>
          </cell>
        </row>
        <row r="303">
          <cell r="G303" t="str">
            <v>TGX8X4 H/D24 MONTHS/300 000 KM60 MONTHS/750 000 KMCombinationYes</v>
          </cell>
          <cell r="H303">
            <v>335750</v>
          </cell>
          <cell r="AC303" t="str">
            <v>TGX6X4H/D60 MONTHS/250 000 KMEntire VehicleYes</v>
          </cell>
          <cell r="AD303">
            <v>297040</v>
          </cell>
          <cell r="AK303" t="str">
            <v>TGX6X4HYDRO60 MONTHS/500 000 KMDrivelineYes</v>
          </cell>
          <cell r="AL303">
            <v>109810</v>
          </cell>
        </row>
        <row r="304">
          <cell r="G304" t="str">
            <v>TGX8X4 H/D36 MONTHS/225 000 KM48 MONTHS/300 000 KM CombinationNo</v>
          </cell>
          <cell r="H304">
            <v>76630</v>
          </cell>
          <cell r="AC304" t="str">
            <v>TGX6X4H/D60 MONTHS/375 000 KMEntire VehicleNo</v>
          </cell>
          <cell r="AD304">
            <v>348390</v>
          </cell>
          <cell r="AK304" t="str">
            <v>TGX6X4HYDRO60 MONTHS/625 000 KMDrivelineNo</v>
          </cell>
          <cell r="AL304">
            <v>127190</v>
          </cell>
        </row>
        <row r="305">
          <cell r="G305" t="str">
            <v>TGX8X4 H/D36 MONTHS/225 000 KM48 MONTHS/300 000 KM CombinationYes</v>
          </cell>
          <cell r="H305">
            <v>123240</v>
          </cell>
          <cell r="AC305" t="str">
            <v>TGX6X4H/D60 MONTHS/500 000 KMEntire VehicleYes</v>
          </cell>
          <cell r="AD305">
            <v>454250</v>
          </cell>
          <cell r="AK305" t="str">
            <v>TGX6X4HYDRO60 MONTHS/750 000 KMDrivelineYes</v>
          </cell>
          <cell r="AL305">
            <v>138250</v>
          </cell>
        </row>
        <row r="306">
          <cell r="G306" t="str">
            <v>TGX8X4 H/D36 MONTHS/225 000 KM60 MONTHS/750 000 KMCombinationNo</v>
          </cell>
          <cell r="H306">
            <v>126400</v>
          </cell>
          <cell r="AC306" t="str">
            <v>TGX6X4H/D60 MONTHS/625 000 KMEntire VehicleNo</v>
          </cell>
          <cell r="AD306">
            <v>560110</v>
          </cell>
          <cell r="AK306" t="str">
            <v>TGX6X636 MONTHS/75 000 KMDrivelineNo</v>
          </cell>
          <cell r="AL306">
            <v>9480</v>
          </cell>
        </row>
        <row r="307">
          <cell r="G307" t="str">
            <v>TGX8X4 H/D36 MONTHS/225 000 KM60 MONTHS/750 000 KMCombinationYes</v>
          </cell>
          <cell r="H307">
            <v>217250</v>
          </cell>
          <cell r="AC307" t="str">
            <v>TGX6X4H/D60 MONTHS/750 000 KMEntire VehicleYes</v>
          </cell>
          <cell r="AD307">
            <v>575120</v>
          </cell>
          <cell r="AK307" t="str">
            <v>TGX6X636 MONTHS/75 000 KMDrivelineYes</v>
          </cell>
          <cell r="AL307">
            <v>7900</v>
          </cell>
        </row>
        <row r="308">
          <cell r="G308" t="str">
            <v>TGX8X4 H/D36 MONTHS/450 000 KM48 MONTHS/600 000 KMCombinationNo</v>
          </cell>
          <cell r="H308">
            <v>121660</v>
          </cell>
          <cell r="AC308" t="str">
            <v>TGX6X4HYDRO24 MONTHS/100 000 KMEntire VehicleNo</v>
          </cell>
          <cell r="AD308">
            <v>9480</v>
          </cell>
          <cell r="AK308" t="str">
            <v>TGX6X636 MONTHS/150 000 KMDrivelineNo</v>
          </cell>
          <cell r="AL308">
            <v>15010</v>
          </cell>
        </row>
        <row r="309">
          <cell r="G309" t="str">
            <v>TGX8X4 H/D36 MONTHS/450 000 KM48 MONTHS/600 000 KMCombinationYes</v>
          </cell>
          <cell r="H309">
            <v>202240</v>
          </cell>
          <cell r="AC309" t="str">
            <v>TGX6X4HYDRO24 MONTHS/150 000 KMEntire VehicleYes</v>
          </cell>
          <cell r="AD309">
            <v>11060</v>
          </cell>
          <cell r="AK309" t="str">
            <v>TGX6X636 MONTHS/150 000 KMDrivelineYes</v>
          </cell>
          <cell r="AL309">
            <v>12640</v>
          </cell>
        </row>
        <row r="310">
          <cell r="G310" t="str">
            <v>TGX8X4 H/D36 MONTHS/450 000 KM60 MONTHS/750 000 KMCombinationNo</v>
          </cell>
          <cell r="H310">
            <v>209350</v>
          </cell>
          <cell r="AC310" t="str">
            <v>TGX6X4HYDRO24 MONTHS/200 000 KMEntire VehicleNo</v>
          </cell>
          <cell r="AD310">
            <v>14220</v>
          </cell>
          <cell r="AK310" t="str">
            <v>TGX6X636 MONTHS/225 000 KMDrivelineNo</v>
          </cell>
          <cell r="AL310">
            <v>16590</v>
          </cell>
        </row>
        <row r="311">
          <cell r="G311" t="str">
            <v>TGX8X4 H/D36 MONTHS/450 000 KM60 MONTHS/750 000 KMCombinationYes</v>
          </cell>
          <cell r="H311">
            <v>357870</v>
          </cell>
          <cell r="AC311" t="str">
            <v>TGX6X4HYDRO24 MONTHS/250 000 KMEntire VehicleYes</v>
          </cell>
          <cell r="AD311">
            <v>18960</v>
          </cell>
          <cell r="AK311" t="str">
            <v>TGX6X636 MONTHS/225 000 KMDrivelineYes</v>
          </cell>
          <cell r="AL311">
            <v>13430</v>
          </cell>
        </row>
        <row r="312">
          <cell r="G312" t="str">
            <v>TGX8X4 H/D48 MONTHS/300 000 KM60 MONTHS/750 000 KMCombinationNo</v>
          </cell>
          <cell r="H312">
            <v>184070</v>
          </cell>
          <cell r="AC312" t="str">
            <v>TGX6X4HYDRO24 MONTHS/300 000 KMEntire VehicleNo</v>
          </cell>
          <cell r="AD312">
            <v>20540</v>
          </cell>
          <cell r="AK312" t="str">
            <v>TGX6X636 MONTHS/300 000 KMDrivelineNo</v>
          </cell>
          <cell r="AL312">
            <v>21330</v>
          </cell>
        </row>
        <row r="313">
          <cell r="G313" t="str">
            <v>TGX8X4 H/D48 MONTHS/300 000 KM60 MONTHS/750 000 KMCombinationYes</v>
          </cell>
          <cell r="H313">
            <v>308890</v>
          </cell>
          <cell r="AC313" t="str">
            <v>TGX6X4HYDRO24 MONTHS/50 000 KMEntire VehicleYes</v>
          </cell>
          <cell r="AD313">
            <v>7110</v>
          </cell>
          <cell r="AK313" t="str">
            <v>TGX6X636 MONTHS/300 000 KMDrivelineYes</v>
          </cell>
          <cell r="AL313">
            <v>17380</v>
          </cell>
        </row>
        <row r="314">
          <cell r="G314" t="str">
            <v>TGX8X4 H/D48 MONTHS/300 000 KM60 MONTHS/750 000 KMCombinationNo</v>
          </cell>
          <cell r="H314">
            <v>259910</v>
          </cell>
          <cell r="AC314" t="str">
            <v>TGX6X4HYDRO36 MONTHS/150 000 KMEntire VehicleNo</v>
          </cell>
          <cell r="AD314">
            <v>37130</v>
          </cell>
          <cell r="AK314" t="str">
            <v>TGX6X636 MONTHS/375 000 KMDrivelineNo</v>
          </cell>
          <cell r="AL314">
            <v>26070</v>
          </cell>
        </row>
        <row r="315">
          <cell r="G315" t="str">
            <v>TGX8X4 H/D48 MONTHS/300 000 KM60 MONTHS/750 000 KMCombinationYes</v>
          </cell>
          <cell r="H315">
            <v>429760</v>
          </cell>
          <cell r="AC315" t="str">
            <v>TGX6X4HYDRO36 MONTHS/225 000 KMEntire VehicleYes</v>
          </cell>
          <cell r="AD315">
            <v>43450</v>
          </cell>
          <cell r="AK315" t="str">
            <v>TGX6X636 MONTHS/375 000 KMDrivelineYes</v>
          </cell>
          <cell r="AL315">
            <v>21330</v>
          </cell>
        </row>
        <row r="316">
          <cell r="G316" t="str">
            <v>TGX8X424 MONTHS/150 000 KM 36 MONTHS/225 000 KMCombinationNo</v>
          </cell>
          <cell r="H316">
            <v>31600</v>
          </cell>
          <cell r="AC316" t="str">
            <v>TGX6X4HYDRO36 MONTHS/300 000 KMEntire VehicleNo</v>
          </cell>
          <cell r="AD316">
            <v>56090</v>
          </cell>
          <cell r="AK316" t="str">
            <v>TGX6X636 MONTHS/450 000 KMDrivelineNo</v>
          </cell>
          <cell r="AL316">
            <v>26860</v>
          </cell>
        </row>
        <row r="317">
          <cell r="G317" t="str">
            <v>TGX8X424 MONTHS/150 000 KM 36 MONTHS/225 000 KMCombinationYes</v>
          </cell>
          <cell r="H317">
            <v>25280</v>
          </cell>
          <cell r="AC317" t="str">
            <v>TGX6X4HYDRO36 MONTHS/375 000 KMEntire VehicleYes</v>
          </cell>
          <cell r="AD317">
            <v>69520</v>
          </cell>
          <cell r="AK317" t="str">
            <v>TGX6X636 MONTHS/450 000 KMDrivelineYes</v>
          </cell>
          <cell r="AL317">
            <v>22120</v>
          </cell>
        </row>
        <row r="318">
          <cell r="G318" t="str">
            <v>TGX8X424 MONTHS/300 000 KM36 MONTHS/450 000 KMCombinationNo</v>
          </cell>
          <cell r="H318">
            <v>57670</v>
          </cell>
          <cell r="AC318" t="str">
            <v>TGX6X4HYDRO36 MONTHS/450 000 KMEntire VehicleNo</v>
          </cell>
          <cell r="AD318">
            <v>71890</v>
          </cell>
          <cell r="AK318" t="str">
            <v>TGX6X648 MONTHS/100 000 KMDrivelineNo</v>
          </cell>
          <cell r="AL318">
            <v>23700</v>
          </cell>
        </row>
        <row r="319">
          <cell r="G319" t="str">
            <v>TGX8X424 MONTHS/300 000 KM36 MONTHS/450 000 KMCombinationYes</v>
          </cell>
          <cell r="H319">
            <v>46610</v>
          </cell>
          <cell r="AC319" t="str">
            <v>TGX6X4HYDRO36 MONTHS/75 000 KMEntire VehicleYes</v>
          </cell>
          <cell r="AD319">
            <v>31600</v>
          </cell>
          <cell r="AK319" t="str">
            <v>TGX6X648 MONTHS/100 000 KMDrivelineYes</v>
          </cell>
          <cell r="AL319">
            <v>18960</v>
          </cell>
        </row>
        <row r="320">
          <cell r="G320" t="str">
            <v>TGX8X424 MONTHS/150 000 KM48 MONTHS/300 000 KMCombinationNo</v>
          </cell>
          <cell r="H320">
            <v>52140</v>
          </cell>
          <cell r="AC320" t="str">
            <v>TGX6X4HYDRO48 MONTHS/100 000 KMEntire VehicleNo</v>
          </cell>
          <cell r="AD320">
            <v>85803.673469387766</v>
          </cell>
          <cell r="AK320" t="str">
            <v>TGX6X648 MONTHS/200 000 KMDrivelineNo</v>
          </cell>
          <cell r="AL320">
            <v>27650</v>
          </cell>
        </row>
        <row r="321">
          <cell r="G321" t="str">
            <v>TGX8X424 MONTHS/150 000 KM48 MONTHS/300 000 KMCombinationYes</v>
          </cell>
          <cell r="H321">
            <v>41870</v>
          </cell>
          <cell r="AC321" t="str">
            <v>TGX6X4HYDRO48 MONTHS/200 000 KMEntire VehicleYes</v>
          </cell>
          <cell r="AD321">
            <v>99540</v>
          </cell>
          <cell r="AK321" t="str">
            <v>TGX6X648 MONTHS/200 000 KMDrivelineYes</v>
          </cell>
          <cell r="AL321">
            <v>22120</v>
          </cell>
        </row>
        <row r="322">
          <cell r="G322" t="str">
            <v>TGX8X424 MONTHS/300 000 KM48 MONTHS/600 000 KMCombinationNo</v>
          </cell>
          <cell r="H322">
            <v>101120</v>
          </cell>
          <cell r="AC322" t="str">
            <v>TGX6X4HYDRO48 MONTHS/300 000 KMEntire VehicleNo</v>
          </cell>
          <cell r="AD322">
            <v>116130</v>
          </cell>
          <cell r="AK322" t="str">
            <v>TGX6X648 MONTHS/300 000 KMDrivelineNo</v>
          </cell>
          <cell r="AL322">
            <v>32390</v>
          </cell>
        </row>
        <row r="323">
          <cell r="G323" t="str">
            <v>TGX8X424 MONTHS/300 000 KM48 MONTHS/600 000 KMCombinationYes</v>
          </cell>
          <cell r="H323">
            <v>81370</v>
          </cell>
          <cell r="AC323" t="str">
            <v>TGX6X4HYDRO48 MONTHS/400 000 KMEntire VehicleYes</v>
          </cell>
          <cell r="AD323">
            <v>152470</v>
          </cell>
          <cell r="AK323" t="str">
            <v>TGX6X648 MONTHS/300 000 KMDrivelineYes</v>
          </cell>
          <cell r="AL323">
            <v>26070</v>
          </cell>
        </row>
        <row r="324">
          <cell r="G324" t="str">
            <v>TGX8X424 MONTHS/225 000 KM48 MONTHS/300 000 KMCombinationNo</v>
          </cell>
          <cell r="H324">
            <v>71100</v>
          </cell>
          <cell r="AC324" t="str">
            <v>TGX6X4HYDRO48 MONTHS/500 000 KMEntire VehicleNo</v>
          </cell>
          <cell r="AD324">
            <v>187230</v>
          </cell>
          <cell r="AK324" t="str">
            <v>TGX6X648 MONTHS/400 000 KMDrivelineNo</v>
          </cell>
          <cell r="AL324">
            <v>41870</v>
          </cell>
        </row>
        <row r="325">
          <cell r="G325" t="str">
            <v>TGX8X424 MONTHS/225 000 KM48 MONTHS/300 000 KMCombinationYes</v>
          </cell>
          <cell r="H325">
            <v>56880</v>
          </cell>
          <cell r="AC325" t="str">
            <v>TGX6X4HYDRO48 MONTHS/600 000 KMEntire VehicleYes</v>
          </cell>
          <cell r="AD325">
            <v>191970</v>
          </cell>
          <cell r="AK325" t="str">
            <v>TGX6X648 MONTHS/400 000 KMDrivelineYes</v>
          </cell>
          <cell r="AL325">
            <v>33970</v>
          </cell>
        </row>
        <row r="326">
          <cell r="G326" t="str">
            <v>TGX8X436 MONTHS/450 000 KM48 MONTHS/600 000 KMCombinationNo</v>
          </cell>
          <cell r="H326">
            <v>126400</v>
          </cell>
          <cell r="AC326" t="str">
            <v>TGX6X4HYDRO60 MONTHS/125 000 KMEntire VehicleNo</v>
          </cell>
          <cell r="AD326">
            <v>176960</v>
          </cell>
          <cell r="AK326" t="str">
            <v>TGX6X648 MONTHS/500 000 KMDrivelineNo</v>
          </cell>
          <cell r="AL326">
            <v>58460</v>
          </cell>
        </row>
        <row r="327">
          <cell r="G327" t="str">
            <v>TGX8X436 MONTHS/450 000 KM48 MONTHS/600 000 KMCombinationYes</v>
          </cell>
          <cell r="H327">
            <v>101120</v>
          </cell>
          <cell r="AC327" t="str">
            <v>TGX6X4HYDRO60 MONTHS/250 000 KMEntire VehicleYes</v>
          </cell>
          <cell r="AD327">
            <v>208560</v>
          </cell>
          <cell r="AK327" t="str">
            <v>TGX6X648 MONTHS/500 000 KMDrivelineYes</v>
          </cell>
          <cell r="AL327">
            <v>47400</v>
          </cell>
        </row>
        <row r="328">
          <cell r="G328" t="str">
            <v>TGX8X424 MONTHS/150 000 KM60 MONTHS/375 000 KM CombinationNo</v>
          </cell>
          <cell r="H328">
            <v>72680</v>
          </cell>
          <cell r="AC328" t="str">
            <v>TGX6X4HYDRO60 MONTHS/375 000 KMEntire VehicleNo</v>
          </cell>
          <cell r="AD328">
            <v>244110</v>
          </cell>
          <cell r="AK328" t="str">
            <v>TGX6X648 MONTHS/600 000 KMDrivelineNo</v>
          </cell>
          <cell r="AL328">
            <v>62410</v>
          </cell>
        </row>
        <row r="329">
          <cell r="G329" t="str">
            <v>TGX8X424 MONTHS/150 000 KM60 MONTHS/375 000 KM CombinationYes</v>
          </cell>
          <cell r="H329">
            <v>58460</v>
          </cell>
          <cell r="AC329" t="str">
            <v>TGX6X4HYDRO60 MONTHS/500 000 KMEntire VehicleYes</v>
          </cell>
          <cell r="AD329">
            <v>319160</v>
          </cell>
          <cell r="AK329" t="str">
            <v>TGX6X648 MONTHS/600 000 KMDrivelineYes</v>
          </cell>
          <cell r="AL329">
            <v>50560</v>
          </cell>
        </row>
        <row r="330">
          <cell r="G330" t="str">
            <v>TGX8X424 MONTHS/300 000 KM60 MONTHS/750 000 KMCombinationNo</v>
          </cell>
          <cell r="H330">
            <v>170640</v>
          </cell>
          <cell r="AC330" t="str">
            <v>TGX6X4HYDRO60 MONTHS/625 000 KMEntire VehicleNo</v>
          </cell>
          <cell r="AD330">
            <v>392630</v>
          </cell>
          <cell r="AK330" t="str">
            <v>TGX6X660 MONTHS/125 000 KMDrivelineNo</v>
          </cell>
          <cell r="AL330">
            <v>48190</v>
          </cell>
        </row>
        <row r="331">
          <cell r="G331" t="str">
            <v>TGX8X424 MONTHS/300 000 KM60 MONTHS/750 000 KMCombinationYes</v>
          </cell>
          <cell r="H331">
            <v>135880</v>
          </cell>
          <cell r="AC331" t="str">
            <v>TGX6X4HYDRO60 MONTHS/750 000 KMEntire VehicleYes</v>
          </cell>
          <cell r="AD331">
            <v>402900</v>
          </cell>
          <cell r="AK331" t="str">
            <v>TGX6X660 MONTHS/125 000 KMDrivelineYes</v>
          </cell>
          <cell r="AL331">
            <v>38710</v>
          </cell>
        </row>
        <row r="332">
          <cell r="G332" t="str">
            <v>TGX8X436 MONTHS/225 000 KM60 MONTHS/375 000 KMCombinationNo</v>
          </cell>
          <cell r="H332">
            <v>91640</v>
          </cell>
          <cell r="AC332" t="str">
            <v>TGX6X624 MONTHS/50 000 KMEntire VehicleNo</v>
          </cell>
          <cell r="AD332">
            <v>7900</v>
          </cell>
          <cell r="AK332" t="str">
            <v>TGX6X660 MONTHS/250 000 KMDrivelineNo</v>
          </cell>
          <cell r="AL332">
            <v>56880</v>
          </cell>
        </row>
        <row r="333">
          <cell r="G333" t="str">
            <v>TGX8X436 MONTHS/225 000 KM60 MONTHS/375 000 KMCombinationYes</v>
          </cell>
          <cell r="H333">
            <v>73470</v>
          </cell>
          <cell r="AC333" t="str">
            <v>TGX6X624 MONTHS/50 000 KMEntire VehicleYes</v>
          </cell>
          <cell r="AD333">
            <v>6320</v>
          </cell>
          <cell r="AK333" t="str">
            <v>TGX6X660 MONTHS/250 000 KMDrivelineYes</v>
          </cell>
          <cell r="AL333">
            <v>45820</v>
          </cell>
        </row>
        <row r="334">
          <cell r="G334" t="str">
            <v>TGX8X436 MONTHS/450 000 KM60 MONTHS/750 000 KMCombinationNo</v>
          </cell>
          <cell r="H334">
            <v>195920</v>
          </cell>
          <cell r="AC334" t="str">
            <v>TGX6X624 MONTHS/100 000 KMEntire VehicleNo</v>
          </cell>
          <cell r="AD334">
            <v>9480</v>
          </cell>
          <cell r="AK334" t="str">
            <v>TGX6X660 MONTHS/375 000 KMDrivelineNo</v>
          </cell>
          <cell r="AL334">
            <v>66360</v>
          </cell>
        </row>
        <row r="335">
          <cell r="G335" t="str">
            <v>TGX8X436 MONTHS/450 000 KM60 MONTHS/750 000 KMCombinationYes</v>
          </cell>
          <cell r="H335">
            <v>157210</v>
          </cell>
          <cell r="AC335" t="str">
            <v>TGX6X624 MONTHS/100 000 KMEntire VehicleYes</v>
          </cell>
          <cell r="AD335">
            <v>7900</v>
          </cell>
          <cell r="AK335" t="str">
            <v>TGX6X660 MONTHS/375 000 KMDrivelineYes</v>
          </cell>
          <cell r="AL335">
            <v>53720</v>
          </cell>
        </row>
        <row r="336">
          <cell r="G336" t="str">
            <v>TGX8X448 MONTHS/300 000 KM60 MONTHS/375 000 KMCombinationNo</v>
          </cell>
          <cell r="H336">
            <v>154840</v>
          </cell>
          <cell r="AC336" t="str">
            <v>TGX6X624 MONTHS/150 000 KMEntire VehicleNo</v>
          </cell>
          <cell r="AD336">
            <v>11850</v>
          </cell>
          <cell r="AK336" t="str">
            <v>TGX6X660 MONTHS/500 000 KMDrivelineNo</v>
          </cell>
          <cell r="AL336">
            <v>100330</v>
          </cell>
        </row>
        <row r="337">
          <cell r="G337" t="str">
            <v>TGX8X448 MONTHS/300 000 KM60 MONTHS/375 000 KMCombinationYes</v>
          </cell>
          <cell r="H337">
            <v>134300</v>
          </cell>
          <cell r="AC337" t="str">
            <v>TGX6X624 MONTHS/150 000 KMEntire VehicleYes</v>
          </cell>
          <cell r="AD337">
            <v>9480</v>
          </cell>
          <cell r="AK337" t="str">
            <v>TGX6X660 MONTHS/500 000 KMDrivelineYes</v>
          </cell>
          <cell r="AL337">
            <v>80580</v>
          </cell>
        </row>
        <row r="338">
          <cell r="G338" t="str">
            <v>TGX8X448 MONTHS/600 000 KM60 MONTHS/750 000 KMCombinationNo</v>
          </cell>
          <cell r="H338">
            <v>290720</v>
          </cell>
          <cell r="AC338" t="str">
            <v>TGX6X624 MONTHS/200 000 KMEntire VehicleNo</v>
          </cell>
          <cell r="AD338">
            <v>14220</v>
          </cell>
          <cell r="AK338" t="str">
            <v>TGX6X660 MONTHS/625 000 KMDrivelineNo</v>
          </cell>
          <cell r="AL338">
            <v>129560</v>
          </cell>
        </row>
        <row r="339">
          <cell r="G339" t="str">
            <v>TGX8X448 MONTHS/600 000 KM60 MONTHS/750 000 KMCombinationYes</v>
          </cell>
          <cell r="H339">
            <v>233050</v>
          </cell>
          <cell r="AC339" t="str">
            <v>TGX6X624 MONTHS/200 000 KMEntire VehicleYes</v>
          </cell>
          <cell r="AD339">
            <v>11850</v>
          </cell>
          <cell r="AK339" t="str">
            <v>TGX6X660 MONTHS/625 000 KMDrivelineYes</v>
          </cell>
          <cell r="AL339">
            <v>104280</v>
          </cell>
        </row>
        <row r="340">
          <cell r="G340" t="str">
            <v>TGX8X6 H/D (ABN)24 MONTHS/150 000 KM36 MONTHS/225 000 KMCombinationNo</v>
          </cell>
          <cell r="H340">
            <v>76630</v>
          </cell>
          <cell r="AC340" t="str">
            <v>TGX6X624 MONTHS/250 000 KMEntire VehicleNo</v>
          </cell>
          <cell r="AD340">
            <v>16590</v>
          </cell>
          <cell r="AK340" t="str">
            <v>TGX6X660 MONTHS/750 000 KMDrivelineNo</v>
          </cell>
          <cell r="AL340">
            <v>139040</v>
          </cell>
        </row>
        <row r="341">
          <cell r="G341" t="str">
            <v>TGX8X6 H/D (ABN)24 MONTHS/150 000 KM36 MONTHS/225 000 KMCombinationYes</v>
          </cell>
          <cell r="H341">
            <v>28440</v>
          </cell>
          <cell r="AC341" t="str">
            <v>TGX6X624 MONTHS/250 000 KMEntire VehicleYes</v>
          </cell>
          <cell r="AD341">
            <v>13430</v>
          </cell>
          <cell r="AK341" t="str">
            <v>TGX6X660 MONTHS/750 000 KMDrivelineYes</v>
          </cell>
          <cell r="AL341">
            <v>111390</v>
          </cell>
        </row>
        <row r="342">
          <cell r="G342" t="str">
            <v>TGX8X6 H/D (ABN)24 MONTHS/150 000 KM48 MONTHS/300 000 KMCombinationNo</v>
          </cell>
          <cell r="H342">
            <v>120080</v>
          </cell>
          <cell r="AC342" t="str">
            <v>TGX6X624 MONTHS/300 000 KMEntire VehicleNo</v>
          </cell>
          <cell r="AD342">
            <v>17380</v>
          </cell>
          <cell r="AK342" t="str">
            <v>TGX6X672 MONTHS/150 000 KMDrivelineNo</v>
          </cell>
          <cell r="AL342">
            <v>72680</v>
          </cell>
        </row>
        <row r="343">
          <cell r="G343" t="str">
            <v>TGX8X6 H/D (ABN)24 MONTHS/150 000 KM48 MONTHS/300 000 KMCombinationYes</v>
          </cell>
          <cell r="H343">
            <v>51350</v>
          </cell>
          <cell r="AC343" t="str">
            <v>TGX6X624 MONTHS/300 000 KMEntire VehicleYes</v>
          </cell>
          <cell r="AD343">
            <v>14220</v>
          </cell>
          <cell r="AK343" t="str">
            <v>TGX6X672 MONTHS/150 000 KMDrivelineYes</v>
          </cell>
          <cell r="AL343">
            <v>60040</v>
          </cell>
        </row>
        <row r="344">
          <cell r="G344" t="str">
            <v>TGX8X6 H/D (ABN)24 MONTHS/150 000 KM60 MONTHS/375 000 KMCombinationNo</v>
          </cell>
          <cell r="H344">
            <v>228310</v>
          </cell>
          <cell r="AC344" t="str">
            <v>TGX6X636 MONTHS/75 000 KMEntire VehicleNo</v>
          </cell>
          <cell r="AD344">
            <v>29230</v>
          </cell>
          <cell r="AK344" t="str">
            <v>TGX6X672 MONTHS/300 000 KMDrivelineNo</v>
          </cell>
          <cell r="AL344">
            <v>132720</v>
          </cell>
        </row>
        <row r="345">
          <cell r="G345" t="str">
            <v>TGX8X6 H/D (ABN)24 MONTHS/150 000 KM60 MONTHS/375 000 KMCombinationYes</v>
          </cell>
          <cell r="H345">
            <v>94800</v>
          </cell>
          <cell r="AC345" t="str">
            <v>TGX6X636 MONTHS/75 000 KMEntire VehicleYes</v>
          </cell>
          <cell r="AD345">
            <v>23700</v>
          </cell>
          <cell r="AK345" t="str">
            <v>TGX6X672 MONTHS/300 000 KMDrivelineYes</v>
          </cell>
          <cell r="AL345">
            <v>110600</v>
          </cell>
        </row>
        <row r="346">
          <cell r="G346" t="str">
            <v>TGX8X6 H/D (ABN)24 MONTHS/300 000 KM36 MONTHS/450 000 KMCombinationNo</v>
          </cell>
          <cell r="H346">
            <v>135880</v>
          </cell>
          <cell r="AC346" t="str">
            <v>TGX6X636 MONTHS/150 000 KMEntire VehicleNo</v>
          </cell>
          <cell r="AD346">
            <v>34760</v>
          </cell>
          <cell r="AK346" t="str">
            <v>TGX6X672 MONTHS/450 000 KMDrivelineNo</v>
          </cell>
          <cell r="AL346">
            <v>201450</v>
          </cell>
        </row>
        <row r="347">
          <cell r="G347" t="str">
            <v>TGX8X6 H/D (ABN)24 MONTHS/300 000 KM36 MONTHS/450 000 KMCombinationYes</v>
          </cell>
          <cell r="H347">
            <v>48702.987012987011</v>
          </cell>
          <cell r="AC347" t="str">
            <v>TGX6X636 MONTHS/150 000 KMEntire VehicleYes</v>
          </cell>
          <cell r="AD347">
            <v>28440</v>
          </cell>
          <cell r="AK347" t="str">
            <v>TGX6X672 MONTHS/450 000 KMDrivelineYes</v>
          </cell>
          <cell r="AL347">
            <v>167480</v>
          </cell>
        </row>
        <row r="348">
          <cell r="G348" t="str">
            <v>TGX8X6 H/D (ABN)24 MONTHS/300 000 KM48 MONTHS/600 000 KMCombinationNo</v>
          </cell>
          <cell r="H348">
            <v>207770</v>
          </cell>
          <cell r="AC348" t="str">
            <v>TGX6X636 MONTHS/225 000 KMEntire VehicleNo</v>
          </cell>
          <cell r="AD348">
            <v>41080</v>
          </cell>
          <cell r="AK348" t="str">
            <v>TGX6X672 MONTHS/600 000 KMDrivelineNo</v>
          </cell>
          <cell r="AL348">
            <v>268600</v>
          </cell>
        </row>
        <row r="349">
          <cell r="G349" t="str">
            <v>TGX8X6 H/D (ABN)24 MONTHS/300 000 KM48 MONTHS/600 000 KMCombinationYes</v>
          </cell>
          <cell r="H349">
            <v>82950</v>
          </cell>
          <cell r="AC349" t="str">
            <v>TGX6X636 MONTHS/225 000 KMEntire VehicleYes</v>
          </cell>
          <cell r="AD349">
            <v>33180</v>
          </cell>
          <cell r="AK349" t="str">
            <v>TGX6X672 MONTHS/600 000 KMDrivelineYes</v>
          </cell>
          <cell r="AL349">
            <v>223570</v>
          </cell>
        </row>
        <row r="350">
          <cell r="G350" t="str">
            <v>TGX8X6 H/D (ABN)24 MONTHS/300 000 KM60 MONTHS/750 000 KMCombinationNo</v>
          </cell>
          <cell r="H350">
            <v>387100</v>
          </cell>
          <cell r="AC350" t="str">
            <v>TGX6X636 MONTHS/300 000 KMEntire VehicleNo</v>
          </cell>
          <cell r="AD350">
            <v>52930</v>
          </cell>
          <cell r="AK350" t="str">
            <v>TGX6X672 MONTHS/750 000 KMDrivelineNo</v>
          </cell>
          <cell r="AL350">
            <v>319160</v>
          </cell>
        </row>
        <row r="351">
          <cell r="G351" t="str">
            <v>TGX8X6 H/D (ABN)24 MONTHS/300 000 KM60 MONTHS/750 000 KMCombinationYes</v>
          </cell>
          <cell r="H351">
            <v>158790</v>
          </cell>
          <cell r="AC351" t="str">
            <v>TGX6X636 MONTHS/300 000 KMEntire VehicleYes</v>
          </cell>
          <cell r="AD351">
            <v>42660</v>
          </cell>
          <cell r="AK351" t="str">
            <v>TGX6X672 MONTHS/750 000 KMDrivelineYes</v>
          </cell>
          <cell r="AL351">
            <v>265440</v>
          </cell>
        </row>
        <row r="352">
          <cell r="G352" t="str">
            <v>TGX8X6 H/D (ABN)36 MONTHS/225 000 KM48 MONTHS/300 000 KM CombinationNo</v>
          </cell>
          <cell r="H352">
            <v>142200</v>
          </cell>
          <cell r="AC352" t="str">
            <v>TGX6X636 MONTHS/375 000 KMEntire VehicleNo</v>
          </cell>
          <cell r="AD352">
            <v>64780</v>
          </cell>
          <cell r="AK352" t="str">
            <v>TGX6X672 MONTHS/900 000 KMDrivelineNo</v>
          </cell>
          <cell r="AL352">
            <v>380780</v>
          </cell>
        </row>
        <row r="353">
          <cell r="G353" t="str">
            <v>TGX8X6 H/D (ABN)36 MONTHS/225 000 KM48 MONTHS/300 000 KM CombinationYes</v>
          </cell>
          <cell r="H353">
            <v>66360</v>
          </cell>
          <cell r="AC353" t="str">
            <v>TGX6X636 MONTHS/375 000 KMEntire VehicleYes</v>
          </cell>
          <cell r="AD353">
            <v>52140</v>
          </cell>
          <cell r="AK353" t="str">
            <v>TGX6X672 MONTHS/900 000 KMDrivelineYes</v>
          </cell>
          <cell r="AL353">
            <v>316790</v>
          </cell>
        </row>
        <row r="354">
          <cell r="G354" t="str">
            <v>TGX8X6 H/D (ABN)36 MONTHS/225 000 KM60 MONTHS/750 000 KMCombinationNo</v>
          </cell>
          <cell r="H354">
            <v>250430</v>
          </cell>
          <cell r="AC354" t="str">
            <v>TGX6X636 MONTHS/450 000 KMEntire VehicleNo</v>
          </cell>
          <cell r="AD354">
            <v>70310</v>
          </cell>
          <cell r="AK354" t="str">
            <v>TGX6X6H/D36 MONTHS/150 000 KMDrivelineNo</v>
          </cell>
          <cell r="AL354">
            <v>41080</v>
          </cell>
        </row>
        <row r="355">
          <cell r="G355" t="str">
            <v>TGX8X6 H/D (ABN)36 MONTHS/225 000 KM60 MONTHS/750 000 KMCombinationYes</v>
          </cell>
          <cell r="H355">
            <v>109810</v>
          </cell>
          <cell r="AC355" t="str">
            <v>TGX6X636 MONTHS/450 000 KMEntire VehicleYes</v>
          </cell>
          <cell r="AD355">
            <v>56880</v>
          </cell>
          <cell r="AK355" t="str">
            <v>TGX6X6H/D36 MONTHS/225 000 KMDrivelineYes</v>
          </cell>
          <cell r="AL355">
            <v>48190</v>
          </cell>
        </row>
        <row r="356">
          <cell r="G356" t="str">
            <v>TGX8X6 H/D (ABN)36 MONTHS/450 000 KM48 MONTHS/600 000 KMCombinationNo</v>
          </cell>
          <cell r="H356">
            <v>233050</v>
          </cell>
          <cell r="AC356" t="str">
            <v>TGX6X648 MONTHS/100 000 KMEntire VehicleNo</v>
          </cell>
          <cell r="AD356">
            <v>93220</v>
          </cell>
          <cell r="AK356" t="str">
            <v>TGX6X6H/D36 MONTHS/300 000 KMDrivelineNo</v>
          </cell>
          <cell r="AL356">
            <v>62410</v>
          </cell>
        </row>
        <row r="357">
          <cell r="G357" t="str">
            <v>TGX8X6 H/D (ABN)36 MONTHS/450 000 KM48 MONTHS/600 000 KMCombinationYes</v>
          </cell>
          <cell r="H357">
            <v>105860</v>
          </cell>
          <cell r="AC357" t="str">
            <v>TGX6X648 MONTHS/100 000 KMEntire VehicleYes</v>
          </cell>
          <cell r="AD357">
            <v>75050</v>
          </cell>
          <cell r="AK357" t="str">
            <v>TGX6X6H/D36 MONTHS/375 000 KMDrivelineYes</v>
          </cell>
          <cell r="AL357">
            <v>76630</v>
          </cell>
        </row>
        <row r="358">
          <cell r="G358" t="str">
            <v>TGX8X6 H/D (ABN)36 MONTHS/450 000 KM60 MONTHS/750 000 KMCombinationNo</v>
          </cell>
          <cell r="H358">
            <v>412380</v>
          </cell>
          <cell r="AC358" t="str">
            <v>TGX6X648 MONTHS/200 000 KMEntire VehicleNo</v>
          </cell>
          <cell r="AD358">
            <v>109020</v>
          </cell>
          <cell r="AK358" t="str">
            <v>TGX6X6H/D36 MONTHS/450 000 KMDrivelineNo</v>
          </cell>
          <cell r="AL358">
            <v>79000</v>
          </cell>
        </row>
        <row r="359">
          <cell r="G359" t="str">
            <v>TGX8X6 H/D (ABN)36 MONTHS/450 000 KM60 MONTHS/750 000 KMCombinationYes</v>
          </cell>
          <cell r="H359">
            <v>181700</v>
          </cell>
          <cell r="AC359" t="str">
            <v>TGX6X648 MONTHS/200 000 KMEntire VehicleYes</v>
          </cell>
          <cell r="AD359">
            <v>87690</v>
          </cell>
          <cell r="AK359" t="str">
            <v>TGX6X6H/D36 MONTHS/75 000 KMDrivelineYes</v>
          </cell>
          <cell r="AL359">
            <v>34760</v>
          </cell>
        </row>
        <row r="360">
          <cell r="G360" t="str">
            <v>TGX8X6 H/D (ABN)48 MONTHS/300 000 KM60 MONTHS/750 000 KMCombinationNo</v>
          </cell>
          <cell r="H360">
            <v>299410</v>
          </cell>
          <cell r="AC360" t="str">
            <v>TGX6X648 MONTHS/300 000 KMEntire VehicleNo</v>
          </cell>
          <cell r="AD360">
            <v>127190</v>
          </cell>
          <cell r="AK360" t="str">
            <v>TGX6X6H/D48 MONTHS/100 000 KMDrivelineNo</v>
          </cell>
          <cell r="AL360">
            <v>62410</v>
          </cell>
        </row>
        <row r="361">
          <cell r="G361" t="str">
            <v>TGX8X6 H/D (ABN)48 MONTHS/300 000 KM60 MONTHS/750 000 KMCombinationYes</v>
          </cell>
          <cell r="H361">
            <v>495330</v>
          </cell>
          <cell r="AC361" t="str">
            <v>TGX6X648 MONTHS/300 000 KMEntire VehicleYes</v>
          </cell>
          <cell r="AD361">
            <v>101910</v>
          </cell>
          <cell r="AK361" t="str">
            <v>TGX6X6H/D48 MONTHS/200 000 KMDrivelineYes</v>
          </cell>
          <cell r="AL361">
            <v>73448.503401360547</v>
          </cell>
        </row>
        <row r="362">
          <cell r="G362" t="str">
            <v>TGX8X6 H/D (ABN)48 MONTHS/300 000 KM60 MONTHS/750 000 KMCombinationNo</v>
          </cell>
          <cell r="H362">
            <v>159580</v>
          </cell>
          <cell r="AC362" t="str">
            <v>TGX6X648 MONTHS/400 000 KMEntire VehicleNo</v>
          </cell>
          <cell r="AD362">
            <v>166690</v>
          </cell>
          <cell r="AK362" t="str">
            <v>TGX6X6H/D48 MONTHS/300 000 KMDrivelineNo</v>
          </cell>
          <cell r="AL362">
            <v>86110</v>
          </cell>
        </row>
        <row r="363">
          <cell r="G363" t="str">
            <v>TGX8X6 H/D (ABN)48 MONTHS/300 000 KM60 MONTHS/750 000 KMCombinationYes</v>
          </cell>
          <cell r="H363">
            <v>267810</v>
          </cell>
          <cell r="AC363" t="str">
            <v>TGX6X648 MONTHS/400 000 KMEntire VehicleYes</v>
          </cell>
          <cell r="AD363">
            <v>133510</v>
          </cell>
          <cell r="AK363" t="str">
            <v>TGX6X6H/D48 MONTHS/400 000 KMDrivelineYes</v>
          </cell>
          <cell r="AL363">
            <v>112180</v>
          </cell>
        </row>
        <row r="364">
          <cell r="G364" t="str">
            <v>TGX8X6 H/D24 MONTHS/150 000 KM36 MONTHS/225 000 KMCombinationNo</v>
          </cell>
          <cell r="H364">
            <v>33970</v>
          </cell>
          <cell r="AC364" t="str">
            <v>TGX6X648 MONTHS/500 000 KMEntire VehicleNo</v>
          </cell>
          <cell r="AD364">
            <v>204610</v>
          </cell>
          <cell r="AK364" t="str">
            <v>TGX6X6H/D48 MONTHS/500 000 KMDrivelineNo</v>
          </cell>
          <cell r="AL364">
            <v>137460</v>
          </cell>
        </row>
        <row r="365">
          <cell r="G365" t="str">
            <v>TGX8X6 H/D24 MONTHS/150 000 KM36 MONTHS/225 000 KMCombinationYes</v>
          </cell>
          <cell r="H365">
            <v>65570</v>
          </cell>
          <cell r="AC365" t="str">
            <v>TGX6X648 MONTHS/500 000 KMEntire VehicleYes</v>
          </cell>
          <cell r="AD365">
            <v>164320</v>
          </cell>
          <cell r="AK365" t="str">
            <v>TGX6X6H/D48 MONTHS/600 000 KMDrivelineYes</v>
          </cell>
          <cell r="AL365">
            <v>141410</v>
          </cell>
        </row>
        <row r="366">
          <cell r="G366" t="str">
            <v>TGX8X6 H/D24 MONTHS/150 000 KM48 MONTHS/300 000 KMCombinationNo</v>
          </cell>
          <cell r="H366">
            <v>60040</v>
          </cell>
          <cell r="AC366" t="str">
            <v>TGX6X648 MONTHS/600 000 KMEntire VehicleNo</v>
          </cell>
          <cell r="AD366">
            <v>210140</v>
          </cell>
          <cell r="AK366" t="str">
            <v>TGX6X6H/D60 MONTHS/125 000 KMDrivelineNo</v>
          </cell>
          <cell r="AL366">
            <v>130350</v>
          </cell>
        </row>
        <row r="367">
          <cell r="G367" t="str">
            <v>TGX8X6 H/D24 MONTHS/150 000 KM48 MONTHS/300 000 KMCombinationYes</v>
          </cell>
          <cell r="H367">
            <v>103490</v>
          </cell>
          <cell r="AC367" t="str">
            <v>TGX6X648 MONTHS/600 000 KMEntire VehicleYes</v>
          </cell>
          <cell r="AD367">
            <v>168270</v>
          </cell>
          <cell r="AK367" t="str">
            <v>TGX6X6H/D60 MONTHS/250 000 KMDrivelineYes</v>
          </cell>
          <cell r="AL367">
            <v>153260</v>
          </cell>
        </row>
        <row r="368">
          <cell r="G368" t="str">
            <v>TGX8X6 H/D24 MONTHS/150 000 KM60 MONTHS/375 000 KMCombinationNo</v>
          </cell>
          <cell r="H368">
            <v>109810</v>
          </cell>
          <cell r="AC368" t="str">
            <v>TGX6X660 MONTHS/125 000 KMEntire VehicleNo</v>
          </cell>
          <cell r="AD368">
            <v>193550</v>
          </cell>
          <cell r="AK368" t="str">
            <v>TGX6X6H/D60 MONTHS/375 000 KMDrivelineNo</v>
          </cell>
          <cell r="AL368">
            <v>180120</v>
          </cell>
        </row>
        <row r="369">
          <cell r="G369" t="str">
            <v>TGX8X6 H/D24 MONTHS/150 000 KM60 MONTHS/375 000 KMCombinationYes</v>
          </cell>
          <cell r="H369">
            <v>197500</v>
          </cell>
          <cell r="AC369" t="str">
            <v>TGX6X660 MONTHS/125 000 KMEntire VehicleYes</v>
          </cell>
          <cell r="AD369">
            <v>154840</v>
          </cell>
          <cell r="AK369" t="str">
            <v>TGX6X6H/D60 MONTHS/500 000 KMDrivelineYes</v>
          </cell>
          <cell r="AL369">
            <v>234630</v>
          </cell>
        </row>
        <row r="370">
          <cell r="G370" t="str">
            <v>TGX8X6 H/D24 MONTHS/300 000 KM36 MONTHS/450 000 KMCombinationNo</v>
          </cell>
          <cell r="H370">
            <v>56880</v>
          </cell>
          <cell r="AC370" t="str">
            <v>TGX6X660 MONTHS/250 000 KMEntire VehicleNo</v>
          </cell>
          <cell r="AD370">
            <v>228310</v>
          </cell>
          <cell r="AK370" t="str">
            <v>TGX6X6H/D60 MONTHS/625 000 KMDrivelineNo</v>
          </cell>
          <cell r="AL370">
            <v>289140</v>
          </cell>
        </row>
        <row r="371">
          <cell r="G371" t="str">
            <v>TGX8X6 H/D24 MONTHS/300 000 KM36 MONTHS/450 000 KMCombinationYes</v>
          </cell>
          <cell r="H371">
            <v>117710</v>
          </cell>
          <cell r="AC371" t="str">
            <v>TGX6X660 MONTHS/250 000 KMEntire VehicleYes</v>
          </cell>
          <cell r="AD371">
            <v>183280</v>
          </cell>
          <cell r="AK371" t="str">
            <v>TGX6X6H/D60 MONTHS/750 000 KMDrivelineYes</v>
          </cell>
          <cell r="AL371">
            <v>297040</v>
          </cell>
        </row>
        <row r="372">
          <cell r="G372" t="str">
            <v>TGX8X6 H/D24 MONTHS/300 000 KM48 MONTHS/600 000 KMCombinationNo</v>
          </cell>
          <cell r="H372">
            <v>95590</v>
          </cell>
          <cell r="AC372" t="str">
            <v>TGX6X660 MONTHS/375 000 KMEntire VehicleNo</v>
          </cell>
          <cell r="AD372">
            <v>267810</v>
          </cell>
          <cell r="AK372" t="str">
            <v>TGX6X6HYDRO36 MONTHS/150 000 KMDrivelineNo</v>
          </cell>
          <cell r="AL372">
            <v>15010</v>
          </cell>
        </row>
        <row r="373">
          <cell r="G373" t="str">
            <v>TGX8X6 H/D24 MONTHS/300 000 KM48 MONTHS/600 000 KMCombinationYes</v>
          </cell>
          <cell r="H373">
            <v>180120</v>
          </cell>
          <cell r="AC373" t="str">
            <v>TGX6X660 MONTHS/375 000 KMEntire VehicleYes</v>
          </cell>
          <cell r="AD373">
            <v>214880</v>
          </cell>
          <cell r="AK373" t="str">
            <v>TGX6X6HYDRO36 MONTHS/225 000 KMDrivelineYes</v>
          </cell>
          <cell r="AL373">
            <v>17380</v>
          </cell>
        </row>
        <row r="374">
          <cell r="G374" t="str">
            <v>TGX8X6 H/D24 MONTHS/300 000 KM60 MONTHS/750 000 KMCombinationNo</v>
          </cell>
          <cell r="H374">
            <v>183280</v>
          </cell>
          <cell r="AC374" t="str">
            <v>TGX6X660 MONTHS/500 000 KMEntire VehicleNo</v>
          </cell>
          <cell r="AD374">
            <v>349180</v>
          </cell>
          <cell r="AK374" t="str">
            <v>TGX6X6HYDRO36 MONTHS/300 000 KMDrivelineNo</v>
          </cell>
          <cell r="AL374">
            <v>22120</v>
          </cell>
        </row>
        <row r="375">
          <cell r="G375" t="str">
            <v>TGX8X6 H/D24 MONTHS/300 000 KM60 MONTHS/750 000 KMCombinationYes</v>
          </cell>
          <cell r="H375">
            <v>335750</v>
          </cell>
          <cell r="AC375" t="str">
            <v>TGX6X660 MONTHS/500 000 KMEntire VehicleYes</v>
          </cell>
          <cell r="AD375">
            <v>279660</v>
          </cell>
          <cell r="AK375" t="str">
            <v>TGX6X6HYDRO36 MONTHS/375 000 KMDrivelineYes</v>
          </cell>
          <cell r="AL375">
            <v>27650</v>
          </cell>
        </row>
        <row r="376">
          <cell r="G376" t="str">
            <v>TGX8X6 H/D36 MONTHS/225 000 KM48 MONTHS/300 000 KM CombinationNo</v>
          </cell>
          <cell r="H376">
            <v>76630</v>
          </cell>
          <cell r="AC376" t="str">
            <v>TGX6X660 MONTHS/625 000 KMEntire VehicleNo</v>
          </cell>
          <cell r="AD376">
            <v>429760</v>
          </cell>
          <cell r="AK376" t="str">
            <v>TGX6X6HYDRO36 MONTHS/450 000 KMDrivelineNo</v>
          </cell>
          <cell r="AL376">
            <v>28440</v>
          </cell>
        </row>
        <row r="377">
          <cell r="G377" t="str">
            <v>TGX8X6 H/D36 MONTHS/225 000 KM48 MONTHS/300 000 KM CombinationYes</v>
          </cell>
          <cell r="H377">
            <v>123240</v>
          </cell>
          <cell r="AC377" t="str">
            <v>TGX6X660 MONTHS/625 000 KMEntire VehicleYes</v>
          </cell>
          <cell r="AD377">
            <v>344440</v>
          </cell>
          <cell r="AK377" t="str">
            <v>TGX6X6HYDRO36 MONTHS/75 000 KMDrivelineYes</v>
          </cell>
          <cell r="AL377">
            <v>12640</v>
          </cell>
        </row>
        <row r="378">
          <cell r="G378" t="str">
            <v>TGX8X6 H/D36 MONTHS/225 000 KM60 MONTHS/750 000 KMCombinationNo</v>
          </cell>
          <cell r="H378">
            <v>126400</v>
          </cell>
          <cell r="AC378" t="str">
            <v>TGX6X660 MONTHS/750 000 KMEntire VehicleNo</v>
          </cell>
          <cell r="AD378">
            <v>440820</v>
          </cell>
          <cell r="AK378" t="str">
            <v>TGX6X6HYDRO48 MONTHS/100 000 KMDrivelineNo</v>
          </cell>
          <cell r="AL378">
            <v>29230</v>
          </cell>
        </row>
        <row r="379">
          <cell r="G379" t="str">
            <v>TGX8X6 H/D36 MONTHS/225 000 KM60 MONTHS/750 000 KMCombinationYes</v>
          </cell>
          <cell r="H379">
            <v>217250</v>
          </cell>
          <cell r="AC379" t="str">
            <v>TGX6X660 MONTHS/750 000 KMEntire VehicleYes</v>
          </cell>
          <cell r="AD379">
            <v>353130</v>
          </cell>
          <cell r="AK379" t="str">
            <v>TGX6X6HYDRO48 MONTHS/200 000 KMDrivelineYes</v>
          </cell>
          <cell r="AL379">
            <v>33970</v>
          </cell>
        </row>
        <row r="380">
          <cell r="G380" t="str">
            <v>TGX8X6 H/D36 MONTHS/450 000 KM48 MONTHS/600 000 KMCombinationNo</v>
          </cell>
          <cell r="H380">
            <v>121660</v>
          </cell>
          <cell r="AC380" t="str">
            <v>TGX6X6H/D24 MONTHS/100 000 KMEntire VehicleNo</v>
          </cell>
          <cell r="AD380">
            <v>14220</v>
          </cell>
          <cell r="AK380" t="str">
            <v>TGX6X6HYDRO48 MONTHS/300 000 KMDrivelineNo</v>
          </cell>
          <cell r="AL380">
            <v>40290</v>
          </cell>
        </row>
        <row r="381">
          <cell r="G381" t="str">
            <v>TGX8X6 H/D36 MONTHS/450 000 KM48 MONTHS/600 000 KMCombinationYes</v>
          </cell>
          <cell r="H381">
            <v>202240</v>
          </cell>
          <cell r="AC381" t="str">
            <v>TGX6X6H/D24 MONTHS/150 000 KMEntire VehicleYes</v>
          </cell>
          <cell r="AD381">
            <v>17380</v>
          </cell>
          <cell r="AK381" t="str">
            <v>TGX6X6HYDRO48 MONTHS/400 000 KMDrivelineYes</v>
          </cell>
          <cell r="AL381">
            <v>52140</v>
          </cell>
        </row>
        <row r="382">
          <cell r="G382" t="str">
            <v>TGX8X6 H/D36 MONTHS/450 000 KM60 MONTHS/750 000 KMCombinationNo</v>
          </cell>
          <cell r="H382">
            <v>209350</v>
          </cell>
          <cell r="AC382" t="str">
            <v>TGX6X6H/D24 MONTHS/200 000 KMEntire VehicleNo</v>
          </cell>
          <cell r="AD382">
            <v>22120</v>
          </cell>
          <cell r="AK382" t="str">
            <v>TGX6X6HYDRO48 MONTHS/500 000 KMDrivelineNo</v>
          </cell>
          <cell r="AL382">
            <v>60830</v>
          </cell>
        </row>
        <row r="383">
          <cell r="G383" t="str">
            <v>TGX8X6 H/D36 MONTHS/450 000 KM60 MONTHS/750 000 KMCombinationYes</v>
          </cell>
          <cell r="H383">
            <v>357870</v>
          </cell>
          <cell r="AC383" t="str">
            <v>TGX6X6H/D24 MONTHS/250 000 KMEntire VehicleYes</v>
          </cell>
          <cell r="AD383">
            <v>30020</v>
          </cell>
          <cell r="AK383" t="str">
            <v>TGX6X6HYDRO48 MONTHS/600 000 KMDrivelineYes</v>
          </cell>
          <cell r="AL383">
            <v>62410</v>
          </cell>
        </row>
        <row r="384">
          <cell r="G384" t="str">
            <v>TGX8X6 H/D48 MONTHS/300 000 KM60 MONTHS/750 000 KMCombinationNo</v>
          </cell>
          <cell r="H384">
            <v>184070</v>
          </cell>
          <cell r="AC384" t="str">
            <v>TGX6X6H/D24 MONTHS/300 000 KMEntire VehicleNo</v>
          </cell>
          <cell r="AD384">
            <v>38710</v>
          </cell>
          <cell r="AK384" t="str">
            <v>TGX6X6HYDRO60 MONTHS/125 000 KMDrivelineNo</v>
          </cell>
          <cell r="AL384">
            <v>60830</v>
          </cell>
        </row>
        <row r="385">
          <cell r="G385" t="str">
            <v>TGX8X6 H/D48 MONTHS/300 000 KM60 MONTHS/750 000 KMCombinationYes</v>
          </cell>
          <cell r="H385">
            <v>308890</v>
          </cell>
          <cell r="AC385" t="str">
            <v>TGX6X6H/D24 MONTHS/50 000 KMEntire VehicleYes</v>
          </cell>
          <cell r="AD385">
            <v>11060</v>
          </cell>
          <cell r="AK385" t="str">
            <v>TGX6X6HYDRO60 MONTHS/250 000 KMDrivelineYes</v>
          </cell>
          <cell r="AL385">
            <v>71890</v>
          </cell>
        </row>
        <row r="386">
          <cell r="G386" t="str">
            <v>TGX8X6 H/D48 MONTHS/300 000 KM60 MONTHS/750 000 KMCombinationNo</v>
          </cell>
          <cell r="H386">
            <v>259910</v>
          </cell>
          <cell r="AC386" t="str">
            <v>TGX6X6H/D36 MONTHS/150 000 KMEntire VehicleNo</v>
          </cell>
          <cell r="AD386">
            <v>72680</v>
          </cell>
          <cell r="AK386" t="str">
            <v>TGX6X6HYDRO60 MONTHS/375 000 KMDrivelineNo</v>
          </cell>
          <cell r="AL386">
            <v>83740</v>
          </cell>
        </row>
        <row r="387">
          <cell r="G387" t="str">
            <v>TGX8X6 H/D48 MONTHS/300 000 KM60 MONTHS/750 000 KMCombinationYes</v>
          </cell>
          <cell r="H387">
            <v>429760</v>
          </cell>
          <cell r="AC387" t="str">
            <v>TGX6X6H/D36 MONTHS/225 000 KMEntire VehicleYes</v>
          </cell>
          <cell r="AD387">
            <v>85320</v>
          </cell>
          <cell r="AK387" t="str">
            <v>TGX6X6HYDRO60 MONTHS/500 000 KMDrivelineYes</v>
          </cell>
          <cell r="AL387">
            <v>109810</v>
          </cell>
        </row>
        <row r="388">
          <cell r="G388" t="str">
            <v>TGX8X624 MONTHS/150 000 KM 36 MONTHS/225 000 KMCombinationNo</v>
          </cell>
          <cell r="H388">
            <v>31600</v>
          </cell>
          <cell r="AC388" t="str">
            <v>TGX6X6H/D36 MONTHS/300 000 KMEntire VehicleNo</v>
          </cell>
          <cell r="AD388">
            <v>117371.42857142859</v>
          </cell>
          <cell r="AK388" t="str">
            <v>TGX6X6HYDRO60 MONTHS/625 000 KMDrivelineNo</v>
          </cell>
          <cell r="AL388">
            <v>127190</v>
          </cell>
        </row>
        <row r="389">
          <cell r="G389" t="str">
            <v>TGX8X624 MONTHS/150 000 KM 36 MONTHS/225 000 KMCombinationYes</v>
          </cell>
          <cell r="H389">
            <v>25280</v>
          </cell>
          <cell r="AC389" t="str">
            <v>TGX6X6H/D36 MONTHS/375 000 KMEntire VehicleYes</v>
          </cell>
          <cell r="AD389">
            <v>136670</v>
          </cell>
          <cell r="AK389" t="str">
            <v>TGX6X6HYDRO60 MONTHS/750 000 KMDrivelineYes</v>
          </cell>
          <cell r="AL389">
            <v>138250</v>
          </cell>
        </row>
        <row r="390">
          <cell r="G390" t="str">
            <v>TGX8X624 MONTHS/300 000 KM36 MONTHS/450 000 KMCombinationNo</v>
          </cell>
          <cell r="H390">
            <v>57670</v>
          </cell>
          <cell r="AC390" t="str">
            <v>TGX6X6H/D36 MONTHS/450 000 KMEntire VehicleNo</v>
          </cell>
          <cell r="AD390">
            <v>139830</v>
          </cell>
          <cell r="AK390" t="str">
            <v>TGX8X236 MONTHS/75 000 KMDrivelineNo</v>
          </cell>
          <cell r="AL390">
            <v>8690</v>
          </cell>
        </row>
        <row r="391">
          <cell r="G391" t="str">
            <v>TGX8X624 MONTHS/300 000 KM36 MONTHS/450 000 KMCombinationYes</v>
          </cell>
          <cell r="H391">
            <v>46610</v>
          </cell>
          <cell r="AC391" t="str">
            <v>TGX6X6H/D36 MONTHS/75 000 KMEntire VehicleYes</v>
          </cell>
          <cell r="AD391">
            <v>61620</v>
          </cell>
          <cell r="AK391" t="str">
            <v>TGX8X236 MONTHS/75 000 KMDrivelineYes</v>
          </cell>
          <cell r="AL391">
            <v>7110</v>
          </cell>
        </row>
        <row r="392">
          <cell r="G392" t="str">
            <v>TGX8X624 MONTHS/150 000 KM48 MONTHS/300 000 KMCombinationNo</v>
          </cell>
          <cell r="H392">
            <v>52140</v>
          </cell>
          <cell r="AC392" t="str">
            <v>TGX6X6H/D48 MONTHS/100 000 KMEntire VehicleNo</v>
          </cell>
          <cell r="AD392">
            <v>120080</v>
          </cell>
          <cell r="AK392" t="str">
            <v>TGX8X236 MONTHS/125 000 KMDrivelineNo</v>
          </cell>
          <cell r="AL392">
            <v>9480</v>
          </cell>
        </row>
        <row r="393">
          <cell r="G393" t="str">
            <v>TGX8X624 MONTHS/150 000 KM48 MONTHS/300 000 KMCombinationYes</v>
          </cell>
          <cell r="H393">
            <v>41870</v>
          </cell>
          <cell r="AC393" t="str">
            <v>TGX6X6H/D48 MONTHS/200 000 KMEntire VehicleYes</v>
          </cell>
          <cell r="AD393">
            <v>141410</v>
          </cell>
          <cell r="AK393" t="str">
            <v>TGX8X236 MONTHS/125 000 KMDrivelineYes</v>
          </cell>
          <cell r="AL393">
            <v>7900</v>
          </cell>
        </row>
        <row r="394">
          <cell r="G394" t="str">
            <v>TGX8X624 MONTHS/300 000 KM48 MONTHS/600 000 KMCombinationNo</v>
          </cell>
          <cell r="H394">
            <v>101120</v>
          </cell>
          <cell r="AC394" t="str">
            <v>TGX6X6H/D48 MONTHS/300 000 KMEntire VehicleNo</v>
          </cell>
          <cell r="AD394">
            <v>165900</v>
          </cell>
          <cell r="AK394" t="str">
            <v>TGX8X236 MONTHS/225 000 KMDrivelineNo</v>
          </cell>
          <cell r="AL394">
            <v>10270</v>
          </cell>
        </row>
        <row r="395">
          <cell r="G395" t="str">
            <v>TGX8X624 MONTHS/300 000 KM48 MONTHS/600 000 KMCombinationYes</v>
          </cell>
          <cell r="H395">
            <v>81370</v>
          </cell>
          <cell r="AC395" t="str">
            <v>TGX6X6H/D48 MONTHS/400 000 KMEntire VehicleYes</v>
          </cell>
          <cell r="AD395">
            <v>216460</v>
          </cell>
          <cell r="AK395" t="str">
            <v>TGX8X236 MONTHS/225 000 KMDrivelineYes</v>
          </cell>
          <cell r="AL395">
            <v>8690</v>
          </cell>
        </row>
        <row r="396">
          <cell r="G396" t="str">
            <v>TGX8X624 MONTHS/225 000 KM48 MONTHS/300 000 KMCombinationNo</v>
          </cell>
          <cell r="H396">
            <v>71100</v>
          </cell>
          <cell r="AC396" t="str">
            <v>TGX6X6H/D48 MONTHS/500 000 KMEntire VehicleNo</v>
          </cell>
          <cell r="AD396">
            <v>267020</v>
          </cell>
          <cell r="AK396" t="str">
            <v>TGX8X236 MONTHS/300 000 KMDrivelineNo</v>
          </cell>
          <cell r="AL396">
            <v>11850</v>
          </cell>
        </row>
        <row r="397">
          <cell r="G397" t="str">
            <v>TGX8X624 MONTHS/225 000 KM48 MONTHS/300 000 KMCombinationYes</v>
          </cell>
          <cell r="H397">
            <v>56880</v>
          </cell>
          <cell r="AC397" t="str">
            <v>TGX6X6H/D48 MONTHS/600 000 KMEntire VehicleYes</v>
          </cell>
          <cell r="AD397">
            <v>274130</v>
          </cell>
          <cell r="AK397" t="str">
            <v>TGX8X236 MONTHS/300 000 KMDrivelineYes</v>
          </cell>
          <cell r="AL397">
            <v>9480</v>
          </cell>
        </row>
        <row r="398">
          <cell r="G398" t="str">
            <v>TGX8X636 MONTHS/450 000 KM48 MONTHS/600 000 KMCombinationNo</v>
          </cell>
          <cell r="H398">
            <v>126400</v>
          </cell>
          <cell r="AC398" t="str">
            <v>TGX6X6H/D60 MONTHS/125 000 KMEntire VehicleNo</v>
          </cell>
          <cell r="AD398">
            <v>252800</v>
          </cell>
          <cell r="AK398" t="str">
            <v>TGX8X236 MONTHS/375 000 KMDrivelineNo</v>
          </cell>
          <cell r="AL398">
            <v>15010</v>
          </cell>
        </row>
        <row r="399">
          <cell r="G399" t="str">
            <v>TGX8X636 MONTHS/450 000 KM48 MONTHS/600 000 KMCombinationYes</v>
          </cell>
          <cell r="H399">
            <v>101120</v>
          </cell>
          <cell r="AC399" t="str">
            <v>TGX6X6H/D60 MONTHS/250 000 KMEntire VehicleYes</v>
          </cell>
          <cell r="AD399">
            <v>297040</v>
          </cell>
          <cell r="AK399" t="str">
            <v>TGX8X236 MONTHS/375 000 KMDrivelineYes</v>
          </cell>
          <cell r="AL399">
            <v>12640</v>
          </cell>
        </row>
        <row r="400">
          <cell r="G400" t="str">
            <v>TGX8X624 MONTHS/150 000 KM60 MONTHS/375 000 KM CombinationNo</v>
          </cell>
          <cell r="H400">
            <v>72680</v>
          </cell>
          <cell r="AC400" t="str">
            <v>TGX6X6H/D60 MONTHS/375 000 KMEntire VehicleNo</v>
          </cell>
          <cell r="AD400">
            <v>348390</v>
          </cell>
          <cell r="AK400" t="str">
            <v>TGX8X236 MONTHS/450 000 KMDrivelineNo</v>
          </cell>
          <cell r="AL400">
            <v>17380</v>
          </cell>
        </row>
        <row r="401">
          <cell r="G401" t="str">
            <v>TGX8X624 MONTHS/150 000 KM60 MONTHS/375 000 KM CombinationYes</v>
          </cell>
          <cell r="H401">
            <v>58460</v>
          </cell>
          <cell r="AC401" t="str">
            <v>TGX6X6H/D60 MONTHS/500 000 KMEntire VehicleYes</v>
          </cell>
          <cell r="AD401">
            <v>454250</v>
          </cell>
          <cell r="AK401" t="str">
            <v>TGX8X236 MONTHS/450 000 KMDrivelineYes</v>
          </cell>
          <cell r="AL401">
            <v>14220</v>
          </cell>
        </row>
        <row r="402">
          <cell r="G402" t="str">
            <v>TGX8X624 MONTHS/300 000 KM60 MONTHS/750 000 KMCombinationNo</v>
          </cell>
          <cell r="H402">
            <v>170640</v>
          </cell>
          <cell r="AC402" t="str">
            <v>TGX6X6H/D60 MONTHS/625 000 KMEntire VehicleNo</v>
          </cell>
          <cell r="AD402">
            <v>560110</v>
          </cell>
          <cell r="AK402" t="str">
            <v>TGX8X236 MONTHS/525 000 KMDrivelineNo</v>
          </cell>
          <cell r="AL402">
            <v>20540</v>
          </cell>
        </row>
        <row r="403">
          <cell r="G403" t="str">
            <v>TGX8X624 MONTHS/300 000 KM60 MONTHS/750 000 KMCombinationYes</v>
          </cell>
          <cell r="H403">
            <v>135880</v>
          </cell>
          <cell r="AC403" t="str">
            <v>TGX6X6H/D60 MONTHS/750 000 KMEntire VehicleYes</v>
          </cell>
          <cell r="AD403">
            <v>575120</v>
          </cell>
          <cell r="AK403" t="str">
            <v>TGX8X236 MONTHS/525 000 KMDrivelineYes</v>
          </cell>
          <cell r="AL403">
            <v>16590</v>
          </cell>
        </row>
        <row r="404">
          <cell r="G404" t="str">
            <v>TGX8X636 MONTHS/225 000 KM60 MONTHS/375 000 KMCombinationNo</v>
          </cell>
          <cell r="H404">
            <v>91640</v>
          </cell>
          <cell r="AC404" t="str">
            <v>TGX6X6HYDRO24 MONTHS/100 000 KMEntire VehicleNo</v>
          </cell>
          <cell r="AD404">
            <v>9480</v>
          </cell>
          <cell r="AK404" t="str">
            <v>TGX8X236 MONTHS/600 000 KMDrivelineNo</v>
          </cell>
          <cell r="AL404">
            <v>23700</v>
          </cell>
        </row>
        <row r="405">
          <cell r="G405" t="str">
            <v>TGX8X636 MONTHS/225 000 KM60 MONTHS/375 000 KMCombinationYes</v>
          </cell>
          <cell r="H405">
            <v>73470</v>
          </cell>
          <cell r="AC405" t="str">
            <v>TGX6X6HYDRO24 MONTHS/150 000 KMEntire VehicleYes</v>
          </cell>
          <cell r="AD405">
            <v>11060</v>
          </cell>
          <cell r="AK405" t="str">
            <v>TGX8X236 MONTHS/600 000 KMDrivelineYes</v>
          </cell>
          <cell r="AL405">
            <v>18960</v>
          </cell>
        </row>
        <row r="406">
          <cell r="G406" t="str">
            <v>TGX8X636 MONTHS/450 000 KM60 MONTHS/750 000 KMCombinationNo</v>
          </cell>
          <cell r="H406">
            <v>195920</v>
          </cell>
          <cell r="AC406" t="str">
            <v>TGX6X6HYDRO24 MONTHS/200 000 KMEntire VehicleNo</v>
          </cell>
          <cell r="AD406">
            <v>14220</v>
          </cell>
          <cell r="AK406" t="str">
            <v>TGX8X248 MONTHS/100 000 KMDrivelineNo</v>
          </cell>
          <cell r="AL406">
            <v>11850</v>
          </cell>
        </row>
        <row r="407">
          <cell r="G407" t="str">
            <v>TGX8X636 MONTHS/450 000 KM60 MONTHS/750 000 KMCombinationYes</v>
          </cell>
          <cell r="H407">
            <v>157210</v>
          </cell>
          <cell r="AC407" t="str">
            <v>TGX6X6HYDRO24 MONTHS/250 000 KMEntire VehicleYes</v>
          </cell>
          <cell r="AD407">
            <v>18960</v>
          </cell>
          <cell r="AK407" t="str">
            <v>TGX8X248 MONTHS/100 000 KMDrivelineYes</v>
          </cell>
          <cell r="AL407">
            <v>9480</v>
          </cell>
        </row>
        <row r="408">
          <cell r="G408" t="str">
            <v>TGX8X648 MONTHS/300 000 KM60 MONTHS/375 000 KMCombinationNo</v>
          </cell>
          <cell r="H408">
            <v>154840</v>
          </cell>
          <cell r="AC408" t="str">
            <v>TGX6X6HYDRO24 MONTHS/300 000 KMEntire VehicleNo</v>
          </cell>
          <cell r="AD408">
            <v>20540</v>
          </cell>
          <cell r="AK408" t="str">
            <v>TGX8X248 MONTHS/200 000 KMDrivelineNo</v>
          </cell>
          <cell r="AL408">
            <v>12640</v>
          </cell>
        </row>
        <row r="409">
          <cell r="G409" t="str">
            <v>TGX8X648 MONTHS/300 000 KM60 MONTHS/375 000 KMCombinationYes</v>
          </cell>
          <cell r="H409">
            <v>134300</v>
          </cell>
          <cell r="AC409" t="str">
            <v>TGX6X6HYDRO24 MONTHS/50 000 KMEntire VehicleYes</v>
          </cell>
          <cell r="AD409">
            <v>7110</v>
          </cell>
          <cell r="AK409" t="str">
            <v>TGX8X248 MONTHS/200 000 KMDrivelineYes</v>
          </cell>
          <cell r="AL409">
            <v>10270</v>
          </cell>
        </row>
        <row r="410">
          <cell r="G410" t="str">
            <v>TGX8X648 MONTHS/600 000 KM60 MONTHS/750 000 KMCombinationNo</v>
          </cell>
          <cell r="H410">
            <v>290720</v>
          </cell>
          <cell r="AC410" t="str">
            <v>TGX6X6HYDRO36 MONTHS/150 000 KMEntire VehicleNo</v>
          </cell>
          <cell r="AD410">
            <v>37130</v>
          </cell>
          <cell r="AK410" t="str">
            <v>TGX8X248 MONTHS/300 000 KMDrivelineNo</v>
          </cell>
          <cell r="AL410">
            <v>13430</v>
          </cell>
        </row>
        <row r="411">
          <cell r="G411" t="str">
            <v>TGX8X648 MONTHS/600 000 KM60 MONTHS/750 000 KMCombinationYes</v>
          </cell>
          <cell r="H411">
            <v>233050</v>
          </cell>
          <cell r="AC411" t="str">
            <v>TGX6X6HYDRO36 MONTHS/225 000 KMEntire VehicleYes</v>
          </cell>
          <cell r="AD411">
            <v>43450</v>
          </cell>
          <cell r="AK411" t="str">
            <v>TGX8X248 MONTHS/300 000 KMDrivelineYes</v>
          </cell>
          <cell r="AL411">
            <v>11060</v>
          </cell>
        </row>
        <row r="412">
          <cell r="G412" t="str">
            <v>TGX8X824 MONTHS/150 000 KM 36 MONTHS/225 000 KMCombinationNo</v>
          </cell>
          <cell r="H412">
            <v>31600</v>
          </cell>
          <cell r="AC412" t="str">
            <v>TGX6X6HYDRO36 MONTHS/300 000 KMEntire VehicleNo</v>
          </cell>
          <cell r="AD412">
            <v>56090</v>
          </cell>
          <cell r="AK412" t="str">
            <v>TGX8X248 MONTHS/400 000 KMDrivelineNo</v>
          </cell>
          <cell r="AL412">
            <v>18170</v>
          </cell>
        </row>
        <row r="413">
          <cell r="G413" t="str">
            <v>TGX8X824 MONTHS/150 000 KM 36 MONTHS/225 000 KMCombinationYes</v>
          </cell>
          <cell r="H413">
            <v>25280</v>
          </cell>
          <cell r="AC413" t="str">
            <v>TGX6X6HYDRO36 MONTHS/375 000 KMEntire VehicleYes</v>
          </cell>
          <cell r="AD413">
            <v>69520</v>
          </cell>
          <cell r="AK413" t="str">
            <v>TGX8X248 MONTHS/400 000 KMDrivelineYes</v>
          </cell>
          <cell r="AL413">
            <v>15010</v>
          </cell>
        </row>
        <row r="414">
          <cell r="G414" t="str">
            <v>TGX8X824 MONTHS/300 000 KM36 MONTHS/450 000 KMCombinationNo</v>
          </cell>
          <cell r="H414">
            <v>57670</v>
          </cell>
          <cell r="AC414" t="str">
            <v>TGX6X6HYDRO36 MONTHS/450 000 KMEntire VehicleNo</v>
          </cell>
          <cell r="AD414">
            <v>71890</v>
          </cell>
          <cell r="AK414" t="str">
            <v>TGX8X248 MONTHS/500 000 KMDrivelineNo</v>
          </cell>
          <cell r="AL414">
            <v>26070</v>
          </cell>
        </row>
        <row r="415">
          <cell r="G415" t="str">
            <v>TGX8X824 MONTHS/300 000 KM36 MONTHS/450 000 KMCombinationYes</v>
          </cell>
          <cell r="H415">
            <v>46610</v>
          </cell>
          <cell r="AC415" t="str">
            <v>TGX6X6HYDRO36 MONTHS/75 000 KMEntire VehicleYes</v>
          </cell>
          <cell r="AD415">
            <v>31600</v>
          </cell>
          <cell r="AK415" t="str">
            <v>TGX8X248 MONTHS/500 000 KMDrivelineYes</v>
          </cell>
          <cell r="AL415">
            <v>21330</v>
          </cell>
        </row>
        <row r="416">
          <cell r="G416" t="str">
            <v>TGX8X824 MONTHS/150 000 KM48 MONTHS/300 000 KMCombinationNo</v>
          </cell>
          <cell r="H416">
            <v>52140</v>
          </cell>
          <cell r="AC416" t="str">
            <v>TGX6X6HYDRO48 MONTHS/100 000 KMEntire VehicleNo</v>
          </cell>
          <cell r="AD416">
            <v>85803.673469387766</v>
          </cell>
          <cell r="AK416" t="str">
            <v>TGX8X248 MONTHS/600 000 KMDrivelineNo</v>
          </cell>
          <cell r="AL416">
            <v>35550</v>
          </cell>
        </row>
        <row r="417">
          <cell r="G417" t="str">
            <v>TGX8X824 MONTHS/150 000 KM48 MONTHS/300 000 KMCombinationYes</v>
          </cell>
          <cell r="H417">
            <v>41870</v>
          </cell>
          <cell r="AC417" t="str">
            <v>TGX6X6HYDRO48 MONTHS/200 000 KMEntire VehicleYes</v>
          </cell>
          <cell r="AD417">
            <v>99540</v>
          </cell>
          <cell r="AK417" t="str">
            <v>TGX8X248 MONTHS/600 000 KMDrivelineYes</v>
          </cell>
          <cell r="AL417">
            <v>28440</v>
          </cell>
        </row>
        <row r="418">
          <cell r="G418" t="str">
            <v>TGX8X824 MONTHS/300 000 KM48 MONTHS/600 000 KMCombinationNo</v>
          </cell>
          <cell r="H418">
            <v>101120</v>
          </cell>
          <cell r="AC418" t="str">
            <v>TGX6X6HYDRO48 MONTHS/300 000 KMEntire VehicleNo</v>
          </cell>
          <cell r="AD418">
            <v>116130</v>
          </cell>
          <cell r="AK418" t="str">
            <v>TGX8X248 MONTHS/700 000 KMDrivelineNo</v>
          </cell>
          <cell r="AL418">
            <v>45820</v>
          </cell>
        </row>
        <row r="419">
          <cell r="G419" t="str">
            <v>TGX8X824 MONTHS/300 000 KM48 MONTHS/600 000 KMCombinationYes</v>
          </cell>
          <cell r="H419">
            <v>81370</v>
          </cell>
          <cell r="AC419" t="str">
            <v>TGX6X6HYDRO48 MONTHS/400 000 KMEntire VehicleYes</v>
          </cell>
          <cell r="AD419">
            <v>152470</v>
          </cell>
          <cell r="AK419" t="str">
            <v>TGX8X248 MONTHS/700 000 KMDrivelineYes</v>
          </cell>
          <cell r="AL419">
            <v>37130</v>
          </cell>
        </row>
        <row r="420">
          <cell r="G420" t="str">
            <v>TGX8X824 MONTHS/225 000 KM48 MONTHS/300 000 KMCombinationNo</v>
          </cell>
          <cell r="H420">
            <v>71100</v>
          </cell>
          <cell r="AC420" t="str">
            <v>TGX6X6HYDRO48 MONTHS/500 000 KMEntire VehicleNo</v>
          </cell>
          <cell r="AD420">
            <v>187230</v>
          </cell>
          <cell r="AK420" t="str">
            <v>TGX8X248 MONTHS/800 000 KMDrivelineNo</v>
          </cell>
          <cell r="AL420">
            <v>56090</v>
          </cell>
        </row>
        <row r="421">
          <cell r="G421" t="str">
            <v>TGX8X824 MONTHS/225 000 KM48 MONTHS/300 000 KMCombinationYes</v>
          </cell>
          <cell r="H421">
            <v>56880</v>
          </cell>
          <cell r="AC421" t="str">
            <v>TGX6X6HYDRO48 MONTHS/600 000 KMEntire VehicleYes</v>
          </cell>
          <cell r="AD421">
            <v>191970</v>
          </cell>
          <cell r="AK421" t="str">
            <v>TGX8X248 MONTHS/800 000 KMDrivelineYes</v>
          </cell>
          <cell r="AL421">
            <v>45030</v>
          </cell>
        </row>
        <row r="422">
          <cell r="G422" t="str">
            <v>TGX8X836 MONTHS/450 000 KM48 MONTHS/600 000 KMCombinationNo</v>
          </cell>
          <cell r="H422">
            <v>126400</v>
          </cell>
          <cell r="AC422" t="str">
            <v>TGX6X6HYDRO60 MONTHS/125 000 KMEntire VehicleNo</v>
          </cell>
          <cell r="AD422">
            <v>176960</v>
          </cell>
          <cell r="AK422" t="str">
            <v>TGX8X260 MONTHS/125 000 KMDrivelineNo</v>
          </cell>
          <cell r="AL422">
            <v>25280</v>
          </cell>
        </row>
        <row r="423">
          <cell r="G423" t="str">
            <v>TGX8X836 MONTHS/450 000 KM48 MONTHS/600 000 KMCombinationYes</v>
          </cell>
          <cell r="H423">
            <v>101120</v>
          </cell>
          <cell r="AC423" t="str">
            <v>TGX6X6HYDRO60 MONTHS/250 000 KMEntire VehicleYes</v>
          </cell>
          <cell r="AD423">
            <v>208560</v>
          </cell>
          <cell r="AK423" t="str">
            <v>TGX8X260 MONTHS/125 000 KMDrivelineYes</v>
          </cell>
          <cell r="AL423">
            <v>21330</v>
          </cell>
        </row>
        <row r="424">
          <cell r="G424" t="str">
            <v>TGX8X824 MONTHS/150 000 KM60 MONTHS/375 000 KM CombinationNo</v>
          </cell>
          <cell r="H424">
            <v>72680</v>
          </cell>
          <cell r="AC424" t="str">
            <v>TGX6X6HYDRO60 MONTHS/375 000 KMEntire VehicleNo</v>
          </cell>
          <cell r="AD424">
            <v>244110</v>
          </cell>
          <cell r="AK424" t="str">
            <v>TGX8X260 MONTHS/250 000 KMDrivelineNo</v>
          </cell>
          <cell r="AL424">
            <v>26070</v>
          </cell>
        </row>
        <row r="425">
          <cell r="G425" t="str">
            <v>TGX8X824 MONTHS/150 000 KM60 MONTHS/375 000 KM CombinationYes</v>
          </cell>
          <cell r="H425">
            <v>58460</v>
          </cell>
          <cell r="AC425" t="str">
            <v>TGX6X6HYDRO60 MONTHS/500 000 KMEntire VehicleYes</v>
          </cell>
          <cell r="AD425">
            <v>319160</v>
          </cell>
          <cell r="AK425" t="str">
            <v>TGX8X260 MONTHS/250 000 KMDrivelineYes</v>
          </cell>
          <cell r="AL425">
            <v>22120</v>
          </cell>
        </row>
        <row r="426">
          <cell r="G426" t="str">
            <v>TGX8X824 MONTHS/300 000 KM60 MONTHS/750 000 KMCombinationNo</v>
          </cell>
          <cell r="H426">
            <v>170640</v>
          </cell>
          <cell r="AC426" t="str">
            <v>TGX6X6HYDRO60 MONTHS/625 000 KMEntire VehicleNo</v>
          </cell>
          <cell r="AD426">
            <v>392630</v>
          </cell>
          <cell r="AK426" t="str">
            <v>TGX8X260 MONTHS/375 000 KMDrivelineNo</v>
          </cell>
          <cell r="AL426">
            <v>26860</v>
          </cell>
        </row>
        <row r="427">
          <cell r="G427" t="str">
            <v>TGX8X824 MONTHS/300 000 KM60 MONTHS/750 000 KMCombinationYes</v>
          </cell>
          <cell r="H427">
            <v>135880</v>
          </cell>
          <cell r="AC427" t="str">
            <v>TGX6X6HYDRO60 MONTHS/750 000 KMEntire VehicleYes</v>
          </cell>
          <cell r="AD427">
            <v>402900</v>
          </cell>
          <cell r="AK427" t="str">
            <v>TGX8X260 MONTHS/375 000 KMDrivelineYes</v>
          </cell>
          <cell r="AL427">
            <v>22910</v>
          </cell>
        </row>
        <row r="428">
          <cell r="G428" t="str">
            <v>TGX8X836 MONTHS/225 000 KM60 MONTHS/375 000 KMCombinationNo</v>
          </cell>
          <cell r="H428">
            <v>91640</v>
          </cell>
          <cell r="AC428" t="str">
            <v>TGX8X224 MONTHS/50 000 KMEntire VehicleNo</v>
          </cell>
          <cell r="AD428">
            <v>4740</v>
          </cell>
          <cell r="AK428" t="str">
            <v>TGX8X260 MONTHS/500 000 KMDrivelineNo</v>
          </cell>
          <cell r="AL428">
            <v>36340</v>
          </cell>
        </row>
        <row r="429">
          <cell r="G429" t="str">
            <v>TGX8X836 MONTHS/225 000 KM60 MONTHS/375 000 KMCombinationYes</v>
          </cell>
          <cell r="H429">
            <v>73470</v>
          </cell>
          <cell r="AC429" t="str">
            <v>TGX8X224 MONTHS/50 000 KMEntire VehicleYes</v>
          </cell>
          <cell r="AD429">
            <v>3950</v>
          </cell>
          <cell r="AK429" t="str">
            <v>TGX8X260 MONTHS/500 000 KMDrivelineYes</v>
          </cell>
          <cell r="AL429">
            <v>29230</v>
          </cell>
        </row>
        <row r="430">
          <cell r="G430" t="str">
            <v>TGX8X836 MONTHS/450 000 KM60 MONTHS/750 000 KMCombinationNo</v>
          </cell>
          <cell r="H430">
            <v>195920</v>
          </cell>
          <cell r="AC430" t="str">
            <v>TGX8X224 MONTHS/100 000 KMEntire VehicleNo</v>
          </cell>
          <cell r="AD430">
            <v>6320</v>
          </cell>
          <cell r="AK430" t="str">
            <v>TGX8X260 MONTHS/625 000 KMDrivelineNo</v>
          </cell>
          <cell r="AL430">
            <v>47400</v>
          </cell>
        </row>
        <row r="431">
          <cell r="G431" t="str">
            <v>TGX8X836 MONTHS/450 000 KM60 MONTHS/750 000 KMCombinationYes</v>
          </cell>
          <cell r="H431">
            <v>157210</v>
          </cell>
          <cell r="AC431" t="str">
            <v>TGX8X224 MONTHS/100 000 KMEntire VehicleYes</v>
          </cell>
          <cell r="AD431">
            <v>4740</v>
          </cell>
          <cell r="AK431" t="str">
            <v>TGX8X260 MONTHS/625 000 KMDrivelineYes</v>
          </cell>
          <cell r="AL431">
            <v>37920</v>
          </cell>
        </row>
        <row r="432">
          <cell r="G432" t="str">
            <v>TGX8X848 MONTHS/300 000 KM60 MONTHS/375 000 KMCombinationNo</v>
          </cell>
          <cell r="H432">
            <v>154840</v>
          </cell>
          <cell r="AC432" t="str">
            <v>TGX8X224 MONTHS/150 000 KMEntire VehicleNo</v>
          </cell>
          <cell r="AD432">
            <v>7900</v>
          </cell>
          <cell r="AK432" t="str">
            <v>TGX8X260 MONTHS/750 000 KMDrivelineNo</v>
          </cell>
          <cell r="AL432">
            <v>60040</v>
          </cell>
        </row>
        <row r="433">
          <cell r="G433" t="str">
            <v>TGX8X848 MONTHS/300 000 KM60 MONTHS/375 000 KMCombinationYes</v>
          </cell>
          <cell r="H433">
            <v>134300</v>
          </cell>
          <cell r="AC433" t="str">
            <v>TGX8X224 MONTHS/150 000 KMEntire VehicleYes</v>
          </cell>
          <cell r="AD433">
            <v>6320</v>
          </cell>
          <cell r="AK433" t="str">
            <v>TGX8X260 MONTHS/750 000 KMDrivelineYes</v>
          </cell>
          <cell r="AL433">
            <v>48190</v>
          </cell>
        </row>
        <row r="434">
          <cell r="G434" t="str">
            <v>TGX8X848 MONTHS/600 000 KM60 MONTHS/750 000 KMCombinationNo</v>
          </cell>
          <cell r="H434">
            <v>290720</v>
          </cell>
          <cell r="AC434" t="str">
            <v>TGX8X224 MONTHS/200 000 KMEntire VehicleNo</v>
          </cell>
          <cell r="AD434">
            <v>9480</v>
          </cell>
          <cell r="AK434" t="str">
            <v>TGX8X260 MONTHS/875 000 KMDrivelineNo</v>
          </cell>
          <cell r="AL434">
            <v>71890</v>
          </cell>
        </row>
        <row r="435">
          <cell r="G435" t="str">
            <v>TGX8X848 MONTHS/600 000 KM60 MONTHS/750 000 KMCombinationYes</v>
          </cell>
          <cell r="H435">
            <v>233050</v>
          </cell>
          <cell r="AC435" t="str">
            <v>TGX8X224 MONTHS/200 000 KMEntire VehicleYes</v>
          </cell>
          <cell r="AD435">
            <v>7900</v>
          </cell>
          <cell r="AK435" t="str">
            <v>TGX8X260 MONTHS/875 000 KMDrivelineYes</v>
          </cell>
          <cell r="AL435">
            <v>57670</v>
          </cell>
        </row>
        <row r="436">
          <cell r="G436"/>
          <cell r="H436"/>
          <cell r="AC436" t="str">
            <v>TGX8X224 MONTHS/250 000 KMEntire VehicleNo</v>
          </cell>
          <cell r="AD436">
            <v>11850</v>
          </cell>
          <cell r="AK436" t="str">
            <v>TGX8X260 MONTHS/1 000 000 KMDrivelineNo</v>
          </cell>
          <cell r="AL436">
            <v>86110</v>
          </cell>
        </row>
        <row r="437">
          <cell r="G437"/>
          <cell r="H437"/>
          <cell r="AC437" t="str">
            <v>TGX8X224 MONTHS/250 000 KMEntire VehicleYes</v>
          </cell>
          <cell r="AD437">
            <v>9480</v>
          </cell>
          <cell r="AK437" t="str">
            <v>TGX8X260 MONTHS/1 000 000 KMDrivelineYes</v>
          </cell>
          <cell r="AL437">
            <v>69520</v>
          </cell>
        </row>
        <row r="438">
          <cell r="G438"/>
          <cell r="H438"/>
          <cell r="AC438" t="str">
            <v>TGX8X224 MONTHS/300 000 KMEntire VehicleNo</v>
          </cell>
          <cell r="AD438">
            <v>15010</v>
          </cell>
          <cell r="AK438" t="str">
            <v>TGX8X272 MONTHS/150 000 KMDrivelineNo</v>
          </cell>
          <cell r="AL438">
            <v>54510</v>
          </cell>
        </row>
        <row r="439">
          <cell r="G439"/>
          <cell r="H439"/>
          <cell r="AC439" t="str">
            <v>TGX8X224 MONTHS/300 000 KMEntire VehicleYes</v>
          </cell>
          <cell r="AD439">
            <v>12640</v>
          </cell>
          <cell r="AK439" t="str">
            <v>TGX8X272 MONTHS/150 000 KMDrivelineYes</v>
          </cell>
          <cell r="AL439">
            <v>44240</v>
          </cell>
        </row>
        <row r="440">
          <cell r="G440"/>
          <cell r="H440"/>
          <cell r="AC440" t="str">
            <v>TGX8X224 MONTHS/350 000 KMEntire VehicleNo</v>
          </cell>
          <cell r="AD440">
            <v>16590</v>
          </cell>
          <cell r="AK440" t="str">
            <v>TGX8X272 MONTHS/300 000 KMDrivelineNo</v>
          </cell>
          <cell r="AL440">
            <v>122450</v>
          </cell>
        </row>
        <row r="441">
          <cell r="G441"/>
          <cell r="H441"/>
          <cell r="AC441" t="str">
            <v>TGX8X224 MONTHS/350 000 KMEntire VehicleYes</v>
          </cell>
          <cell r="AD441">
            <v>13430</v>
          </cell>
          <cell r="AK441" t="str">
            <v>TGX8X272 MONTHS/300 000 KMDrivelineYes</v>
          </cell>
          <cell r="AL441">
            <v>97960</v>
          </cell>
        </row>
        <row r="442">
          <cell r="G442"/>
          <cell r="H442"/>
          <cell r="AC442" t="str">
            <v>TGX8X224 MONTHS/400 000 KMEntire VehicleNo</v>
          </cell>
          <cell r="AD442">
            <v>17380</v>
          </cell>
          <cell r="AK442" t="str">
            <v>TGX8X272 MONTHS/450 000 KMDrivelineNo</v>
          </cell>
          <cell r="AL442">
            <v>191970</v>
          </cell>
        </row>
        <row r="443">
          <cell r="G443"/>
          <cell r="H443"/>
          <cell r="AC443" t="str">
            <v>TGX8X224 MONTHS/400 000 KMEntire VehicleYes</v>
          </cell>
          <cell r="AD443">
            <v>14220</v>
          </cell>
          <cell r="AK443" t="str">
            <v>TGX8X272 MONTHS/450 000 KMDrivelineYes</v>
          </cell>
          <cell r="AL443">
            <v>154050</v>
          </cell>
        </row>
        <row r="444">
          <cell r="G444"/>
          <cell r="H444"/>
          <cell r="AC444" t="str">
            <v>TGX8X236 MONTHS/75 000 KMEntire VehicleNo</v>
          </cell>
          <cell r="AD444">
            <v>12640</v>
          </cell>
          <cell r="AK444" t="str">
            <v>TGX8X272 MONTHS/600 000 KMDrivelineNo</v>
          </cell>
          <cell r="AL444">
            <v>260700</v>
          </cell>
        </row>
        <row r="445">
          <cell r="G445"/>
          <cell r="H445"/>
          <cell r="AC445" t="str">
            <v>TGX8X236 MONTHS/75 000 KMEntire VehicleYes</v>
          </cell>
          <cell r="AD445">
            <v>10270</v>
          </cell>
          <cell r="AK445" t="str">
            <v>TGX8X272 MONTHS/600 000 KMDrivelineYes</v>
          </cell>
          <cell r="AL445">
            <v>208560</v>
          </cell>
        </row>
        <row r="446">
          <cell r="G446"/>
          <cell r="H446"/>
          <cell r="AC446" t="str">
            <v>TGX8X236 MONTHS/150 000 KMEntire VehicleNo</v>
          </cell>
          <cell r="AD446">
            <v>17380</v>
          </cell>
          <cell r="AK446" t="str">
            <v>TGX8X272 MONTHS/750 000 KMDrivelineNo</v>
          </cell>
          <cell r="AL446">
            <v>330220</v>
          </cell>
        </row>
        <row r="447">
          <cell r="G447"/>
          <cell r="H447"/>
          <cell r="AC447" t="str">
            <v>TGX8X236 MONTHS/150 000 KMEntire VehicleYes</v>
          </cell>
          <cell r="AD447">
            <v>14220</v>
          </cell>
          <cell r="AK447" t="str">
            <v>TGX8X272 MONTHS/750 000 KMDrivelineYes</v>
          </cell>
          <cell r="AL447">
            <v>264650</v>
          </cell>
        </row>
        <row r="448">
          <cell r="G448"/>
          <cell r="H448"/>
          <cell r="AC448" t="str">
            <v>TGX8X236 MONTHS/225 000 KMEntire VehicleNo</v>
          </cell>
          <cell r="AD448">
            <v>27650</v>
          </cell>
          <cell r="AK448" t="str">
            <v>TGX8X272 MONTHS/900 000 KMDrivelineNo</v>
          </cell>
          <cell r="AL448">
            <v>399740</v>
          </cell>
        </row>
        <row r="449">
          <cell r="G449"/>
          <cell r="H449"/>
          <cell r="AC449" t="str">
            <v>TGX8X236 MONTHS/225 000 KMEntire VehicleYes</v>
          </cell>
          <cell r="AD449">
            <v>22120</v>
          </cell>
          <cell r="AK449" t="str">
            <v>TGX8X272 MONTHS/900 000 KMDrivelineYes</v>
          </cell>
          <cell r="AL449">
            <v>319950</v>
          </cell>
        </row>
        <row r="450">
          <cell r="G450"/>
          <cell r="H450"/>
          <cell r="AC450" t="str">
            <v>TGX8X236 MONTHS/300 000 KMEntire VehicleNo</v>
          </cell>
          <cell r="AD450">
            <v>31600</v>
          </cell>
          <cell r="AK450" t="str">
            <v>TGX8X436 MONTHS/75 000 KMDrivelineNo</v>
          </cell>
          <cell r="AL450">
            <v>10270</v>
          </cell>
        </row>
        <row r="451">
          <cell r="G451"/>
          <cell r="H451"/>
          <cell r="AC451" t="str">
            <v>TGX8X236 MONTHS/300 000 KMEntire VehicleYes</v>
          </cell>
          <cell r="AD451">
            <v>25280</v>
          </cell>
          <cell r="AK451" t="str">
            <v>TGX8X436 MONTHS/75 000 KMDrivelineYes</v>
          </cell>
          <cell r="AL451">
            <v>9480</v>
          </cell>
        </row>
        <row r="452">
          <cell r="G452"/>
          <cell r="H452"/>
          <cell r="AC452" t="str">
            <v>TGX8X236 MONTHS/375 000 KMEntire VehicleNo</v>
          </cell>
          <cell r="AD452">
            <v>37920</v>
          </cell>
          <cell r="AK452" t="str">
            <v>TGX8X436 MONTHS/150 000 KMDrivelineNo</v>
          </cell>
          <cell r="AL452">
            <v>15800</v>
          </cell>
        </row>
        <row r="453">
          <cell r="AC453" t="str">
            <v>TGX8X236 MONTHS/375 000 KMEntire VehicleYes</v>
          </cell>
          <cell r="AD453">
            <v>30810</v>
          </cell>
          <cell r="AK453" t="str">
            <v>TGX8X436 MONTHS/150 000 KMDrivelineYes</v>
          </cell>
          <cell r="AL453">
            <v>12640</v>
          </cell>
        </row>
        <row r="454">
          <cell r="AC454" t="str">
            <v>TGX8X236 MONTHS/450 000 KMEntire VehicleNo</v>
          </cell>
          <cell r="AD454">
            <v>43450</v>
          </cell>
          <cell r="AK454" t="str">
            <v>TGX8X436 MONTHS/225 000 KMDrivelineNo</v>
          </cell>
          <cell r="AL454">
            <v>18170</v>
          </cell>
        </row>
        <row r="455">
          <cell r="AC455" t="str">
            <v>TGX8X236 MONTHS/450 000 KMEntire VehicleYes</v>
          </cell>
          <cell r="AD455">
            <v>34760</v>
          </cell>
          <cell r="AK455" t="str">
            <v>TGX8X436 MONTHS/225 000 KMDrivelineYes</v>
          </cell>
          <cell r="AL455">
            <v>15010</v>
          </cell>
        </row>
        <row r="456">
          <cell r="AC456" t="str">
            <v>TGX8X236 MONTHS/525 000 KMEntire VehicleNo</v>
          </cell>
          <cell r="AD456">
            <v>48190</v>
          </cell>
          <cell r="AK456" t="str">
            <v>TGX8X436 MONTHS/300 000 KMDrivelineNo</v>
          </cell>
          <cell r="AL456">
            <v>23700</v>
          </cell>
        </row>
        <row r="457">
          <cell r="AC457" t="str">
            <v>TGX8X236 MONTHS/525 000 KMEntire VehicleYes</v>
          </cell>
          <cell r="AD457">
            <v>38710</v>
          </cell>
          <cell r="AK457" t="str">
            <v>TGX8X436 MONTHS/300 000 KMDrivelineYes</v>
          </cell>
          <cell r="AL457">
            <v>18960</v>
          </cell>
        </row>
        <row r="458">
          <cell r="AC458" t="str">
            <v>TGX8X236 MONTHS/600 000 KMEntire VehicleNo</v>
          </cell>
          <cell r="AD458">
            <v>53720</v>
          </cell>
          <cell r="AK458" t="str">
            <v>TGX8X436 MONTHS/375 000 KMDrivelineNo</v>
          </cell>
          <cell r="AL458">
            <v>29230</v>
          </cell>
        </row>
        <row r="459">
          <cell r="AC459" t="str">
            <v>TGX8X236 MONTHS/600 000 KMEntire VehicleYes</v>
          </cell>
          <cell r="AD459">
            <v>43450</v>
          </cell>
          <cell r="AK459" t="str">
            <v>TGX8X436 MONTHS/375 000 KMDrivelineYes</v>
          </cell>
          <cell r="AL459">
            <v>23700</v>
          </cell>
        </row>
        <row r="460">
          <cell r="AC460" t="str">
            <v>TGX8X248 MONTHS/100 000 KMEntire VehicleNo</v>
          </cell>
          <cell r="AD460">
            <v>18960</v>
          </cell>
          <cell r="AK460" t="str">
            <v>TGX8X436 MONTHS/450 000 KMDrivelineNo</v>
          </cell>
          <cell r="AL460">
            <v>33970</v>
          </cell>
        </row>
        <row r="461">
          <cell r="AC461" t="str">
            <v>TGX8X248 MONTHS/100 000 KMEntire VehicleYes</v>
          </cell>
          <cell r="AD461">
            <v>15800</v>
          </cell>
          <cell r="AK461" t="str">
            <v>TGX8X436 MONTHS/450 000 KMDrivelineYes</v>
          </cell>
          <cell r="AL461">
            <v>27650</v>
          </cell>
        </row>
        <row r="462">
          <cell r="AC462" t="str">
            <v>TGX8X248 MONTHS/200 000 KMEntire VehicleNo</v>
          </cell>
          <cell r="AD462">
            <v>32390</v>
          </cell>
          <cell r="AK462" t="str">
            <v>TGX8X448 MONTHS/100 000 KMDrivelineNo</v>
          </cell>
          <cell r="AL462">
            <v>27650</v>
          </cell>
        </row>
        <row r="463">
          <cell r="AC463" t="str">
            <v>TGX8X248 MONTHS/200 000 KMEntire VehicleYes</v>
          </cell>
          <cell r="AD463">
            <v>26860</v>
          </cell>
          <cell r="AK463" t="str">
            <v>TGX8X448 MONTHS/100 000 KMDrivelineYes</v>
          </cell>
          <cell r="AL463">
            <v>22120</v>
          </cell>
        </row>
        <row r="464">
          <cell r="AC464" t="str">
            <v>TGX8X248 MONTHS/300 000 KMEntire VehicleNo</v>
          </cell>
          <cell r="AD464">
            <v>54510</v>
          </cell>
          <cell r="AK464" t="str">
            <v>TGX8X448 MONTHS/200 000 KMDrivelineNo</v>
          </cell>
          <cell r="AL464">
            <v>32390</v>
          </cell>
        </row>
        <row r="465">
          <cell r="AC465" t="str">
            <v>TGX8X248 MONTHS/300 000 KMEntire VehicleYes</v>
          </cell>
          <cell r="AD465">
            <v>44240</v>
          </cell>
          <cell r="AK465" t="str">
            <v>TGX8X448 MONTHS/200 000 KMDrivelineYes</v>
          </cell>
          <cell r="AL465">
            <v>26070</v>
          </cell>
        </row>
        <row r="466">
          <cell r="AC466" t="str">
            <v>TGX8X248 MONTHS/400 000 KMEntire VehicleNo</v>
          </cell>
          <cell r="AD466">
            <v>70310</v>
          </cell>
          <cell r="AK466" t="str">
            <v>TGX8X448 MONTHS/300 000 KMDrivelineNo</v>
          </cell>
          <cell r="AL466">
            <v>38710</v>
          </cell>
        </row>
        <row r="467">
          <cell r="AC467" t="str">
            <v>TGX8X248 MONTHS/400 000 KMEntire VehicleYes</v>
          </cell>
          <cell r="AD467">
            <v>56880</v>
          </cell>
          <cell r="AK467" t="str">
            <v>TGX8X448 MONTHS/300 000 KMDrivelineYes</v>
          </cell>
          <cell r="AL467">
            <v>31600</v>
          </cell>
        </row>
        <row r="468">
          <cell r="AC468" t="str">
            <v>TGX8X248 MONTHS/500 000 KMEntire VehicleNo</v>
          </cell>
          <cell r="AD468">
            <v>86110</v>
          </cell>
          <cell r="AK468" t="str">
            <v>TGX8X448 MONTHS/400 000 KMDrivelineNo</v>
          </cell>
          <cell r="AL468">
            <v>49770</v>
          </cell>
        </row>
        <row r="469">
          <cell r="AC469" t="str">
            <v>TGX8X248 MONTHS/500 000 KMEntire VehicleYes</v>
          </cell>
          <cell r="AD469">
            <v>69520</v>
          </cell>
          <cell r="AK469" t="str">
            <v>TGX8X448 MONTHS/400 000 KMDrivelineYes</v>
          </cell>
          <cell r="AL469">
            <v>40290</v>
          </cell>
        </row>
        <row r="470">
          <cell r="AC470" t="str">
            <v>TGX8X248 MONTHS/600 000 KMEntire VehicleNo</v>
          </cell>
          <cell r="AD470">
            <v>94800</v>
          </cell>
          <cell r="AK470" t="str">
            <v>TGX8X448 MONTHS/500 000 KMDrivelineNo</v>
          </cell>
          <cell r="AL470">
            <v>75840</v>
          </cell>
        </row>
        <row r="471">
          <cell r="AC471" t="str">
            <v>TGX8X248 MONTHS/600 000 KMEntire VehicleYes</v>
          </cell>
          <cell r="AD471">
            <v>75840</v>
          </cell>
          <cell r="AK471" t="str">
            <v>TGX8X448 MONTHS/500 000 KMDrivelineYes</v>
          </cell>
          <cell r="AL471">
            <v>60830</v>
          </cell>
        </row>
        <row r="472">
          <cell r="AC472" t="str">
            <v>TGX8X248 MONTHS/700 000 KMEntire VehicleNo</v>
          </cell>
          <cell r="AD472">
            <v>101120</v>
          </cell>
          <cell r="AK472" t="str">
            <v>TGX8X448 MONTHS/600 000 KMDrivelineNo</v>
          </cell>
          <cell r="AL472">
            <v>77420</v>
          </cell>
        </row>
        <row r="473">
          <cell r="AC473" t="str">
            <v>TGX8X248 MONTHS/700 000 KMEntire VehicleYes</v>
          </cell>
          <cell r="AD473">
            <v>81370</v>
          </cell>
          <cell r="AK473" t="str">
            <v>TGX8X448 MONTHS/600 000 KMDrivelineYes</v>
          </cell>
          <cell r="AL473">
            <v>62410</v>
          </cell>
        </row>
        <row r="474">
          <cell r="AC474" t="str">
            <v>TGX8X248 MONTHS/800 000 KMEntire VehicleNo</v>
          </cell>
          <cell r="AD474">
            <v>108230</v>
          </cell>
          <cell r="AK474" t="str">
            <v>TGX8X460 MONTHS/125 000 KMDrivelineNo</v>
          </cell>
          <cell r="AL474">
            <v>43450</v>
          </cell>
        </row>
        <row r="475">
          <cell r="AC475" t="str">
            <v>TGX8X248 MONTHS/800 000 KMEntire VehicleYes</v>
          </cell>
          <cell r="AD475">
            <v>86900</v>
          </cell>
          <cell r="AK475" t="str">
            <v>TGX8X460 MONTHS/125 000 KMDrivelineYes</v>
          </cell>
          <cell r="AL475">
            <v>34760</v>
          </cell>
        </row>
        <row r="476">
          <cell r="AC476" t="str">
            <v>TGX8X260 MONTHS/125 000 KMEntire VehicleNo</v>
          </cell>
          <cell r="AD476">
            <v>94800</v>
          </cell>
          <cell r="AK476" t="str">
            <v>TGX8X460 MONTHS/250 000 KMDrivelineNo</v>
          </cell>
          <cell r="AL476">
            <v>51350</v>
          </cell>
        </row>
        <row r="477">
          <cell r="AC477" t="str">
            <v>TGX8X260 MONTHS/125 000 KMEntire VehicleYes</v>
          </cell>
          <cell r="AD477">
            <v>79000</v>
          </cell>
          <cell r="AK477" t="str">
            <v>TGX8X460 MONTHS/250 000 KMDrivelineYes</v>
          </cell>
          <cell r="AL477">
            <v>41080</v>
          </cell>
        </row>
        <row r="478">
          <cell r="AC478" t="str">
            <v>TGX8X260 MONTHS/250 000 KMEntire VehicleNo</v>
          </cell>
          <cell r="AD478">
            <v>98750</v>
          </cell>
          <cell r="AK478" t="str">
            <v>TGX8X460 MONTHS/375 000 KMDrivelineNo</v>
          </cell>
          <cell r="AL478">
            <v>59250</v>
          </cell>
        </row>
        <row r="479">
          <cell r="AC479" t="str">
            <v>TGX8X260 MONTHS/250 000 KMEntire VehicleYes</v>
          </cell>
          <cell r="AD479">
            <v>82160</v>
          </cell>
          <cell r="AK479" t="str">
            <v>TGX8X460 MONTHS/375 000 KMDrivelineYes</v>
          </cell>
          <cell r="AL479">
            <v>47400</v>
          </cell>
        </row>
        <row r="480">
          <cell r="AC480" t="str">
            <v>TGX8X260 MONTHS/375 000 KMEntire VehicleNo</v>
          </cell>
          <cell r="AD480">
            <v>102700</v>
          </cell>
          <cell r="AK480" t="str">
            <v>TGX8X460 MONTHS/500 000 KMDrivelineNo</v>
          </cell>
          <cell r="AL480">
            <v>96380</v>
          </cell>
        </row>
        <row r="481">
          <cell r="AC481" t="str">
            <v>TGX8X260 MONTHS/375 000 KMEntire VehicleYes</v>
          </cell>
          <cell r="AD481">
            <v>82160</v>
          </cell>
          <cell r="AK481" t="str">
            <v>TGX8X460 MONTHS/500 000 KMDrivelineYes</v>
          </cell>
          <cell r="AL481">
            <v>77420</v>
          </cell>
        </row>
        <row r="482">
          <cell r="AC482" t="str">
            <v>TGX8X260 MONTHS/500 000 KMEntire VehicleNo</v>
          </cell>
          <cell r="AD482">
            <v>135880</v>
          </cell>
          <cell r="AK482" t="str">
            <v>TGX8X460 MONTHS/625 000 KMDrivelineNo</v>
          </cell>
          <cell r="AL482">
            <v>142200</v>
          </cell>
        </row>
        <row r="483">
          <cell r="AC483" t="str">
            <v>TGX8X260 MONTHS/500 000 KMEntire VehicleYes</v>
          </cell>
          <cell r="AD483">
            <v>109020</v>
          </cell>
          <cell r="AK483" t="str">
            <v>TGX8X460 MONTHS/625 000 KMDrivelineYes</v>
          </cell>
          <cell r="AL483">
            <v>113760</v>
          </cell>
        </row>
        <row r="484">
          <cell r="AC484" t="str">
            <v>TGX8X260 MONTHS/625 000 KMEntire VehicleNo</v>
          </cell>
          <cell r="AD484">
            <v>161950</v>
          </cell>
          <cell r="AK484" t="str">
            <v>TGX8X460 MONTHS/750 000 KMDrivelineNo</v>
          </cell>
          <cell r="AL484">
            <v>146940</v>
          </cell>
        </row>
        <row r="485">
          <cell r="AC485" t="str">
            <v>TGX8X260 MONTHS/625 000 KMEntire VehicleYes</v>
          </cell>
          <cell r="AD485">
            <v>129560</v>
          </cell>
          <cell r="AK485" t="str">
            <v>TGX8X460 MONTHS/750 000 KMDrivelineYes</v>
          </cell>
          <cell r="AL485">
            <v>117710</v>
          </cell>
        </row>
        <row r="486">
          <cell r="AC486" t="str">
            <v>TGX8X260 MONTHS/750 000 KMEntire VehicleNo</v>
          </cell>
          <cell r="AD486">
            <v>175380</v>
          </cell>
          <cell r="AK486" t="str">
            <v>TGX8X472 MONTHS/150 000 KMDrivelineNo</v>
          </cell>
          <cell r="AL486">
            <v>75050</v>
          </cell>
        </row>
        <row r="487">
          <cell r="AC487" t="str">
            <v>TGX8X260 MONTHS/750 000 KMEntire VehicleYes</v>
          </cell>
          <cell r="AD487">
            <v>140620</v>
          </cell>
          <cell r="AK487" t="str">
            <v>TGX8X472 MONTHS/150 000 KMDrivelineYes</v>
          </cell>
          <cell r="AL487">
            <v>62410</v>
          </cell>
        </row>
        <row r="488">
          <cell r="AC488" t="str">
            <v>TGX8X260 MONTHS/875 000 KMEntire VehicleNo</v>
          </cell>
          <cell r="AD488">
            <v>184860</v>
          </cell>
          <cell r="AK488" t="str">
            <v>TGX8X472 MONTHS/300 000 KMDrivelineNo</v>
          </cell>
          <cell r="AL488">
            <v>141410</v>
          </cell>
        </row>
        <row r="489">
          <cell r="AC489" t="str">
            <v>TGX8X260 MONTHS/875 000 KMEntire VehicleYes</v>
          </cell>
          <cell r="AD489">
            <v>148520</v>
          </cell>
          <cell r="AK489" t="str">
            <v>TGX8X472 MONTHS/300 000 KMDrivelineYes</v>
          </cell>
          <cell r="AL489">
            <v>117710</v>
          </cell>
        </row>
        <row r="490">
          <cell r="AC490" t="str">
            <v>TGX8X260 MONTHS/1 000 000 KMEntire VehicleNo</v>
          </cell>
          <cell r="AD490">
            <v>203820</v>
          </cell>
          <cell r="AK490" t="str">
            <v>TGX8X472 MONTHS/450 000 KMDrivelineNo</v>
          </cell>
          <cell r="AL490">
            <v>211720</v>
          </cell>
        </row>
        <row r="491">
          <cell r="AC491" t="str">
            <v>TGX8X260 MONTHS/1 000 000 KMEntire VehicleYes</v>
          </cell>
          <cell r="AD491">
            <v>163530</v>
          </cell>
          <cell r="AK491" t="str">
            <v>TGX8X472 MONTHS/450 000 KMDrivelineYes</v>
          </cell>
          <cell r="AL491">
            <v>176170</v>
          </cell>
        </row>
        <row r="492">
          <cell r="AC492" t="str">
            <v>TGX8X4H/D36 MONTHS/300 000 KMEntire VehicleNo</v>
          </cell>
          <cell r="AD492">
            <v>117371.42857142859</v>
          </cell>
          <cell r="AK492" t="str">
            <v>TGX8X472 MONTHS/600 000 KMDrivelineNo</v>
          </cell>
          <cell r="AL492">
            <v>282030</v>
          </cell>
        </row>
        <row r="493">
          <cell r="AC493" t="str">
            <v>TGX8X4H/D36 MONTHS/375 000 KMEntire VehicleYes</v>
          </cell>
          <cell r="AD493">
            <v>136670</v>
          </cell>
          <cell r="AK493" t="str">
            <v>TGX8X472 MONTHS/600 000 KMDrivelineYes</v>
          </cell>
          <cell r="AL493">
            <v>234630</v>
          </cell>
        </row>
        <row r="494">
          <cell r="AC494" t="str">
            <v>TGX8X4H/D36 MONTHS/450 000 KMEntire VehicleNo</v>
          </cell>
          <cell r="AD494">
            <v>139830</v>
          </cell>
          <cell r="AK494" t="str">
            <v>TGX8X472 MONTHS/750 000 KMDrivelineNo</v>
          </cell>
          <cell r="AL494">
            <v>345230</v>
          </cell>
        </row>
        <row r="495">
          <cell r="AC495" t="str">
            <v>TGX8X4H/D36 MONTHS/75 000 KMEntire VehicleYes</v>
          </cell>
          <cell r="AD495">
            <v>61620</v>
          </cell>
          <cell r="AK495" t="str">
            <v>TGX8X472 MONTHS/750 000 KMDrivelineYes</v>
          </cell>
          <cell r="AL495">
            <v>287560</v>
          </cell>
        </row>
        <row r="496">
          <cell r="AC496" t="str">
            <v>TGX8X4H/D48 MONTHS/100 000 KMEntire VehicleNo</v>
          </cell>
          <cell r="AD496">
            <v>120080</v>
          </cell>
          <cell r="AK496" t="str">
            <v>TGX8X472 MONTHS/900 000 KMDrivelineNo</v>
          </cell>
          <cell r="AL496">
            <v>415540</v>
          </cell>
        </row>
        <row r="497">
          <cell r="AC497" t="str">
            <v>TGX8X4H/D48 MONTHS/200 000 KMEntire VehicleYes</v>
          </cell>
          <cell r="AD497">
            <v>141410</v>
          </cell>
          <cell r="AK497" t="str">
            <v>TGX8X472 MONTHS/900 000 KMDrivelineYes</v>
          </cell>
          <cell r="AL497">
            <v>346020</v>
          </cell>
        </row>
        <row r="498">
          <cell r="AC498" t="str">
            <v>TGX8X4H/D48 MONTHS/300 000 KMEntire VehicleNo</v>
          </cell>
          <cell r="AD498">
            <v>165900</v>
          </cell>
          <cell r="AK498" t="str">
            <v>TGX8X4H/D36 MONTHS/150 000 KMDrivelineNo</v>
          </cell>
          <cell r="AL498">
            <v>41080</v>
          </cell>
        </row>
        <row r="499">
          <cell r="AC499" t="str">
            <v>TGX8X4H/D48 MONTHS/400 000 KMEntire VehicleYes</v>
          </cell>
          <cell r="AD499">
            <v>216460</v>
          </cell>
          <cell r="AK499" t="str">
            <v>TGX8X4H/D36 MONTHS/225 000 KMDrivelineYes</v>
          </cell>
          <cell r="AL499">
            <v>48190</v>
          </cell>
        </row>
        <row r="500">
          <cell r="AC500" t="str">
            <v>TGX8X4H/D48 MONTHS/500 000 KMEntire VehicleNo</v>
          </cell>
          <cell r="AD500">
            <v>267020</v>
          </cell>
          <cell r="AK500" t="str">
            <v>TGX8X4H/D36 MONTHS/300 000 KMDrivelineNo</v>
          </cell>
          <cell r="AL500">
            <v>62410</v>
          </cell>
        </row>
        <row r="501">
          <cell r="AC501" t="str">
            <v>TGX8X4H/D48 MONTHS/600 000 KMEntire VehicleYes</v>
          </cell>
          <cell r="AD501">
            <v>274130</v>
          </cell>
          <cell r="AK501" t="str">
            <v>TGX8X4H/D36 MONTHS/375 000 KMDrivelineYes</v>
          </cell>
          <cell r="AL501">
            <v>76630</v>
          </cell>
        </row>
        <row r="502">
          <cell r="AC502" t="str">
            <v>TGX8X4H/D60 MONTHS/125 000 KMEntire VehicleNo</v>
          </cell>
          <cell r="AD502">
            <v>252800</v>
          </cell>
          <cell r="AK502" t="str">
            <v>TGX8X4H/D36 MONTHS/450 000 KMDrivelineNo</v>
          </cell>
          <cell r="AL502">
            <v>79000</v>
          </cell>
        </row>
        <row r="503">
          <cell r="AC503" t="str">
            <v>TGX8X4H/D60 MONTHS/250 000 KMEntire VehicleYes</v>
          </cell>
          <cell r="AD503">
            <v>297040</v>
          </cell>
          <cell r="AK503" t="str">
            <v>TGX8X4H/D36 MONTHS/75 000 KMDrivelineYes</v>
          </cell>
          <cell r="AL503">
            <v>34760</v>
          </cell>
        </row>
        <row r="504">
          <cell r="AC504" t="str">
            <v>TGX8X4H/D60 MONTHS/375 000 KMEntire VehicleNo</v>
          </cell>
          <cell r="AD504">
            <v>348390</v>
          </cell>
          <cell r="AK504" t="str">
            <v>TGX8X4H/D48 MONTHS/100 000 KMDrivelineNo</v>
          </cell>
          <cell r="AL504">
            <v>62410</v>
          </cell>
        </row>
        <row r="505">
          <cell r="AC505" t="str">
            <v>TGX8X4H/D60 MONTHS/500 000 KMEntire VehicleYes</v>
          </cell>
          <cell r="AD505">
            <v>454250</v>
          </cell>
          <cell r="AK505" t="str">
            <v>TGX8X4H/D48 MONTHS/200 000 KMDrivelineYes</v>
          </cell>
          <cell r="AL505">
            <v>73448.503401360547</v>
          </cell>
        </row>
        <row r="506">
          <cell r="AC506" t="str">
            <v>TGX8X4H/D60 MONTHS/625 000 KMEntire VehicleNo</v>
          </cell>
          <cell r="AD506">
            <v>560110</v>
          </cell>
          <cell r="AK506" t="str">
            <v>TGX8X4H/D48 MONTHS/300 000 KMDrivelineNo</v>
          </cell>
          <cell r="AL506">
            <v>86110</v>
          </cell>
        </row>
        <row r="507">
          <cell r="AC507" t="str">
            <v>TGX8X4H/D60 MONTHS/750 000 KMEntire VehicleYes</v>
          </cell>
          <cell r="AD507">
            <v>575120</v>
          </cell>
          <cell r="AK507" t="str">
            <v>TGX8X4H/D48 MONTHS/400 000 KMDrivelineYes</v>
          </cell>
          <cell r="AL507">
            <v>112180</v>
          </cell>
        </row>
        <row r="508">
          <cell r="AC508" t="str">
            <v>TGX8X4HYDRO24 MONTHS/100 000 KMEntire VehicleNo</v>
          </cell>
          <cell r="AD508">
            <v>9480</v>
          </cell>
          <cell r="AK508" t="str">
            <v>TGX8X4H/D48 MONTHS/500 000 KMDrivelineNo</v>
          </cell>
          <cell r="AL508">
            <v>137460</v>
          </cell>
        </row>
        <row r="509">
          <cell r="AC509" t="str">
            <v>TGX8X4HYDRO24 MONTHS/150 000 KMEntire VehicleYes</v>
          </cell>
          <cell r="AD509">
            <v>11060</v>
          </cell>
          <cell r="AK509" t="str">
            <v>TGX8X4H/D48 MONTHS/600 000 KMDrivelineYes</v>
          </cell>
          <cell r="AL509">
            <v>141410</v>
          </cell>
        </row>
        <row r="510">
          <cell r="AC510" t="str">
            <v>TGX8X4HYDRO24 MONTHS/200 000 KMEntire VehicleNo</v>
          </cell>
          <cell r="AD510">
            <v>14220</v>
          </cell>
          <cell r="AK510" t="str">
            <v>TGX8X4H/D60 MONTHS/125 000 KMDrivelineNo</v>
          </cell>
          <cell r="AL510">
            <v>130350</v>
          </cell>
        </row>
        <row r="511">
          <cell r="AC511" t="str">
            <v>TGX8X4HYDRO24 MONTHS/250 000 KMEntire VehicleYes</v>
          </cell>
          <cell r="AD511">
            <v>18960</v>
          </cell>
          <cell r="AK511" t="str">
            <v>TGX8X4H/D60 MONTHS/250 000 KMDrivelineYes</v>
          </cell>
          <cell r="AL511">
            <v>153260</v>
          </cell>
        </row>
        <row r="512">
          <cell r="AC512" t="str">
            <v>TGX8X4HYDRO24 MONTHS/300 000 KMEntire VehicleNo</v>
          </cell>
          <cell r="AD512">
            <v>20540</v>
          </cell>
          <cell r="AK512" t="str">
            <v>TGX8X4H/D60 MONTHS/375 000 KMDrivelineNo</v>
          </cell>
          <cell r="AL512">
            <v>180120</v>
          </cell>
        </row>
        <row r="513">
          <cell r="AC513" t="str">
            <v>TGX8X4HYDRO24 MONTHS/50 000 KMEntire VehicleYes</v>
          </cell>
          <cell r="AD513">
            <v>7110</v>
          </cell>
          <cell r="AK513" t="str">
            <v>TGX8X4H/D60 MONTHS/500 000 KMDrivelineYes</v>
          </cell>
          <cell r="AL513">
            <v>234630</v>
          </cell>
        </row>
        <row r="514">
          <cell r="AC514" t="str">
            <v>TGX8X4HYDRO36 MONTHS/150 000 KMEntire VehicleNo</v>
          </cell>
          <cell r="AD514">
            <v>37130</v>
          </cell>
          <cell r="AK514" t="str">
            <v>TGX8X4H/D60 MONTHS/625 000 KMDrivelineNo</v>
          </cell>
          <cell r="AL514">
            <v>289140</v>
          </cell>
        </row>
        <row r="515">
          <cell r="AC515" t="str">
            <v>TGX8X4HYDRO36 MONTHS/225 000 KMEntire VehicleYes</v>
          </cell>
          <cell r="AD515">
            <v>43450</v>
          </cell>
          <cell r="AK515" t="str">
            <v>TGX8X4H/D60 MONTHS/750 000 KMDrivelineYes</v>
          </cell>
          <cell r="AL515">
            <v>297040</v>
          </cell>
        </row>
        <row r="516">
          <cell r="AC516" t="str">
            <v>TGX8X4HYDRO36 MONTHS/300 000 KMEntire VehicleNo</v>
          </cell>
          <cell r="AD516">
            <v>56090</v>
          </cell>
          <cell r="AK516" t="str">
            <v>TGX8X4HYDRO36 MONTHS/150 000 KMDrivelineNo</v>
          </cell>
          <cell r="AL516">
            <v>15010</v>
          </cell>
        </row>
        <row r="517">
          <cell r="AC517" t="str">
            <v>TGX8X4HYDRO36 MONTHS/375 000 KMEntire VehicleYes</v>
          </cell>
          <cell r="AD517">
            <v>69520</v>
          </cell>
          <cell r="AK517" t="str">
            <v>TGX8X4HYDRO36 MONTHS/225 000 KMDrivelineYes</v>
          </cell>
          <cell r="AL517">
            <v>17380</v>
          </cell>
        </row>
        <row r="518">
          <cell r="AC518" t="str">
            <v>TGX8X4HYDRO36 MONTHS/450 000 KMEntire VehicleNo</v>
          </cell>
          <cell r="AD518">
            <v>71890</v>
          </cell>
          <cell r="AK518" t="str">
            <v>TGX8X4HYDRO36 MONTHS/300 000 KMDrivelineNo</v>
          </cell>
          <cell r="AL518">
            <v>22120</v>
          </cell>
        </row>
        <row r="519">
          <cell r="AC519" t="str">
            <v>TGX8X4HYDRO36 MONTHS/75 000 KMEntire VehicleYes</v>
          </cell>
          <cell r="AD519">
            <v>31600</v>
          </cell>
          <cell r="AK519" t="str">
            <v>TGX8X4HYDRO36 MONTHS/375 000 KMDrivelineYes</v>
          </cell>
          <cell r="AL519">
            <v>27650</v>
          </cell>
        </row>
        <row r="520">
          <cell r="AC520" t="str">
            <v>TGX8X4HYDRO48 MONTHS/100 000 KMEntire VehicleNo</v>
          </cell>
          <cell r="AD520">
            <v>85803.673469387766</v>
          </cell>
          <cell r="AK520" t="str">
            <v>TGX8X4HYDRO36 MONTHS/450 000 KMDrivelineNo</v>
          </cell>
          <cell r="AL520">
            <v>28440</v>
          </cell>
        </row>
        <row r="521">
          <cell r="AC521" t="str">
            <v>TGX8X4HYDRO48 MONTHS/200 000 KMEntire VehicleYes</v>
          </cell>
          <cell r="AD521">
            <v>99540</v>
          </cell>
          <cell r="AK521" t="str">
            <v>TGX8X4HYDRO36 MONTHS/75 000 KMDrivelineYes</v>
          </cell>
          <cell r="AL521">
            <v>12640</v>
          </cell>
        </row>
        <row r="522">
          <cell r="AC522" t="str">
            <v>TGX8X4HYDRO48 MONTHS/300 000 KMEntire VehicleNo</v>
          </cell>
          <cell r="AD522">
            <v>116130</v>
          </cell>
          <cell r="AK522" t="str">
            <v>TGX8X4HYDRO48 MONTHS/100 000 KMDrivelineNo</v>
          </cell>
          <cell r="AL522">
            <v>29230</v>
          </cell>
        </row>
        <row r="523">
          <cell r="AC523" t="str">
            <v>TGX8X4HYDRO48 MONTHS/400 000 KMEntire VehicleYes</v>
          </cell>
          <cell r="AD523">
            <v>152470</v>
          </cell>
          <cell r="AK523" t="str">
            <v>TGX8X4HYDRO48 MONTHS/200 000 KMDrivelineYes</v>
          </cell>
          <cell r="AL523">
            <v>33970</v>
          </cell>
        </row>
        <row r="524">
          <cell r="AC524" t="str">
            <v>TGX8X4HYDRO48 MONTHS/500 000 KMEntire VehicleNo</v>
          </cell>
          <cell r="AD524">
            <v>187230</v>
          </cell>
          <cell r="AK524" t="str">
            <v>TGX8X4HYDRO48 MONTHS/300 000 KMDrivelineNo</v>
          </cell>
          <cell r="AL524">
            <v>40290</v>
          </cell>
        </row>
        <row r="525">
          <cell r="AC525" t="str">
            <v>TGX8X4HYDRO48 MONTHS/600 000 KMEntire VehicleYes</v>
          </cell>
          <cell r="AD525">
            <v>191970</v>
          </cell>
          <cell r="AK525" t="str">
            <v>TGX8X4HYDRO48 MONTHS/400 000 KMDrivelineYes</v>
          </cell>
          <cell r="AL525">
            <v>52140</v>
          </cell>
        </row>
        <row r="526">
          <cell r="AC526" t="str">
            <v>TGX8X4HYDRO60 MONTHS/125 000 KMEntire VehicleNo</v>
          </cell>
          <cell r="AD526">
            <v>176960</v>
          </cell>
          <cell r="AK526" t="str">
            <v>TGX8X4HYDRO48 MONTHS/500 000 KMDrivelineNo</v>
          </cell>
          <cell r="AL526">
            <v>60830</v>
          </cell>
        </row>
        <row r="527">
          <cell r="AC527" t="str">
            <v>TGX8X4HYDRO60 MONTHS/250 000 KMEntire VehicleYes</v>
          </cell>
          <cell r="AD527">
            <v>208560</v>
          </cell>
          <cell r="AK527" t="str">
            <v>TGX8X4HYDRO48 MONTHS/600 000 KMDrivelineYes</v>
          </cell>
          <cell r="AL527">
            <v>62410</v>
          </cell>
        </row>
        <row r="528">
          <cell r="AC528" t="str">
            <v>TGX8X4HYDRO60 MONTHS/375 000 KMEntire VehicleNo</v>
          </cell>
          <cell r="AD528">
            <v>244110</v>
          </cell>
          <cell r="AK528" t="str">
            <v>TGX8X4HYDRO60 MONTHS/125 000 KMDrivelineNo</v>
          </cell>
          <cell r="AL528">
            <v>60830</v>
          </cell>
        </row>
        <row r="529">
          <cell r="AC529" t="str">
            <v>TGX8X4HYDRO60 MONTHS/500 000 KMEntire VehicleYes</v>
          </cell>
          <cell r="AD529">
            <v>319160</v>
          </cell>
          <cell r="AK529" t="str">
            <v>TGX8X4HYDRO60 MONTHS/250 000 KMDrivelineYes</v>
          </cell>
          <cell r="AL529">
            <v>71890</v>
          </cell>
        </row>
        <row r="530">
          <cell r="AC530" t="str">
            <v>TGX8X4HYDRO60 MONTHS/625 000 KMEntire VehicleNo</v>
          </cell>
          <cell r="AD530">
            <v>392630</v>
          </cell>
          <cell r="AK530" t="str">
            <v>TGX8X4HYDRO60 MONTHS/375 000 KMDrivelineNo</v>
          </cell>
          <cell r="AL530">
            <v>83740</v>
          </cell>
        </row>
        <row r="531">
          <cell r="AC531" t="str">
            <v>TGX8X4HYDRO60 MONTHS/750 000 KMEntire VehicleYes</v>
          </cell>
          <cell r="AD531">
            <v>402900</v>
          </cell>
          <cell r="AK531" t="str">
            <v>TGX8X4HYDRO60 MONTHS/500 000 KMDrivelineYes</v>
          </cell>
          <cell r="AL531">
            <v>109810</v>
          </cell>
        </row>
        <row r="532">
          <cell r="AC532" t="str">
            <v>TGX8X424 MONTHS/50 000 KMEntire VehicleNo</v>
          </cell>
          <cell r="AD532">
            <v>8690</v>
          </cell>
          <cell r="AK532" t="str">
            <v>TGX8X4HYDRO60 MONTHS/625 000 KMDrivelineNo</v>
          </cell>
          <cell r="AL532">
            <v>127190</v>
          </cell>
        </row>
        <row r="533">
          <cell r="AC533" t="str">
            <v>TGX8X424 MONTHS/50 000 KMEntire VehicleYes</v>
          </cell>
          <cell r="AD533">
            <v>7110</v>
          </cell>
          <cell r="AK533" t="str">
            <v>TGX8X4HYDRO60 MONTHS/750 000 KMDrivelineYes</v>
          </cell>
          <cell r="AL533">
            <v>138250</v>
          </cell>
        </row>
        <row r="534">
          <cell r="AC534" t="str">
            <v>TGX8X424 MONTHS/100 000 KMEntire VehicleNo</v>
          </cell>
          <cell r="AD534">
            <v>11060</v>
          </cell>
          <cell r="AK534" t="str">
            <v>TGX8X636 MONTHS/75 000 KMDrivelineNo</v>
          </cell>
          <cell r="AL534">
            <v>10270</v>
          </cell>
        </row>
        <row r="535">
          <cell r="AC535" t="str">
            <v>TGX8X424 MONTHS/100 000 KMEntire VehicleYes</v>
          </cell>
          <cell r="AD535">
            <v>9480</v>
          </cell>
          <cell r="AK535" t="str">
            <v>TGX8X636 MONTHS/75 000 KMDrivelineYes</v>
          </cell>
          <cell r="AL535">
            <v>9480</v>
          </cell>
        </row>
        <row r="536">
          <cell r="AC536" t="str">
            <v>TGX8X424 MONTHS/150 000 KMEntire VehicleNo</v>
          </cell>
          <cell r="AD536">
            <v>13430</v>
          </cell>
          <cell r="AK536" t="str">
            <v>TGX8X636 MONTHS/150 000 KMDrivelineNo</v>
          </cell>
          <cell r="AL536">
            <v>15800</v>
          </cell>
        </row>
        <row r="537">
          <cell r="AC537" t="str">
            <v>TGX8X424 MONTHS/150 000 KMEntire VehicleYes</v>
          </cell>
          <cell r="AD537">
            <v>11060</v>
          </cell>
          <cell r="AK537" t="str">
            <v>TGX8X636 MONTHS/150 000 KMDrivelineYes</v>
          </cell>
          <cell r="AL537">
            <v>12640</v>
          </cell>
        </row>
        <row r="538">
          <cell r="AC538" t="str">
            <v>TGX8X424 MONTHS/200 000 KMEntire VehicleNo</v>
          </cell>
          <cell r="AD538">
            <v>16590</v>
          </cell>
          <cell r="AK538" t="str">
            <v>TGX8X636 MONTHS/225 000 KMDrivelineNo</v>
          </cell>
          <cell r="AL538">
            <v>18170</v>
          </cell>
        </row>
        <row r="539">
          <cell r="AC539" t="str">
            <v>TGX8X424 MONTHS/200 000 KMEntire VehicleYes</v>
          </cell>
          <cell r="AD539">
            <v>13430</v>
          </cell>
          <cell r="AK539" t="str">
            <v>TGX8X636 MONTHS/225 000 KMDrivelineYes</v>
          </cell>
          <cell r="AL539">
            <v>15010</v>
          </cell>
        </row>
        <row r="540">
          <cell r="AC540" t="str">
            <v>TGX8X424 MONTHS/250 000 KMEntire VehicleNo</v>
          </cell>
          <cell r="AD540">
            <v>22120</v>
          </cell>
          <cell r="AK540" t="str">
            <v>TGX8X636 MONTHS/300 000 KMDrivelineNo</v>
          </cell>
          <cell r="AL540">
            <v>23700</v>
          </cell>
        </row>
        <row r="541">
          <cell r="AC541" t="str">
            <v>TGX8X424 MONTHS/250 000 KMEntire VehicleYes</v>
          </cell>
          <cell r="AD541">
            <v>18170</v>
          </cell>
          <cell r="AK541" t="str">
            <v>TGX8X636 MONTHS/300 000 KMDrivelineYes</v>
          </cell>
          <cell r="AL541">
            <v>18960</v>
          </cell>
        </row>
        <row r="542">
          <cell r="AC542" t="str">
            <v>TGX8X424 MONTHS/300 000 KMEntire VehicleNo</v>
          </cell>
          <cell r="AD542">
            <v>23700</v>
          </cell>
          <cell r="AK542" t="str">
            <v>TGX8X636 MONTHS/375 000 KMDrivelineNo</v>
          </cell>
          <cell r="AL542">
            <v>29230</v>
          </cell>
        </row>
        <row r="543">
          <cell r="AC543" t="str">
            <v>TGX8X424 MONTHS/300 000 KMEntire VehicleYes</v>
          </cell>
          <cell r="AD543">
            <v>18960</v>
          </cell>
          <cell r="AK543" t="str">
            <v>TGX8X636 MONTHS/375 000 KMDrivelineYes</v>
          </cell>
          <cell r="AL543">
            <v>23700</v>
          </cell>
        </row>
        <row r="544">
          <cell r="AC544" t="str">
            <v>TGX8X436 MONTHS/75 000 KMEntire VehicleNo</v>
          </cell>
          <cell r="AD544">
            <v>36340</v>
          </cell>
          <cell r="AK544" t="str">
            <v>TGX8X636 MONTHS/450 000 KMDrivelineNo</v>
          </cell>
          <cell r="AL544">
            <v>33970</v>
          </cell>
        </row>
        <row r="545">
          <cell r="AC545" t="str">
            <v>TGX8X436 MONTHS/75 000 KMEntire VehicleYes</v>
          </cell>
          <cell r="AD545">
            <v>29230</v>
          </cell>
          <cell r="AK545" t="str">
            <v>TGX8X636 MONTHS/450 000 KMDrivelineYes</v>
          </cell>
          <cell r="AL545">
            <v>27650</v>
          </cell>
        </row>
        <row r="546">
          <cell r="AC546" t="str">
            <v>TGX8X436 MONTHS/150 000 KMEntire VehicleNo</v>
          </cell>
          <cell r="AD546">
            <v>43450</v>
          </cell>
          <cell r="AK546" t="str">
            <v>TGX8X648 MONTHS/100 000 KMDrivelineNo</v>
          </cell>
          <cell r="AL546">
            <v>27650</v>
          </cell>
        </row>
        <row r="547">
          <cell r="AC547" t="str">
            <v>TGX8X436 MONTHS/150 000 KMEntire VehicleYes</v>
          </cell>
          <cell r="AD547">
            <v>34760</v>
          </cell>
          <cell r="AK547" t="str">
            <v>TGX8X648 MONTHS/100 000 KMDrivelineYes</v>
          </cell>
          <cell r="AL547">
            <v>22120</v>
          </cell>
        </row>
        <row r="548">
          <cell r="AC548" t="str">
            <v>TGX8X436 MONTHS/225 000 KMEntire VehicleNo</v>
          </cell>
          <cell r="AD548">
            <v>50560</v>
          </cell>
          <cell r="AK548" t="str">
            <v>TGX8X648 MONTHS/200 000 KMDrivelineNo</v>
          </cell>
          <cell r="AL548">
            <v>32390</v>
          </cell>
        </row>
        <row r="549">
          <cell r="AC549" t="str">
            <v>TGX8X436 MONTHS/225 000 KMEntire VehicleYes</v>
          </cell>
          <cell r="AD549">
            <v>41080</v>
          </cell>
          <cell r="AK549" t="str">
            <v>TGX8X648 MONTHS/200 000 KMDrivelineYes</v>
          </cell>
          <cell r="AL549">
            <v>26070</v>
          </cell>
        </row>
        <row r="550">
          <cell r="AC550" t="str">
            <v>TGX8X436 MONTHS/300 000 KMEntire VehicleNo</v>
          </cell>
          <cell r="AD550">
            <v>64780</v>
          </cell>
          <cell r="AK550" t="str">
            <v>TGX8X648 MONTHS/300 000 KMDrivelineNo</v>
          </cell>
          <cell r="AL550">
            <v>38710</v>
          </cell>
        </row>
        <row r="551">
          <cell r="AC551" t="str">
            <v>TGX8X436 MONTHS/300 000 KMEntire VehicleYes</v>
          </cell>
          <cell r="AD551">
            <v>52140</v>
          </cell>
          <cell r="AK551" t="str">
            <v>TGX8X648 MONTHS/300 000 KMDrivelineYes</v>
          </cell>
          <cell r="AL551">
            <v>31600</v>
          </cell>
        </row>
        <row r="552">
          <cell r="AC552" t="str">
            <v>TGX8X436 MONTHS/375 000 KMEntire VehicleNo</v>
          </cell>
          <cell r="AD552">
            <v>80580</v>
          </cell>
          <cell r="AK552" t="str">
            <v>TGX8X648 MONTHS/400 000 KMDrivelineNo</v>
          </cell>
          <cell r="AL552">
            <v>49770</v>
          </cell>
        </row>
        <row r="553">
          <cell r="AC553" t="str">
            <v>TGX8X436 MONTHS/375 000 KMEntire VehicleYes</v>
          </cell>
          <cell r="AD553">
            <v>64780</v>
          </cell>
          <cell r="AK553" t="str">
            <v>TGX8X648 MONTHS/400 000 KMDrivelineYes</v>
          </cell>
          <cell r="AL553">
            <v>40290</v>
          </cell>
        </row>
        <row r="554">
          <cell r="AC554" t="str">
            <v>TGX8X436 MONTHS/450 000 KMEntire VehicleNo</v>
          </cell>
          <cell r="AD554">
            <v>82950</v>
          </cell>
          <cell r="AK554" t="str">
            <v>TGX8X648 MONTHS/500 000 KMDrivelineNo</v>
          </cell>
          <cell r="AL554">
            <v>75840</v>
          </cell>
        </row>
        <row r="555">
          <cell r="AC555" t="str">
            <v>TGX8X436 MONTHS/450 000 KMEntire VehicleYes</v>
          </cell>
          <cell r="AD555">
            <v>66360</v>
          </cell>
          <cell r="AK555" t="str">
            <v>TGX8X648 MONTHS/500 000 KMDrivelineYes</v>
          </cell>
          <cell r="AL555">
            <v>60830</v>
          </cell>
        </row>
        <row r="556">
          <cell r="AC556" t="str">
            <v>TGX8X448 MONTHS/100 000 KMEntire VehicleNo</v>
          </cell>
          <cell r="AD556">
            <v>98750</v>
          </cell>
          <cell r="AK556" t="str">
            <v>TGX8X648 MONTHS/600 000 KMDrivelineNo</v>
          </cell>
          <cell r="AL556">
            <v>77420</v>
          </cell>
        </row>
        <row r="557">
          <cell r="AC557" t="str">
            <v>TGX8X448 MONTHS/100 000 KMEntire VehicleYes</v>
          </cell>
          <cell r="AD557">
            <v>79000</v>
          </cell>
          <cell r="AK557" t="str">
            <v>TGX8X648 MONTHS/600 000 KMDrivelineYes</v>
          </cell>
          <cell r="AL557">
            <v>62410</v>
          </cell>
        </row>
        <row r="558">
          <cell r="AC558" t="str">
            <v>TGX8X448 MONTHS/200 000 KMEntire VehicleNo</v>
          </cell>
          <cell r="AD558">
            <v>114550</v>
          </cell>
          <cell r="AK558" t="str">
            <v>TGX8X660 MONTHS/125 000 KMDrivelineNo</v>
          </cell>
          <cell r="AL558">
            <v>43450</v>
          </cell>
        </row>
        <row r="559">
          <cell r="AC559" t="str">
            <v>TGX8X448 MONTHS/200 000 KMEntire VehicleYes</v>
          </cell>
          <cell r="AD559">
            <v>91640</v>
          </cell>
          <cell r="AK559" t="str">
            <v>TGX8X660 MONTHS/125 000 KMDrivelineYes</v>
          </cell>
          <cell r="AL559">
            <v>34760</v>
          </cell>
        </row>
        <row r="560">
          <cell r="AC560" t="str">
            <v>TGX8X448 MONTHS/300 000 KMEntire VehicleNo</v>
          </cell>
          <cell r="AD560">
            <v>134300</v>
          </cell>
          <cell r="AK560" t="str">
            <v>TGX8X660 MONTHS/250 000 KMDrivelineNo</v>
          </cell>
          <cell r="AL560">
            <v>51350</v>
          </cell>
        </row>
        <row r="561">
          <cell r="AC561" t="str">
            <v>TGX8X448 MONTHS/300 000 KMEntire VehicleYes</v>
          </cell>
          <cell r="AD561">
            <v>107440</v>
          </cell>
          <cell r="AK561" t="str">
            <v>TGX8X660 MONTHS/250 000 KMDrivelineYes</v>
          </cell>
          <cell r="AL561">
            <v>41080</v>
          </cell>
        </row>
        <row r="562">
          <cell r="AC562" t="str">
            <v>TGX8X448 MONTHS/400 000 KMEntire VehicleNo</v>
          </cell>
          <cell r="AD562">
            <v>175380</v>
          </cell>
          <cell r="AK562" t="str">
            <v>TGX8X660 MONTHS/375 000 KMDrivelineNo</v>
          </cell>
          <cell r="AL562">
            <v>59250</v>
          </cell>
        </row>
        <row r="563">
          <cell r="AC563" t="str">
            <v>TGX8X448 MONTHS/400 000 KMEntire VehicleYes</v>
          </cell>
          <cell r="AD563">
            <v>140620</v>
          </cell>
          <cell r="AK563" t="str">
            <v>TGX8X660 MONTHS/375 000 KMDrivelineYes</v>
          </cell>
          <cell r="AL563">
            <v>47400</v>
          </cell>
        </row>
        <row r="564">
          <cell r="AC564" t="str">
            <v>TGX8X448 MONTHS/500 000 KMEntire VehicleNo</v>
          </cell>
          <cell r="AD564">
            <v>215670</v>
          </cell>
          <cell r="AK564" t="str">
            <v>TGX8X660 MONTHS/500 000 KMDrivelineNo</v>
          </cell>
          <cell r="AL564">
            <v>96380</v>
          </cell>
        </row>
        <row r="565">
          <cell r="AC565" t="str">
            <v>TGX8X448 MONTHS/500 000 KMEntire VehicleYes</v>
          </cell>
          <cell r="AD565">
            <v>173010</v>
          </cell>
          <cell r="AK565" t="str">
            <v>TGX8X660 MONTHS/500 000 KMDrivelineYes</v>
          </cell>
          <cell r="AL565">
            <v>77420</v>
          </cell>
        </row>
        <row r="566">
          <cell r="AC566" t="str">
            <v>TGX8X448 MONTHS/600 000 KMEntire VehicleNo</v>
          </cell>
          <cell r="AD566">
            <v>221200</v>
          </cell>
          <cell r="AK566" t="str">
            <v>TGX8X660 MONTHS/625 000 KMDrivelineNo</v>
          </cell>
          <cell r="AL566">
            <v>142200</v>
          </cell>
        </row>
        <row r="567">
          <cell r="AC567" t="str">
            <v>TGX8X448 MONTHS/600 000 KMEntire VehicleYes</v>
          </cell>
          <cell r="AD567">
            <v>176960</v>
          </cell>
          <cell r="AK567" t="str">
            <v>TGX8X660 MONTHS/625 000 KMDrivelineYes</v>
          </cell>
          <cell r="AL567">
            <v>113760</v>
          </cell>
        </row>
        <row r="568">
          <cell r="AC568" t="str">
            <v>TGX8X460 MONTHS/125 000 KMEntire VehicleNo</v>
          </cell>
          <cell r="AD568">
            <v>203820</v>
          </cell>
          <cell r="AK568" t="str">
            <v>TGX8X660 MONTHS/750 000 KMDrivelineNo</v>
          </cell>
          <cell r="AL568">
            <v>146940</v>
          </cell>
        </row>
        <row r="569">
          <cell r="AC569" t="str">
            <v>TGX8X460 MONTHS/125 000 KMEntire VehicleYes</v>
          </cell>
          <cell r="AD569">
            <v>163530</v>
          </cell>
          <cell r="AK569" t="str">
            <v>TGX8X660 MONTHS/750 000 KMDrivelineYes</v>
          </cell>
          <cell r="AL569">
            <v>117710</v>
          </cell>
        </row>
        <row r="570">
          <cell r="AC570" t="str">
            <v>TGX8X460 MONTHS/250 000 KMEntire VehicleNo</v>
          </cell>
          <cell r="AD570">
            <v>240160</v>
          </cell>
          <cell r="AK570" t="str">
            <v>TGX8X672 MONTHS/150 000 KMDrivelineNo</v>
          </cell>
          <cell r="AL570">
            <v>75050</v>
          </cell>
        </row>
        <row r="571">
          <cell r="AC571" t="str">
            <v>TGX8X460 MONTHS/250 000 KMEntire VehicleYes</v>
          </cell>
          <cell r="AD571">
            <v>192760</v>
          </cell>
          <cell r="AK571" t="str">
            <v>TGX8X672 MONTHS/150 000 KMDrivelineYes</v>
          </cell>
          <cell r="AL571">
            <v>62410</v>
          </cell>
        </row>
        <row r="572">
          <cell r="AC572" t="str">
            <v>TGX8X460 MONTHS/375 000 KMEntire VehicleNo</v>
          </cell>
          <cell r="AD572">
            <v>281240</v>
          </cell>
          <cell r="AK572" t="str">
            <v>TGX8X672 MONTHS/300 000 KMDrivelineNo</v>
          </cell>
          <cell r="AL572">
            <v>141410</v>
          </cell>
        </row>
        <row r="573">
          <cell r="AC573" t="str">
            <v>TGX8X460 MONTHS/375 000 KMEntire VehicleYes</v>
          </cell>
          <cell r="AD573">
            <v>225150</v>
          </cell>
          <cell r="AK573" t="str">
            <v>TGX8X672 MONTHS/300 000 KMDrivelineYes</v>
          </cell>
          <cell r="AL573">
            <v>117710</v>
          </cell>
        </row>
        <row r="574">
          <cell r="AC574" t="str">
            <v>TGX8X460 MONTHS/500 000 KMEntire VehicleNo</v>
          </cell>
          <cell r="AD574">
            <v>367350</v>
          </cell>
          <cell r="AK574" t="str">
            <v>TGX8X672 MONTHS/450 000 KMDrivelineNo</v>
          </cell>
          <cell r="AL574">
            <v>211720</v>
          </cell>
        </row>
        <row r="575">
          <cell r="AC575" t="str">
            <v>TGX8X460 MONTHS/500 000 KMEntire VehicleYes</v>
          </cell>
          <cell r="AD575">
            <v>293880</v>
          </cell>
          <cell r="AK575" t="str">
            <v>TGX8X672 MONTHS/450 000 KMDrivelineYes</v>
          </cell>
          <cell r="AL575">
            <v>176170</v>
          </cell>
        </row>
        <row r="576">
          <cell r="AC576" t="str">
            <v>TGX8X460 MONTHS/625 000 KMEntire VehicleNo</v>
          </cell>
          <cell r="AD576">
            <v>451880</v>
          </cell>
          <cell r="AK576" t="str">
            <v>TGX8X672 MONTHS/600 000 KMDrivelineNo</v>
          </cell>
          <cell r="AL576">
            <v>282030</v>
          </cell>
        </row>
        <row r="577">
          <cell r="AC577" t="str">
            <v>TGX8X460 MONTHS/625 000 KMEntire VehicleYes</v>
          </cell>
          <cell r="AD577">
            <v>361820</v>
          </cell>
          <cell r="AK577" t="str">
            <v>TGX8X672 MONTHS/600 000 KMDrivelineYes</v>
          </cell>
          <cell r="AL577">
            <v>234630</v>
          </cell>
        </row>
        <row r="578">
          <cell r="AC578" t="str">
            <v>TGX8X460 MONTHS/750 000 KMEntire VehicleNo</v>
          </cell>
          <cell r="AD578">
            <v>463730</v>
          </cell>
          <cell r="AK578" t="str">
            <v>TGX8X672 MONTHS/750 000 KMDrivelineNo</v>
          </cell>
          <cell r="AL578">
            <v>345230</v>
          </cell>
        </row>
        <row r="579">
          <cell r="AC579" t="str">
            <v>TGX8X460 MONTHS/750 000 KMEntire VehicleYes</v>
          </cell>
          <cell r="AD579">
            <v>371300</v>
          </cell>
          <cell r="AK579" t="str">
            <v>TGX8X672 MONTHS/750 000 KMDrivelineYes</v>
          </cell>
          <cell r="AL579">
            <v>287560</v>
          </cell>
        </row>
        <row r="580">
          <cell r="AC580" t="str">
            <v>TGX8X624 MONTHS/50 000 KMEntire VehicleNo</v>
          </cell>
          <cell r="AD580">
            <v>8690</v>
          </cell>
          <cell r="AK580" t="str">
            <v>TGX8X672 MONTHS/900 000 KMDrivelineNo</v>
          </cell>
          <cell r="AL580">
            <v>415540</v>
          </cell>
        </row>
        <row r="581">
          <cell r="AC581" t="str">
            <v>TGX8X624 MONTHS/50 000 KMEntire VehicleYes</v>
          </cell>
          <cell r="AD581">
            <v>7110</v>
          </cell>
          <cell r="AK581" t="str">
            <v>TGX8X672 MONTHS/900 000 KMDrivelineYes</v>
          </cell>
          <cell r="AL581">
            <v>346020</v>
          </cell>
        </row>
        <row r="582">
          <cell r="AC582" t="str">
            <v>TGX8X624 MONTHS/100 000 KMEntire VehicleNo</v>
          </cell>
          <cell r="AD582">
            <v>11060</v>
          </cell>
          <cell r="AK582" t="str">
            <v>TGX8X6H/D36 MONTHS/150 000 KMDrivelineNo</v>
          </cell>
          <cell r="AL582">
            <v>41080</v>
          </cell>
        </row>
        <row r="583">
          <cell r="AC583" t="str">
            <v>TGX8X624 MONTHS/100 000 KMEntire VehicleYes</v>
          </cell>
          <cell r="AD583">
            <v>9480</v>
          </cell>
          <cell r="AK583" t="str">
            <v>TGX8X6H/D36 MONTHS/225 000 KMDrivelineYes</v>
          </cell>
          <cell r="AL583">
            <v>48190</v>
          </cell>
        </row>
        <row r="584">
          <cell r="AC584" t="str">
            <v>TGX8X624 MONTHS/150 000 KMEntire VehicleNo</v>
          </cell>
          <cell r="AD584">
            <v>13430</v>
          </cell>
          <cell r="AK584" t="str">
            <v>TGX8X6H/D36 MONTHS/300 000 KMDrivelineNo</v>
          </cell>
          <cell r="AL584">
            <v>62410</v>
          </cell>
        </row>
        <row r="585">
          <cell r="AC585" t="str">
            <v>TGX8X624 MONTHS/150 000 KMEntire VehicleYes</v>
          </cell>
          <cell r="AD585">
            <v>11060</v>
          </cell>
          <cell r="AK585" t="str">
            <v>TGX8X6H/D36 MONTHS/375 000 KMDrivelineYes</v>
          </cell>
          <cell r="AL585">
            <v>76630</v>
          </cell>
        </row>
        <row r="586">
          <cell r="AC586" t="str">
            <v>TGX8X624 MONTHS/200 000 KMEntire VehicleNo</v>
          </cell>
          <cell r="AD586">
            <v>16590</v>
          </cell>
          <cell r="AK586" t="str">
            <v>TGX8X6H/D36 MONTHS/450 000 KMDrivelineNo</v>
          </cell>
          <cell r="AL586">
            <v>79000</v>
          </cell>
        </row>
        <row r="587">
          <cell r="AC587" t="str">
            <v>TGX8X624 MONTHS/200 000 KMEntire VehicleYes</v>
          </cell>
          <cell r="AD587">
            <v>13430</v>
          </cell>
          <cell r="AK587" t="str">
            <v>TGX8X6H/D36 MONTHS/75 000 KMDrivelineYes</v>
          </cell>
          <cell r="AL587">
            <v>34760</v>
          </cell>
        </row>
        <row r="588">
          <cell r="AC588" t="str">
            <v>TGX8X624 MONTHS/250 000 KMEntire VehicleNo</v>
          </cell>
          <cell r="AD588">
            <v>22120</v>
          </cell>
          <cell r="AK588" t="str">
            <v>TGX8X6H/D48 MONTHS/100 000 KMDrivelineNo</v>
          </cell>
          <cell r="AL588">
            <v>62410</v>
          </cell>
        </row>
        <row r="589">
          <cell r="AC589" t="str">
            <v>TGX8X624 MONTHS/250 000 KMEntire VehicleYes</v>
          </cell>
          <cell r="AD589">
            <v>18170</v>
          </cell>
          <cell r="AK589" t="str">
            <v>TGX8X6H/D48 MONTHS/200 000 KMDrivelineYes</v>
          </cell>
          <cell r="AL589">
            <v>73448.503401360547</v>
          </cell>
        </row>
        <row r="590">
          <cell r="AC590" t="str">
            <v>TGX8X624 MONTHS/300 000 KMEntire VehicleNo</v>
          </cell>
          <cell r="AD590">
            <v>23700</v>
          </cell>
          <cell r="AK590" t="str">
            <v>TGX8X6H/D48 MONTHS/300 000 KMDrivelineNo</v>
          </cell>
          <cell r="AL590">
            <v>86110</v>
          </cell>
        </row>
        <row r="591">
          <cell r="AC591" t="str">
            <v>TGX8X624 MONTHS/300 000 KMEntire VehicleYes</v>
          </cell>
          <cell r="AD591">
            <v>18960</v>
          </cell>
          <cell r="AK591" t="str">
            <v>TGX8X6H/D48 MONTHS/400 000 KMDrivelineYes</v>
          </cell>
          <cell r="AL591">
            <v>112180</v>
          </cell>
        </row>
        <row r="592">
          <cell r="AC592" t="str">
            <v>TGX8X636 MONTHS/75 000 KMEntire VehicleNo</v>
          </cell>
          <cell r="AD592">
            <v>36340</v>
          </cell>
          <cell r="AK592" t="str">
            <v>TGX8X6H/D48 MONTHS/500 000 KMDrivelineNo</v>
          </cell>
          <cell r="AL592">
            <v>137460</v>
          </cell>
        </row>
        <row r="593">
          <cell r="AC593" t="str">
            <v>TGX8X636 MONTHS/75 000 KMEntire VehicleYes</v>
          </cell>
          <cell r="AD593">
            <v>29230</v>
          </cell>
          <cell r="AK593" t="str">
            <v>TGX8X6H/D48 MONTHS/600 000 KMDrivelineYes</v>
          </cell>
          <cell r="AL593">
            <v>141410</v>
          </cell>
        </row>
        <row r="594">
          <cell r="AC594" t="str">
            <v>TGX8X636 MONTHS/150 000 KMEntire VehicleNo</v>
          </cell>
          <cell r="AD594">
            <v>43450</v>
          </cell>
          <cell r="AK594" t="str">
            <v>TGX8X6H/D60 MONTHS/125 000 KMDrivelineNo</v>
          </cell>
          <cell r="AL594">
            <v>130350</v>
          </cell>
        </row>
        <row r="595">
          <cell r="AC595" t="str">
            <v>TGX8X636 MONTHS/150 000 KMEntire VehicleYes</v>
          </cell>
          <cell r="AD595">
            <v>34760</v>
          </cell>
          <cell r="AK595" t="str">
            <v>TGX8X6H/D60 MONTHS/250 000 KMDrivelineYes</v>
          </cell>
          <cell r="AL595">
            <v>153260</v>
          </cell>
        </row>
        <row r="596">
          <cell r="AC596" t="str">
            <v>TGX8X636 MONTHS/225 000 KMEntire VehicleNo</v>
          </cell>
          <cell r="AD596">
            <v>50560</v>
          </cell>
          <cell r="AK596" t="str">
            <v>TGX8X6H/D60 MONTHS/375 000 KMDrivelineNo</v>
          </cell>
          <cell r="AL596">
            <v>180120</v>
          </cell>
        </row>
        <row r="597">
          <cell r="AC597" t="str">
            <v>TGX8X636 MONTHS/225 000 KMEntire VehicleYes</v>
          </cell>
          <cell r="AD597">
            <v>41080</v>
          </cell>
          <cell r="AK597" t="str">
            <v>TGX8X6H/D60 MONTHS/500 000 KMDrivelineYes</v>
          </cell>
          <cell r="AL597">
            <v>234630</v>
          </cell>
        </row>
        <row r="598">
          <cell r="AC598" t="str">
            <v>TGX8X636 MONTHS/300 000 KMEntire VehicleNo</v>
          </cell>
          <cell r="AD598">
            <v>64780</v>
          </cell>
          <cell r="AK598" t="str">
            <v>TGX8X6H/D60 MONTHS/625 000 KMDrivelineNo</v>
          </cell>
          <cell r="AL598">
            <v>289140</v>
          </cell>
        </row>
        <row r="599">
          <cell r="AC599" t="str">
            <v>TGX8X636 MONTHS/300 000 KMEntire VehicleYes</v>
          </cell>
          <cell r="AD599">
            <v>52140</v>
          </cell>
          <cell r="AK599" t="str">
            <v>TGX8X6H/D60 MONTHS/750 000 KMDrivelineYes</v>
          </cell>
          <cell r="AL599">
            <v>297040</v>
          </cell>
        </row>
        <row r="600">
          <cell r="AC600" t="str">
            <v>TGX8X636 MONTHS/375 000 KMEntire VehicleNo</v>
          </cell>
          <cell r="AD600">
            <v>80580</v>
          </cell>
          <cell r="AK600" t="str">
            <v>TGX8X6HYDRO36 MONTHS/150 000 KMDrivelineNo</v>
          </cell>
          <cell r="AL600">
            <v>15010</v>
          </cell>
        </row>
      </sheetData>
      <sheetData sheetId="8">
        <row r="6">
          <cell r="F6" t="str">
            <v>CLA6X412 MONTHS/UNLIMITED24 MONTHS/UNLIMITEDNo</v>
          </cell>
          <cell r="G6">
            <v>0</v>
          </cell>
        </row>
        <row r="7">
          <cell r="F7" t="str">
            <v>CLA6X412 MONTHS/UNLIMITED24 MONTHS/UNLIMITEDYes</v>
          </cell>
          <cell r="G7">
            <v>0</v>
          </cell>
        </row>
        <row r="8">
          <cell r="F8" t="str">
            <v>CLA4X212 MONTHS/UNLIMITED36 MONTHS/300 000 KMNo</v>
          </cell>
          <cell r="G8">
            <v>12640</v>
          </cell>
        </row>
        <row r="9">
          <cell r="F9" t="str">
            <v>CLA4X212 MONTHS/UNLIMITED36 MONTHS/300 000 KMYes</v>
          </cell>
          <cell r="G9">
            <v>12640</v>
          </cell>
        </row>
        <row r="10">
          <cell r="F10" t="str">
            <v>CLA6X412 MONTHS/UNLIMITED36 MONTHS/300 000 KMNo</v>
          </cell>
          <cell r="G10">
            <v>25280</v>
          </cell>
        </row>
        <row r="11">
          <cell r="F11" t="str">
            <v>CLA6X412 MONTHS/UNLIMITED36 MONTHS/300 000 KMYes</v>
          </cell>
          <cell r="G11">
            <v>25280</v>
          </cell>
        </row>
        <row r="12">
          <cell r="F12" t="str">
            <v>TGM4X212 MONTHS/UNLIMITED24 MONTHS/UNLIMITEDNo</v>
          </cell>
          <cell r="G12">
            <v>0</v>
          </cell>
        </row>
        <row r="13">
          <cell r="F13" t="str">
            <v>TGM4X212 MONTHS/UNLIMITED24 MONTHS/UNLIMITEDYes</v>
          </cell>
          <cell r="G13">
            <v>0</v>
          </cell>
        </row>
        <row r="14">
          <cell r="F14" t="str">
            <v>TGM4X412 MONTHS/UNLIMITED24 MONTHS/UNLIMITEDNo</v>
          </cell>
          <cell r="G14">
            <v>0</v>
          </cell>
        </row>
        <row r="15">
          <cell r="F15" t="str">
            <v>TGM4X412 MONTHS/UNLIMITED24 MONTHS/UNLIMITEDYes</v>
          </cell>
          <cell r="G15">
            <v>0</v>
          </cell>
        </row>
        <row r="16">
          <cell r="F16" t="str">
            <v>TGM6X212 MONTHS/UNLIMITED24 MONTHS/UNLIMITEDNo</v>
          </cell>
          <cell r="G16">
            <v>0</v>
          </cell>
        </row>
        <row r="17">
          <cell r="F17" t="str">
            <v>TGM6X212 MONTHS/UNLIMITED24 MONTHS/UNLIMITEDYes</v>
          </cell>
          <cell r="G17">
            <v>0</v>
          </cell>
        </row>
        <row r="18">
          <cell r="F18" t="str">
            <v>TGM6X412 MONTHS/UNLIMITED24 MONTHS/UNLIMITEDNo</v>
          </cell>
          <cell r="G18">
            <v>0</v>
          </cell>
        </row>
        <row r="19">
          <cell r="F19" t="str">
            <v>TGM6X412 MONTHS/UNLIMITED24 MONTHS/UNLIMITEDYes</v>
          </cell>
          <cell r="G19">
            <v>0</v>
          </cell>
        </row>
        <row r="20">
          <cell r="F20" t="str">
            <v>TGM4X212 MONTHS/UNLIMITED36 MONTHS/450 000 KMNo</v>
          </cell>
          <cell r="G20">
            <v>18170</v>
          </cell>
        </row>
        <row r="21">
          <cell r="F21" t="str">
            <v>TGM4X212 MONTHS/UNLIMITED36 MONTHS/450 000 KMYes</v>
          </cell>
          <cell r="G21">
            <v>15010</v>
          </cell>
        </row>
        <row r="22">
          <cell r="F22" t="str">
            <v>TGM4X412 MONTHS/UNLIMITED36 MONTHS/450 000 KMNo</v>
          </cell>
          <cell r="G22">
            <v>22120</v>
          </cell>
        </row>
        <row r="23">
          <cell r="F23" t="str">
            <v>TGM4X412 MONTHS/UNLIMITED36 MONTHS/450 000 KMYes</v>
          </cell>
          <cell r="G23">
            <v>18170</v>
          </cell>
        </row>
        <row r="24">
          <cell r="F24" t="str">
            <v>TGM6X212 MONTHS/UNLIMITED36 MONTHS/450 000 KMNo</v>
          </cell>
          <cell r="G24">
            <v>22120</v>
          </cell>
        </row>
        <row r="25">
          <cell r="F25" t="str">
            <v>TGM6X212 MONTHS/UNLIMITED36 MONTHS/450 000 KMYes</v>
          </cell>
          <cell r="G25">
            <v>18170</v>
          </cell>
        </row>
        <row r="26">
          <cell r="F26" t="str">
            <v>TGM6X412 MONTHS/UNLIMITED36 MONTHS/450 000 KMNo</v>
          </cell>
          <cell r="G26">
            <v>22120</v>
          </cell>
        </row>
        <row r="27">
          <cell r="F27" t="str">
            <v>TGM6X412 MONTHS/UNLIMITED36 MONTHS/450 000 KMYes</v>
          </cell>
          <cell r="G27">
            <v>18170</v>
          </cell>
        </row>
        <row r="28">
          <cell r="F28" t="str">
            <v>TGS4X212 MONTHS/UNLIMITED36 MONTHS/450 000 KMNo</v>
          </cell>
          <cell r="G28">
            <v>17380</v>
          </cell>
        </row>
        <row r="29">
          <cell r="F29" t="str">
            <v>TGS4X212 MONTHS/UNLIMITED36 MONTHS/450 000 KMYes</v>
          </cell>
          <cell r="G29">
            <v>14220</v>
          </cell>
        </row>
        <row r="30">
          <cell r="F30" t="str">
            <v>TGS4X412 MONTHS/UNLIMITED36 MONTHS/450 000 KMNo</v>
          </cell>
          <cell r="G30">
            <v>26860</v>
          </cell>
        </row>
        <row r="31">
          <cell r="F31" t="str">
            <v>TGS4X412 MONTHS/UNLIMITED36 MONTHS/450 000 KMYes</v>
          </cell>
          <cell r="G31">
            <v>22120</v>
          </cell>
        </row>
        <row r="32">
          <cell r="F32" t="str">
            <v>TGS4X4HYDRO12 MONTHS/UNLIMITED36 MONTHS/450 000 KMNo</v>
          </cell>
          <cell r="G32">
            <v>33180</v>
          </cell>
        </row>
        <row r="33">
          <cell r="F33" t="str">
            <v>TGS4X4HYDRO12 MONTHS/UNLIMITED36 MONTHS/450 000 KMYes</v>
          </cell>
          <cell r="G33">
            <v>28440</v>
          </cell>
        </row>
        <row r="34">
          <cell r="F34" t="str">
            <v>TGS6X212 MONTHS/UNLIMITED36 MONTHS/450 000 KMNo</v>
          </cell>
          <cell r="G34">
            <v>17380</v>
          </cell>
        </row>
        <row r="35">
          <cell r="F35" t="str">
            <v>TGS6X212 MONTHS/UNLIMITED36 MONTHS/450 000 KMYes</v>
          </cell>
          <cell r="G35">
            <v>14220</v>
          </cell>
        </row>
        <row r="36">
          <cell r="F36" t="str">
            <v>TGS6X412 MONTHS/UNLIMITED36 MONTHS/450 000 KMNo</v>
          </cell>
          <cell r="G36">
            <v>26860</v>
          </cell>
        </row>
        <row r="37">
          <cell r="F37" t="str">
            <v>TGS6X412 MONTHS/UNLIMITED36 MONTHS/450 000 KMYes</v>
          </cell>
          <cell r="G37">
            <v>22120</v>
          </cell>
        </row>
        <row r="38">
          <cell r="F38" t="str">
            <v>TGS6X4H/D12 MONTHS/UNLIMITED36 MONTHS/450 000 KMNo</v>
          </cell>
          <cell r="G38">
            <v>90850</v>
          </cell>
        </row>
        <row r="39">
          <cell r="F39" t="str">
            <v>TGS6X4H/D12 MONTHS/UNLIMITED36 MONTHS/450 000 KMYes</v>
          </cell>
          <cell r="G39">
            <v>79000</v>
          </cell>
        </row>
        <row r="40">
          <cell r="F40" t="str">
            <v>TGS6X4HYDRO12 MONTHS/UNLIMITED36 MONTHS/450 000 KMNo</v>
          </cell>
          <cell r="G40">
            <v>33180</v>
          </cell>
        </row>
        <row r="41">
          <cell r="F41" t="str">
            <v>TGS6X4HYDRO12 MONTHS/UNLIMITED36 MONTHS/450 000 KMYes</v>
          </cell>
          <cell r="G41">
            <v>28440</v>
          </cell>
        </row>
        <row r="42">
          <cell r="F42" t="str">
            <v>TGS6X4LH12 MONTHS/UNLIMITED36 MONTHS/450 000 KMNo</v>
          </cell>
          <cell r="G42">
            <v>28440</v>
          </cell>
        </row>
        <row r="43">
          <cell r="F43" t="str">
            <v>TGS6X4LH12 MONTHS/UNLIMITED36 MONTHS/450 000 KMYes</v>
          </cell>
          <cell r="G43">
            <v>28440</v>
          </cell>
        </row>
        <row r="44">
          <cell r="F44" t="str">
            <v>TGS6X412 MONTHS/UNLIMITED36 MONTHS/450 000 KMNo</v>
          </cell>
          <cell r="G44">
            <v>26860</v>
          </cell>
        </row>
        <row r="45">
          <cell r="F45" t="str">
            <v>TGS6X412 MONTHS/UNLIMITED36 MONTHS/450 000 KMYes</v>
          </cell>
          <cell r="G45">
            <v>22120</v>
          </cell>
        </row>
        <row r="46">
          <cell r="F46" t="str">
            <v>TGS6X612 MONTHS/UNLIMITED36 MONTHS/450 000 KMNo</v>
          </cell>
          <cell r="G46">
            <v>26860</v>
          </cell>
        </row>
        <row r="47">
          <cell r="F47" t="str">
            <v>TGS6X612 MONTHS/UNLIMITED36 MONTHS/450 000 KMYes</v>
          </cell>
          <cell r="G47">
            <v>22120</v>
          </cell>
        </row>
        <row r="48">
          <cell r="F48" t="str">
            <v>TGS6X6H/D12 MONTHS/UNLIMITED36 MONTHS/450 000 KMNo</v>
          </cell>
          <cell r="G48">
            <v>90850</v>
          </cell>
        </row>
        <row r="49">
          <cell r="F49" t="str">
            <v>TGS6X6H/D12 MONTHS/UNLIMITED36 MONTHS/450 000 KMYes</v>
          </cell>
          <cell r="G49">
            <v>79000</v>
          </cell>
        </row>
        <row r="50">
          <cell r="F50" t="str">
            <v>TGS6X6HYDRO12 MONTHS/UNLIMITED36 MONTHS/450 000 KMNo</v>
          </cell>
          <cell r="G50">
            <v>33180</v>
          </cell>
        </row>
        <row r="51">
          <cell r="F51" t="str">
            <v>TGS6X6HYDRO12 MONTHS/UNLIMITED36 MONTHS/450 000 KMYes</v>
          </cell>
          <cell r="G51">
            <v>28440</v>
          </cell>
        </row>
        <row r="52">
          <cell r="F52" t="str">
            <v>TGS8X212 MONTHS/UNLIMITED36 MONTHS/450 000 KMNo</v>
          </cell>
          <cell r="G52">
            <v>17380</v>
          </cell>
        </row>
        <row r="53">
          <cell r="F53" t="str">
            <v>TGS8X212 MONTHS/UNLIMITED36 MONTHS/450 000 KMYes</v>
          </cell>
          <cell r="G53">
            <v>14220</v>
          </cell>
        </row>
        <row r="54">
          <cell r="F54" t="str">
            <v>TGS8X412 MONTHS/UNLIMITED36 MONTHS/450 000 KMNo</v>
          </cell>
          <cell r="G54">
            <v>33970</v>
          </cell>
        </row>
        <row r="55">
          <cell r="F55" t="str">
            <v>TGS8X412 MONTHS/UNLIMITED36 MONTHS/450 000 KMYes</v>
          </cell>
          <cell r="G55">
            <v>27650</v>
          </cell>
        </row>
        <row r="56">
          <cell r="F56" t="str">
            <v>TGS8X4H/D12 MONTHS/UNLIMITED36 MONTHS/450 000 KMNo</v>
          </cell>
          <cell r="G56">
            <v>90850</v>
          </cell>
        </row>
        <row r="57">
          <cell r="F57" t="str">
            <v>TGS8X4H/D12 MONTHS/UNLIMITED36 MONTHS/450 000 KMYes</v>
          </cell>
          <cell r="G57">
            <v>79000</v>
          </cell>
        </row>
        <row r="58">
          <cell r="F58" t="str">
            <v>TGS8X4HYDRO12 MONTHS/UNLIMITED36 MONTHS/450 000 KMNo</v>
          </cell>
          <cell r="G58">
            <v>33180</v>
          </cell>
        </row>
        <row r="59">
          <cell r="F59" t="str">
            <v>TGS8X4HYDRO12 MONTHS/UNLIMITED36 MONTHS/450 000 KMYes</v>
          </cell>
          <cell r="G59">
            <v>28440</v>
          </cell>
        </row>
        <row r="60">
          <cell r="F60" t="str">
            <v>TGS8X4LH12 MONTHS/UNLIMITED36 MONTHS/450 000 KMNo</v>
          </cell>
          <cell r="G60">
            <v>28440</v>
          </cell>
        </row>
        <row r="61">
          <cell r="F61" t="str">
            <v>TGS8X4LH12 MONTHS/UNLIMITED36 MONTHS/600 000 KMYes</v>
          </cell>
          <cell r="G61">
            <v>28440</v>
          </cell>
        </row>
        <row r="62">
          <cell r="F62" t="str">
            <v>TGS8X612 MONTHS/UNLIMITED36 MONTHS/450 000 KMNo</v>
          </cell>
          <cell r="G62">
            <v>33970</v>
          </cell>
        </row>
        <row r="63">
          <cell r="F63" t="str">
            <v>TGS8X612 MONTHS/UNLIMITED36 MONTHS/450 000 KMYes</v>
          </cell>
          <cell r="G63">
            <v>27650</v>
          </cell>
        </row>
        <row r="64">
          <cell r="F64" t="str">
            <v>TGS8X6H/D12 MONTHS/UNLIMITED36 MONTHS/450 000 KMNo</v>
          </cell>
          <cell r="G64">
            <v>90850</v>
          </cell>
        </row>
        <row r="65">
          <cell r="F65" t="str">
            <v>TGS8X6H/D12 MONTHS/UNLIMITED36 MONTHS/450 000 KMYes</v>
          </cell>
          <cell r="G65">
            <v>79000</v>
          </cell>
        </row>
        <row r="66">
          <cell r="F66" t="str">
            <v>TGS8X6HYDRO12 MONTHS/UNLIMITED36 MONTHS/450 000 KMNo</v>
          </cell>
          <cell r="G66">
            <v>33180</v>
          </cell>
        </row>
        <row r="67">
          <cell r="F67" t="str">
            <v>TGS8X6HYDRO12 MONTHS/UNLIMITED36 MONTHS/450 000 KMYes</v>
          </cell>
          <cell r="G67">
            <v>28440</v>
          </cell>
        </row>
        <row r="68">
          <cell r="F68" t="str">
            <v>TGS8X812 MONTHS/UNLIMITED36 MONTHS/450 000 KMNo</v>
          </cell>
          <cell r="G68">
            <v>33970</v>
          </cell>
        </row>
        <row r="69">
          <cell r="F69" t="str">
            <v>TGS8X812 MONTHS/UNLIMITED36 MONTHS/450 000 KMYes</v>
          </cell>
          <cell r="G69">
            <v>27650</v>
          </cell>
        </row>
        <row r="70">
          <cell r="F70" t="str">
            <v>TGX4X212 MONTHS/UNLIMITED36 MONTHS/450 000 KMNo</v>
          </cell>
          <cell r="G70">
            <v>17380</v>
          </cell>
        </row>
        <row r="71">
          <cell r="F71" t="str">
            <v>TGX4X212 MONTHS/UNLIMITED36 MONTHS/450 000 KMYes</v>
          </cell>
          <cell r="G71">
            <v>14220</v>
          </cell>
        </row>
        <row r="72">
          <cell r="F72" t="str">
            <v>TGX4X412 MONTHS/UNLIMITED36 MONTHS/450 000 KMNo</v>
          </cell>
          <cell r="G72">
            <v>26860</v>
          </cell>
        </row>
        <row r="73">
          <cell r="F73" t="str">
            <v>TGX4X412 MONTHS/UNLIMITED36 MONTHS/450 000 KMYes</v>
          </cell>
          <cell r="G73">
            <v>22120</v>
          </cell>
        </row>
        <row r="74">
          <cell r="F74" t="str">
            <v>TGX4X4HYDRO12 MONTHS/UNLIMITED36 MONTHS/450 000 KMNo</v>
          </cell>
          <cell r="G74">
            <v>33180</v>
          </cell>
        </row>
        <row r="75">
          <cell r="F75" t="str">
            <v>TGX4X4HYDRO12 MONTHS/UNLIMITED36 MONTHS/450 000 KMYes</v>
          </cell>
          <cell r="G75">
            <v>28440</v>
          </cell>
        </row>
        <row r="76">
          <cell r="F76" t="str">
            <v>TGX6X212 MONTHS/UNLIMITED36 MONTHS/450 000 KMNo</v>
          </cell>
          <cell r="G76">
            <v>17380</v>
          </cell>
        </row>
        <row r="77">
          <cell r="F77" t="str">
            <v>TGX6X212 MONTHS/UNLIMITED36 MONTHS/450 000 KMYes</v>
          </cell>
          <cell r="G77">
            <v>14220</v>
          </cell>
        </row>
        <row r="78">
          <cell r="F78" t="str">
            <v>TGX6X412 MONTHS/UNLIMITED36 MONTHS/450 000 KMNo</v>
          </cell>
          <cell r="G78">
            <v>26860</v>
          </cell>
        </row>
        <row r="79">
          <cell r="F79" t="str">
            <v>TGX6X412 MONTHS/UNLIMITED36 MONTHS/450 000 KMYes</v>
          </cell>
          <cell r="G79">
            <v>22120</v>
          </cell>
        </row>
        <row r="80">
          <cell r="F80" t="str">
            <v>TGX6X4H/D12 MONTHS/UNLIMITED36 MONTHS/450 000 KMNo</v>
          </cell>
          <cell r="G80">
            <v>90850</v>
          </cell>
        </row>
        <row r="81">
          <cell r="F81" t="str">
            <v>TGX6X4H/D12 MONTHS/UNLIMITED36 MONTHS/450 000 KMYes</v>
          </cell>
          <cell r="G81">
            <v>79000</v>
          </cell>
        </row>
        <row r="82">
          <cell r="F82" t="str">
            <v>TGX6X4HYDRO12 MONTHS/UNLIMITED36 MONTHS/450 000 KMNo</v>
          </cell>
          <cell r="G82">
            <v>33180</v>
          </cell>
        </row>
        <row r="83">
          <cell r="F83" t="str">
            <v>TGX6X4HYDRO12 MONTHS/UNLIMITED36 MONTHS/450 000 KMYes</v>
          </cell>
          <cell r="G83">
            <v>28440</v>
          </cell>
        </row>
        <row r="84">
          <cell r="F84" t="str">
            <v>TGX6X4LH12 MONTHS/UNLIMITED36 MONTHS/450 000 KMNo</v>
          </cell>
          <cell r="G84">
            <v>28440</v>
          </cell>
        </row>
        <row r="85">
          <cell r="F85" t="str">
            <v>TGX6X4LH12 MONTHS/UNLIMITED36 MONTHS/450 000 KMYes</v>
          </cell>
          <cell r="G85">
            <v>28440</v>
          </cell>
        </row>
        <row r="86">
          <cell r="F86" t="str">
            <v>TGX6X412 MONTHS/UNLIMITED36 MONTHS/450 000 KMNo</v>
          </cell>
          <cell r="G86">
            <v>26860</v>
          </cell>
        </row>
        <row r="87">
          <cell r="F87" t="str">
            <v>TGX6X412 MONTHS/UNLIMITED36 MONTHS/450 000 KMYes</v>
          </cell>
          <cell r="G87">
            <v>22120</v>
          </cell>
        </row>
        <row r="88">
          <cell r="F88" t="str">
            <v>TGX6X612 MONTHS/UNLIMITED36 MONTHS/450 000 KMNo</v>
          </cell>
          <cell r="G88">
            <v>26860</v>
          </cell>
        </row>
        <row r="89">
          <cell r="F89" t="str">
            <v>TGX6X612 MONTHS/UNLIMITED36 MONTHS/450 000 KMYes</v>
          </cell>
          <cell r="G89">
            <v>22120</v>
          </cell>
        </row>
        <row r="90">
          <cell r="F90" t="str">
            <v>TGX6X6H/D12 MONTHS/UNLIMITED36 MONTHS/450 000 KMNo</v>
          </cell>
          <cell r="G90">
            <v>90850</v>
          </cell>
        </row>
        <row r="91">
          <cell r="F91" t="str">
            <v>TGX6X6H/D12 MONTHS/UNLIMITED36 MONTHS/450 000 KMYes</v>
          </cell>
          <cell r="G91">
            <v>79000</v>
          </cell>
        </row>
        <row r="92">
          <cell r="F92" t="str">
            <v>TGX6X6HYDRO12 MONTHS/UNLIMITED36 MONTHS/450 000 KMNo</v>
          </cell>
          <cell r="G92">
            <v>33180</v>
          </cell>
        </row>
        <row r="93">
          <cell r="F93" t="str">
            <v>TGX6X6HYDRO12 MONTHS/UNLIMITED36 MONTHS/450 000 KMYes</v>
          </cell>
          <cell r="G93">
            <v>28440</v>
          </cell>
        </row>
        <row r="94">
          <cell r="F94" t="str">
            <v>TGX8X212 MONTHS/UNLIMITED36 MONTHS/450 000 KMNo</v>
          </cell>
          <cell r="G94">
            <v>17380</v>
          </cell>
        </row>
        <row r="95">
          <cell r="F95" t="str">
            <v>TGX8X212 MONTHS/UNLIMITED36 MONTHS/450 000 KMYes</v>
          </cell>
          <cell r="G95">
            <v>14220</v>
          </cell>
        </row>
        <row r="96">
          <cell r="F96" t="str">
            <v>TGX8X412 MONTHS/UNLIMITED36 MONTHS/450 000 KMNo</v>
          </cell>
          <cell r="G96">
            <v>33970</v>
          </cell>
        </row>
        <row r="97">
          <cell r="F97" t="str">
            <v>TGX8X412 MONTHS/UNLIMITED36 MONTHS/450 000 KMYes</v>
          </cell>
          <cell r="G97">
            <v>27650</v>
          </cell>
        </row>
        <row r="98">
          <cell r="F98" t="str">
            <v>TGX8X4H/D12 MONTHS/UNLIMITED36 MONTHS/450 000 KMNo</v>
          </cell>
          <cell r="G98">
            <v>90850</v>
          </cell>
        </row>
        <row r="99">
          <cell r="F99" t="str">
            <v>TGX8X4H/D12 MONTHS/UNLIMITED36 MONTHS/450 000 KMYes</v>
          </cell>
          <cell r="G99">
            <v>79000</v>
          </cell>
        </row>
        <row r="100">
          <cell r="F100" t="str">
            <v>TGX8X4HYDRO12 MONTHS/UNLIMITED36 MONTHS/450 000 KMNo</v>
          </cell>
          <cell r="G100">
            <v>33180</v>
          </cell>
        </row>
        <row r="101">
          <cell r="F101" t="str">
            <v>TGX8X4HYDRO12 MONTHS/UNLIMITED36 MONTHS/450 000 KMYes</v>
          </cell>
          <cell r="G101">
            <v>28440</v>
          </cell>
        </row>
        <row r="102">
          <cell r="F102" t="str">
            <v>TGX8X4LH12 MONTHS/UNLIMITED36 MONTHS/450 000 KMNo</v>
          </cell>
          <cell r="G102">
            <v>28440</v>
          </cell>
        </row>
        <row r="103">
          <cell r="F103" t="str">
            <v>TGX8X4LH12 MONTHS/UNLIMITED36 MONTHS/450 000 KMYes</v>
          </cell>
          <cell r="G103">
            <v>28440</v>
          </cell>
        </row>
        <row r="104">
          <cell r="F104" t="str">
            <v>TGX8X612 MONTHS/UNLIMITED36 MONTHS/450 000 KMNo</v>
          </cell>
          <cell r="G104">
            <v>33970</v>
          </cell>
        </row>
        <row r="105">
          <cell r="F105" t="str">
            <v>TGX8X612 MONTHS/UNLIMITED36 MONTHS/450 000 KMYes</v>
          </cell>
          <cell r="G105">
            <v>27650</v>
          </cell>
        </row>
        <row r="106">
          <cell r="F106" t="str">
            <v>TGX8X6H/D12 MONTHS/UNLIMITED36 MONTHS/450 000 KMNo</v>
          </cell>
          <cell r="G106">
            <v>90850</v>
          </cell>
        </row>
        <row r="107">
          <cell r="F107" t="str">
            <v>TGX8X6H/D12 MONTHS/UNLIMITED36 MONTHS/450 000 KMYes</v>
          </cell>
          <cell r="G107">
            <v>79000</v>
          </cell>
        </row>
        <row r="108">
          <cell r="F108" t="str">
            <v>TGX8X6HYDRO12 MONTHS/UNLIMITED36 MONTHS/450 000 KMNo</v>
          </cell>
          <cell r="G108">
            <v>33180</v>
          </cell>
        </row>
        <row r="109">
          <cell r="F109" t="str">
            <v>TGX8X6HYDRO12 MONTHS/UNLIMITED36 MONTHS/450 000 KMYes</v>
          </cell>
          <cell r="G109">
            <v>28440</v>
          </cell>
        </row>
        <row r="110">
          <cell r="F110" t="str">
            <v>TGX8X812 MONTHS/UNLIMITED36 MONTHS/450 000 KMNo</v>
          </cell>
          <cell r="G110">
            <v>33970</v>
          </cell>
        </row>
        <row r="111">
          <cell r="F111" t="str">
            <v>TGX8X812 MONTHS/UNLIMITED36 MONTHS/450 000 KMYes</v>
          </cell>
          <cell r="G111">
            <v>27650</v>
          </cell>
        </row>
        <row r="112">
          <cell r="F112" t="str">
            <v>TGX4X224 MONTHS/300 000 KM48 MONTHS/600 000 KMNo</v>
          </cell>
          <cell r="G112">
            <v>50560</v>
          </cell>
        </row>
        <row r="113">
          <cell r="F113" t="str">
            <v>TGX4X224 MONTHS/300 000 KM48 MONTHS/600 000 KMYes</v>
          </cell>
          <cell r="G113">
            <v>41080</v>
          </cell>
        </row>
        <row r="114">
          <cell r="F114" t="str">
            <v>TGX4X236 MONTHS/450 000 KM48 MONTHS/600 000 KMNo</v>
          </cell>
          <cell r="G114">
            <v>61620</v>
          </cell>
        </row>
        <row r="115">
          <cell r="F115" t="str">
            <v>TGX4X236 MONTHS/450 000 KM48 MONTHS/600 000 KMYes</v>
          </cell>
          <cell r="G115">
            <v>49770</v>
          </cell>
        </row>
        <row r="116">
          <cell r="F116" t="str">
            <v>TGX4X4 H/D24 MONTHS/300 000 KM48 MONTHS/600 000 KMNo</v>
          </cell>
          <cell r="G116">
            <v>95590</v>
          </cell>
        </row>
        <row r="117">
          <cell r="F117" t="str">
            <v>TGX4X4 H/D24 MONTHS/300 000 KM48 MONTHS/600 000 KMYes</v>
          </cell>
          <cell r="G117">
            <v>180120</v>
          </cell>
        </row>
        <row r="118">
          <cell r="F118" t="str">
            <v>TGX4X4 H/D36 MONTHS/450 000 KM48 MONTHS/600 000 KMNo</v>
          </cell>
          <cell r="G118">
            <v>121660</v>
          </cell>
        </row>
        <row r="119">
          <cell r="F119" t="str">
            <v>TGX4X4 H/D36 MONTHS/450 000 KM48 MONTHS/600 000 KMYes</v>
          </cell>
          <cell r="G119">
            <v>202240</v>
          </cell>
        </row>
        <row r="120">
          <cell r="F120" t="str">
            <v>TGX4X424 MONTHS/300 000 KM48 MONTHS/600 000 KMNo</v>
          </cell>
          <cell r="G120">
            <v>79790</v>
          </cell>
        </row>
        <row r="121">
          <cell r="F121" t="str">
            <v>TGX4X424 MONTHS/300 000 KM48 MONTHS/600 000 KMYes</v>
          </cell>
          <cell r="G121">
            <v>63990</v>
          </cell>
        </row>
        <row r="122">
          <cell r="F122" t="str">
            <v>TGX4X436 MONTHS/450 000 KM48 MONTHS/600 000 KMNo</v>
          </cell>
          <cell r="G122">
            <v>105860</v>
          </cell>
        </row>
        <row r="123">
          <cell r="F123" t="str">
            <v>TGX4X436 MONTHS/450 000 KM48 MONTHS/600 000 KMYes</v>
          </cell>
          <cell r="G123">
            <v>85320</v>
          </cell>
        </row>
        <row r="124">
          <cell r="F124" t="str">
            <v>TGX6X224 MONTHS/300 000 KM48 MONTHS/600 000 KMNo</v>
          </cell>
          <cell r="G124">
            <v>50560</v>
          </cell>
        </row>
        <row r="125">
          <cell r="F125" t="str">
            <v>TGX6X224 MONTHS/300 000 KM48 MONTHS/600 000 KMYes</v>
          </cell>
          <cell r="G125">
            <v>41080</v>
          </cell>
        </row>
        <row r="126">
          <cell r="F126" t="str">
            <v>TGX6X236 MONTHS/450 000 KM48 MONTHS/600 000 KMNo</v>
          </cell>
          <cell r="G126">
            <v>50560</v>
          </cell>
        </row>
        <row r="127">
          <cell r="F127" t="str">
            <v>TGX6X236 MONTHS/450 000 KM48 MONTHS/600 000 KMYes</v>
          </cell>
          <cell r="G127">
            <v>41080</v>
          </cell>
        </row>
        <row r="128">
          <cell r="F128" t="str">
            <v>TGX6X4 H/D (ABN)24 MONTHS/300 000 KM48 MONTHS/600 000 KMNo</v>
          </cell>
          <cell r="G128">
            <v>207770</v>
          </cell>
        </row>
        <row r="129">
          <cell r="F129" t="str">
            <v>TGX6X4 H/D (ABN)24 MONTHS/300 000 KM48 MONTHS/600 000 KMYes</v>
          </cell>
          <cell r="G129">
            <v>82950</v>
          </cell>
        </row>
        <row r="130">
          <cell r="F130" t="str">
            <v>TGX6X4 H/D (ABN)36 MONTHS/450 000 KM48 MONTHS/600 000 KMNo</v>
          </cell>
          <cell r="G130">
            <v>233050</v>
          </cell>
        </row>
        <row r="131">
          <cell r="F131" t="str">
            <v>TGX6X4 H/D (ABN)36 MONTHS/450 000 KM48 MONTHS/600 000 KMYes</v>
          </cell>
          <cell r="G131">
            <v>105860</v>
          </cell>
        </row>
        <row r="132">
          <cell r="F132" t="str">
            <v>TGX6X4 H/D24 MONTHS/300 000 KM48 MONTHS/600 000 KMNo</v>
          </cell>
          <cell r="G132">
            <v>95590</v>
          </cell>
        </row>
        <row r="133">
          <cell r="F133" t="str">
            <v>TGX6X4 H/D24 MONTHS/300 000 KM48 MONTHS/600 000 KMYes</v>
          </cell>
          <cell r="G133">
            <v>180120</v>
          </cell>
        </row>
        <row r="134">
          <cell r="F134" t="str">
            <v>TGX6X4 H/D36 MONTHS/450 000 KM48 MONTHS/600 000 KMNo</v>
          </cell>
          <cell r="G134">
            <v>121660</v>
          </cell>
        </row>
        <row r="135">
          <cell r="F135" t="str">
            <v>TGX6X4 H/D36 MONTHS/450 000 KM48 MONTHS/600 000 KMYes</v>
          </cell>
          <cell r="G135">
            <v>202240</v>
          </cell>
        </row>
        <row r="136">
          <cell r="F136" t="str">
            <v>TGX6X424 MONTHS/300 000 KM48 MONTHS/600 000 KMNo</v>
          </cell>
          <cell r="G136">
            <v>79790</v>
          </cell>
        </row>
        <row r="137">
          <cell r="F137" t="str">
            <v>TGX6X424 MONTHS/300 000 KM48 MONTHS/600 000 KMYes</v>
          </cell>
          <cell r="G137">
            <v>63990</v>
          </cell>
        </row>
        <row r="138">
          <cell r="F138" t="str">
            <v>TGX6X436 MONTHS/450 000 KM48 MONTHS/600 000 KMNo</v>
          </cell>
          <cell r="G138">
            <v>105860</v>
          </cell>
        </row>
        <row r="139">
          <cell r="F139" t="str">
            <v>TGX6X436 MONTHS/450 000 KM48 MONTHS/600 000 KMYes</v>
          </cell>
          <cell r="G139">
            <v>85320</v>
          </cell>
        </row>
        <row r="140">
          <cell r="F140" t="str">
            <v>TGX6X6 H/D (ABN)24 MONTHS/300 000 KM48 MONTHS/600 000 KMNo</v>
          </cell>
          <cell r="G140">
            <v>207770</v>
          </cell>
        </row>
        <row r="141">
          <cell r="F141" t="str">
            <v>TGX6X6 H/D (ABN)24 MONTHS/300 000 KM48 MONTHS/600 000 KMYes</v>
          </cell>
          <cell r="G141">
            <v>82950</v>
          </cell>
        </row>
        <row r="142">
          <cell r="F142" t="str">
            <v>TGX6X6 H/D (ABN)36 MONTHS/450 000 KM48 MONTHS/600 000 KMNo</v>
          </cell>
          <cell r="G142">
            <v>233050</v>
          </cell>
        </row>
        <row r="143">
          <cell r="F143" t="str">
            <v>TGX6X6 H/D (ABN)36 MONTHS/450 000 KM48 MONTHS/600 000 KMYes</v>
          </cell>
          <cell r="G143">
            <v>105860</v>
          </cell>
        </row>
        <row r="144">
          <cell r="F144" t="str">
            <v>TGX6X6 H/D24 MONTHS/300 000 KM48 MONTHS/600 000 KMNo</v>
          </cell>
          <cell r="G144">
            <v>95590</v>
          </cell>
        </row>
        <row r="145">
          <cell r="F145" t="str">
            <v>TGX6X6 H/D24 MONTHS/300 000 KM48 MONTHS/600 000 KMYes</v>
          </cell>
          <cell r="G145">
            <v>180120</v>
          </cell>
        </row>
        <row r="146">
          <cell r="F146" t="str">
            <v>TGX6X6 H/D36 MONTHS/450 000 KM48 MONTHS/600 000 KMNo</v>
          </cell>
          <cell r="G146">
            <v>121660</v>
          </cell>
        </row>
        <row r="147">
          <cell r="F147" t="str">
            <v>TGX6X6 H/D36 MONTHS/450 000 KM48 MONTHS/600 000 KMYes</v>
          </cell>
          <cell r="G147">
            <v>202240</v>
          </cell>
        </row>
        <row r="148">
          <cell r="F148" t="str">
            <v>TGX6X624 MONTHS/300 000 KM48 MONTHS/600 000 KMNo</v>
          </cell>
          <cell r="G148">
            <v>79790</v>
          </cell>
        </row>
        <row r="149">
          <cell r="F149" t="str">
            <v>TGX6X624 MONTHS/300 000 KM48 MONTHS/600 000 KMYes</v>
          </cell>
          <cell r="G149">
            <v>68730</v>
          </cell>
        </row>
        <row r="150">
          <cell r="F150" t="str">
            <v>TGX6X636 MONTHS/450 000 KM48 MONTHS/600 000 KMNo</v>
          </cell>
          <cell r="G150">
            <v>105860</v>
          </cell>
        </row>
        <row r="151">
          <cell r="F151" t="str">
            <v>TGX6X636 MONTHS/450 000 KM48 MONTHS/600 000 KMYes</v>
          </cell>
          <cell r="G151">
            <v>91640</v>
          </cell>
        </row>
        <row r="152">
          <cell r="F152" t="str">
            <v>TGX8X224 MONTHS/300 000 KM48 MONTHS/600 000 KMNo</v>
          </cell>
          <cell r="G152">
            <v>50560</v>
          </cell>
        </row>
        <row r="153">
          <cell r="F153" t="str">
            <v>TGX8X224 MONTHS/300 000 KM48 MONTHS/600 000 KMYes</v>
          </cell>
          <cell r="G153">
            <v>41080</v>
          </cell>
        </row>
        <row r="154">
          <cell r="F154" t="str">
            <v>TGX8X236 MONTHS/450 000 KM48 MONTHS/600 000 KMNo</v>
          </cell>
          <cell r="G154">
            <v>50560</v>
          </cell>
        </row>
        <row r="155">
          <cell r="F155" t="str">
            <v>TGX8X236 MONTHS/450 000 KM48 MONTHS/600 000 KMYes</v>
          </cell>
          <cell r="G155">
            <v>41080</v>
          </cell>
        </row>
        <row r="156">
          <cell r="F156" t="str">
            <v>TGX8X4 H/D (ABN)24 MONTHS/300 000 KM48 MONTHS/600 000 KMNo</v>
          </cell>
          <cell r="G156">
            <v>207770</v>
          </cell>
        </row>
        <row r="157">
          <cell r="F157" t="str">
            <v>TGX8X4 H/D (ABN)24 MONTHS/300 000 KM48 MONTHS/600 000 KMYes</v>
          </cell>
          <cell r="G157">
            <v>82950</v>
          </cell>
        </row>
        <row r="158">
          <cell r="F158" t="str">
            <v>TGX8X4 H/D (ABN)36 MONTHS/450 000 KM48 MONTHS/600 000 KMNo</v>
          </cell>
          <cell r="G158">
            <v>233050</v>
          </cell>
        </row>
        <row r="159">
          <cell r="F159" t="str">
            <v>TGX8X4 H/D (ABN)36 MONTHS/450 000 KM48 MONTHS/600 000 KMYes</v>
          </cell>
          <cell r="G159">
            <v>105860</v>
          </cell>
        </row>
        <row r="160">
          <cell r="F160" t="str">
            <v>TGX8X4 H/D24 MONTHS/300 000 KM48 MONTHS/600 000 KMNo</v>
          </cell>
          <cell r="G160">
            <v>95590</v>
          </cell>
        </row>
        <row r="161">
          <cell r="F161" t="str">
            <v>TGX8X4 H/D24 MONTHS/300 000 KM48 MONTHS/600 000 KMYes</v>
          </cell>
          <cell r="G161">
            <v>180120</v>
          </cell>
        </row>
        <row r="162">
          <cell r="F162" t="str">
            <v>TGX8X4 H/D36 MONTHS/450 000 KM48 MONTHS/600 000 KMNo</v>
          </cell>
          <cell r="G162">
            <v>121660</v>
          </cell>
        </row>
        <row r="163">
          <cell r="F163" t="str">
            <v>TGX8X4 H/D36 MONTHS/450 000 KM48 MONTHS/600 000 KMYes</v>
          </cell>
          <cell r="G163">
            <v>202240</v>
          </cell>
        </row>
        <row r="164">
          <cell r="F164" t="str">
            <v>TGX8X424 MONTHS/300 000 KM48 MONTHS/600 000 KMNo</v>
          </cell>
          <cell r="G164">
            <v>101120</v>
          </cell>
        </row>
        <row r="165">
          <cell r="F165" t="str">
            <v>TGX8X424 MONTHS/300 000 KM48 MONTHS/600 000 KMYes</v>
          </cell>
          <cell r="G165">
            <v>81370</v>
          </cell>
        </row>
        <row r="166">
          <cell r="F166" t="str">
            <v>TGX8X436 MONTHS/450 000 KM48 MONTHS/600 000 KMNo</v>
          </cell>
          <cell r="G166">
            <v>126400</v>
          </cell>
        </row>
        <row r="167">
          <cell r="F167" t="str">
            <v>TGX8X436 MONTHS/450 000 KM48 MONTHS/600 000 KMYes</v>
          </cell>
          <cell r="G167">
            <v>101120</v>
          </cell>
        </row>
        <row r="168">
          <cell r="F168" t="str">
            <v>TGX8X6 H/D (ABN)24 MONTHS/300 000 KM48 MONTHS/600 000 KMNo</v>
          </cell>
          <cell r="G168">
            <v>207770</v>
          </cell>
        </row>
        <row r="169">
          <cell r="F169" t="str">
            <v>TGX8X6 H/D (ABN)24 MONTHS/300 000 KM48 MONTHS/600 000 KMYes</v>
          </cell>
          <cell r="G169">
            <v>82950</v>
          </cell>
        </row>
        <row r="170">
          <cell r="F170" t="str">
            <v>TGX8X6 H/D (ABN)36 MONTHS/450 000 KM48 MONTHS/600 000 KMNo</v>
          </cell>
          <cell r="G170">
            <v>233050</v>
          </cell>
        </row>
        <row r="171">
          <cell r="F171" t="str">
            <v>TGX8X6 H/D (ABN)36 MONTHS/450 000 KM48 MONTHS/600 000 KMYes</v>
          </cell>
          <cell r="G171">
            <v>105860</v>
          </cell>
        </row>
        <row r="172">
          <cell r="F172" t="str">
            <v>TGX8X6 H/D24 MONTHS/300 000 KM48 MONTHS/600 000 KMNo</v>
          </cell>
          <cell r="G172">
            <v>95590</v>
          </cell>
        </row>
        <row r="173">
          <cell r="F173" t="str">
            <v>TGX8X6 H/D24 MONTHS/300 000 KM48 MONTHS/600 000 KMYes</v>
          </cell>
          <cell r="G173">
            <v>180120</v>
          </cell>
        </row>
        <row r="174">
          <cell r="F174" t="str">
            <v>TGX8X6 H/D36 MONTHS/450 000 KM48 MONTHS/600 000 KMNo</v>
          </cell>
          <cell r="G174">
            <v>121660</v>
          </cell>
        </row>
        <row r="175">
          <cell r="F175" t="str">
            <v>TGX8X6 H/D36 MONTHS/450 000 KM48 MONTHS/600 000 KMYes</v>
          </cell>
          <cell r="G175">
            <v>202240</v>
          </cell>
        </row>
        <row r="176">
          <cell r="F176" t="str">
            <v>TGX8X624 MONTHS/300 000 KM48 MONTHS/600 000 KMNo</v>
          </cell>
          <cell r="G176">
            <v>101120</v>
          </cell>
        </row>
        <row r="177">
          <cell r="F177" t="str">
            <v>TGX8X624 MONTHS/300 000 KM48 MONTHS/600 000 KMYes</v>
          </cell>
          <cell r="G177">
            <v>87690</v>
          </cell>
        </row>
        <row r="178">
          <cell r="F178" t="str">
            <v>TGX8X636 MONTHS/450 000 KM48 MONTHS/600 000 KMNo</v>
          </cell>
          <cell r="G178">
            <v>126400</v>
          </cell>
        </row>
        <row r="179">
          <cell r="F179" t="str">
            <v>TGX8X636 MONTHS/450 000 KM48 MONTHS/600 000 KMYes</v>
          </cell>
          <cell r="G179">
            <v>109810</v>
          </cell>
        </row>
        <row r="180">
          <cell r="F180" t="str">
            <v>TGX8X824 MONTHS/300 000 KM48 MONTHS/600 000 KMNo</v>
          </cell>
          <cell r="G180">
            <v>101120</v>
          </cell>
        </row>
        <row r="181">
          <cell r="F181" t="str">
            <v>TGX8X824 MONTHS/300 000 KM48 MONTHS/600 000 KMYes</v>
          </cell>
          <cell r="G181">
            <v>87690</v>
          </cell>
        </row>
        <row r="182">
          <cell r="F182" t="str">
            <v>TGX8X836 MONTHS/450 000 KM48 MONTHS/600 000 KMNo</v>
          </cell>
          <cell r="G182">
            <v>126400</v>
          </cell>
        </row>
        <row r="183">
          <cell r="F183" t="str">
            <v>TGX8X836 MONTHS/450 000 KM48 MONTHS/600 000 KMYes</v>
          </cell>
          <cell r="G183">
            <v>109810</v>
          </cell>
        </row>
        <row r="184">
          <cell r="F184" t="str">
            <v>TGS4X224 MONTHS/300 000 KM48 MONTHS/600 000 KMNo</v>
          </cell>
          <cell r="G184">
            <v>50560</v>
          </cell>
        </row>
        <row r="185">
          <cell r="F185" t="str">
            <v>TGS4X224 MONTHS/300 000 KM48 MONTHS/600 000 KMYes</v>
          </cell>
          <cell r="G185">
            <v>41080</v>
          </cell>
        </row>
        <row r="186">
          <cell r="F186" t="str">
            <v>TGS4X236 MONTHS/450 000 KM48 MONTHS/600 000 KMNo</v>
          </cell>
          <cell r="G186">
            <v>50560</v>
          </cell>
        </row>
        <row r="187">
          <cell r="F187" t="str">
            <v>TGS4X236 MONTHS/450 000 KM48 MONTHS/600 000 KMYes</v>
          </cell>
          <cell r="G187">
            <v>41080</v>
          </cell>
        </row>
        <row r="188">
          <cell r="F188" t="str">
            <v>TGS4X4 H/D24 MONTHS/300 000 KM48 MONTHS/600 000 KMNo</v>
          </cell>
          <cell r="G188">
            <v>95590</v>
          </cell>
        </row>
        <row r="189">
          <cell r="F189" t="str">
            <v>TGS4X4 H/D24 MONTHS/300 000 KM48 MONTHS/600 000 KMYes</v>
          </cell>
          <cell r="G189">
            <v>180120</v>
          </cell>
        </row>
        <row r="190">
          <cell r="F190" t="str">
            <v>TGS4X4 H/D36 MONTHS/450 000 KM48 MONTHS/600 000 KMNo</v>
          </cell>
          <cell r="G190">
            <v>121660</v>
          </cell>
        </row>
        <row r="191">
          <cell r="F191" t="str">
            <v>TGS4X4 H/D36 MONTHS/450 000 KM48 MONTHS/600 000 KMYes</v>
          </cell>
          <cell r="G191">
            <v>202240</v>
          </cell>
        </row>
        <row r="192">
          <cell r="F192" t="str">
            <v>TGS4X424 MONTHS/300 000 KM48 MONTHS/600 000 KMNo</v>
          </cell>
          <cell r="G192">
            <v>79790</v>
          </cell>
        </row>
        <row r="193">
          <cell r="F193" t="str">
            <v>TGS4X424 MONTHS/300 000 KM48 MONTHS/600 000 KMYes</v>
          </cell>
          <cell r="G193">
            <v>63990</v>
          </cell>
        </row>
        <row r="194">
          <cell r="F194" t="str">
            <v>TGS4X436 MONTHS/450 000 KM48 MONTHS/600 000 KMNo</v>
          </cell>
          <cell r="G194">
            <v>105860</v>
          </cell>
        </row>
        <row r="195">
          <cell r="F195" t="str">
            <v>TGS4X436 MONTHS/450 000 KM48 MONTHS/600 000 KMYes</v>
          </cell>
          <cell r="G195">
            <v>85320</v>
          </cell>
        </row>
        <row r="196">
          <cell r="F196" t="str">
            <v>TGS6X224 MONTHS/300 000 KM48 MONTHS/600 000 KMNo</v>
          </cell>
          <cell r="G196">
            <v>50560</v>
          </cell>
        </row>
        <row r="197">
          <cell r="F197" t="str">
            <v>TGS6X224 MONTHS/300 000 KM48 MONTHS/600 000 KMYes</v>
          </cell>
          <cell r="G197">
            <v>41080</v>
          </cell>
        </row>
        <row r="198">
          <cell r="F198" t="str">
            <v>TGS6X236 MONTHS/450 000 KM48 MONTHS/600 000 KMNo</v>
          </cell>
          <cell r="G198">
            <v>50560</v>
          </cell>
        </row>
        <row r="199">
          <cell r="F199" t="str">
            <v>TGS6X236 MONTHS/450 000 KM48 MONTHS/600 000 KMYes</v>
          </cell>
          <cell r="G199">
            <v>41080</v>
          </cell>
        </row>
        <row r="200">
          <cell r="F200" t="str">
            <v>TGS6X4 H/D (ABN)24 MONTHS/300 000 KM48 MONTHS/600 000 KMNo</v>
          </cell>
          <cell r="G200">
            <v>207770</v>
          </cell>
        </row>
        <row r="201">
          <cell r="F201" t="str">
            <v>TGS6X4 H/D (ABN)24 MONTHS/300 000 KM48 MONTHS/600 000 KMYes</v>
          </cell>
          <cell r="G201">
            <v>82950</v>
          </cell>
        </row>
        <row r="202">
          <cell r="F202" t="str">
            <v>TGS6X4 H/D (ABN)36 MONTHS/450 000 KM48 MONTHS/600 000 KMNo</v>
          </cell>
          <cell r="G202">
            <v>233050</v>
          </cell>
        </row>
        <row r="203">
          <cell r="F203" t="str">
            <v>TGS6X4 H/D (ABN)36 MONTHS/450 000 KM48 MONTHS/600 000 KMYes</v>
          </cell>
          <cell r="G203">
            <v>105860</v>
          </cell>
        </row>
        <row r="204">
          <cell r="F204" t="str">
            <v>TGS6X4 H/D24 MONTHS/300 000 KM48 MONTHS/600 000 KMNo</v>
          </cell>
          <cell r="G204">
            <v>95590</v>
          </cell>
        </row>
        <row r="205">
          <cell r="F205" t="str">
            <v>TGS6X4 H/D24 MONTHS/300 000 KM48 MONTHS/600 000 KMYes</v>
          </cell>
          <cell r="G205">
            <v>180120</v>
          </cell>
        </row>
        <row r="206">
          <cell r="F206" t="str">
            <v>TGS6X4 H/D36 MONTHS/450 000 KM48 MONTHS/600 000 KMNo</v>
          </cell>
          <cell r="G206">
            <v>121660</v>
          </cell>
        </row>
        <row r="207">
          <cell r="F207" t="str">
            <v>TGS6X4 H/D36 MONTHS/450 000 KM48 MONTHS/600 000 KMYes</v>
          </cell>
          <cell r="G207">
            <v>202240</v>
          </cell>
        </row>
        <row r="208">
          <cell r="F208" t="str">
            <v>TGS6X4LH24 MONTHS/300 000 KM48 MONTHS/600 000 KMNo</v>
          </cell>
          <cell r="G208">
            <v>79790</v>
          </cell>
        </row>
        <row r="209">
          <cell r="F209" t="str">
            <v>TGS6X4LH24 MONTHS/300 000 KM48 MONTHS/600 000 KMYes</v>
          </cell>
          <cell r="G209">
            <v>68730</v>
          </cell>
        </row>
        <row r="210">
          <cell r="F210" t="str">
            <v>TGS6X424 MONTHS/300 000 KM48 MONTHS/600 000 KMNo</v>
          </cell>
          <cell r="G210">
            <v>79790</v>
          </cell>
        </row>
        <row r="211">
          <cell r="F211" t="str">
            <v>TGS6X424 MONTHS/300 000 KM48 MONTHS/600 000 KMYes</v>
          </cell>
          <cell r="G211">
            <v>63990</v>
          </cell>
        </row>
        <row r="212">
          <cell r="F212" t="str">
            <v>TGS6X436 MONTHS/450 000 KM48 MONTHS/600 000 KMNo</v>
          </cell>
          <cell r="G212">
            <v>105860</v>
          </cell>
        </row>
        <row r="213">
          <cell r="F213" t="str">
            <v>TGS6X436 MONTHS/450 000 KM48 MONTHS/600 000 KMYes</v>
          </cell>
          <cell r="G213">
            <v>85320</v>
          </cell>
        </row>
        <row r="214">
          <cell r="F214" t="str">
            <v>TGS6X6 H/D (ABN)24 MONTHS/300 000 KM48 MONTHS/600 000 KMNo</v>
          </cell>
          <cell r="G214">
            <v>207770</v>
          </cell>
        </row>
        <row r="215">
          <cell r="F215" t="str">
            <v>TGS6X6 H/D (ABN)24 MONTHS/300 000 KM48 MONTHS/600 000 KMYes</v>
          </cell>
          <cell r="G215">
            <v>82950</v>
          </cell>
        </row>
        <row r="216">
          <cell r="F216" t="str">
            <v>TGS6X6 H/D (ABN)36 MONTHS/450 000 KM48 MONTHS/600 000 KMNo</v>
          </cell>
          <cell r="G216">
            <v>233050</v>
          </cell>
        </row>
        <row r="217">
          <cell r="F217" t="str">
            <v>TGS6X6 H/D (ABN)36 MONTHS/450 000 KM48 MONTHS/600 000 KMYes</v>
          </cell>
          <cell r="G217">
            <v>105860</v>
          </cell>
        </row>
        <row r="218">
          <cell r="F218" t="str">
            <v>TGS6X6 H/D24 MONTHS/300 000 KM48 MONTHS/600 000 KMNo</v>
          </cell>
          <cell r="G218">
            <v>95590</v>
          </cell>
        </row>
        <row r="219">
          <cell r="F219" t="str">
            <v>TGS6X6 H/D24 MONTHS/300 000 KM48 MONTHS/600 000 KMYes</v>
          </cell>
          <cell r="G219">
            <v>180120</v>
          </cell>
        </row>
        <row r="220">
          <cell r="F220" t="str">
            <v>TGS6X6 H/D36 MONTHS/450 000 KM48 MONTHS/600 000 KMNo</v>
          </cell>
          <cell r="G220">
            <v>121660</v>
          </cell>
        </row>
        <row r="221">
          <cell r="F221" t="str">
            <v>TGS6X6 H/D36 MONTHS/450 000 KM48 MONTHS/600 000 KMYes</v>
          </cell>
          <cell r="G221">
            <v>202240</v>
          </cell>
        </row>
        <row r="222">
          <cell r="F222" t="str">
            <v>TGS6X624 MONTHS/300 000 KM48 MONTHS/600 000 KMNo</v>
          </cell>
          <cell r="G222">
            <v>79790</v>
          </cell>
        </row>
        <row r="223">
          <cell r="F223" t="str">
            <v>TGS6X624 MONTHS/300 000 KM48 MONTHS/600 000 KMYes</v>
          </cell>
          <cell r="G223">
            <v>68730</v>
          </cell>
        </row>
        <row r="224">
          <cell r="F224" t="str">
            <v>TGS6X636 MONTHS/450 000 KM48 MONTHS/600 000 KMNo</v>
          </cell>
          <cell r="G224">
            <v>105860</v>
          </cell>
        </row>
        <row r="225">
          <cell r="F225" t="str">
            <v>TGS6X636 MONTHS/450 000 KM48 MONTHS/600 000 KMYes</v>
          </cell>
          <cell r="G225">
            <v>91640</v>
          </cell>
        </row>
        <row r="226">
          <cell r="F226" t="str">
            <v>TGS8X224 MONTHS/300 000 KM48 MONTHS/600 000 KMNo</v>
          </cell>
          <cell r="G226">
            <v>50560</v>
          </cell>
        </row>
        <row r="227">
          <cell r="F227" t="str">
            <v>TGS8X224 MONTHS/300 000 KM48 MONTHS/600 000 KMYes</v>
          </cell>
          <cell r="G227">
            <v>41080</v>
          </cell>
        </row>
        <row r="228">
          <cell r="F228" t="str">
            <v>TGS8X236 MONTHS/450 000 KM48 MONTHS/600 000 KMNo</v>
          </cell>
          <cell r="G228">
            <v>50560</v>
          </cell>
        </row>
        <row r="229">
          <cell r="F229" t="str">
            <v>TGS8X236 MONTHS/450 000 KM48 MONTHS/600 000 KMYes</v>
          </cell>
          <cell r="G229">
            <v>41080</v>
          </cell>
        </row>
        <row r="230">
          <cell r="F230" t="str">
            <v>TGS8X4 H/D (ABN)24 MONTHS/300 000 KM48 MONTHS/600 000 KMNo</v>
          </cell>
          <cell r="G230">
            <v>207770</v>
          </cell>
        </row>
        <row r="231">
          <cell r="F231" t="str">
            <v>TGS8X4 H/D (ABN)24 MONTHS/300 000 KM48 MONTHS/600 000 KMYes</v>
          </cell>
          <cell r="G231">
            <v>82950</v>
          </cell>
        </row>
        <row r="232">
          <cell r="F232" t="str">
            <v>TGS8X4 H/D (ABN)36 MONTHS/450 000 KM48 MONTHS/600 000 KMNo</v>
          </cell>
          <cell r="G232">
            <v>233050</v>
          </cell>
        </row>
        <row r="233">
          <cell r="F233" t="str">
            <v>TGS8X4 H/D (ABN)36 MONTHS/450 000 KM48 MONTHS/600 000 KMYes</v>
          </cell>
          <cell r="G233">
            <v>105860</v>
          </cell>
        </row>
        <row r="234">
          <cell r="F234" t="str">
            <v>TGS8X4 H/D24 MONTHS/300 000 KM48 MONTHS/600 000 KMNo</v>
          </cell>
          <cell r="G234">
            <v>95590</v>
          </cell>
        </row>
        <row r="235">
          <cell r="F235" t="str">
            <v>TGS8X4 H/D24 MONTHS/300 000 KM48 MONTHS/600 000 KMYes</v>
          </cell>
          <cell r="G235">
            <v>180120</v>
          </cell>
        </row>
        <row r="236">
          <cell r="F236" t="str">
            <v>TGS8X4 H/D36 MONTHS/450 000 KM48 MONTHS/600 000 KMNo</v>
          </cell>
          <cell r="G236">
            <v>121660</v>
          </cell>
        </row>
        <row r="237">
          <cell r="F237" t="str">
            <v>TGS8X4 H/D36 MONTHS/450 000 KM48 MONTHS/600 000 KMYes</v>
          </cell>
          <cell r="G237">
            <v>202240</v>
          </cell>
        </row>
        <row r="238">
          <cell r="F238" t="str">
            <v>TGS8X424 MONTHS/300 000 KM48 MONTHS/600 000 KMNo</v>
          </cell>
          <cell r="G238">
            <v>101120</v>
          </cell>
        </row>
        <row r="239">
          <cell r="F239" t="str">
            <v>TGS8X424 MONTHS/300 000 KM48 MONTHS/600 000 KMYes</v>
          </cell>
          <cell r="G239">
            <v>81370</v>
          </cell>
        </row>
        <row r="240">
          <cell r="F240" t="str">
            <v>TGS8X436 MONTHS/450 000 KM48 MONTHS/600 000 KMNo</v>
          </cell>
          <cell r="G240">
            <v>126400</v>
          </cell>
        </row>
        <row r="241">
          <cell r="F241" t="str">
            <v>TGS8X436 MONTHS/450 000 KM48 MONTHS/600 000 KMYes</v>
          </cell>
          <cell r="G241">
            <v>101120</v>
          </cell>
        </row>
        <row r="242">
          <cell r="F242" t="str">
            <v>TGS8X6 H/D (ABN)24 MONTHS/300 000 KM48 MONTHS/600 000 KMNo</v>
          </cell>
          <cell r="G242">
            <v>207770</v>
          </cell>
        </row>
        <row r="243">
          <cell r="F243" t="str">
            <v>TGS8X6 H/D (ABN)24 MONTHS/300 000 KM48 MONTHS/600 000 KMYes</v>
          </cell>
          <cell r="G243">
            <v>82950</v>
          </cell>
        </row>
        <row r="244">
          <cell r="F244" t="str">
            <v>TGS8X6 H/D (ABN)36 MONTHS/450 000 KM48 MONTHS/600 000 KMNo</v>
          </cell>
          <cell r="G244">
            <v>233050</v>
          </cell>
        </row>
        <row r="245">
          <cell r="F245" t="str">
            <v>TGS8X6 H/D (ABN)36 MONTHS/450 000 KM48 MONTHS/600 000 KMYes</v>
          </cell>
          <cell r="G245">
            <v>105860</v>
          </cell>
        </row>
        <row r="246">
          <cell r="F246" t="str">
            <v>TGS8X6 H/D24 MONTHS/300 000 KM48 MONTHS/600 000 KMNo</v>
          </cell>
          <cell r="G246">
            <v>95590</v>
          </cell>
        </row>
        <row r="247">
          <cell r="F247" t="str">
            <v>TGS8X6 H/D24 MONTHS/300 000 KM48 MONTHS/600 000 KMYes</v>
          </cell>
          <cell r="G247">
            <v>180120</v>
          </cell>
        </row>
        <row r="248">
          <cell r="F248" t="str">
            <v>TGS8X6H/D36 MONTHS/450 000 KM48 MONTHS/600 000 KMNo</v>
          </cell>
          <cell r="G248">
            <v>121660</v>
          </cell>
        </row>
        <row r="249">
          <cell r="F249" t="str">
            <v>TGS8X6H/D36 MONTHS/450 000 KM48 MONTHS/600 000 KMYes</v>
          </cell>
          <cell r="G249">
            <v>202240</v>
          </cell>
        </row>
        <row r="250">
          <cell r="F250" t="str">
            <v>TGS8X624 MONTHS/300 000 KM48 MONTHS/600 000 KMNo</v>
          </cell>
          <cell r="G250">
            <v>101120</v>
          </cell>
        </row>
        <row r="251">
          <cell r="F251" t="str">
            <v>TGS8X624 MONTHS/300 000 KM48 MONTHS/600 000 KMYes</v>
          </cell>
          <cell r="G251">
            <v>87690</v>
          </cell>
        </row>
        <row r="252">
          <cell r="F252" t="str">
            <v>TGS8X636 MONTHS/450 000 KM48 MONTHS/600 000 KMNo</v>
          </cell>
          <cell r="G252">
            <v>126400</v>
          </cell>
        </row>
        <row r="253">
          <cell r="F253" t="str">
            <v>TGS8X636 MONTHS/450 000 KM48 MONTHS/600 000 KMYes</v>
          </cell>
          <cell r="G253">
            <v>109810</v>
          </cell>
        </row>
        <row r="254">
          <cell r="F254" t="str">
            <v>TGS8X824 MONTHS/300 000 KM48 MONTHS/600 000 KMNo</v>
          </cell>
          <cell r="G254">
            <v>101120</v>
          </cell>
        </row>
        <row r="255">
          <cell r="F255" t="str">
            <v>TGS8X824 MONTHS/300 000 KM48 MONTHS/600 000 KMYes</v>
          </cell>
          <cell r="G255">
            <v>87690</v>
          </cell>
        </row>
        <row r="256">
          <cell r="F256" t="str">
            <v>TGS8X836 MONTHS/450 000 KM48 MONTHS/600 000 KMNo</v>
          </cell>
          <cell r="G256">
            <v>126400</v>
          </cell>
        </row>
        <row r="257">
          <cell r="F257" t="str">
            <v>TGS8X836 MONTHS/450 000 KM48 MONTHS/600 000 KMYes</v>
          </cell>
          <cell r="G257">
            <v>109810</v>
          </cell>
        </row>
        <row r="258">
          <cell r="F258" t="str">
            <v>TGS6X4LH36 MONTHS/450 000 KM48 MONTHS/600 000 KMNo</v>
          </cell>
          <cell r="G258">
            <v>105860</v>
          </cell>
        </row>
        <row r="259">
          <cell r="F259" t="str">
            <v>TGS6X4LH36 MONTHS/450 000 KM48 MONTHS/600 000 KMYes</v>
          </cell>
          <cell r="G259">
            <v>105860</v>
          </cell>
        </row>
        <row r="260">
          <cell r="F260" t="str">
            <v>TGS8X4LH36 MONTHS/450 000 KM48 MONTHS/600 000 KMNo</v>
          </cell>
          <cell r="G260">
            <v>127980</v>
          </cell>
        </row>
        <row r="261">
          <cell r="F261" t="str">
            <v>TGS8X4LH36 MONTHS/450 000 KM48 MONTHS/600 000 KMYes</v>
          </cell>
          <cell r="G261">
            <v>127980</v>
          </cell>
        </row>
        <row r="262">
          <cell r="F262" t="str">
            <v>TGX6X4LH36 MONTHS/450 000 KM48 MONTHS/600 000 KMNo</v>
          </cell>
          <cell r="G262">
            <v>105860</v>
          </cell>
        </row>
        <row r="263">
          <cell r="F263" t="str">
            <v>TGX6X4LH36 MONTHS/450 000 KM48 MONTHS/600 000 KMYes</v>
          </cell>
          <cell r="G263">
            <v>105860</v>
          </cell>
        </row>
        <row r="264">
          <cell r="F264" t="str">
            <v>TGX8X4LH36 MONTHS/450 000 KM48 MONTHS/600 000 KMNo</v>
          </cell>
          <cell r="G264">
            <v>127980</v>
          </cell>
        </row>
        <row r="265">
          <cell r="F265" t="str">
            <v>TGX8X4LH36 MONTHS/450 000 KM48 MONTHS/600 000 KMYes</v>
          </cell>
          <cell r="G265">
            <v>127980</v>
          </cell>
        </row>
        <row r="266">
          <cell r="F266" t="str">
            <v>TGS6X4H/D12 MONTHS/UNLIMITED36 MONTHS/450 000 KMNo</v>
          </cell>
          <cell r="G266">
            <v>13430</v>
          </cell>
        </row>
        <row r="267">
          <cell r="F267" t="str">
            <v>TGS6X4H/D12 MONTHS/UNLIMITED36 MONTHS/450 000 KMYes</v>
          </cell>
          <cell r="G267">
            <v>13430</v>
          </cell>
        </row>
        <row r="268">
          <cell r="F268" t="str">
            <v>TGS6X6H/D12 MONTHS/UNLIMITED36 MONTHS/450 000 KMNo</v>
          </cell>
          <cell r="G268">
            <v>13430</v>
          </cell>
        </row>
        <row r="269">
          <cell r="F269" t="str">
            <v>TGS6X6H/D12 MONTHS/UNLIMITED36 MONTHS/450 000 KMYes</v>
          </cell>
          <cell r="G269">
            <v>13430</v>
          </cell>
        </row>
        <row r="270">
          <cell r="F270" t="str">
            <v>TGS8X4H/D12 MONTHS/UNLIMITED36 MONTHS/450 000 KMNo</v>
          </cell>
          <cell r="G270">
            <v>13430</v>
          </cell>
        </row>
        <row r="271">
          <cell r="F271" t="str">
            <v>TGS8X4H/D12 MONTHS/UNLIMITED36 MONTHS/450 000 KMYes</v>
          </cell>
          <cell r="G271">
            <v>13430</v>
          </cell>
        </row>
        <row r="272">
          <cell r="F272" t="str">
            <v>TGS8X6H/D12 MONTHS/UNLIMITED36 MONTHS/450 000 KMNo</v>
          </cell>
          <cell r="G272">
            <v>13430</v>
          </cell>
        </row>
        <row r="273">
          <cell r="F273" t="str">
            <v>TGS8X6H/D12 MONTHS/UNLIMITED36 MONTHS/450 000 KMYes</v>
          </cell>
          <cell r="G273">
            <v>13430</v>
          </cell>
        </row>
        <row r="274">
          <cell r="F274" t="str">
            <v>TGS4X4HYDRO12 MONTHS/UNLIMITED36 MONTHS/450 000 KMNo</v>
          </cell>
          <cell r="G274">
            <v>28440</v>
          </cell>
        </row>
        <row r="275">
          <cell r="F275" t="str">
            <v>TGS4X4HYDRO12 MONTHS/UNLIMITED36 MONTHS/450 000 KMYes</v>
          </cell>
          <cell r="G275">
            <v>28440</v>
          </cell>
        </row>
        <row r="276">
          <cell r="F276" t="str">
            <v>TGS6X4H/D12 MONTHS/UNLIMITED36 MONTHS/450 000 KMNo</v>
          </cell>
          <cell r="G276">
            <v>79000</v>
          </cell>
        </row>
        <row r="277">
          <cell r="F277" t="str">
            <v>TGS6X4H/D12 MONTHS/UNLIMITED36 MONTHS/450 000 KMYes</v>
          </cell>
          <cell r="G277">
            <v>79000</v>
          </cell>
        </row>
        <row r="278">
          <cell r="F278" t="str">
            <v>TGS6X4HYDRO12 MONTHS/UNLIMITED36 MONTHS/450 000 KMNo</v>
          </cell>
          <cell r="G278">
            <v>28440</v>
          </cell>
        </row>
        <row r="279">
          <cell r="F279" t="str">
            <v>TGS6X4HYDRO12 MONTHS/UNLIMITED36 MONTHS/450 000 KMYes</v>
          </cell>
          <cell r="G279">
            <v>28440</v>
          </cell>
        </row>
        <row r="280">
          <cell r="F280" t="str">
            <v>TGS6X6H/D12 MONTHS/UNLIMITED36 MONTHS/450 000 KMNo</v>
          </cell>
          <cell r="G280">
            <v>79000</v>
          </cell>
        </row>
        <row r="281">
          <cell r="F281" t="str">
            <v>TGS6X6H/D12 MONTHS/UNLIMITED36 MONTHS/450 000 KMYes</v>
          </cell>
          <cell r="G281">
            <v>79000</v>
          </cell>
        </row>
        <row r="282">
          <cell r="F282" t="str">
            <v>TGS6X6HYDRO12 MONTHS/UNLIMITED36 MONTHS/450 000 KMNo</v>
          </cell>
          <cell r="G282">
            <v>28440</v>
          </cell>
        </row>
        <row r="283">
          <cell r="F283" t="str">
            <v>TGS6X6HYDRO12 MONTHS/UNLIMITED36 MONTHS/450 000 KMYes</v>
          </cell>
          <cell r="G283">
            <v>28440</v>
          </cell>
        </row>
        <row r="284">
          <cell r="F284" t="str">
            <v>TGS8X4H/D12 MONTHS/UNLIMITED36 MONTHS/450 000 KMNo</v>
          </cell>
          <cell r="G284">
            <v>79000</v>
          </cell>
        </row>
        <row r="285">
          <cell r="F285" t="str">
            <v>TGS8X4H/D12 MONTHS/UNLIMITED36 MONTHS/450 000 KMYes</v>
          </cell>
          <cell r="G285">
            <v>79000</v>
          </cell>
        </row>
        <row r="286">
          <cell r="F286" t="str">
            <v>TGS8X4HYDRO12 MONTHS/UNLIMITED36 MONTHS/450 000 KMNo</v>
          </cell>
          <cell r="G286">
            <v>28440</v>
          </cell>
        </row>
        <row r="287">
          <cell r="F287" t="str">
            <v>TGS8X4HYDRO12 MONTHS/UNLIMITED36 MONTHS/450 000 KMYes</v>
          </cell>
          <cell r="G287">
            <v>28440</v>
          </cell>
        </row>
        <row r="288">
          <cell r="F288" t="str">
            <v>TGS8X6H/D12 MONTHS/UNLIMITED36 MONTHS/450 000 KMNo</v>
          </cell>
          <cell r="G288">
            <v>79000</v>
          </cell>
        </row>
        <row r="289">
          <cell r="F289" t="str">
            <v>TGS8X6H/D12 MONTHS/UNLIMITED36 MONTHS/450 000 KMYes</v>
          </cell>
          <cell r="G289">
            <v>79000</v>
          </cell>
        </row>
        <row r="290">
          <cell r="F290" t="str">
            <v>TGS8X6HYDRO12 MONTHS/UNLIMITED36 MONTHS/450 000 KMNo</v>
          </cell>
          <cell r="G290">
            <v>28440</v>
          </cell>
        </row>
        <row r="291">
          <cell r="F291" t="str">
            <v>TGS8X6HYDRO12 MONTHS/UNLIMITED36 MONTHS/450 000 KMYes</v>
          </cell>
          <cell r="G291">
            <v>28440</v>
          </cell>
        </row>
        <row r="292">
          <cell r="F292" t="str">
            <v>TGX4X4HYDRO12 MONTHS/UNLIMITED36 MONTHS/450 000 KMNo</v>
          </cell>
          <cell r="G292">
            <v>28440</v>
          </cell>
        </row>
        <row r="293">
          <cell r="F293" t="str">
            <v>TGX4X4HYDRO12 MONTHS/UNLIMITED36 MONTHS/450 000 KMYes</v>
          </cell>
          <cell r="G293">
            <v>28440</v>
          </cell>
        </row>
        <row r="294">
          <cell r="F294" t="str">
            <v>TGX6X4H/D12 MONTHS/UNLIMITED36 MONTHS/450 000 KMNo</v>
          </cell>
          <cell r="G294">
            <v>79000</v>
          </cell>
        </row>
        <row r="295">
          <cell r="F295" t="str">
            <v>TGX6X4H/D12 MONTHS/UNLIMITED36 MONTHS/450 000 KMYes</v>
          </cell>
          <cell r="G295">
            <v>79000</v>
          </cell>
        </row>
        <row r="296">
          <cell r="F296" t="str">
            <v>TGX6X4HYDRO12 MONTHS/UNLIMITED36 MONTHS/450 000 KMNo</v>
          </cell>
          <cell r="G296">
            <v>28440</v>
          </cell>
        </row>
        <row r="297">
          <cell r="F297" t="str">
            <v>TGX6X4HYDRO12 MONTHS/UNLIMITED36 MONTHS/450 000 KMYes</v>
          </cell>
          <cell r="G297">
            <v>28440</v>
          </cell>
        </row>
        <row r="298">
          <cell r="F298" t="str">
            <v>TGX6X6H/D12 MONTHS/UNLIMITED36 MONTHS/450 000 KMNo</v>
          </cell>
          <cell r="G298">
            <v>79000</v>
          </cell>
        </row>
        <row r="299">
          <cell r="F299" t="str">
            <v>TGX6X6H/D12 MONTHS/UNLIMITED36 MONTHS/450 000 KMYes</v>
          </cell>
          <cell r="G299">
            <v>79000</v>
          </cell>
        </row>
        <row r="300">
          <cell r="F300" t="str">
            <v>TGX6X6HYDRO12 MONTHS/UNLIMITED36 MONTHS/450 000 KMNo</v>
          </cell>
          <cell r="G300">
            <v>28440</v>
          </cell>
        </row>
        <row r="301">
          <cell r="F301" t="str">
            <v>TGX6X6HYDRO12 MONTHS/UNLIMITED36 MONTHS/450 000 KMYes</v>
          </cell>
          <cell r="G301">
            <v>28440</v>
          </cell>
        </row>
        <row r="302">
          <cell r="F302" t="str">
            <v>TGX8X4H/D12 MONTHS/UNLIMITED36 MONTHS/450 000 KMNo</v>
          </cell>
          <cell r="G302">
            <v>79000</v>
          </cell>
        </row>
        <row r="303">
          <cell r="F303" t="str">
            <v>TGX8X4H/D12 MONTHS/UNLIMITED36 MONTHS/450 000 KMYes</v>
          </cell>
          <cell r="G303">
            <v>79000</v>
          </cell>
        </row>
        <row r="304">
          <cell r="F304" t="str">
            <v>TGX8X4HYDRO12 MONTHS/UNLIMITED36 MONTHS/450 000 KMNo</v>
          </cell>
          <cell r="G304">
            <v>28440</v>
          </cell>
        </row>
        <row r="305">
          <cell r="F305" t="str">
            <v>TGX8X4HYDRO12 MONTHS/UNLIMITED36 MONTHS/450 000 KMYes</v>
          </cell>
          <cell r="G305">
            <v>28440</v>
          </cell>
        </row>
        <row r="306">
          <cell r="F306" t="str">
            <v>TGX8X6H/D12 MONTHS/UNLIMITED36 MONTHS/450 000 KMNo</v>
          </cell>
          <cell r="G306">
            <v>79000</v>
          </cell>
        </row>
        <row r="307">
          <cell r="F307" t="str">
            <v>TGX8X6H/D12 MONTHS/UNLIMITED36 MONTHS/450 000 KMYes</v>
          </cell>
          <cell r="G307">
            <v>79000</v>
          </cell>
        </row>
        <row r="308">
          <cell r="F308" t="str">
            <v>TGX8X6HYDRO12 MONTHS/UNLIMITED36 MONTHS/450 000 KMNo</v>
          </cell>
          <cell r="G308">
            <v>28440</v>
          </cell>
        </row>
        <row r="309">
          <cell r="F309" t="str">
            <v>TGX8X6HYDRO12 MONTHS/UNLIMITED36 MONTHS/450 000 KMYes</v>
          </cell>
          <cell r="G309">
            <v>28440</v>
          </cell>
        </row>
        <row r="310">
          <cell r="F310" t="str">
            <v>TGS-33-440BBS-L12 MONTHS/UNLIMITED36 MONTHS/450 000 KMNo</v>
          </cell>
          <cell r="G310">
            <v>28440</v>
          </cell>
        </row>
        <row r="311">
          <cell r="F311" t="str">
            <v>TGS-33-440BBS-L12 MONTHS/UNLIMITED36 MONTHS/450 000 KMYes</v>
          </cell>
          <cell r="G311">
            <v>28440</v>
          </cell>
        </row>
        <row r="312">
          <cell r="F312" t="str">
            <v>TGS-33-480BBS-L12 MONTHS/UNLIMITED36 MONTHS/450 000 KMNo</v>
          </cell>
          <cell r="G312">
            <v>28440</v>
          </cell>
        </row>
        <row r="313">
          <cell r="F313" t="str">
            <v>TGS-33-480BBS-L12 MONTHS/UNLIMITED36 MONTHS/450 000 KMYes</v>
          </cell>
          <cell r="G313">
            <v>28440</v>
          </cell>
        </row>
        <row r="314">
          <cell r="F314" t="str">
            <v>TGS-33-440BBS-L24 MONTHS/300 000 KM48 MONTHS/600 000 KMNo</v>
          </cell>
          <cell r="G314">
            <v>79790</v>
          </cell>
        </row>
        <row r="315">
          <cell r="F315" t="str">
            <v>TGS-33-440BBS-L24 MONTHS/300 000 KM48 MONTHS/600 000 KMYes</v>
          </cell>
          <cell r="G315">
            <v>68730</v>
          </cell>
        </row>
        <row r="316">
          <cell r="F316" t="str">
            <v>TGS-33-480BBS-L24 MONTHS/300 000 KM48 MONTHS/600 000 KMNo</v>
          </cell>
          <cell r="G316">
            <v>79790</v>
          </cell>
        </row>
        <row r="317">
          <cell r="F317" t="str">
            <v>TGS-33-480BBS-L24 MONTHS/300 000 KM48 MONTHS/600 000 KMYes</v>
          </cell>
          <cell r="G317">
            <v>68730</v>
          </cell>
        </row>
      </sheetData>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3.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jvanschalwyk@jjt.co.za"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jvanschalwyk@jjt.co.za"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mailto:jvanschalwyk@jjt.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jvanschalwyk@jjt.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hyperlink" Target="mailto:jvanschalwyk@jjt.co.za"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rgb="FF00B0F0"/>
  </sheetPr>
  <dimension ref="A1:IK2002"/>
  <sheetViews>
    <sheetView showGridLines="0" zoomScale="80" zoomScaleNormal="80" workbookViewId="0">
      <pane ySplit="4" topLeftCell="A1319" activePane="bottomLeft" state="frozen"/>
      <selection pane="bottomLeft" activeCell="B1477" sqref="B1477"/>
    </sheetView>
  </sheetViews>
  <sheetFormatPr defaultColWidth="9.15625" defaultRowHeight="15"/>
  <cols>
    <col min="1" max="1" width="2.68359375" style="41" customWidth="1"/>
    <col min="2" max="2" width="21.15625" style="37" customWidth="1"/>
    <col min="3" max="3" width="41.15625" style="12" customWidth="1"/>
    <col min="4" max="4" width="20.15625" style="17" customWidth="1"/>
    <col min="5" max="5" width="25.26171875" style="13" customWidth="1"/>
    <col min="6" max="6" width="20" style="14" customWidth="1"/>
    <col min="7" max="7" width="13.68359375" style="34" customWidth="1"/>
    <col min="8" max="9" width="13.68359375" style="27" customWidth="1"/>
    <col min="10" max="10" width="17.68359375" style="39" customWidth="1"/>
    <col min="11" max="11" width="17.68359375" style="175" customWidth="1"/>
    <col min="12" max="12" width="21.578125" style="176" customWidth="1"/>
    <col min="13" max="13" width="18.68359375" style="39" customWidth="1"/>
    <col min="14" max="14" width="18.68359375" style="175" customWidth="1"/>
    <col min="15" max="15" width="18.68359375" style="176" customWidth="1"/>
    <col min="16" max="16" width="10.41796875" style="68" customWidth="1"/>
    <col min="17" max="17" width="18.26171875" style="62" customWidth="1"/>
    <col min="18" max="18" width="15.41796875" style="63" customWidth="1"/>
    <col min="19" max="19" width="14.15625" style="64" customWidth="1"/>
    <col min="20" max="22" width="9.15625" style="64" customWidth="1"/>
    <col min="23" max="25" width="20.41796875" style="54" customWidth="1"/>
    <col min="26" max="26" width="3.68359375" style="54" customWidth="1"/>
    <col min="27" max="29" width="20.41796875" style="54" customWidth="1"/>
    <col min="30" max="32" width="9.15625" style="54"/>
    <col min="33" max="45" width="9.15625" style="5"/>
    <col min="46" max="46" width="28.578125" style="64" bestFit="1" customWidth="1"/>
    <col min="47" max="47" width="15" style="64" customWidth="1"/>
    <col min="48" max="48" width="9.15625" style="64"/>
    <col min="49" max="49" width="9.68359375" style="64" bestFit="1" customWidth="1"/>
    <col min="50" max="50" width="11.578125" style="64" customWidth="1"/>
    <col min="51" max="51" width="14" style="64" customWidth="1"/>
    <col min="52" max="53" width="9.15625" style="64"/>
    <col min="54" max="56" width="9.15625" style="169"/>
    <col min="57" max="245" width="9.15625" style="41"/>
    <col min="246" max="16384" width="9.15625" style="3"/>
  </cols>
  <sheetData>
    <row r="1" spans="1:245" s="41" customFormat="1">
      <c r="B1" s="44"/>
      <c r="C1" s="45"/>
      <c r="D1" s="46"/>
      <c r="F1" s="47"/>
      <c r="G1" s="48"/>
      <c r="H1" s="49"/>
      <c r="I1" s="49"/>
      <c r="J1" s="46"/>
      <c r="K1" s="173"/>
      <c r="L1" s="173"/>
      <c r="M1" s="46"/>
      <c r="N1" s="173"/>
      <c r="O1" s="173"/>
      <c r="P1" s="166"/>
      <c r="Q1" s="167"/>
      <c r="R1" s="168"/>
      <c r="S1" s="169"/>
      <c r="T1" s="169"/>
      <c r="U1" s="169"/>
      <c r="V1" s="169"/>
      <c r="W1" s="52"/>
      <c r="X1" s="52"/>
      <c r="Y1" s="52"/>
      <c r="Z1" s="52"/>
      <c r="AA1" s="52"/>
      <c r="AB1" s="52"/>
      <c r="AC1" s="52"/>
      <c r="AD1" s="52"/>
      <c r="AE1" s="52"/>
      <c r="AF1" s="52"/>
      <c r="AT1" s="169"/>
      <c r="AU1" s="169"/>
      <c r="AV1" s="169"/>
      <c r="AW1" s="169"/>
      <c r="AX1" s="169"/>
      <c r="AY1" s="169"/>
      <c r="AZ1" s="169"/>
      <c r="BA1" s="169"/>
      <c r="BB1" s="169"/>
      <c r="BC1" s="169"/>
      <c r="BD1" s="169"/>
    </row>
    <row r="2" spans="1:245" s="41" customFormat="1">
      <c r="B2" s="44"/>
      <c r="C2" s="45"/>
      <c r="D2" s="46"/>
      <c r="F2" s="47"/>
      <c r="G2" s="48"/>
      <c r="H2" s="49"/>
      <c r="I2" s="49"/>
      <c r="J2" s="46"/>
      <c r="K2" s="173"/>
      <c r="L2" s="173"/>
      <c r="M2" s="46"/>
      <c r="N2" s="173"/>
      <c r="O2" s="173"/>
      <c r="P2" s="166"/>
      <c r="Q2" s="167"/>
      <c r="R2" s="168"/>
      <c r="S2" s="169"/>
      <c r="T2" s="169"/>
      <c r="U2" s="169"/>
      <c r="V2" s="169"/>
      <c r="W2" s="52"/>
      <c r="X2" s="52"/>
      <c r="Y2" s="52"/>
      <c r="Z2" s="52"/>
      <c r="AA2" s="52"/>
      <c r="AB2" s="52"/>
      <c r="AC2" s="52"/>
      <c r="AD2" s="52"/>
      <c r="AE2" s="52"/>
      <c r="AF2" s="52"/>
      <c r="AT2" s="169"/>
      <c r="AU2" s="169"/>
      <c r="AV2" s="169"/>
      <c r="AW2" s="169"/>
      <c r="AX2" s="169"/>
      <c r="AY2" s="169"/>
      <c r="AZ2" s="169"/>
      <c r="BA2" s="169"/>
      <c r="BB2" s="169"/>
      <c r="BC2" s="169"/>
      <c r="BD2" s="169"/>
    </row>
    <row r="3" spans="1:245" s="41" customFormat="1" ht="38.25" customHeight="1">
      <c r="B3" s="44"/>
      <c r="C3" s="45"/>
      <c r="D3" s="46"/>
      <c r="F3" s="47"/>
      <c r="G3" s="48"/>
      <c r="H3" s="49"/>
      <c r="I3" s="49"/>
      <c r="J3" s="1209" t="s">
        <v>289</v>
      </c>
      <c r="K3" s="1210"/>
      <c r="L3" s="1211"/>
      <c r="M3" s="1212" t="s">
        <v>49</v>
      </c>
      <c r="N3" s="1213"/>
      <c r="O3" s="1214"/>
      <c r="P3" s="166"/>
      <c r="Q3" s="167"/>
      <c r="R3" s="168"/>
      <c r="S3" s="169"/>
      <c r="T3" s="169"/>
      <c r="U3" s="169"/>
      <c r="V3" s="169"/>
      <c r="W3" s="214"/>
      <c r="X3" s="214"/>
      <c r="Y3" s="214"/>
      <c r="Z3" s="209"/>
      <c r="AA3" s="213"/>
      <c r="AB3" s="213"/>
      <c r="AC3" s="213"/>
      <c r="AD3" s="52"/>
      <c r="AE3" s="52"/>
      <c r="AF3" s="52"/>
      <c r="AT3" s="169"/>
      <c r="AU3" s="169"/>
      <c r="AV3" s="169"/>
      <c r="AW3" s="434"/>
      <c r="AX3" s="169"/>
      <c r="AY3" s="169"/>
      <c r="AZ3" s="169"/>
      <c r="BA3" s="169"/>
      <c r="BB3" s="169"/>
      <c r="BC3" s="169"/>
      <c r="BD3" s="169"/>
    </row>
    <row r="4" spans="1:245" s="1" customFormat="1" ht="61.5" customHeight="1">
      <c r="A4" s="50"/>
      <c r="B4" s="35" t="s">
        <v>0</v>
      </c>
      <c r="C4" s="8" t="s">
        <v>1</v>
      </c>
      <c r="D4" s="9" t="s">
        <v>44</v>
      </c>
      <c r="E4" s="8" t="s">
        <v>527</v>
      </c>
      <c r="F4" s="6" t="s">
        <v>431</v>
      </c>
      <c r="G4" s="33" t="s">
        <v>47</v>
      </c>
      <c r="H4" s="25" t="s">
        <v>115</v>
      </c>
      <c r="I4" s="25" t="s">
        <v>46</v>
      </c>
      <c r="J4" s="171" t="s">
        <v>2</v>
      </c>
      <c r="K4" s="171" t="s">
        <v>3</v>
      </c>
      <c r="L4" s="171" t="s">
        <v>4</v>
      </c>
      <c r="M4" s="172" t="s">
        <v>2</v>
      </c>
      <c r="N4" s="172" t="s">
        <v>3</v>
      </c>
      <c r="O4" s="172" t="s">
        <v>4</v>
      </c>
      <c r="P4" s="65" t="s">
        <v>5</v>
      </c>
      <c r="Q4" s="66" t="s">
        <v>6</v>
      </c>
      <c r="R4" s="67"/>
      <c r="S4" s="67"/>
      <c r="T4" s="67"/>
      <c r="U4" s="67"/>
      <c r="V4" s="67"/>
      <c r="W4" s="211"/>
      <c r="X4" s="211"/>
      <c r="Y4" s="211"/>
      <c r="Z4" s="212"/>
      <c r="AA4" s="213"/>
      <c r="AB4" s="213"/>
      <c r="AC4" s="213"/>
      <c r="AD4" s="53"/>
      <c r="AE4" s="53"/>
      <c r="AF4" s="53"/>
      <c r="AG4" s="30"/>
      <c r="AH4" s="30"/>
      <c r="AI4" s="30"/>
      <c r="AJ4" s="30"/>
      <c r="AK4" s="30"/>
      <c r="AL4" s="30"/>
      <c r="AM4" s="30"/>
      <c r="AN4" s="30"/>
      <c r="AO4" s="30"/>
      <c r="AP4" s="30"/>
      <c r="AQ4" s="30"/>
      <c r="AR4" s="30"/>
      <c r="AS4" s="30"/>
      <c r="AT4" s="67" t="s">
        <v>116</v>
      </c>
      <c r="AU4" s="67" t="s">
        <v>240</v>
      </c>
      <c r="AV4" s="67"/>
      <c r="AW4" s="435" t="s">
        <v>238</v>
      </c>
      <c r="AX4" s="436" t="s">
        <v>239</v>
      </c>
      <c r="AY4" s="436" t="s">
        <v>46</v>
      </c>
      <c r="AZ4" s="437"/>
      <c r="BA4" s="67"/>
      <c r="BB4" s="443"/>
      <c r="BC4" s="443"/>
      <c r="BD4" s="443"/>
      <c r="BE4" s="50"/>
      <c r="BF4" s="50"/>
      <c r="BG4" s="50"/>
      <c r="BH4" s="50"/>
      <c r="BI4" s="50"/>
      <c r="BJ4" s="50"/>
      <c r="BK4" s="50"/>
      <c r="BL4" s="50"/>
      <c r="BM4" s="50"/>
      <c r="BN4" s="50"/>
      <c r="BO4" s="50"/>
      <c r="BP4" s="50"/>
      <c r="BQ4" s="50"/>
      <c r="BR4" s="50"/>
      <c r="BS4" s="50"/>
      <c r="BT4" s="50"/>
      <c r="BU4" s="50"/>
      <c r="BV4" s="50"/>
      <c r="BW4" s="50"/>
      <c r="BX4" s="50"/>
      <c r="BY4" s="50"/>
      <c r="BZ4" s="50"/>
      <c r="CA4" s="50"/>
      <c r="CB4" s="50"/>
      <c r="CC4" s="50"/>
      <c r="CD4" s="50"/>
      <c r="CE4" s="50"/>
      <c r="CF4" s="50"/>
      <c r="CG4" s="50"/>
      <c r="CH4" s="50"/>
      <c r="CI4" s="50"/>
      <c r="CJ4" s="50"/>
      <c r="CK4" s="50"/>
      <c r="CL4" s="50"/>
      <c r="CM4" s="50"/>
      <c r="CN4" s="50"/>
      <c r="CO4" s="50"/>
      <c r="CP4" s="50"/>
      <c r="CQ4" s="50"/>
      <c r="CR4" s="50"/>
      <c r="CS4" s="50"/>
      <c r="CT4" s="50"/>
      <c r="CU4" s="50"/>
      <c r="CV4" s="50"/>
      <c r="CW4" s="50"/>
      <c r="CX4" s="50"/>
      <c r="CY4" s="50"/>
      <c r="CZ4" s="50"/>
      <c r="DA4" s="50"/>
      <c r="DB4" s="50"/>
      <c r="DC4" s="50"/>
      <c r="DD4" s="50"/>
      <c r="DE4" s="50"/>
      <c r="DF4" s="50"/>
      <c r="DG4" s="50"/>
      <c r="DH4" s="50"/>
      <c r="DI4" s="50"/>
      <c r="DJ4" s="50"/>
      <c r="DK4" s="50"/>
      <c r="DL4" s="50"/>
      <c r="DM4" s="50"/>
      <c r="DN4" s="50"/>
      <c r="DO4" s="50"/>
      <c r="DP4" s="50"/>
      <c r="DQ4" s="50"/>
      <c r="DR4" s="50"/>
      <c r="DS4" s="50"/>
      <c r="DT4" s="50"/>
      <c r="DU4" s="50"/>
      <c r="DV4" s="50"/>
      <c r="DW4" s="50"/>
      <c r="DX4" s="50"/>
      <c r="DY4" s="50"/>
      <c r="DZ4" s="50"/>
      <c r="EA4" s="50"/>
      <c r="EB4" s="50"/>
      <c r="EC4" s="50"/>
      <c r="ED4" s="50"/>
      <c r="EE4" s="50"/>
      <c r="EF4" s="50"/>
      <c r="EG4" s="50"/>
      <c r="EH4" s="50"/>
      <c r="EI4" s="50"/>
      <c r="EJ4" s="50"/>
      <c r="EK4" s="50"/>
      <c r="EL4" s="50"/>
      <c r="EM4" s="50"/>
      <c r="EN4" s="50"/>
      <c r="EO4" s="50"/>
      <c r="EP4" s="50"/>
      <c r="EQ4" s="50"/>
      <c r="ER4" s="50"/>
      <c r="ES4" s="50"/>
      <c r="ET4" s="50"/>
      <c r="EU4" s="50"/>
      <c r="EV4" s="50"/>
      <c r="EW4" s="50"/>
      <c r="EX4" s="50"/>
      <c r="EY4" s="50"/>
      <c r="EZ4" s="50"/>
      <c r="FA4" s="50"/>
      <c r="FB4" s="50"/>
      <c r="FC4" s="50"/>
      <c r="FD4" s="50"/>
      <c r="FE4" s="50"/>
      <c r="FF4" s="50"/>
      <c r="FG4" s="50"/>
      <c r="FH4" s="50"/>
      <c r="FI4" s="50"/>
      <c r="FJ4" s="50"/>
      <c r="FK4" s="50"/>
      <c r="FL4" s="50"/>
      <c r="FM4" s="50"/>
      <c r="FN4" s="50"/>
      <c r="FO4" s="50"/>
      <c r="FP4" s="50"/>
      <c r="FQ4" s="50"/>
      <c r="FR4" s="50"/>
      <c r="FS4" s="50"/>
      <c r="FT4" s="50"/>
      <c r="FU4" s="50"/>
      <c r="FV4" s="50"/>
      <c r="FW4" s="50"/>
      <c r="FX4" s="50"/>
      <c r="FY4" s="50"/>
      <c r="FZ4" s="50"/>
      <c r="GA4" s="50"/>
      <c r="GB4" s="50"/>
      <c r="GC4" s="50"/>
      <c r="GD4" s="50"/>
      <c r="GE4" s="50"/>
      <c r="GF4" s="50"/>
      <c r="GG4" s="50"/>
      <c r="GH4" s="50"/>
      <c r="GI4" s="50"/>
      <c r="GJ4" s="50"/>
      <c r="GK4" s="50"/>
      <c r="GL4" s="50"/>
      <c r="GM4" s="50"/>
      <c r="GN4" s="50"/>
      <c r="GO4" s="50"/>
      <c r="GP4" s="50"/>
      <c r="GQ4" s="50"/>
      <c r="GR4" s="50"/>
      <c r="GS4" s="50"/>
      <c r="GT4" s="50"/>
      <c r="GU4" s="50"/>
      <c r="GV4" s="50"/>
      <c r="GW4" s="50"/>
      <c r="GX4" s="50"/>
      <c r="GY4" s="50"/>
      <c r="GZ4" s="50"/>
      <c r="HA4" s="50"/>
      <c r="HB4" s="50"/>
      <c r="HC4" s="50"/>
      <c r="HD4" s="50"/>
      <c r="HE4" s="50"/>
      <c r="HF4" s="50"/>
      <c r="HG4" s="50"/>
      <c r="HH4" s="50"/>
      <c r="HI4" s="50"/>
      <c r="HJ4" s="50"/>
      <c r="HK4" s="50"/>
      <c r="HL4" s="50"/>
      <c r="HM4" s="50"/>
      <c r="HN4" s="50"/>
      <c r="HO4" s="50"/>
      <c r="HP4" s="50"/>
      <c r="HQ4" s="50"/>
      <c r="HR4" s="50"/>
      <c r="HS4" s="50"/>
      <c r="HT4" s="50"/>
      <c r="HU4" s="50"/>
      <c r="HV4" s="50"/>
      <c r="HW4" s="50"/>
      <c r="HX4" s="50"/>
      <c r="HY4" s="50"/>
      <c r="HZ4" s="50"/>
      <c r="IA4" s="50"/>
      <c r="IB4" s="50"/>
      <c r="IC4" s="50"/>
      <c r="ID4" s="50"/>
      <c r="IE4" s="50"/>
      <c r="IF4" s="50"/>
      <c r="IG4" s="50"/>
      <c r="IH4" s="50"/>
      <c r="II4" s="50"/>
      <c r="IJ4" s="50"/>
      <c r="IK4" s="50"/>
    </row>
    <row r="5" spans="1:245">
      <c r="B5" s="36">
        <f>'[6]price list MAN'!B5</f>
        <v>48200</v>
      </c>
      <c r="C5" s="10" t="str">
        <f>'[6]price list MAN'!C5</f>
        <v>CLA-15-2204X2BB-C</v>
      </c>
      <c r="D5" s="16" t="str">
        <f>IFERROR(VLOOKUP(C5&amp;"",'[7]Retail Price List'!$A$3:$B$103,2,FALSE),"Special Order")</f>
        <v>KP000589</v>
      </c>
      <c r="E5" s="494" t="str">
        <f>'[6]price list MAN'!E5</f>
        <v>CKD</v>
      </c>
      <c r="F5" s="11" t="str">
        <f>'[6]price list MAN'!F5</f>
        <v>2018-06-30</v>
      </c>
      <c r="G5" s="32">
        <f>'[6]price list MAN'!G5</f>
        <v>15.3</v>
      </c>
      <c r="H5" s="26">
        <f>'[6]price list MAN'!H5</f>
        <v>42978</v>
      </c>
      <c r="I5" s="51" t="str">
        <f t="shared" ref="I5:I68" si="0">IFERROR(VLOOKUP(AU5,$AW$5:$AY$40,3,FALSE),"")</f>
        <v>2017Q3</v>
      </c>
      <c r="J5" s="177">
        <f>'[6]price list MAN'!J5</f>
        <v>695000</v>
      </c>
      <c r="K5" s="177">
        <f>'[6]price list MAN'!P5</f>
        <v>572250</v>
      </c>
      <c r="L5" s="177">
        <f>'[6]price list MAN'!R5</f>
        <v>545000</v>
      </c>
      <c r="M5" s="174">
        <f>'[6]price list MAN'!S5</f>
        <v>710000</v>
      </c>
      <c r="N5" s="174">
        <f>'[6]price list MAN'!Y5</f>
        <v>588000</v>
      </c>
      <c r="O5" s="174">
        <f>'[6]price list MAN'!AA5</f>
        <v>560000</v>
      </c>
      <c r="P5" s="68">
        <f t="shared" ref="P5:P68" si="1">(M5-O5)/M5</f>
        <v>0.21126760563380281</v>
      </c>
      <c r="Q5" s="62" t="e">
        <f>O5-#REF!</f>
        <v>#REF!</v>
      </c>
      <c r="R5" s="170" t="s">
        <v>8</v>
      </c>
      <c r="S5" s="64" t="s">
        <v>9</v>
      </c>
      <c r="T5" s="64" t="s">
        <v>10</v>
      </c>
      <c r="U5" s="64" t="s">
        <v>11</v>
      </c>
      <c r="W5" s="210"/>
      <c r="X5" s="210"/>
      <c r="Y5" s="210"/>
      <c r="Z5" s="210"/>
      <c r="AA5" s="210"/>
      <c r="AB5" s="210"/>
      <c r="AC5" s="210"/>
      <c r="AS5" s="2"/>
      <c r="AT5" s="425" t="str">
        <f t="shared" ref="AT5:AT68" si="2">D5&amp;I5&amp;G5</f>
        <v>KP0005892017Q315,3</v>
      </c>
      <c r="AU5" s="64" t="str">
        <f t="shared" ref="AU5:AU68" si="3">IF(MONTH(H5)&lt;10,0&amp;MONTH(H5)&amp;"-"&amp;YEAR(H5),MONTH(H5)&amp;"-"&amp;YEAR(H5))</f>
        <v>08-2017</v>
      </c>
      <c r="AW5" s="426" t="s">
        <v>254</v>
      </c>
      <c r="AX5" s="426" t="s">
        <v>234</v>
      </c>
      <c r="AY5" s="427" t="s">
        <v>242</v>
      </c>
      <c r="AZ5" s="428"/>
      <c r="BA5" s="428" t="str">
        <f t="shared" ref="BA5:BA68" si="4">IF(B5=0,"",IF(AND(F5&gt;=31,F5&lt;=120),"31-120 Days",IF(AND(F5&gt;=121,F5&lt;=365),"121-365 Days",IF(OR(E5="CKD",F5&lt;=30),"WIP - 30 Days","&gt;365 Days"))))</f>
        <v>WIP - 30 Days</v>
      </c>
      <c r="BB5" s="444"/>
      <c r="BC5" s="444"/>
      <c r="BD5" s="444"/>
      <c r="BE5" s="445"/>
      <c r="BF5" s="445"/>
      <c r="BG5" s="445"/>
      <c r="BH5" s="445"/>
      <c r="BI5" s="445"/>
      <c r="BJ5" s="445"/>
      <c r="BK5" s="445"/>
      <c r="BL5" s="445"/>
      <c r="BM5" s="445"/>
      <c r="BN5" s="445"/>
      <c r="BO5" s="445"/>
      <c r="BP5" s="445"/>
      <c r="BQ5" s="445"/>
      <c r="BR5" s="445"/>
      <c r="BS5" s="445"/>
      <c r="BT5" s="445"/>
      <c r="BU5" s="445"/>
      <c r="BV5" s="445"/>
      <c r="BW5" s="445"/>
      <c r="BX5" s="445"/>
      <c r="BY5" s="445"/>
      <c r="BZ5" s="445"/>
      <c r="CA5" s="445"/>
      <c r="CB5" s="445"/>
      <c r="CC5" s="445"/>
      <c r="CD5" s="445"/>
      <c r="CE5" s="445"/>
      <c r="CF5" s="445"/>
      <c r="CG5" s="445"/>
      <c r="CO5" s="41" t="str">
        <f>D5&amp;C5</f>
        <v>KP000589CLA-15-2204X2BB-C</v>
      </c>
    </row>
    <row r="6" spans="1:245">
      <c r="B6" s="36">
        <f>'[6]price list MAN'!B6</f>
        <v>48201</v>
      </c>
      <c r="C6" s="10" t="str">
        <f>'[6]price list MAN'!C6</f>
        <v>CLA-15-2204X2BB-C</v>
      </c>
      <c r="D6" s="16" t="str">
        <f>IFERROR(VLOOKUP(C6&amp;"",'[7]Retail Price List'!$A$3:$B$103,2,FALSE),"Special Order")</f>
        <v>KP000589</v>
      </c>
      <c r="E6" s="494" t="str">
        <f>'[6]price list MAN'!E6</f>
        <v>CKD</v>
      </c>
      <c r="F6" s="11" t="str">
        <f>'[6]price list MAN'!F6</f>
        <v>2018-06-30</v>
      </c>
      <c r="G6" s="32">
        <f>'[6]price list MAN'!G6</f>
        <v>15.3</v>
      </c>
      <c r="H6" s="26">
        <f>'[6]price list MAN'!H6</f>
        <v>42978</v>
      </c>
      <c r="I6" s="51" t="str">
        <f t="shared" si="0"/>
        <v>2017Q3</v>
      </c>
      <c r="J6" s="177">
        <f>'[6]price list MAN'!J6</f>
        <v>695000</v>
      </c>
      <c r="K6" s="177">
        <f>'[6]price list MAN'!P6</f>
        <v>572250</v>
      </c>
      <c r="L6" s="177">
        <f>'[6]price list MAN'!R6</f>
        <v>545000</v>
      </c>
      <c r="M6" s="174">
        <f>'[6]price list MAN'!S6</f>
        <v>710000</v>
      </c>
      <c r="N6" s="174">
        <f>'[6]price list MAN'!Y6</f>
        <v>588000</v>
      </c>
      <c r="O6" s="174">
        <f>'[6]price list MAN'!AA6</f>
        <v>560000</v>
      </c>
      <c r="P6" s="68">
        <f t="shared" si="1"/>
        <v>0.21126760563380281</v>
      </c>
      <c r="Q6" s="62" t="e">
        <f>O6-#REF!</f>
        <v>#REF!</v>
      </c>
      <c r="R6" s="170" t="s">
        <v>12</v>
      </c>
      <c r="S6" s="64">
        <v>13.6</v>
      </c>
      <c r="T6" s="64">
        <v>-7.9</v>
      </c>
      <c r="U6" s="64">
        <v>-2.6</v>
      </c>
      <c r="W6" s="210"/>
      <c r="X6" s="210"/>
      <c r="Y6" s="210"/>
      <c r="Z6" s="210"/>
      <c r="AA6" s="210"/>
      <c r="AB6" s="210"/>
      <c r="AC6" s="210"/>
      <c r="AO6" s="5" t="s">
        <v>535</v>
      </c>
      <c r="AS6" s="2"/>
      <c r="AT6" s="425" t="str">
        <f t="shared" si="2"/>
        <v>KP0005892017Q315,3</v>
      </c>
      <c r="AU6" s="64" t="str">
        <f t="shared" si="3"/>
        <v>08-2017</v>
      </c>
      <c r="AW6" s="429" t="s">
        <v>255</v>
      </c>
      <c r="AX6" s="427" t="s">
        <v>234</v>
      </c>
      <c r="AY6" s="427" t="s">
        <v>242</v>
      </c>
      <c r="BA6" s="428" t="str">
        <f t="shared" si="4"/>
        <v>WIP - 30 Days</v>
      </c>
    </row>
    <row r="7" spans="1:245">
      <c r="B7" s="36">
        <f>'[6]price list MAN'!B7</f>
        <v>48202</v>
      </c>
      <c r="C7" s="10" t="str">
        <f>'[6]price list MAN'!C7</f>
        <v>CLA-15-2204X2BB-C</v>
      </c>
      <c r="D7" s="16" t="str">
        <f>IFERROR(VLOOKUP(C7&amp;"",'[7]Retail Price List'!$A$3:$B$103,2,FALSE),"Special Order")</f>
        <v>KP000589</v>
      </c>
      <c r="E7" s="494" t="str">
        <f>'[6]price list MAN'!E7</f>
        <v>CKD</v>
      </c>
      <c r="F7" s="11" t="str">
        <f>'[6]price list MAN'!F7</f>
        <v>2018-07-30</v>
      </c>
      <c r="G7" s="32">
        <f>'[6]price list MAN'!G7</f>
        <v>15.3</v>
      </c>
      <c r="H7" s="26">
        <f>'[6]price list MAN'!H7</f>
        <v>42978</v>
      </c>
      <c r="I7" s="51" t="str">
        <f t="shared" si="0"/>
        <v>2017Q3</v>
      </c>
      <c r="J7" s="177">
        <f>'[6]price list MAN'!J7</f>
        <v>695000</v>
      </c>
      <c r="K7" s="177">
        <f>'[6]price list MAN'!P7</f>
        <v>572250</v>
      </c>
      <c r="L7" s="177">
        <f>'[6]price list MAN'!R7</f>
        <v>545000</v>
      </c>
      <c r="M7" s="174">
        <f>'[6]price list MAN'!S7</f>
        <v>710000</v>
      </c>
      <c r="N7" s="174">
        <f>'[6]price list MAN'!Y7</f>
        <v>588000</v>
      </c>
      <c r="O7" s="174">
        <f>'[6]price list MAN'!AA7</f>
        <v>560000</v>
      </c>
      <c r="P7" s="68">
        <f t="shared" si="1"/>
        <v>0.21126760563380281</v>
      </c>
      <c r="Q7" s="62" t="e">
        <f>O7-#REF!</f>
        <v>#REF!</v>
      </c>
      <c r="R7" s="63" t="s">
        <v>13</v>
      </c>
      <c r="S7" s="64">
        <v>3.6</v>
      </c>
      <c r="T7" s="64">
        <v>3.6</v>
      </c>
      <c r="U7" s="64">
        <v>3.6</v>
      </c>
      <c r="W7" s="210"/>
      <c r="X7" s="210"/>
      <c r="Y7" s="210"/>
      <c r="Z7" s="210"/>
      <c r="AA7" s="210"/>
      <c r="AB7" s="210"/>
      <c r="AC7" s="210"/>
      <c r="AT7" s="425" t="str">
        <f t="shared" si="2"/>
        <v>KP0005892017Q315,3</v>
      </c>
      <c r="AU7" s="64" t="str">
        <f t="shared" si="3"/>
        <v>08-2017</v>
      </c>
      <c r="AW7" s="426" t="s">
        <v>257</v>
      </c>
      <c r="AX7" s="430" t="s">
        <v>234</v>
      </c>
      <c r="AY7" s="427" t="s">
        <v>242</v>
      </c>
      <c r="BA7" s="428" t="str">
        <f t="shared" si="4"/>
        <v>WIP - 30 Days</v>
      </c>
    </row>
    <row r="8" spans="1:245">
      <c r="B8" s="36">
        <f>'[6]price list MAN'!B8</f>
        <v>48203</v>
      </c>
      <c r="C8" s="10" t="str">
        <f>'[6]price list MAN'!C8</f>
        <v>CLA-15-2204X2BB-C</v>
      </c>
      <c r="D8" s="16" t="str">
        <f>IFERROR(VLOOKUP(C8&amp;"",'[7]Retail Price List'!$A$3:$B$103,2,FALSE),"Special Order")</f>
        <v>KP000589</v>
      </c>
      <c r="E8" s="494" t="str">
        <f>'[6]price list MAN'!E8</f>
        <v>CKD</v>
      </c>
      <c r="F8" s="11" t="str">
        <f>'[6]price list MAN'!F8</f>
        <v>2018-07-30</v>
      </c>
      <c r="G8" s="32">
        <f>'[6]price list MAN'!G8</f>
        <v>15.3</v>
      </c>
      <c r="H8" s="26">
        <f>'[6]price list MAN'!H8</f>
        <v>42978</v>
      </c>
      <c r="I8" s="51" t="str">
        <f t="shared" si="0"/>
        <v>2017Q3</v>
      </c>
      <c r="J8" s="177">
        <f>'[6]price list MAN'!J8</f>
        <v>695000</v>
      </c>
      <c r="K8" s="177">
        <f>'[6]price list MAN'!P8</f>
        <v>572250</v>
      </c>
      <c r="L8" s="177">
        <f>'[6]price list MAN'!R8</f>
        <v>545000</v>
      </c>
      <c r="M8" s="174">
        <f>'[6]price list MAN'!S8</f>
        <v>710000</v>
      </c>
      <c r="N8" s="174">
        <f>'[6]price list MAN'!Y8</f>
        <v>588000</v>
      </c>
      <c r="O8" s="174">
        <f>'[6]price list MAN'!AA8</f>
        <v>560000</v>
      </c>
      <c r="P8" s="68">
        <f t="shared" si="1"/>
        <v>0.21126760563380281</v>
      </c>
      <c r="Q8" s="62" t="e">
        <f>O8-#REF!</f>
        <v>#REF!</v>
      </c>
      <c r="R8" s="63" t="s">
        <v>14</v>
      </c>
      <c r="S8" s="64">
        <f>COUNT(#REF!)</f>
        <v>0</v>
      </c>
      <c r="W8" s="210"/>
      <c r="X8" s="210"/>
      <c r="Y8" s="210"/>
      <c r="Z8" s="210"/>
      <c r="AA8" s="210"/>
      <c r="AB8" s="210"/>
      <c r="AC8" s="210"/>
      <c r="AT8" s="425" t="str">
        <f t="shared" si="2"/>
        <v>KP0005892017Q315,3</v>
      </c>
      <c r="AU8" s="64" t="str">
        <f t="shared" si="3"/>
        <v>08-2017</v>
      </c>
      <c r="AW8" s="429" t="s">
        <v>258</v>
      </c>
      <c r="AX8" s="430" t="s">
        <v>235</v>
      </c>
      <c r="AY8" s="427" t="s">
        <v>243</v>
      </c>
      <c r="BA8" s="428" t="str">
        <f t="shared" si="4"/>
        <v>WIP - 30 Days</v>
      </c>
    </row>
    <row r="9" spans="1:245">
      <c r="B9" s="36">
        <f>'[6]price list MAN'!B9</f>
        <v>48204</v>
      </c>
      <c r="C9" s="10" t="str">
        <f>'[6]price list MAN'!C9</f>
        <v>CLA-15-2204X2BB-C</v>
      </c>
      <c r="D9" s="16" t="str">
        <f>IFERROR(VLOOKUP(C9&amp;"",'[7]Retail Price List'!$A$3:$B$103,2,FALSE),"Special Order")</f>
        <v>KP000589</v>
      </c>
      <c r="E9" s="494" t="str">
        <f>'[6]price list MAN'!E9</f>
        <v>CKD</v>
      </c>
      <c r="F9" s="11" t="str">
        <f>'[6]price list MAN'!F9</f>
        <v>2018-07-30</v>
      </c>
      <c r="G9" s="32">
        <f>'[6]price list MAN'!G9</f>
        <v>15.3</v>
      </c>
      <c r="H9" s="26">
        <f>'[6]price list MAN'!H9</f>
        <v>42978</v>
      </c>
      <c r="I9" s="51" t="str">
        <f t="shared" si="0"/>
        <v>2017Q3</v>
      </c>
      <c r="J9" s="177">
        <f>'[6]price list MAN'!J9</f>
        <v>695000</v>
      </c>
      <c r="K9" s="177">
        <f>'[6]price list MAN'!P9</f>
        <v>572250</v>
      </c>
      <c r="L9" s="177">
        <f>'[6]price list MAN'!R9</f>
        <v>545000</v>
      </c>
      <c r="M9" s="174">
        <f>'[6]price list MAN'!S9</f>
        <v>710000</v>
      </c>
      <c r="N9" s="174">
        <f>'[6]price list MAN'!Y9</f>
        <v>588000</v>
      </c>
      <c r="O9" s="174">
        <f>'[6]price list MAN'!AA9</f>
        <v>560000</v>
      </c>
      <c r="P9" s="68">
        <f t="shared" si="1"/>
        <v>0.21126760563380281</v>
      </c>
      <c r="Q9" s="62" t="e">
        <f>O9-#REF!</f>
        <v>#REF!</v>
      </c>
      <c r="S9" s="62" t="e">
        <f>+AVERAGE(#REF!)</f>
        <v>#REF!</v>
      </c>
      <c r="W9" s="210"/>
      <c r="X9" s="210"/>
      <c r="Y9" s="210"/>
      <c r="Z9" s="210"/>
      <c r="AA9" s="210"/>
      <c r="AB9" s="210"/>
      <c r="AC9" s="210"/>
      <c r="AT9" s="425" t="str">
        <f t="shared" si="2"/>
        <v>KP0005892017Q315,3</v>
      </c>
      <c r="AU9" s="64" t="str">
        <f t="shared" si="3"/>
        <v>08-2017</v>
      </c>
      <c r="AW9" s="429" t="s">
        <v>259</v>
      </c>
      <c r="AX9" s="430" t="s">
        <v>235</v>
      </c>
      <c r="AY9" s="427" t="s">
        <v>243</v>
      </c>
      <c r="BA9" s="428" t="str">
        <f t="shared" si="4"/>
        <v>WIP - 30 Days</v>
      </c>
    </row>
    <row r="10" spans="1:245">
      <c r="B10" s="36">
        <f>'[6]price list MAN'!B10</f>
        <v>48205</v>
      </c>
      <c r="C10" s="10" t="str">
        <f>'[6]price list MAN'!C10</f>
        <v>CLA-15-2204X2BB-C</v>
      </c>
      <c r="D10" s="16" t="str">
        <f>IFERROR(VLOOKUP(C10&amp;"",'[7]Retail Price List'!$A$3:$B$103,2,FALSE),"Special Order")</f>
        <v>KP000589</v>
      </c>
      <c r="E10" s="494" t="str">
        <f>'[6]price list MAN'!E10</f>
        <v>CKD</v>
      </c>
      <c r="F10" s="11" t="str">
        <f>'[6]price list MAN'!F10</f>
        <v>2018-07-30</v>
      </c>
      <c r="G10" s="32">
        <f>'[6]price list MAN'!G10</f>
        <v>15.3</v>
      </c>
      <c r="H10" s="26">
        <f>'[6]price list MAN'!H10</f>
        <v>42978</v>
      </c>
      <c r="I10" s="51" t="str">
        <f t="shared" si="0"/>
        <v>2017Q3</v>
      </c>
      <c r="J10" s="177">
        <f>'[6]price list MAN'!J10</f>
        <v>695000</v>
      </c>
      <c r="K10" s="177">
        <f>'[6]price list MAN'!P10</f>
        <v>572250</v>
      </c>
      <c r="L10" s="177">
        <f>'[6]price list MAN'!R10</f>
        <v>545000</v>
      </c>
      <c r="M10" s="174">
        <f>'[6]price list MAN'!S10</f>
        <v>710000</v>
      </c>
      <c r="N10" s="174">
        <f>'[6]price list MAN'!Y10</f>
        <v>588000</v>
      </c>
      <c r="O10" s="174">
        <f>'[6]price list MAN'!AA10</f>
        <v>560000</v>
      </c>
      <c r="P10" s="68">
        <f t="shared" si="1"/>
        <v>0.21126760563380281</v>
      </c>
      <c r="Q10" s="62" t="e">
        <f>O10-#REF!</f>
        <v>#REF!</v>
      </c>
      <c r="S10" s="62"/>
      <c r="W10" s="210"/>
      <c r="X10" s="210"/>
      <c r="Y10" s="210"/>
      <c r="Z10" s="210"/>
      <c r="AA10" s="210"/>
      <c r="AB10" s="210"/>
      <c r="AC10" s="210"/>
      <c r="AT10" s="425" t="str">
        <f t="shared" si="2"/>
        <v>KP0005892017Q315,3</v>
      </c>
      <c r="AU10" s="64" t="str">
        <f t="shared" si="3"/>
        <v>08-2017</v>
      </c>
      <c r="AW10" s="429" t="s">
        <v>260</v>
      </c>
      <c r="AX10" s="430" t="s">
        <v>235</v>
      </c>
      <c r="AY10" s="427" t="s">
        <v>243</v>
      </c>
      <c r="BA10" s="428" t="str">
        <f t="shared" si="4"/>
        <v>WIP - 30 Days</v>
      </c>
    </row>
    <row r="11" spans="1:245">
      <c r="B11" s="36">
        <f>'[6]price list MAN'!B11</f>
        <v>48206</v>
      </c>
      <c r="C11" s="10" t="str">
        <f>'[6]price list MAN'!C11</f>
        <v>CLA-15-2204X2BB-C</v>
      </c>
      <c r="D11" s="16" t="str">
        <f>IFERROR(VLOOKUP(C11&amp;"",'[7]Retail Price List'!$A$3:$B$103,2,FALSE),"Special Order")</f>
        <v>KP000589</v>
      </c>
      <c r="E11" s="494" t="str">
        <f>'[6]price list MAN'!E11</f>
        <v>CKD</v>
      </c>
      <c r="F11" s="11" t="str">
        <f>'[6]price list MAN'!F11</f>
        <v>2018-08-30</v>
      </c>
      <c r="G11" s="32">
        <f>'[6]price list MAN'!G11</f>
        <v>15.3</v>
      </c>
      <c r="H11" s="26">
        <f>'[6]price list MAN'!H11</f>
        <v>42978</v>
      </c>
      <c r="I11" s="51" t="str">
        <f t="shared" si="0"/>
        <v>2017Q3</v>
      </c>
      <c r="J11" s="177">
        <f>'[6]price list MAN'!J11</f>
        <v>695000</v>
      </c>
      <c r="K11" s="177">
        <f>'[6]price list MAN'!P11</f>
        <v>572250</v>
      </c>
      <c r="L11" s="177">
        <f>'[6]price list MAN'!R11</f>
        <v>545000</v>
      </c>
      <c r="M11" s="174">
        <f>'[6]price list MAN'!S11</f>
        <v>710000</v>
      </c>
      <c r="N11" s="174">
        <f>'[6]price list MAN'!Y11</f>
        <v>588000</v>
      </c>
      <c r="O11" s="174">
        <f>'[6]price list MAN'!AA11</f>
        <v>560000</v>
      </c>
      <c r="P11" s="68">
        <f t="shared" si="1"/>
        <v>0.21126760563380281</v>
      </c>
      <c r="Q11" s="62" t="e">
        <f>O11-#REF!</f>
        <v>#REF!</v>
      </c>
      <c r="S11" s="62"/>
      <c r="W11" s="210"/>
      <c r="X11" s="210"/>
      <c r="Y11" s="210"/>
      <c r="Z11" s="210"/>
      <c r="AA11" s="210"/>
      <c r="AB11" s="210"/>
      <c r="AC11" s="210"/>
      <c r="AT11" s="425" t="str">
        <f t="shared" si="2"/>
        <v>KP0005892017Q315,3</v>
      </c>
      <c r="AU11" s="64" t="str">
        <f t="shared" si="3"/>
        <v>08-2017</v>
      </c>
      <c r="AW11" s="429" t="s">
        <v>261</v>
      </c>
      <c r="AX11" s="430" t="s">
        <v>236</v>
      </c>
      <c r="AY11" s="427" t="s">
        <v>244</v>
      </c>
      <c r="BA11" s="428" t="str">
        <f t="shared" si="4"/>
        <v>WIP - 30 Days</v>
      </c>
    </row>
    <row r="12" spans="1:245">
      <c r="B12" s="36">
        <f>'[6]price list MAN'!B12</f>
        <v>48207</v>
      </c>
      <c r="C12" s="10" t="str">
        <f>'[6]price list MAN'!C12</f>
        <v>CLA-15-2204X2BB-C</v>
      </c>
      <c r="D12" s="16" t="str">
        <f>IFERROR(VLOOKUP(C12&amp;"",'[7]Retail Price List'!$A$3:$B$103,2,FALSE),"Special Order")</f>
        <v>KP000589</v>
      </c>
      <c r="E12" s="494" t="str">
        <f>'[6]price list MAN'!E12</f>
        <v>CKD</v>
      </c>
      <c r="F12" s="11" t="str">
        <f>'[6]price list MAN'!F12</f>
        <v>2018-08-30</v>
      </c>
      <c r="G12" s="32">
        <f>'[6]price list MAN'!G12</f>
        <v>15.3</v>
      </c>
      <c r="H12" s="26">
        <f>'[6]price list MAN'!H12</f>
        <v>42978</v>
      </c>
      <c r="I12" s="51" t="str">
        <f t="shared" si="0"/>
        <v>2017Q3</v>
      </c>
      <c r="J12" s="177">
        <f>'[6]price list MAN'!J12</f>
        <v>695000</v>
      </c>
      <c r="K12" s="177">
        <f>'[6]price list MAN'!P12</f>
        <v>572250</v>
      </c>
      <c r="L12" s="177">
        <f>'[6]price list MAN'!R12</f>
        <v>545000</v>
      </c>
      <c r="M12" s="174">
        <f>'[6]price list MAN'!S12</f>
        <v>710000</v>
      </c>
      <c r="N12" s="174">
        <f>'[6]price list MAN'!Y12</f>
        <v>588000</v>
      </c>
      <c r="O12" s="174">
        <f>'[6]price list MAN'!AA12</f>
        <v>560000</v>
      </c>
      <c r="P12" s="68">
        <f t="shared" si="1"/>
        <v>0.21126760563380281</v>
      </c>
      <c r="Q12" s="62" t="e">
        <f>O12-#REF!</f>
        <v>#REF!</v>
      </c>
      <c r="S12" s="62"/>
      <c r="W12" s="210"/>
      <c r="X12" s="210"/>
      <c r="Y12" s="210"/>
      <c r="Z12" s="210"/>
      <c r="AA12" s="210"/>
      <c r="AB12" s="210"/>
      <c r="AC12" s="210"/>
      <c r="AT12" s="425" t="str">
        <f t="shared" si="2"/>
        <v>KP0005892017Q315,3</v>
      </c>
      <c r="AU12" s="64" t="str">
        <f t="shared" si="3"/>
        <v>08-2017</v>
      </c>
      <c r="AW12" s="429" t="s">
        <v>262</v>
      </c>
      <c r="AX12" s="430" t="s">
        <v>236</v>
      </c>
      <c r="AY12" s="427" t="s">
        <v>244</v>
      </c>
      <c r="BA12" s="428" t="str">
        <f t="shared" si="4"/>
        <v>WIP - 30 Days</v>
      </c>
    </row>
    <row r="13" spans="1:245">
      <c r="B13" s="36">
        <f>'[6]price list MAN'!B13</f>
        <v>48208</v>
      </c>
      <c r="C13" s="10" t="str">
        <f>'[6]price list MAN'!C13</f>
        <v>CLA-15-2204X2BB-C</v>
      </c>
      <c r="D13" s="16" t="str">
        <f>IFERROR(VLOOKUP(C13&amp;"",'[7]Retail Price List'!$A$3:$B$103,2,FALSE),"Special Order")</f>
        <v>KP000589</v>
      </c>
      <c r="E13" s="494" t="str">
        <f>'[6]price list MAN'!E13</f>
        <v>CKD</v>
      </c>
      <c r="F13" s="11" t="str">
        <f>'[6]price list MAN'!F13</f>
        <v>2018-08-30</v>
      </c>
      <c r="G13" s="32">
        <f>'[6]price list MAN'!G13</f>
        <v>15.3</v>
      </c>
      <c r="H13" s="26">
        <f>'[6]price list MAN'!H13</f>
        <v>42978</v>
      </c>
      <c r="I13" s="51" t="str">
        <f t="shared" si="0"/>
        <v>2017Q3</v>
      </c>
      <c r="J13" s="177">
        <f>'[6]price list MAN'!J13</f>
        <v>695000</v>
      </c>
      <c r="K13" s="177">
        <f>'[6]price list MAN'!P13</f>
        <v>572250</v>
      </c>
      <c r="L13" s="177">
        <f>'[6]price list MAN'!R13</f>
        <v>545000</v>
      </c>
      <c r="M13" s="174">
        <f>'[6]price list MAN'!S13</f>
        <v>710000</v>
      </c>
      <c r="N13" s="174">
        <f>'[6]price list MAN'!Y13</f>
        <v>588000</v>
      </c>
      <c r="O13" s="174">
        <f>'[6]price list MAN'!AA13</f>
        <v>560000</v>
      </c>
      <c r="P13" s="68">
        <f t="shared" si="1"/>
        <v>0.21126760563380281</v>
      </c>
      <c r="Q13" s="62" t="e">
        <f>O13-#REF!</f>
        <v>#REF!</v>
      </c>
      <c r="S13" s="62"/>
      <c r="W13" s="210"/>
      <c r="X13" s="210"/>
      <c r="Y13" s="210"/>
      <c r="Z13" s="210"/>
      <c r="AA13" s="210"/>
      <c r="AB13" s="210"/>
      <c r="AC13" s="210"/>
      <c r="AT13" s="425" t="str">
        <f t="shared" si="2"/>
        <v>KP0005892017Q315,3</v>
      </c>
      <c r="AU13" s="64" t="str">
        <f t="shared" si="3"/>
        <v>08-2017</v>
      </c>
      <c r="AW13" s="429" t="s">
        <v>263</v>
      </c>
      <c r="AX13" s="430" t="s">
        <v>236</v>
      </c>
      <c r="AY13" s="427" t="s">
        <v>244</v>
      </c>
      <c r="BA13" s="428" t="str">
        <f t="shared" si="4"/>
        <v>WIP - 30 Days</v>
      </c>
    </row>
    <row r="14" spans="1:245">
      <c r="B14" s="36">
        <f>'[6]price list MAN'!B14</f>
        <v>48209</v>
      </c>
      <c r="C14" s="10" t="str">
        <f>'[6]price list MAN'!C14</f>
        <v>CLA-15-2204X2BB-C</v>
      </c>
      <c r="D14" s="16" t="str">
        <f>IFERROR(VLOOKUP(C14&amp;"",'[7]Retail Price List'!$A$3:$B$103,2,FALSE),"Special Order")</f>
        <v>KP000589</v>
      </c>
      <c r="E14" s="494" t="str">
        <f>'[6]price list MAN'!E14</f>
        <v>CKD</v>
      </c>
      <c r="F14" s="11" t="str">
        <f>'[6]price list MAN'!F14</f>
        <v>2018-08-30</v>
      </c>
      <c r="G14" s="32">
        <f>'[6]price list MAN'!G14</f>
        <v>15.3</v>
      </c>
      <c r="H14" s="26">
        <f>'[6]price list MAN'!H14</f>
        <v>42978</v>
      </c>
      <c r="I14" s="51" t="str">
        <f t="shared" si="0"/>
        <v>2017Q3</v>
      </c>
      <c r="J14" s="177">
        <f>'[6]price list MAN'!J14</f>
        <v>695000</v>
      </c>
      <c r="K14" s="177">
        <f>'[6]price list MAN'!P14</f>
        <v>572250</v>
      </c>
      <c r="L14" s="177">
        <f>'[6]price list MAN'!R14</f>
        <v>545000</v>
      </c>
      <c r="M14" s="174">
        <f>'[6]price list MAN'!S14</f>
        <v>710000</v>
      </c>
      <c r="N14" s="174">
        <f>'[6]price list MAN'!Y14</f>
        <v>588000</v>
      </c>
      <c r="O14" s="174">
        <f>'[6]price list MAN'!AA14</f>
        <v>560000</v>
      </c>
      <c r="P14" s="68">
        <f t="shared" si="1"/>
        <v>0.21126760563380281</v>
      </c>
      <c r="Q14" s="62" t="e">
        <f>O14-#REF!</f>
        <v>#REF!</v>
      </c>
      <c r="S14" s="62"/>
      <c r="W14" s="210"/>
      <c r="X14" s="210"/>
      <c r="Y14" s="210"/>
      <c r="Z14" s="210"/>
      <c r="AA14" s="210"/>
      <c r="AB14" s="210"/>
      <c r="AC14" s="210"/>
      <c r="AT14" s="425" t="str">
        <f t="shared" si="2"/>
        <v>KP0005892017Q315,3</v>
      </c>
      <c r="AU14" s="64" t="str">
        <f t="shared" si="3"/>
        <v>08-2017</v>
      </c>
      <c r="AW14" s="426" t="s">
        <v>241</v>
      </c>
      <c r="AX14" s="430" t="s">
        <v>237</v>
      </c>
      <c r="AY14" s="427" t="s">
        <v>432</v>
      </c>
      <c r="BA14" s="428" t="str">
        <f t="shared" si="4"/>
        <v>WIP - 30 Days</v>
      </c>
    </row>
    <row r="15" spans="1:245">
      <c r="B15" s="36">
        <f>'[6]price list MAN'!B15</f>
        <v>48210</v>
      </c>
      <c r="C15" s="10" t="str">
        <f>'[6]price list MAN'!C15</f>
        <v>CLA-15-2204X2BB-C</v>
      </c>
      <c r="D15" s="16" t="str">
        <f>IFERROR(VLOOKUP(C15&amp;"",'[7]Retail Price List'!$A$3:$B$103,2,FALSE),"Special Order")</f>
        <v>KP000589</v>
      </c>
      <c r="E15" s="494" t="str">
        <f>'[6]price list MAN'!E15</f>
        <v>CKD</v>
      </c>
      <c r="F15" s="11" t="str">
        <f>'[6]price list MAN'!F15</f>
        <v>2018-08-30</v>
      </c>
      <c r="G15" s="32">
        <f>'[6]price list MAN'!G15</f>
        <v>15.3</v>
      </c>
      <c r="H15" s="26">
        <f>'[6]price list MAN'!H15</f>
        <v>42978</v>
      </c>
      <c r="I15" s="51" t="str">
        <f t="shared" si="0"/>
        <v>2017Q3</v>
      </c>
      <c r="J15" s="177">
        <f>'[6]price list MAN'!J15</f>
        <v>695000</v>
      </c>
      <c r="K15" s="177">
        <f>'[6]price list MAN'!P15</f>
        <v>572250</v>
      </c>
      <c r="L15" s="177">
        <f>'[6]price list MAN'!R15</f>
        <v>545000</v>
      </c>
      <c r="M15" s="174">
        <f>'[6]price list MAN'!S15</f>
        <v>710000</v>
      </c>
      <c r="N15" s="174">
        <f>'[6]price list MAN'!Y15</f>
        <v>588000</v>
      </c>
      <c r="O15" s="174">
        <f>'[6]price list MAN'!AA15</f>
        <v>560000</v>
      </c>
      <c r="P15" s="68">
        <f t="shared" si="1"/>
        <v>0.21126760563380281</v>
      </c>
      <c r="Q15" s="62" t="e">
        <f>O15-#REF!</f>
        <v>#REF!</v>
      </c>
      <c r="S15" s="62"/>
      <c r="W15" s="210"/>
      <c r="X15" s="210"/>
      <c r="Y15" s="210"/>
      <c r="Z15" s="210"/>
      <c r="AA15" s="210"/>
      <c r="AB15" s="210"/>
      <c r="AC15" s="210"/>
      <c r="AT15" s="425" t="str">
        <f t="shared" si="2"/>
        <v>KP0005892017Q315,3</v>
      </c>
      <c r="AU15" s="64" t="str">
        <f t="shared" si="3"/>
        <v>08-2017</v>
      </c>
      <c r="AW15" s="429" t="s">
        <v>264</v>
      </c>
      <c r="AX15" s="430" t="s">
        <v>237</v>
      </c>
      <c r="AY15" s="427" t="s">
        <v>245</v>
      </c>
      <c r="BA15" s="428" t="str">
        <f t="shared" si="4"/>
        <v>WIP - 30 Days</v>
      </c>
    </row>
    <row r="16" spans="1:245">
      <c r="B16" s="36">
        <f>'[6]price list MAN'!B16</f>
        <v>48211</v>
      </c>
      <c r="C16" s="10" t="str">
        <f>'[6]price list MAN'!C16</f>
        <v>CLA-15-2204X2BB-C</v>
      </c>
      <c r="D16" s="16" t="str">
        <f>IFERROR(VLOOKUP(C16&amp;"",'[7]Retail Price List'!$A$3:$B$103,2,FALSE),"Special Order")</f>
        <v>KP000589</v>
      </c>
      <c r="E16" s="494" t="str">
        <f>'[6]price list MAN'!E16</f>
        <v>CKD</v>
      </c>
      <c r="F16" s="11" t="str">
        <f>'[6]price list MAN'!F16</f>
        <v>2018-08-30</v>
      </c>
      <c r="G16" s="32">
        <f>'[6]price list MAN'!G16</f>
        <v>15.3</v>
      </c>
      <c r="H16" s="26">
        <f>'[6]price list MAN'!H16</f>
        <v>42978</v>
      </c>
      <c r="I16" s="51" t="str">
        <f t="shared" si="0"/>
        <v>2017Q3</v>
      </c>
      <c r="J16" s="177">
        <f>'[6]price list MAN'!J16</f>
        <v>695000</v>
      </c>
      <c r="K16" s="177">
        <f>'[6]price list MAN'!P16</f>
        <v>572250</v>
      </c>
      <c r="L16" s="177">
        <f>'[6]price list MAN'!R16</f>
        <v>545000</v>
      </c>
      <c r="M16" s="174">
        <f>'[6]price list MAN'!S16</f>
        <v>710000</v>
      </c>
      <c r="N16" s="174">
        <f>'[6]price list MAN'!Y16</f>
        <v>588000</v>
      </c>
      <c r="O16" s="174">
        <f>'[6]price list MAN'!AA16</f>
        <v>560000</v>
      </c>
      <c r="P16" s="68">
        <f t="shared" si="1"/>
        <v>0.21126760563380281</v>
      </c>
      <c r="Q16" s="62" t="e">
        <f>O16-#REF!</f>
        <v>#REF!</v>
      </c>
      <c r="W16" s="210"/>
      <c r="X16" s="210"/>
      <c r="Y16" s="210"/>
      <c r="Z16" s="210"/>
      <c r="AA16" s="210"/>
      <c r="AB16" s="210"/>
      <c r="AC16" s="210"/>
      <c r="AT16" s="425" t="str">
        <f t="shared" si="2"/>
        <v>KP0005892017Q315,3</v>
      </c>
      <c r="AU16" s="64" t="str">
        <f t="shared" si="3"/>
        <v>08-2017</v>
      </c>
      <c r="AW16" s="429" t="s">
        <v>265</v>
      </c>
      <c r="AX16" s="430" t="s">
        <v>237</v>
      </c>
      <c r="AY16" s="427" t="s">
        <v>245</v>
      </c>
      <c r="BA16" s="428" t="str">
        <f t="shared" si="4"/>
        <v>WIP - 30 Days</v>
      </c>
    </row>
    <row r="17" spans="2:53">
      <c r="B17" s="36">
        <f>'[6]price list MAN'!B17</f>
        <v>48212</v>
      </c>
      <c r="C17" s="10" t="str">
        <f>'[6]price list MAN'!C17</f>
        <v>CLA-15-2204X2BB-C</v>
      </c>
      <c r="D17" s="16" t="str">
        <f>IFERROR(VLOOKUP(C17&amp;"",'[7]Retail Price List'!$A$3:$B$103,2,FALSE),"Special Order")</f>
        <v>KP000589</v>
      </c>
      <c r="E17" s="494" t="str">
        <f>'[6]price list MAN'!E17</f>
        <v>CKD</v>
      </c>
      <c r="F17" s="11" t="str">
        <f>'[6]price list MAN'!F17</f>
        <v>2018-08-30</v>
      </c>
      <c r="G17" s="32">
        <f>'[6]price list MAN'!G17</f>
        <v>15.3</v>
      </c>
      <c r="H17" s="26">
        <f>'[6]price list MAN'!H17</f>
        <v>42978</v>
      </c>
      <c r="I17" s="51" t="str">
        <f t="shared" si="0"/>
        <v>2017Q3</v>
      </c>
      <c r="J17" s="177">
        <f>'[6]price list MAN'!J17</f>
        <v>695000</v>
      </c>
      <c r="K17" s="177">
        <f>'[6]price list MAN'!P17</f>
        <v>572250</v>
      </c>
      <c r="L17" s="177">
        <f>'[6]price list MAN'!R17</f>
        <v>545000</v>
      </c>
      <c r="M17" s="174">
        <f>'[6]price list MAN'!S17</f>
        <v>710000</v>
      </c>
      <c r="N17" s="174">
        <f>'[6]price list MAN'!Y17</f>
        <v>588000</v>
      </c>
      <c r="O17" s="174">
        <f>'[6]price list MAN'!AA17</f>
        <v>560000</v>
      </c>
      <c r="P17" s="68">
        <f t="shared" si="1"/>
        <v>0.21126760563380281</v>
      </c>
      <c r="Q17" s="62" t="e">
        <f>O17-#REF!</f>
        <v>#REF!</v>
      </c>
      <c r="W17" s="210"/>
      <c r="X17" s="210"/>
      <c r="Y17" s="210"/>
      <c r="Z17" s="210"/>
      <c r="AA17" s="210"/>
      <c r="AB17" s="210"/>
      <c r="AC17" s="210"/>
      <c r="AT17" s="425" t="str">
        <f t="shared" si="2"/>
        <v>KP0005892017Q315,3</v>
      </c>
      <c r="AU17" s="64" t="str">
        <f t="shared" si="3"/>
        <v>08-2017</v>
      </c>
      <c r="AW17" s="429" t="s">
        <v>256</v>
      </c>
      <c r="AX17" s="427" t="s">
        <v>234</v>
      </c>
      <c r="AY17" s="427" t="s">
        <v>246</v>
      </c>
      <c r="BA17" s="428" t="str">
        <f t="shared" si="4"/>
        <v>WIP - 30 Days</v>
      </c>
    </row>
    <row r="18" spans="2:53">
      <c r="B18" s="36">
        <f>'[6]price list MAN'!B18</f>
        <v>48213</v>
      </c>
      <c r="C18" s="10" t="str">
        <f>'[6]price list MAN'!C18</f>
        <v>CLA-15-2204X2BB-C</v>
      </c>
      <c r="D18" s="16" t="str">
        <f>IFERROR(VLOOKUP(C18&amp;"",'[7]Retail Price List'!$A$3:$B$103,2,FALSE),"Special Order")</f>
        <v>KP000589</v>
      </c>
      <c r="E18" s="494" t="str">
        <f>'[6]price list MAN'!E18</f>
        <v>CKD</v>
      </c>
      <c r="F18" s="11" t="str">
        <f>'[6]price list MAN'!F18</f>
        <v>2018-08-30</v>
      </c>
      <c r="G18" s="32">
        <f>'[6]price list MAN'!G18</f>
        <v>15.3</v>
      </c>
      <c r="H18" s="26">
        <f>'[6]price list MAN'!H18</f>
        <v>42978</v>
      </c>
      <c r="I18" s="51" t="str">
        <f t="shared" si="0"/>
        <v>2017Q3</v>
      </c>
      <c r="J18" s="177">
        <f>'[6]price list MAN'!J18</f>
        <v>695000</v>
      </c>
      <c r="K18" s="177">
        <f>'[6]price list MAN'!P18</f>
        <v>572250</v>
      </c>
      <c r="L18" s="177">
        <f>'[6]price list MAN'!R18</f>
        <v>545000</v>
      </c>
      <c r="M18" s="174">
        <f>'[6]price list MAN'!S18</f>
        <v>710000</v>
      </c>
      <c r="N18" s="174">
        <f>'[6]price list MAN'!Y18</f>
        <v>588000</v>
      </c>
      <c r="O18" s="174">
        <f>'[6]price list MAN'!AA18</f>
        <v>560000</v>
      </c>
      <c r="P18" s="68">
        <f t="shared" si="1"/>
        <v>0.21126760563380281</v>
      </c>
      <c r="Q18" s="62" t="e">
        <f>O18-#REF!</f>
        <v>#REF!</v>
      </c>
      <c r="W18" s="210"/>
      <c r="X18" s="210"/>
      <c r="Y18" s="210"/>
      <c r="Z18" s="210"/>
      <c r="AA18" s="210"/>
      <c r="AB18" s="210"/>
      <c r="AC18" s="210"/>
      <c r="AT18" s="425" t="str">
        <f t="shared" si="2"/>
        <v>KP0005892017Q315,3</v>
      </c>
      <c r="AU18" s="64" t="str">
        <f t="shared" si="3"/>
        <v>08-2017</v>
      </c>
      <c r="AW18" s="429" t="s">
        <v>266</v>
      </c>
      <c r="AX18" s="427" t="s">
        <v>234</v>
      </c>
      <c r="AY18" s="427" t="s">
        <v>246</v>
      </c>
      <c r="BA18" s="428" t="str">
        <f t="shared" si="4"/>
        <v>WIP - 30 Days</v>
      </c>
    </row>
    <row r="19" spans="2:53">
      <c r="B19" s="36">
        <f>'[6]price list MAN'!B19</f>
        <v>48214</v>
      </c>
      <c r="C19" s="10" t="str">
        <f>'[6]price list MAN'!C19</f>
        <v>CLA-15-2204X2BB-C</v>
      </c>
      <c r="D19" s="16" t="str">
        <f>IFERROR(VLOOKUP(C19&amp;"",'[7]Retail Price List'!$A$3:$B$103,2,FALSE),"Special Order")</f>
        <v>KP000589</v>
      </c>
      <c r="E19" s="494" t="str">
        <f>'[6]price list MAN'!E19</f>
        <v>CKD</v>
      </c>
      <c r="F19" s="11" t="str">
        <f>'[6]price list MAN'!F19</f>
        <v>2018-08-30</v>
      </c>
      <c r="G19" s="32">
        <f>'[6]price list MAN'!G19</f>
        <v>15.3</v>
      </c>
      <c r="H19" s="26">
        <f>'[6]price list MAN'!H19</f>
        <v>42978</v>
      </c>
      <c r="I19" s="51" t="str">
        <f t="shared" si="0"/>
        <v>2017Q3</v>
      </c>
      <c r="J19" s="177">
        <f>'[6]price list MAN'!J19</f>
        <v>695000</v>
      </c>
      <c r="K19" s="177">
        <f>'[6]price list MAN'!P19</f>
        <v>572250</v>
      </c>
      <c r="L19" s="177">
        <f>'[6]price list MAN'!R19</f>
        <v>545000</v>
      </c>
      <c r="M19" s="174">
        <f>'[6]price list MAN'!S19</f>
        <v>710000</v>
      </c>
      <c r="N19" s="174">
        <f>'[6]price list MAN'!Y19</f>
        <v>588000</v>
      </c>
      <c r="O19" s="174">
        <f>'[6]price list MAN'!AA19</f>
        <v>560000</v>
      </c>
      <c r="P19" s="68">
        <f t="shared" si="1"/>
        <v>0.21126760563380281</v>
      </c>
      <c r="Q19" s="62" t="e">
        <f>O19-#REF!</f>
        <v>#REF!</v>
      </c>
      <c r="W19" s="210"/>
      <c r="X19" s="210"/>
      <c r="Y19" s="210"/>
      <c r="Z19" s="210"/>
      <c r="AA19" s="210"/>
      <c r="AB19" s="210"/>
      <c r="AC19" s="210"/>
      <c r="AT19" s="425" t="str">
        <f t="shared" si="2"/>
        <v>KP0005892017Q315,3</v>
      </c>
      <c r="AU19" s="64" t="str">
        <f t="shared" si="3"/>
        <v>08-2017</v>
      </c>
      <c r="AW19" s="429" t="s">
        <v>267</v>
      </c>
      <c r="AX19" s="430" t="s">
        <v>234</v>
      </c>
      <c r="AY19" s="427" t="s">
        <v>246</v>
      </c>
      <c r="BA19" s="428" t="str">
        <f t="shared" si="4"/>
        <v>WIP - 30 Days</v>
      </c>
    </row>
    <row r="20" spans="2:53">
      <c r="B20" s="36">
        <f>'[6]price list MAN'!B20</f>
        <v>48303</v>
      </c>
      <c r="C20" s="10" t="str">
        <f>'[6]price list MAN'!C20</f>
        <v>CLA-15-2204X2BB-C</v>
      </c>
      <c r="D20" s="16" t="str">
        <f>IFERROR(VLOOKUP(C20&amp;"",'[7]Retail Price List'!$A$3:$B$103,2,FALSE),"Special Order")</f>
        <v>KP000589</v>
      </c>
      <c r="E20" s="494" t="str">
        <f>'[6]price list MAN'!E20</f>
        <v>CKD</v>
      </c>
      <c r="F20" s="11" t="str">
        <f>'[6]price list MAN'!F20</f>
        <v>2018-07-30</v>
      </c>
      <c r="G20" s="32">
        <f>'[6]price list MAN'!G20</f>
        <v>15.3</v>
      </c>
      <c r="H20" s="26">
        <f>'[6]price list MAN'!H20</f>
        <v>42978</v>
      </c>
      <c r="I20" s="51" t="str">
        <f t="shared" si="0"/>
        <v>2017Q3</v>
      </c>
      <c r="J20" s="177">
        <f>'[6]price list MAN'!J20</f>
        <v>695000</v>
      </c>
      <c r="K20" s="177">
        <f>'[6]price list MAN'!P20</f>
        <v>572250</v>
      </c>
      <c r="L20" s="177">
        <f>'[6]price list MAN'!R20</f>
        <v>545000</v>
      </c>
      <c r="M20" s="174">
        <f>'[6]price list MAN'!S20</f>
        <v>710000</v>
      </c>
      <c r="N20" s="174">
        <f>'[6]price list MAN'!Y20</f>
        <v>588000</v>
      </c>
      <c r="O20" s="174">
        <f>'[6]price list MAN'!AA20</f>
        <v>560000</v>
      </c>
      <c r="P20" s="68">
        <f t="shared" si="1"/>
        <v>0.21126760563380281</v>
      </c>
      <c r="Q20" s="62" t="e">
        <f>O20-#REF!</f>
        <v>#REF!</v>
      </c>
      <c r="W20" s="210"/>
      <c r="X20" s="210"/>
      <c r="Y20" s="210"/>
      <c r="Z20" s="210"/>
      <c r="AA20" s="210"/>
      <c r="AB20" s="210"/>
      <c r="AC20" s="210"/>
      <c r="AT20" s="425" t="str">
        <f t="shared" si="2"/>
        <v>KP0005892017Q315,3</v>
      </c>
      <c r="AU20" s="64" t="str">
        <f t="shared" si="3"/>
        <v>08-2017</v>
      </c>
      <c r="AW20" s="429" t="s">
        <v>268</v>
      </c>
      <c r="AX20" s="430" t="s">
        <v>235</v>
      </c>
      <c r="AY20" s="427" t="s">
        <v>247</v>
      </c>
      <c r="BA20" s="428" t="str">
        <f t="shared" si="4"/>
        <v>WIP - 30 Days</v>
      </c>
    </row>
    <row r="21" spans="2:53">
      <c r="B21" s="36">
        <f>'[6]price list MAN'!B21</f>
        <v>48304</v>
      </c>
      <c r="C21" s="10" t="str">
        <f>'[6]price list MAN'!C21</f>
        <v>CLA-15-2204X2BB-C</v>
      </c>
      <c r="D21" s="16" t="str">
        <f>IFERROR(VLOOKUP(C21&amp;"",'[7]Retail Price List'!$A$3:$B$103,2,FALSE),"Special Order")</f>
        <v>KP000589</v>
      </c>
      <c r="E21" s="494" t="str">
        <f>'[6]price list MAN'!E21</f>
        <v>CKD</v>
      </c>
      <c r="F21" s="11" t="str">
        <f>'[6]price list MAN'!F21</f>
        <v>2018-07-30</v>
      </c>
      <c r="G21" s="32">
        <f>'[6]price list MAN'!G21</f>
        <v>15.3</v>
      </c>
      <c r="H21" s="26">
        <f>'[6]price list MAN'!H21</f>
        <v>42978</v>
      </c>
      <c r="I21" s="51" t="str">
        <f t="shared" si="0"/>
        <v>2017Q3</v>
      </c>
      <c r="J21" s="177">
        <f>'[6]price list MAN'!J21</f>
        <v>695000</v>
      </c>
      <c r="K21" s="177">
        <f>'[6]price list MAN'!P21</f>
        <v>572250</v>
      </c>
      <c r="L21" s="177">
        <f>'[6]price list MAN'!R21</f>
        <v>545000</v>
      </c>
      <c r="M21" s="174">
        <f>'[6]price list MAN'!S21</f>
        <v>710000</v>
      </c>
      <c r="N21" s="174">
        <f>'[6]price list MAN'!Y21</f>
        <v>588000</v>
      </c>
      <c r="O21" s="174">
        <f>'[6]price list MAN'!AA21</f>
        <v>560000</v>
      </c>
      <c r="P21" s="68">
        <f t="shared" si="1"/>
        <v>0.21126760563380281</v>
      </c>
      <c r="Q21" s="62" t="e">
        <f>O21-#REF!</f>
        <v>#REF!</v>
      </c>
      <c r="W21" s="210"/>
      <c r="X21" s="210"/>
      <c r="Y21" s="210"/>
      <c r="Z21" s="210"/>
      <c r="AA21" s="210"/>
      <c r="AB21" s="210"/>
      <c r="AC21" s="210"/>
      <c r="AT21" s="425" t="str">
        <f t="shared" si="2"/>
        <v>KP0005892017Q315,3</v>
      </c>
      <c r="AU21" s="64" t="str">
        <f t="shared" si="3"/>
        <v>08-2017</v>
      </c>
      <c r="AW21" s="429" t="s">
        <v>269</v>
      </c>
      <c r="AX21" s="430" t="s">
        <v>235</v>
      </c>
      <c r="AY21" s="427" t="s">
        <v>247</v>
      </c>
      <c r="BA21" s="428" t="str">
        <f t="shared" si="4"/>
        <v>WIP - 30 Days</v>
      </c>
    </row>
    <row r="22" spans="2:53">
      <c r="B22" s="36">
        <f>'[6]price list MAN'!B22</f>
        <v>48305</v>
      </c>
      <c r="C22" s="10" t="str">
        <f>'[6]price list MAN'!C22</f>
        <v>CLA-15-2204X2BB-C</v>
      </c>
      <c r="D22" s="16" t="str">
        <f>IFERROR(VLOOKUP(C22&amp;"",'[7]Retail Price List'!$A$3:$B$103,2,FALSE),"Special Order")</f>
        <v>KP000589</v>
      </c>
      <c r="E22" s="494" t="str">
        <f>'[6]price list MAN'!E22</f>
        <v>CKD</v>
      </c>
      <c r="F22" s="11" t="str">
        <f>'[6]price list MAN'!F22</f>
        <v>2018-07-30</v>
      </c>
      <c r="G22" s="32">
        <f>'[6]price list MAN'!G22</f>
        <v>15.3</v>
      </c>
      <c r="H22" s="26">
        <f>'[6]price list MAN'!H22</f>
        <v>42978</v>
      </c>
      <c r="I22" s="51" t="str">
        <f t="shared" si="0"/>
        <v>2017Q3</v>
      </c>
      <c r="J22" s="177">
        <f>'[6]price list MAN'!J22</f>
        <v>695000</v>
      </c>
      <c r="K22" s="177">
        <f>'[6]price list MAN'!P22</f>
        <v>572250</v>
      </c>
      <c r="L22" s="177">
        <f>'[6]price list MAN'!R22</f>
        <v>545000</v>
      </c>
      <c r="M22" s="174">
        <f>'[6]price list MAN'!S22</f>
        <v>710000</v>
      </c>
      <c r="N22" s="174">
        <f>'[6]price list MAN'!Y22</f>
        <v>588000</v>
      </c>
      <c r="O22" s="174">
        <f>'[6]price list MAN'!AA22</f>
        <v>560000</v>
      </c>
      <c r="P22" s="68">
        <f t="shared" si="1"/>
        <v>0.21126760563380281</v>
      </c>
      <c r="Q22" s="62" t="e">
        <f>O22-#REF!</f>
        <v>#REF!</v>
      </c>
      <c r="W22" s="210"/>
      <c r="X22" s="210"/>
      <c r="Y22" s="210"/>
      <c r="Z22" s="210"/>
      <c r="AA22" s="210"/>
      <c r="AB22" s="210"/>
      <c r="AC22" s="210"/>
      <c r="AT22" s="425" t="str">
        <f t="shared" si="2"/>
        <v>KP0005892017Q315,3</v>
      </c>
      <c r="AU22" s="64" t="str">
        <f t="shared" si="3"/>
        <v>08-2017</v>
      </c>
      <c r="AW22" s="429" t="s">
        <v>270</v>
      </c>
      <c r="AX22" s="430" t="s">
        <v>235</v>
      </c>
      <c r="AY22" s="427" t="s">
        <v>247</v>
      </c>
      <c r="BA22" s="428" t="str">
        <f t="shared" si="4"/>
        <v>WIP - 30 Days</v>
      </c>
    </row>
    <row r="23" spans="2:53">
      <c r="B23" s="36">
        <f>'[6]price list MAN'!B23</f>
        <v>48306</v>
      </c>
      <c r="C23" s="10" t="str">
        <f>'[6]price list MAN'!C23</f>
        <v>CLA-15-2204X2BB-C</v>
      </c>
      <c r="D23" s="16" t="str">
        <f>IFERROR(VLOOKUP(C23&amp;"",'[7]Retail Price List'!$A$3:$B$103,2,FALSE),"Special Order")</f>
        <v>KP000589</v>
      </c>
      <c r="E23" s="494" t="str">
        <f>'[6]price list MAN'!E23</f>
        <v>CKD</v>
      </c>
      <c r="F23" s="11" t="str">
        <f>'[6]price list MAN'!F23</f>
        <v>2018-07-30</v>
      </c>
      <c r="G23" s="32">
        <f>'[6]price list MAN'!G23</f>
        <v>15.3</v>
      </c>
      <c r="H23" s="26">
        <f>'[6]price list MAN'!H23</f>
        <v>42978</v>
      </c>
      <c r="I23" s="51" t="str">
        <f t="shared" si="0"/>
        <v>2017Q3</v>
      </c>
      <c r="J23" s="177">
        <f>'[6]price list MAN'!J23</f>
        <v>695000</v>
      </c>
      <c r="K23" s="177">
        <f>'[6]price list MAN'!P23</f>
        <v>572250</v>
      </c>
      <c r="L23" s="177">
        <f>'[6]price list MAN'!R23</f>
        <v>545000</v>
      </c>
      <c r="M23" s="174">
        <f>'[6]price list MAN'!S23</f>
        <v>710000</v>
      </c>
      <c r="N23" s="174">
        <f>'[6]price list MAN'!Y23</f>
        <v>588000</v>
      </c>
      <c r="O23" s="174">
        <f>'[6]price list MAN'!AA23</f>
        <v>560000</v>
      </c>
      <c r="P23" s="68">
        <f t="shared" si="1"/>
        <v>0.21126760563380281</v>
      </c>
      <c r="Q23" s="62" t="e">
        <f>O23-#REF!</f>
        <v>#REF!</v>
      </c>
      <c r="W23" s="210"/>
      <c r="X23" s="210"/>
      <c r="Y23" s="210"/>
      <c r="Z23" s="210"/>
      <c r="AA23" s="210"/>
      <c r="AB23" s="210"/>
      <c r="AC23" s="210"/>
      <c r="AT23" s="425" t="str">
        <f t="shared" si="2"/>
        <v>KP0005892017Q315,3</v>
      </c>
      <c r="AU23" s="64" t="str">
        <f t="shared" si="3"/>
        <v>08-2017</v>
      </c>
      <c r="AW23" s="429" t="s">
        <v>271</v>
      </c>
      <c r="AX23" s="430" t="s">
        <v>236</v>
      </c>
      <c r="AY23" s="427" t="s">
        <v>684</v>
      </c>
      <c r="BA23" s="428" t="str">
        <f t="shared" si="4"/>
        <v>WIP - 30 Days</v>
      </c>
    </row>
    <row r="24" spans="2:53">
      <c r="B24" s="36">
        <f>'[6]price list MAN'!B24</f>
        <v>48307</v>
      </c>
      <c r="C24" s="10" t="str">
        <f>'[6]price list MAN'!C24</f>
        <v>CLA-15-2204X2BB-C</v>
      </c>
      <c r="D24" s="16" t="str">
        <f>IFERROR(VLOOKUP(C24&amp;"",'[7]Retail Price List'!$A$3:$B$103,2,FALSE),"Special Order")</f>
        <v>KP000589</v>
      </c>
      <c r="E24" s="494" t="str">
        <f>'[6]price list MAN'!E24</f>
        <v>CKD</v>
      </c>
      <c r="F24" s="11" t="str">
        <f>'[6]price list MAN'!F24</f>
        <v>2018-07-30</v>
      </c>
      <c r="G24" s="32">
        <f>'[6]price list MAN'!G24</f>
        <v>15.3</v>
      </c>
      <c r="H24" s="26">
        <f>'[6]price list MAN'!H24</f>
        <v>42978</v>
      </c>
      <c r="I24" s="51" t="str">
        <f t="shared" si="0"/>
        <v>2017Q3</v>
      </c>
      <c r="J24" s="177">
        <f>'[6]price list MAN'!J24</f>
        <v>695000</v>
      </c>
      <c r="K24" s="177">
        <f>'[6]price list MAN'!P24</f>
        <v>572250</v>
      </c>
      <c r="L24" s="177">
        <f>'[6]price list MAN'!R24</f>
        <v>545000</v>
      </c>
      <c r="M24" s="174">
        <f>'[6]price list MAN'!S24</f>
        <v>710000</v>
      </c>
      <c r="N24" s="174">
        <f>'[6]price list MAN'!Y24</f>
        <v>588000</v>
      </c>
      <c r="O24" s="174">
        <f>'[6]price list MAN'!AA24</f>
        <v>560000</v>
      </c>
      <c r="P24" s="68">
        <f t="shared" si="1"/>
        <v>0.21126760563380281</v>
      </c>
      <c r="Q24" s="62" t="e">
        <f>O24-#REF!</f>
        <v>#REF!</v>
      </c>
      <c r="W24" s="210"/>
      <c r="X24" s="210"/>
      <c r="Y24" s="210"/>
      <c r="Z24" s="210"/>
      <c r="AA24" s="210"/>
      <c r="AB24" s="210"/>
      <c r="AC24" s="210"/>
      <c r="AT24" s="425" t="str">
        <f t="shared" si="2"/>
        <v>KP0005892017Q315,3</v>
      </c>
      <c r="AU24" s="64" t="str">
        <f t="shared" si="3"/>
        <v>08-2017</v>
      </c>
      <c r="AW24" s="429" t="s">
        <v>272</v>
      </c>
      <c r="AX24" s="430" t="s">
        <v>236</v>
      </c>
      <c r="AY24" s="427" t="s">
        <v>248</v>
      </c>
      <c r="BA24" s="428" t="str">
        <f t="shared" si="4"/>
        <v>WIP - 30 Days</v>
      </c>
    </row>
    <row r="25" spans="2:53">
      <c r="B25" s="36">
        <f>'[6]price list MAN'!B25</f>
        <v>48308</v>
      </c>
      <c r="C25" s="10" t="str">
        <f>'[6]price list MAN'!C25</f>
        <v>CLA-15-2204X2BB-C</v>
      </c>
      <c r="D25" s="16" t="str">
        <f>IFERROR(VLOOKUP(C25&amp;"",'[7]Retail Price List'!$A$3:$B$103,2,FALSE),"Special Order")</f>
        <v>KP000589</v>
      </c>
      <c r="E25" s="494" t="str">
        <f>'[6]price list MAN'!E25</f>
        <v>CKD</v>
      </c>
      <c r="F25" s="11" t="str">
        <f>'[6]price list MAN'!F25</f>
        <v>2018-07-30</v>
      </c>
      <c r="G25" s="32">
        <f>'[6]price list MAN'!G25</f>
        <v>15.3</v>
      </c>
      <c r="H25" s="26">
        <f>'[6]price list MAN'!H25</f>
        <v>42978</v>
      </c>
      <c r="I25" s="51" t="str">
        <f t="shared" si="0"/>
        <v>2017Q3</v>
      </c>
      <c r="J25" s="177">
        <f>'[6]price list MAN'!J25</f>
        <v>695000</v>
      </c>
      <c r="K25" s="177">
        <f>'[6]price list MAN'!P25</f>
        <v>572250</v>
      </c>
      <c r="L25" s="177">
        <f>'[6]price list MAN'!R25</f>
        <v>545000</v>
      </c>
      <c r="M25" s="174">
        <f>'[6]price list MAN'!S25</f>
        <v>710000</v>
      </c>
      <c r="N25" s="174">
        <f>'[6]price list MAN'!Y25</f>
        <v>588000</v>
      </c>
      <c r="O25" s="174">
        <f>'[6]price list MAN'!AA25</f>
        <v>560000</v>
      </c>
      <c r="P25" s="68">
        <f t="shared" si="1"/>
        <v>0.21126760563380281</v>
      </c>
      <c r="Q25" s="62" t="e">
        <f>O25-#REF!</f>
        <v>#REF!</v>
      </c>
      <c r="W25" s="210"/>
      <c r="X25" s="210"/>
      <c r="Y25" s="210"/>
      <c r="Z25" s="210"/>
      <c r="AA25" s="210"/>
      <c r="AB25" s="210"/>
      <c r="AC25" s="210"/>
      <c r="AT25" s="425" t="str">
        <f t="shared" si="2"/>
        <v>KP0005892017Q315,3</v>
      </c>
      <c r="AU25" s="64" t="str">
        <f t="shared" si="3"/>
        <v>08-2017</v>
      </c>
      <c r="AW25" s="429" t="s">
        <v>273</v>
      </c>
      <c r="AX25" s="430" t="s">
        <v>236</v>
      </c>
      <c r="AY25" s="427" t="s">
        <v>248</v>
      </c>
      <c r="BA25" s="428" t="str">
        <f t="shared" si="4"/>
        <v>WIP - 30 Days</v>
      </c>
    </row>
    <row r="26" spans="2:53">
      <c r="B26" s="36">
        <f>'[6]price list MAN'!B26</f>
        <v>48309</v>
      </c>
      <c r="C26" s="10" t="str">
        <f>'[6]price list MAN'!C26</f>
        <v>CLA-15-2204X2BB-C</v>
      </c>
      <c r="D26" s="16" t="str">
        <f>IFERROR(VLOOKUP(C26&amp;"",'[7]Retail Price List'!$A$3:$B$103,2,FALSE),"Special Order")</f>
        <v>KP000589</v>
      </c>
      <c r="E26" s="494" t="str">
        <f>'[6]price list MAN'!E26</f>
        <v>CKD</v>
      </c>
      <c r="F26" s="11" t="str">
        <f>'[6]price list MAN'!F26</f>
        <v>2018-07-30</v>
      </c>
      <c r="G26" s="32">
        <f>'[6]price list MAN'!G26</f>
        <v>15.3</v>
      </c>
      <c r="H26" s="26">
        <f>'[6]price list MAN'!H26</f>
        <v>42978</v>
      </c>
      <c r="I26" s="51" t="str">
        <f t="shared" si="0"/>
        <v>2017Q3</v>
      </c>
      <c r="J26" s="177">
        <f>'[6]price list MAN'!J26</f>
        <v>695000</v>
      </c>
      <c r="K26" s="177">
        <f>'[6]price list MAN'!P26</f>
        <v>572250</v>
      </c>
      <c r="L26" s="177">
        <f>'[6]price list MAN'!R26</f>
        <v>545000</v>
      </c>
      <c r="M26" s="174">
        <f>'[6]price list MAN'!S26</f>
        <v>710000</v>
      </c>
      <c r="N26" s="174">
        <f>'[6]price list MAN'!Y26</f>
        <v>588000</v>
      </c>
      <c r="O26" s="174">
        <f>'[6]price list MAN'!AA26</f>
        <v>560000</v>
      </c>
      <c r="P26" s="68">
        <f t="shared" si="1"/>
        <v>0.21126760563380281</v>
      </c>
      <c r="Q26" s="62" t="e">
        <f>O26-#REF!</f>
        <v>#REF!</v>
      </c>
      <c r="W26" s="210"/>
      <c r="X26" s="210"/>
      <c r="Y26" s="210"/>
      <c r="Z26" s="210"/>
      <c r="AA26" s="210"/>
      <c r="AB26" s="210"/>
      <c r="AC26" s="210"/>
      <c r="AT26" s="425" t="str">
        <f t="shared" si="2"/>
        <v>KP0005892017Q315,3</v>
      </c>
      <c r="AU26" s="64" t="str">
        <f t="shared" si="3"/>
        <v>08-2017</v>
      </c>
      <c r="AW26" s="429" t="s">
        <v>274</v>
      </c>
      <c r="AX26" s="430" t="s">
        <v>237</v>
      </c>
      <c r="AY26" s="427" t="s">
        <v>249</v>
      </c>
      <c r="BA26" s="428" t="str">
        <f t="shared" si="4"/>
        <v>WIP - 30 Days</v>
      </c>
    </row>
    <row r="27" spans="2:53">
      <c r="B27" s="36">
        <f>'[6]price list MAN'!B27</f>
        <v>48310</v>
      </c>
      <c r="C27" s="10" t="str">
        <f>'[6]price list MAN'!C27</f>
        <v>CLA-15-2204X2BB-C</v>
      </c>
      <c r="D27" s="16" t="str">
        <f>IFERROR(VLOOKUP(C27&amp;"",'[7]Retail Price List'!$A$3:$B$103,2,FALSE),"Special Order")</f>
        <v>KP000589</v>
      </c>
      <c r="E27" s="494" t="str">
        <f>'[6]price list MAN'!E27</f>
        <v>CKD</v>
      </c>
      <c r="F27" s="11" t="str">
        <f>'[6]price list MAN'!F27</f>
        <v>2018-07-30</v>
      </c>
      <c r="G27" s="32">
        <f>'[6]price list MAN'!G27</f>
        <v>15.3</v>
      </c>
      <c r="H27" s="26">
        <f>'[6]price list MAN'!H27</f>
        <v>42978</v>
      </c>
      <c r="I27" s="51" t="str">
        <f t="shared" si="0"/>
        <v>2017Q3</v>
      </c>
      <c r="J27" s="177">
        <f>'[6]price list MAN'!J27</f>
        <v>695000</v>
      </c>
      <c r="K27" s="177">
        <f>'[6]price list MAN'!P27</f>
        <v>572250</v>
      </c>
      <c r="L27" s="177">
        <f>'[6]price list MAN'!R27</f>
        <v>545000</v>
      </c>
      <c r="M27" s="174">
        <f>'[6]price list MAN'!S27</f>
        <v>710000</v>
      </c>
      <c r="N27" s="174">
        <f>'[6]price list MAN'!Y27</f>
        <v>588000</v>
      </c>
      <c r="O27" s="174">
        <f>'[6]price list MAN'!AA27</f>
        <v>560000</v>
      </c>
      <c r="P27" s="68">
        <f t="shared" si="1"/>
        <v>0.21126760563380281</v>
      </c>
      <c r="Q27" s="62" t="e">
        <f>O27-#REF!</f>
        <v>#REF!</v>
      </c>
      <c r="W27" s="210"/>
      <c r="X27" s="210"/>
      <c r="Y27" s="210"/>
      <c r="Z27" s="210"/>
      <c r="AA27" s="210"/>
      <c r="AB27" s="210"/>
      <c r="AC27" s="210"/>
      <c r="AT27" s="425" t="str">
        <f t="shared" si="2"/>
        <v>KP0005892017Q315,3</v>
      </c>
      <c r="AU27" s="64" t="str">
        <f t="shared" si="3"/>
        <v>08-2017</v>
      </c>
      <c r="AW27" s="429" t="s">
        <v>275</v>
      </c>
      <c r="AX27" s="430" t="s">
        <v>237</v>
      </c>
      <c r="AY27" s="427" t="s">
        <v>249</v>
      </c>
      <c r="BA27" s="428" t="str">
        <f t="shared" si="4"/>
        <v>WIP - 30 Days</v>
      </c>
    </row>
    <row r="28" spans="2:53">
      <c r="B28" s="36">
        <f>'[6]price list MAN'!B28</f>
        <v>48311</v>
      </c>
      <c r="C28" s="10" t="str">
        <f>'[6]price list MAN'!C28</f>
        <v>CLA-15-2204X2BB-C</v>
      </c>
      <c r="D28" s="16" t="str">
        <f>IFERROR(VLOOKUP(C28&amp;"",'[7]Retail Price List'!$A$3:$B$103,2,FALSE),"Special Order")</f>
        <v>KP000589</v>
      </c>
      <c r="E28" s="494" t="str">
        <f>'[6]price list MAN'!E28</f>
        <v>CKD</v>
      </c>
      <c r="F28" s="11" t="str">
        <f>'[6]price list MAN'!F28</f>
        <v>2018-07-30</v>
      </c>
      <c r="G28" s="32">
        <f>'[6]price list MAN'!G28</f>
        <v>15.3</v>
      </c>
      <c r="H28" s="26">
        <f>'[6]price list MAN'!H28</f>
        <v>42978</v>
      </c>
      <c r="I28" s="51" t="str">
        <f t="shared" si="0"/>
        <v>2017Q3</v>
      </c>
      <c r="J28" s="177">
        <f>'[6]price list MAN'!J28</f>
        <v>695000</v>
      </c>
      <c r="K28" s="177">
        <f>'[6]price list MAN'!P28</f>
        <v>572250</v>
      </c>
      <c r="L28" s="177">
        <f>'[6]price list MAN'!R28</f>
        <v>545000</v>
      </c>
      <c r="M28" s="174">
        <f>'[6]price list MAN'!S28</f>
        <v>710000</v>
      </c>
      <c r="N28" s="174">
        <f>'[6]price list MAN'!Y28</f>
        <v>588000</v>
      </c>
      <c r="O28" s="174">
        <f>'[6]price list MAN'!AA28</f>
        <v>560000</v>
      </c>
      <c r="P28" s="68">
        <f t="shared" si="1"/>
        <v>0.21126760563380281</v>
      </c>
      <c r="Q28" s="62" t="e">
        <f>O28-#REF!</f>
        <v>#REF!</v>
      </c>
      <c r="W28" s="210"/>
      <c r="X28" s="210"/>
      <c r="Y28" s="210"/>
      <c r="Z28" s="210"/>
      <c r="AA28" s="210"/>
      <c r="AB28" s="210"/>
      <c r="AC28" s="210"/>
      <c r="AT28" s="425" t="str">
        <f t="shared" si="2"/>
        <v>KP0005892017Q315,3</v>
      </c>
      <c r="AU28" s="64" t="str">
        <f t="shared" si="3"/>
        <v>08-2017</v>
      </c>
      <c r="AW28" s="429" t="s">
        <v>276</v>
      </c>
      <c r="AX28" s="430" t="s">
        <v>237</v>
      </c>
      <c r="AY28" s="427" t="s">
        <v>249</v>
      </c>
      <c r="BA28" s="428" t="str">
        <f t="shared" si="4"/>
        <v>WIP - 30 Days</v>
      </c>
    </row>
    <row r="29" spans="2:53">
      <c r="B29" s="36">
        <f>'[6]price list MAN'!B29</f>
        <v>48312</v>
      </c>
      <c r="C29" s="10" t="str">
        <f>'[6]price list MAN'!C29</f>
        <v>CLA-15-2204X2BB-C</v>
      </c>
      <c r="D29" s="16" t="str">
        <f>IFERROR(VLOOKUP(C29&amp;"",'[7]Retail Price List'!$A$3:$B$103,2,FALSE),"Special Order")</f>
        <v>KP000589</v>
      </c>
      <c r="E29" s="494" t="str">
        <f>'[6]price list MAN'!E29</f>
        <v>CKD</v>
      </c>
      <c r="F29" s="11" t="str">
        <f>'[6]price list MAN'!F29</f>
        <v>2018-07-30</v>
      </c>
      <c r="G29" s="32">
        <f>'[6]price list MAN'!G29</f>
        <v>15.3</v>
      </c>
      <c r="H29" s="26">
        <f>'[6]price list MAN'!H29</f>
        <v>42978</v>
      </c>
      <c r="I29" s="51" t="str">
        <f t="shared" si="0"/>
        <v>2017Q3</v>
      </c>
      <c r="J29" s="177">
        <f>'[6]price list MAN'!J29</f>
        <v>695000</v>
      </c>
      <c r="K29" s="177">
        <f>'[6]price list MAN'!P29</f>
        <v>572250</v>
      </c>
      <c r="L29" s="177">
        <f>'[6]price list MAN'!R29</f>
        <v>545000</v>
      </c>
      <c r="M29" s="174">
        <f>'[6]price list MAN'!S29</f>
        <v>710000</v>
      </c>
      <c r="N29" s="174">
        <f>'[6]price list MAN'!Y29</f>
        <v>588000</v>
      </c>
      <c r="O29" s="174">
        <f>'[6]price list MAN'!AA29</f>
        <v>560000</v>
      </c>
      <c r="P29" s="68">
        <f t="shared" si="1"/>
        <v>0.21126760563380281</v>
      </c>
      <c r="Q29" s="62" t="e">
        <f>O29-#REF!</f>
        <v>#REF!</v>
      </c>
      <c r="W29" s="210"/>
      <c r="X29" s="210"/>
      <c r="Y29" s="210"/>
      <c r="Z29" s="210"/>
      <c r="AA29" s="210"/>
      <c r="AB29" s="210"/>
      <c r="AC29" s="210"/>
      <c r="AT29" s="425" t="str">
        <f t="shared" si="2"/>
        <v>KP0005892017Q315,3</v>
      </c>
      <c r="AU29" s="64" t="str">
        <f t="shared" si="3"/>
        <v>08-2017</v>
      </c>
      <c r="AW29" s="429" t="s">
        <v>277</v>
      </c>
      <c r="AX29" s="427" t="s">
        <v>234</v>
      </c>
      <c r="AY29" s="427" t="s">
        <v>250</v>
      </c>
      <c r="BA29" s="428" t="str">
        <f t="shared" si="4"/>
        <v>WIP - 30 Days</v>
      </c>
    </row>
    <row r="30" spans="2:53">
      <c r="B30" s="36">
        <f>'[6]price list MAN'!B30</f>
        <v>48313</v>
      </c>
      <c r="C30" s="10" t="str">
        <f>'[6]price list MAN'!C30</f>
        <v>CLA-15-2204X2BB-C</v>
      </c>
      <c r="D30" s="16" t="str">
        <f>IFERROR(VLOOKUP(C30&amp;"",'[7]Retail Price List'!$A$3:$B$103,2,FALSE),"Special Order")</f>
        <v>KP000589</v>
      </c>
      <c r="E30" s="494" t="str">
        <f>'[6]price list MAN'!E30</f>
        <v>CKD</v>
      </c>
      <c r="F30" s="11" t="str">
        <f>'[6]price list MAN'!F30</f>
        <v>2018-07-30</v>
      </c>
      <c r="G30" s="32">
        <f>'[6]price list MAN'!G30</f>
        <v>15.3</v>
      </c>
      <c r="H30" s="26">
        <f>'[6]price list MAN'!H30</f>
        <v>42978</v>
      </c>
      <c r="I30" s="51" t="str">
        <f t="shared" si="0"/>
        <v>2017Q3</v>
      </c>
      <c r="J30" s="177">
        <f>'[6]price list MAN'!J30</f>
        <v>695000</v>
      </c>
      <c r="K30" s="177">
        <f>'[6]price list MAN'!P30</f>
        <v>572250</v>
      </c>
      <c r="L30" s="177">
        <f>'[6]price list MAN'!R30</f>
        <v>545000</v>
      </c>
      <c r="M30" s="174">
        <f>'[6]price list MAN'!S30</f>
        <v>710000</v>
      </c>
      <c r="N30" s="174">
        <f>'[6]price list MAN'!Y30</f>
        <v>588000</v>
      </c>
      <c r="O30" s="174">
        <f>'[6]price list MAN'!AA30</f>
        <v>560000</v>
      </c>
      <c r="P30" s="68">
        <f t="shared" si="1"/>
        <v>0.21126760563380281</v>
      </c>
      <c r="Q30" s="62" t="e">
        <f>O30-#REF!</f>
        <v>#REF!</v>
      </c>
      <c r="W30" s="210"/>
      <c r="X30" s="210"/>
      <c r="Y30" s="210"/>
      <c r="Z30" s="210"/>
      <c r="AA30" s="210"/>
      <c r="AB30" s="210"/>
      <c r="AC30" s="210"/>
      <c r="AT30" s="425" t="str">
        <f t="shared" si="2"/>
        <v>KP0005892017Q315,3</v>
      </c>
      <c r="AU30" s="64" t="str">
        <f t="shared" si="3"/>
        <v>08-2017</v>
      </c>
      <c r="AW30" s="429" t="s">
        <v>278</v>
      </c>
      <c r="AX30" s="427" t="s">
        <v>234</v>
      </c>
      <c r="AY30" s="427" t="s">
        <v>250</v>
      </c>
      <c r="BA30" s="428" t="str">
        <f t="shared" si="4"/>
        <v>WIP - 30 Days</v>
      </c>
    </row>
    <row r="31" spans="2:53">
      <c r="B31" s="36">
        <f>'[6]price list MAN'!B31</f>
        <v>48314</v>
      </c>
      <c r="C31" s="10" t="str">
        <f>'[6]price list MAN'!C31</f>
        <v>CLA-15-2204X2BB-C</v>
      </c>
      <c r="D31" s="16" t="str">
        <f>IFERROR(VLOOKUP(C31&amp;"",'[7]Retail Price List'!$A$3:$B$103,2,FALSE),"Special Order")</f>
        <v>KP000589</v>
      </c>
      <c r="E31" s="494" t="str">
        <f>'[6]price list MAN'!E31</f>
        <v>CKD</v>
      </c>
      <c r="F31" s="11" t="str">
        <f>'[6]price list MAN'!F31</f>
        <v>2018-07-30</v>
      </c>
      <c r="G31" s="32">
        <f>'[6]price list MAN'!G31</f>
        <v>15.3</v>
      </c>
      <c r="H31" s="26">
        <f>'[6]price list MAN'!H31</f>
        <v>42978</v>
      </c>
      <c r="I31" s="51" t="str">
        <f t="shared" si="0"/>
        <v>2017Q3</v>
      </c>
      <c r="J31" s="177">
        <f>'[6]price list MAN'!J31</f>
        <v>695000</v>
      </c>
      <c r="K31" s="177">
        <f>'[6]price list MAN'!P31</f>
        <v>572250</v>
      </c>
      <c r="L31" s="177">
        <f>'[6]price list MAN'!R31</f>
        <v>545000</v>
      </c>
      <c r="M31" s="174">
        <f>'[6]price list MAN'!S31</f>
        <v>710000</v>
      </c>
      <c r="N31" s="174">
        <f>'[6]price list MAN'!Y31</f>
        <v>588000</v>
      </c>
      <c r="O31" s="174">
        <f>'[6]price list MAN'!AA31</f>
        <v>560000</v>
      </c>
      <c r="P31" s="68">
        <f t="shared" si="1"/>
        <v>0.21126760563380281</v>
      </c>
      <c r="Q31" s="62" t="e">
        <f>O31-#REF!</f>
        <v>#REF!</v>
      </c>
      <c r="W31" s="210"/>
      <c r="X31" s="210"/>
      <c r="Y31" s="210"/>
      <c r="Z31" s="210"/>
      <c r="AA31" s="210"/>
      <c r="AB31" s="210"/>
      <c r="AC31" s="210"/>
      <c r="AT31" s="425" t="str">
        <f t="shared" si="2"/>
        <v>KP0005892017Q315,3</v>
      </c>
      <c r="AU31" s="64" t="str">
        <f t="shared" si="3"/>
        <v>08-2017</v>
      </c>
      <c r="AW31" s="429" t="s">
        <v>279</v>
      </c>
      <c r="AX31" s="430" t="s">
        <v>234</v>
      </c>
      <c r="AY31" s="427" t="s">
        <v>250</v>
      </c>
      <c r="BA31" s="428" t="str">
        <f t="shared" si="4"/>
        <v>WIP - 30 Days</v>
      </c>
    </row>
    <row r="32" spans="2:53">
      <c r="B32" s="36">
        <f>'[6]price list MAN'!B32</f>
        <v>48315</v>
      </c>
      <c r="C32" s="10" t="str">
        <f>'[6]price list MAN'!C32</f>
        <v>CLA-15-2204X2BB-C</v>
      </c>
      <c r="D32" s="16" t="str">
        <f>IFERROR(VLOOKUP(C32&amp;"",'[7]Retail Price List'!$A$3:$B$103,2,FALSE),"Special Order")</f>
        <v>KP000589</v>
      </c>
      <c r="E32" s="494" t="str">
        <f>'[6]price list MAN'!E32</f>
        <v>CKD</v>
      </c>
      <c r="F32" s="11" t="str">
        <f>'[6]price list MAN'!F32</f>
        <v>2018-08-30</v>
      </c>
      <c r="G32" s="32">
        <f>'[6]price list MAN'!G32</f>
        <v>15.3</v>
      </c>
      <c r="H32" s="26">
        <f>'[6]price list MAN'!H32</f>
        <v>42978</v>
      </c>
      <c r="I32" s="51" t="str">
        <f t="shared" si="0"/>
        <v>2017Q3</v>
      </c>
      <c r="J32" s="177">
        <f>'[6]price list MAN'!J32</f>
        <v>695000</v>
      </c>
      <c r="K32" s="177">
        <f>'[6]price list MAN'!P32</f>
        <v>572250</v>
      </c>
      <c r="L32" s="177">
        <f>'[6]price list MAN'!R32</f>
        <v>545000</v>
      </c>
      <c r="M32" s="174">
        <f>'[6]price list MAN'!S32</f>
        <v>710000</v>
      </c>
      <c r="N32" s="174">
        <f>'[6]price list MAN'!Y32</f>
        <v>588000</v>
      </c>
      <c r="O32" s="174">
        <f>'[6]price list MAN'!AA32</f>
        <v>560000</v>
      </c>
      <c r="P32" s="68">
        <f t="shared" si="1"/>
        <v>0.21126760563380281</v>
      </c>
      <c r="Q32" s="62" t="e">
        <f>O32-#REF!</f>
        <v>#REF!</v>
      </c>
      <c r="W32" s="210"/>
      <c r="X32" s="210"/>
      <c r="Y32" s="210"/>
      <c r="Z32" s="210"/>
      <c r="AA32" s="210"/>
      <c r="AB32" s="210"/>
      <c r="AC32" s="210"/>
      <c r="AT32" s="425" t="str">
        <f t="shared" si="2"/>
        <v>KP0005892017Q315,3</v>
      </c>
      <c r="AU32" s="64" t="str">
        <f t="shared" si="3"/>
        <v>08-2017</v>
      </c>
      <c r="AW32" s="429" t="s">
        <v>280</v>
      </c>
      <c r="AX32" s="430" t="s">
        <v>235</v>
      </c>
      <c r="AY32" s="427" t="s">
        <v>251</v>
      </c>
      <c r="BA32" s="428" t="str">
        <f t="shared" si="4"/>
        <v>WIP - 30 Days</v>
      </c>
    </row>
    <row r="33" spans="2:53">
      <c r="B33" s="36">
        <f>'[6]price list MAN'!B33</f>
        <v>48316</v>
      </c>
      <c r="C33" s="10" t="str">
        <f>'[6]price list MAN'!C33</f>
        <v>CLA-15-2204X2BB-C</v>
      </c>
      <c r="D33" s="16" t="str">
        <f>IFERROR(VLOOKUP(C33&amp;"",'[7]Retail Price List'!$A$3:$B$103,2,FALSE),"Special Order")</f>
        <v>KP000589</v>
      </c>
      <c r="E33" s="494" t="str">
        <f>'[6]price list MAN'!E33</f>
        <v>CKD</v>
      </c>
      <c r="F33" s="11" t="str">
        <f>'[6]price list MAN'!F33</f>
        <v>2018-08-30</v>
      </c>
      <c r="G33" s="32">
        <f>'[6]price list MAN'!G33</f>
        <v>15.3</v>
      </c>
      <c r="H33" s="26">
        <f>'[6]price list MAN'!H33</f>
        <v>42978</v>
      </c>
      <c r="I33" s="51" t="str">
        <f t="shared" si="0"/>
        <v>2017Q3</v>
      </c>
      <c r="J33" s="177">
        <f>'[6]price list MAN'!J33</f>
        <v>695000</v>
      </c>
      <c r="K33" s="177">
        <f>'[6]price list MAN'!P33</f>
        <v>572250</v>
      </c>
      <c r="L33" s="177">
        <f>'[6]price list MAN'!R33</f>
        <v>545000</v>
      </c>
      <c r="M33" s="174">
        <f>'[6]price list MAN'!S33</f>
        <v>710000</v>
      </c>
      <c r="N33" s="174">
        <f>'[6]price list MAN'!Y33</f>
        <v>588000</v>
      </c>
      <c r="O33" s="174">
        <f>'[6]price list MAN'!AA33</f>
        <v>560000</v>
      </c>
      <c r="P33" s="68">
        <f t="shared" si="1"/>
        <v>0.21126760563380281</v>
      </c>
      <c r="Q33" s="62" t="e">
        <f>O33-#REF!</f>
        <v>#REF!</v>
      </c>
      <c r="W33" s="210"/>
      <c r="X33" s="210"/>
      <c r="Y33" s="210"/>
      <c r="Z33" s="210"/>
      <c r="AA33" s="210"/>
      <c r="AB33" s="210"/>
      <c r="AC33" s="210"/>
      <c r="AT33" s="425" t="str">
        <f t="shared" si="2"/>
        <v>KP0005892017Q315,3</v>
      </c>
      <c r="AU33" s="64" t="str">
        <f t="shared" si="3"/>
        <v>08-2017</v>
      </c>
      <c r="AW33" s="429" t="s">
        <v>281</v>
      </c>
      <c r="AX33" s="430" t="s">
        <v>235</v>
      </c>
      <c r="AY33" s="427" t="s">
        <v>251</v>
      </c>
      <c r="BA33" s="428" t="str">
        <f t="shared" si="4"/>
        <v>WIP - 30 Days</v>
      </c>
    </row>
    <row r="34" spans="2:53">
      <c r="B34" s="36">
        <f>'[6]price list MAN'!B34</f>
        <v>48317</v>
      </c>
      <c r="C34" s="10" t="str">
        <f>'[6]price list MAN'!C34</f>
        <v>CLA-15-2204X2BB-C</v>
      </c>
      <c r="D34" s="16" t="str">
        <f>IFERROR(VLOOKUP(C34&amp;"",'[7]Retail Price List'!$A$3:$B$103,2,FALSE),"Special Order")</f>
        <v>KP000589</v>
      </c>
      <c r="E34" s="494" t="str">
        <f>'[6]price list MAN'!E34</f>
        <v>CKD</v>
      </c>
      <c r="F34" s="11" t="str">
        <f>'[6]price list MAN'!F34</f>
        <v>2018-08-30</v>
      </c>
      <c r="G34" s="32">
        <f>'[6]price list MAN'!G34</f>
        <v>15.3</v>
      </c>
      <c r="H34" s="26">
        <f>'[6]price list MAN'!H34</f>
        <v>42978</v>
      </c>
      <c r="I34" s="51" t="str">
        <f t="shared" si="0"/>
        <v>2017Q3</v>
      </c>
      <c r="J34" s="177">
        <f>'[6]price list MAN'!J34</f>
        <v>695000</v>
      </c>
      <c r="K34" s="177">
        <f>'[6]price list MAN'!P34</f>
        <v>572250</v>
      </c>
      <c r="L34" s="177">
        <f>'[6]price list MAN'!R34</f>
        <v>545000</v>
      </c>
      <c r="M34" s="174">
        <f>'[6]price list MAN'!S34</f>
        <v>710000</v>
      </c>
      <c r="N34" s="174">
        <f>'[6]price list MAN'!Y34</f>
        <v>588000</v>
      </c>
      <c r="O34" s="174">
        <f>'[6]price list MAN'!AA34</f>
        <v>560000</v>
      </c>
      <c r="P34" s="68">
        <f t="shared" si="1"/>
        <v>0.21126760563380281</v>
      </c>
      <c r="Q34" s="62" t="e">
        <f>O34-#REF!</f>
        <v>#REF!</v>
      </c>
      <c r="W34" s="210"/>
      <c r="X34" s="210"/>
      <c r="Y34" s="210"/>
      <c r="Z34" s="210"/>
      <c r="AA34" s="210"/>
      <c r="AB34" s="210"/>
      <c r="AC34" s="210"/>
      <c r="AT34" s="425" t="str">
        <f t="shared" si="2"/>
        <v>KP0005892017Q315,3</v>
      </c>
      <c r="AU34" s="64" t="str">
        <f t="shared" si="3"/>
        <v>08-2017</v>
      </c>
      <c r="AW34" s="429" t="s">
        <v>282</v>
      </c>
      <c r="AX34" s="430" t="s">
        <v>235</v>
      </c>
      <c r="AY34" s="427" t="s">
        <v>251</v>
      </c>
      <c r="BA34" s="428" t="str">
        <f t="shared" si="4"/>
        <v>WIP - 30 Days</v>
      </c>
    </row>
    <row r="35" spans="2:53">
      <c r="B35" s="36">
        <f>'[6]price list MAN'!B35</f>
        <v>48696</v>
      </c>
      <c r="C35" s="10" t="str">
        <f>'[6]price list MAN'!C35</f>
        <v>CLA-15-2204X2BB-C</v>
      </c>
      <c r="D35" s="16" t="str">
        <f>IFERROR(VLOOKUP(C35&amp;"",'[7]Retail Price List'!$A$3:$B$103,2,FALSE),"Special Order")</f>
        <v>KP000589</v>
      </c>
      <c r="E35" s="494" t="str">
        <f>'[6]price list MAN'!E35</f>
        <v>CKD</v>
      </c>
      <c r="F35" s="11" t="str">
        <f>'[6]price list MAN'!F35</f>
        <v>2018-05-30</v>
      </c>
      <c r="G35" s="32">
        <f>'[6]price list MAN'!G35</f>
        <v>15.9</v>
      </c>
      <c r="H35" s="26">
        <f>'[6]price list MAN'!H35</f>
        <v>43039</v>
      </c>
      <c r="I35" s="51" t="str">
        <f t="shared" si="0"/>
        <v>2017Q4</v>
      </c>
      <c r="J35" s="177">
        <f>'[6]price list MAN'!J35</f>
        <v>695000</v>
      </c>
      <c r="K35" s="177">
        <f>'[6]price list MAN'!P35</f>
        <v>572250</v>
      </c>
      <c r="L35" s="177">
        <f>'[6]price list MAN'!R35</f>
        <v>545000</v>
      </c>
      <c r="M35" s="174">
        <f>'[6]price list MAN'!S35</f>
        <v>710000</v>
      </c>
      <c r="N35" s="174">
        <f>'[6]price list MAN'!Y35</f>
        <v>588000</v>
      </c>
      <c r="O35" s="174">
        <f>'[6]price list MAN'!AA35</f>
        <v>560000</v>
      </c>
      <c r="P35" s="68">
        <f t="shared" si="1"/>
        <v>0.21126760563380281</v>
      </c>
      <c r="Q35" s="62" t="e">
        <f>O35-#REF!</f>
        <v>#REF!</v>
      </c>
      <c r="W35" s="210"/>
      <c r="X35" s="210"/>
      <c r="Y35" s="210"/>
      <c r="Z35" s="210"/>
      <c r="AA35" s="210"/>
      <c r="AB35" s="210"/>
      <c r="AC35" s="210"/>
      <c r="AT35" s="425" t="str">
        <f t="shared" si="2"/>
        <v>KP0005892017Q415,9</v>
      </c>
      <c r="AU35" s="64" t="str">
        <f t="shared" si="3"/>
        <v>10-2017</v>
      </c>
      <c r="AW35" s="429" t="s">
        <v>283</v>
      </c>
      <c r="AX35" s="430" t="s">
        <v>236</v>
      </c>
      <c r="AY35" s="427" t="s">
        <v>252</v>
      </c>
      <c r="BA35" s="428" t="str">
        <f t="shared" si="4"/>
        <v>WIP - 30 Days</v>
      </c>
    </row>
    <row r="36" spans="2:53">
      <c r="B36" s="36">
        <f>'[6]price list MAN'!B36</f>
        <v>48697</v>
      </c>
      <c r="C36" s="10" t="str">
        <f>'[6]price list MAN'!C36</f>
        <v>CLA-15-2204X2BB-C</v>
      </c>
      <c r="D36" s="16" t="str">
        <f>IFERROR(VLOOKUP(C36&amp;"",'[7]Retail Price List'!$A$3:$B$103,2,FALSE),"Special Order")</f>
        <v>KP000589</v>
      </c>
      <c r="E36" s="494" t="str">
        <f>'[6]price list MAN'!E36</f>
        <v>CKD</v>
      </c>
      <c r="F36" s="11" t="str">
        <f>'[6]price list MAN'!F36</f>
        <v>2018-05-30</v>
      </c>
      <c r="G36" s="32">
        <f>'[6]price list MAN'!G36</f>
        <v>15.9</v>
      </c>
      <c r="H36" s="26">
        <f>'[6]price list MAN'!H36</f>
        <v>43039</v>
      </c>
      <c r="I36" s="51" t="str">
        <f t="shared" si="0"/>
        <v>2017Q4</v>
      </c>
      <c r="J36" s="177">
        <f>'[6]price list MAN'!J36</f>
        <v>695000</v>
      </c>
      <c r="K36" s="177">
        <f>'[6]price list MAN'!P36</f>
        <v>572250</v>
      </c>
      <c r="L36" s="177">
        <f>'[6]price list MAN'!R36</f>
        <v>545000</v>
      </c>
      <c r="M36" s="174">
        <f>'[6]price list MAN'!S36</f>
        <v>710000</v>
      </c>
      <c r="N36" s="174">
        <f>'[6]price list MAN'!Y36</f>
        <v>588000</v>
      </c>
      <c r="O36" s="174">
        <f>'[6]price list MAN'!AA36</f>
        <v>560000</v>
      </c>
      <c r="P36" s="68">
        <f t="shared" si="1"/>
        <v>0.21126760563380281</v>
      </c>
      <c r="Q36" s="62" t="e">
        <f>O36-#REF!</f>
        <v>#REF!</v>
      </c>
      <c r="W36" s="210"/>
      <c r="X36" s="210"/>
      <c r="Y36" s="210"/>
      <c r="Z36" s="210"/>
      <c r="AA36" s="210"/>
      <c r="AB36" s="210"/>
      <c r="AC36" s="210"/>
      <c r="AT36" s="425" t="str">
        <f t="shared" si="2"/>
        <v>KP0005892017Q415,9</v>
      </c>
      <c r="AU36" s="64" t="str">
        <f t="shared" si="3"/>
        <v>10-2017</v>
      </c>
      <c r="AW36" s="429" t="s">
        <v>284</v>
      </c>
      <c r="AX36" s="430" t="s">
        <v>236</v>
      </c>
      <c r="AY36" s="427" t="s">
        <v>252</v>
      </c>
      <c r="BA36" s="428" t="str">
        <f t="shared" si="4"/>
        <v>WIP - 30 Days</v>
      </c>
    </row>
    <row r="37" spans="2:53">
      <c r="B37" s="36">
        <f>'[6]price list MAN'!B37</f>
        <v>48698</v>
      </c>
      <c r="C37" s="10" t="str">
        <f>'[6]price list MAN'!C37</f>
        <v>CLA-15-2204X2BB-C</v>
      </c>
      <c r="D37" s="16" t="str">
        <f>IFERROR(VLOOKUP(C37&amp;"",'[7]Retail Price List'!$A$3:$B$103,2,FALSE),"Special Order")</f>
        <v>KP000589</v>
      </c>
      <c r="E37" s="494" t="str">
        <f>'[6]price list MAN'!E37</f>
        <v>CKD</v>
      </c>
      <c r="F37" s="11" t="str">
        <f>'[6]price list MAN'!F37</f>
        <v>2018-05-30</v>
      </c>
      <c r="G37" s="32">
        <f>'[6]price list MAN'!G37</f>
        <v>15.9</v>
      </c>
      <c r="H37" s="26">
        <f>'[6]price list MAN'!H37</f>
        <v>43039</v>
      </c>
      <c r="I37" s="51" t="str">
        <f t="shared" si="0"/>
        <v>2017Q4</v>
      </c>
      <c r="J37" s="177">
        <f>'[6]price list MAN'!J37</f>
        <v>695000</v>
      </c>
      <c r="K37" s="177">
        <f>'[6]price list MAN'!P37</f>
        <v>572250</v>
      </c>
      <c r="L37" s="177">
        <f>'[6]price list MAN'!R37</f>
        <v>545000</v>
      </c>
      <c r="M37" s="174">
        <f>'[6]price list MAN'!S37</f>
        <v>710000</v>
      </c>
      <c r="N37" s="174">
        <f>'[6]price list MAN'!Y37</f>
        <v>588000</v>
      </c>
      <c r="O37" s="174">
        <f>'[6]price list MAN'!AA37</f>
        <v>560000</v>
      </c>
      <c r="P37" s="68">
        <f t="shared" si="1"/>
        <v>0.21126760563380281</v>
      </c>
      <c r="Q37" s="62" t="e">
        <f>O37-#REF!</f>
        <v>#REF!</v>
      </c>
      <c r="W37" s="210"/>
      <c r="X37" s="210"/>
      <c r="Y37" s="210"/>
      <c r="Z37" s="210"/>
      <c r="AA37" s="210"/>
      <c r="AB37" s="210"/>
      <c r="AC37" s="210"/>
      <c r="AT37" s="425" t="str">
        <f t="shared" si="2"/>
        <v>KP0005892017Q415,9</v>
      </c>
      <c r="AU37" s="64" t="str">
        <f t="shared" si="3"/>
        <v>10-2017</v>
      </c>
      <c r="AW37" s="429" t="s">
        <v>285</v>
      </c>
      <c r="AX37" s="430" t="s">
        <v>236</v>
      </c>
      <c r="AY37" s="427" t="s">
        <v>252</v>
      </c>
      <c r="BA37" s="428" t="str">
        <f t="shared" si="4"/>
        <v>WIP - 30 Days</v>
      </c>
    </row>
    <row r="38" spans="2:53">
      <c r="B38" s="36">
        <f>'[6]price list MAN'!B38</f>
        <v>48699</v>
      </c>
      <c r="C38" s="10" t="str">
        <f>'[6]price list MAN'!C38</f>
        <v>CLA-15-2204X2BB-C</v>
      </c>
      <c r="D38" s="16" t="str">
        <f>IFERROR(VLOOKUP(C38&amp;"",'[7]Retail Price List'!$A$3:$B$103,2,FALSE),"Special Order")</f>
        <v>KP000589</v>
      </c>
      <c r="E38" s="494" t="str">
        <f>'[6]price list MAN'!E38</f>
        <v>CKD</v>
      </c>
      <c r="F38" s="11" t="str">
        <f>'[6]price list MAN'!F38</f>
        <v>2018-05-30</v>
      </c>
      <c r="G38" s="32">
        <f>'[6]price list MAN'!G38</f>
        <v>15.9</v>
      </c>
      <c r="H38" s="26">
        <f>'[6]price list MAN'!H38</f>
        <v>43039</v>
      </c>
      <c r="I38" s="51" t="str">
        <f t="shared" si="0"/>
        <v>2017Q4</v>
      </c>
      <c r="J38" s="177">
        <f>'[6]price list MAN'!J38</f>
        <v>695000</v>
      </c>
      <c r="K38" s="177">
        <f>'[6]price list MAN'!P38</f>
        <v>572250</v>
      </c>
      <c r="L38" s="177">
        <f>'[6]price list MAN'!R38</f>
        <v>545000</v>
      </c>
      <c r="M38" s="174">
        <f>'[6]price list MAN'!S38</f>
        <v>710000</v>
      </c>
      <c r="N38" s="174">
        <f>'[6]price list MAN'!Y38</f>
        <v>588000</v>
      </c>
      <c r="O38" s="174">
        <f>'[6]price list MAN'!AA38</f>
        <v>560000</v>
      </c>
      <c r="P38" s="68">
        <f t="shared" si="1"/>
        <v>0.21126760563380281</v>
      </c>
      <c r="Q38" s="62" t="e">
        <f>O38-#REF!</f>
        <v>#REF!</v>
      </c>
      <c r="W38" s="210"/>
      <c r="X38" s="210"/>
      <c r="Y38" s="210"/>
      <c r="Z38" s="210"/>
      <c r="AA38" s="210"/>
      <c r="AB38" s="210"/>
      <c r="AC38" s="210"/>
      <c r="AT38" s="425" t="str">
        <f t="shared" si="2"/>
        <v>KP0005892017Q415,9</v>
      </c>
      <c r="AU38" s="64" t="str">
        <f t="shared" si="3"/>
        <v>10-2017</v>
      </c>
      <c r="AW38" s="429" t="s">
        <v>286</v>
      </c>
      <c r="AX38" s="430" t="s">
        <v>237</v>
      </c>
      <c r="AY38" s="427" t="s">
        <v>253</v>
      </c>
      <c r="BA38" s="428" t="str">
        <f t="shared" si="4"/>
        <v>WIP - 30 Days</v>
      </c>
    </row>
    <row r="39" spans="2:53">
      <c r="B39" s="36">
        <f>'[6]price list MAN'!B39</f>
        <v>48700</v>
      </c>
      <c r="C39" s="10" t="str">
        <f>'[6]price list MAN'!C39</f>
        <v>CLA-15-2204X2BB-C</v>
      </c>
      <c r="D39" s="16" t="str">
        <f>IFERROR(VLOOKUP(C39&amp;"",'[7]Retail Price List'!$A$3:$B$103,2,FALSE),"Special Order")</f>
        <v>KP000589</v>
      </c>
      <c r="E39" s="494" t="str">
        <f>'[6]price list MAN'!E39</f>
        <v>CKD</v>
      </c>
      <c r="F39" s="11" t="str">
        <f>'[6]price list MAN'!F39</f>
        <v>2018-05-30</v>
      </c>
      <c r="G39" s="32">
        <f>'[6]price list MAN'!G39</f>
        <v>15.9</v>
      </c>
      <c r="H39" s="26">
        <f>'[6]price list MAN'!H39</f>
        <v>43039</v>
      </c>
      <c r="I39" s="51" t="str">
        <f t="shared" si="0"/>
        <v>2017Q4</v>
      </c>
      <c r="J39" s="177">
        <f>'[6]price list MAN'!J39</f>
        <v>695000</v>
      </c>
      <c r="K39" s="177">
        <f>'[6]price list MAN'!P39</f>
        <v>572250</v>
      </c>
      <c r="L39" s="177">
        <f>'[6]price list MAN'!R39</f>
        <v>545000</v>
      </c>
      <c r="M39" s="174">
        <f>'[6]price list MAN'!S39</f>
        <v>710000</v>
      </c>
      <c r="N39" s="174">
        <f>'[6]price list MAN'!Y39</f>
        <v>588000</v>
      </c>
      <c r="O39" s="174">
        <f>'[6]price list MAN'!AA39</f>
        <v>560000</v>
      </c>
      <c r="P39" s="68">
        <f t="shared" si="1"/>
        <v>0.21126760563380281</v>
      </c>
      <c r="Q39" s="62" t="e">
        <f>O39-#REF!</f>
        <v>#REF!</v>
      </c>
      <c r="W39" s="210"/>
      <c r="X39" s="210"/>
      <c r="Y39" s="210"/>
      <c r="Z39" s="210"/>
      <c r="AA39" s="210"/>
      <c r="AB39" s="210"/>
      <c r="AC39" s="210"/>
      <c r="AT39" s="425" t="str">
        <f t="shared" si="2"/>
        <v>KP0005892017Q415,9</v>
      </c>
      <c r="AU39" s="64" t="str">
        <f t="shared" si="3"/>
        <v>10-2017</v>
      </c>
      <c r="AW39" s="429" t="s">
        <v>287</v>
      </c>
      <c r="AX39" s="430" t="s">
        <v>237</v>
      </c>
      <c r="AY39" s="427" t="s">
        <v>253</v>
      </c>
      <c r="BA39" s="428" t="str">
        <f t="shared" si="4"/>
        <v>WIP - 30 Days</v>
      </c>
    </row>
    <row r="40" spans="2:53">
      <c r="B40" s="36">
        <f>'[6]price list MAN'!B40</f>
        <v>48701</v>
      </c>
      <c r="C40" s="10" t="str">
        <f>'[6]price list MAN'!C40</f>
        <v>CLA-15-2204X2BB-C</v>
      </c>
      <c r="D40" s="16" t="str">
        <f>IFERROR(VLOOKUP(C40&amp;"",'[7]Retail Price List'!$A$3:$B$103,2,FALSE),"Special Order")</f>
        <v>KP000589</v>
      </c>
      <c r="E40" s="494" t="str">
        <f>'[6]price list MAN'!E40</f>
        <v>CKD</v>
      </c>
      <c r="F40" s="11" t="str">
        <f>'[6]price list MAN'!F40</f>
        <v>2018-05-30</v>
      </c>
      <c r="G40" s="32">
        <f>'[6]price list MAN'!G40</f>
        <v>15.9</v>
      </c>
      <c r="H40" s="26">
        <f>'[6]price list MAN'!H40</f>
        <v>43039</v>
      </c>
      <c r="I40" s="51" t="str">
        <f t="shared" si="0"/>
        <v>2017Q4</v>
      </c>
      <c r="J40" s="177">
        <f>'[6]price list MAN'!J40</f>
        <v>695000</v>
      </c>
      <c r="K40" s="177">
        <f>'[6]price list MAN'!P40</f>
        <v>572250</v>
      </c>
      <c r="L40" s="177">
        <f>'[6]price list MAN'!R40</f>
        <v>545000</v>
      </c>
      <c r="M40" s="174">
        <f>'[6]price list MAN'!S40</f>
        <v>710000</v>
      </c>
      <c r="N40" s="174">
        <f>'[6]price list MAN'!Y40</f>
        <v>588000</v>
      </c>
      <c r="O40" s="174">
        <f>'[6]price list MAN'!AA40</f>
        <v>560000</v>
      </c>
      <c r="P40" s="68">
        <f t="shared" si="1"/>
        <v>0.21126760563380281</v>
      </c>
      <c r="Q40" s="62" t="e">
        <f>O40-#REF!</f>
        <v>#REF!</v>
      </c>
      <c r="W40" s="210"/>
      <c r="X40" s="210"/>
      <c r="Y40" s="210"/>
      <c r="Z40" s="210"/>
      <c r="AA40" s="210"/>
      <c r="AB40" s="210"/>
      <c r="AC40" s="210"/>
      <c r="AT40" s="425" t="str">
        <f t="shared" si="2"/>
        <v>KP0005892017Q415,9</v>
      </c>
      <c r="AU40" s="64" t="str">
        <f t="shared" si="3"/>
        <v>10-2017</v>
      </c>
      <c r="AW40" s="429" t="s">
        <v>288</v>
      </c>
      <c r="AX40" s="430" t="s">
        <v>237</v>
      </c>
      <c r="AY40" s="427" t="s">
        <v>253</v>
      </c>
      <c r="BA40" s="428" t="str">
        <f t="shared" si="4"/>
        <v>WIP - 30 Days</v>
      </c>
    </row>
    <row r="41" spans="2:53">
      <c r="B41" s="36">
        <f>'[6]price list MAN'!B41</f>
        <v>48702</v>
      </c>
      <c r="C41" s="10" t="str">
        <f>'[6]price list MAN'!C41</f>
        <v>CLA-15-2204X2BB-C</v>
      </c>
      <c r="D41" s="16" t="str">
        <f>IFERROR(VLOOKUP(C41&amp;"",'[7]Retail Price List'!$A$3:$B$103,2,FALSE),"Special Order")</f>
        <v>KP000589</v>
      </c>
      <c r="E41" s="494" t="str">
        <f>'[6]price list MAN'!E41</f>
        <v>CKD</v>
      </c>
      <c r="F41" s="726" t="str">
        <f>'[6]price list MAN'!F41</f>
        <v>2018-05-30</v>
      </c>
      <c r="G41" s="32">
        <f>'[6]price list MAN'!G41</f>
        <v>15.9</v>
      </c>
      <c r="H41" s="26">
        <f>'[6]price list MAN'!H41</f>
        <v>43039</v>
      </c>
      <c r="I41" s="51" t="str">
        <f t="shared" si="0"/>
        <v>2017Q4</v>
      </c>
      <c r="J41" s="177">
        <f>'[6]price list MAN'!J41</f>
        <v>695000</v>
      </c>
      <c r="K41" s="177">
        <f>'[6]price list MAN'!P41</f>
        <v>572250</v>
      </c>
      <c r="L41" s="177">
        <f>'[6]price list MAN'!R41</f>
        <v>545000</v>
      </c>
      <c r="M41" s="174">
        <f>'[6]price list MAN'!S41</f>
        <v>710000</v>
      </c>
      <c r="N41" s="174">
        <f>'[6]price list MAN'!Y41</f>
        <v>588000</v>
      </c>
      <c r="O41" s="174">
        <f>'[6]price list MAN'!AA41</f>
        <v>560000</v>
      </c>
      <c r="P41" s="68">
        <f t="shared" si="1"/>
        <v>0.21126760563380281</v>
      </c>
      <c r="Q41" s="62" t="e">
        <f>O41-#REF!</f>
        <v>#REF!</v>
      </c>
      <c r="W41" s="210"/>
      <c r="X41" s="210"/>
      <c r="Y41" s="210"/>
      <c r="Z41" s="210"/>
      <c r="AA41" s="210"/>
      <c r="AB41" s="210"/>
      <c r="AC41" s="210"/>
      <c r="AT41" s="425" t="str">
        <f t="shared" si="2"/>
        <v>KP0005892017Q415,9</v>
      </c>
      <c r="AU41" s="64" t="str">
        <f t="shared" si="3"/>
        <v>10-2017</v>
      </c>
      <c r="BA41" s="428" t="str">
        <f t="shared" si="4"/>
        <v>WIP - 30 Days</v>
      </c>
    </row>
    <row r="42" spans="2:53">
      <c r="B42" s="36">
        <f>'[6]price list MAN'!B42</f>
        <v>48703</v>
      </c>
      <c r="C42" s="10" t="str">
        <f>'[6]price list MAN'!C42</f>
        <v>CLA-15-2204X2BB-C</v>
      </c>
      <c r="D42" s="16" t="str">
        <f>IFERROR(VLOOKUP(C42&amp;"",'[7]Retail Price List'!$A$3:$B$103,2,FALSE),"Special Order")</f>
        <v>KP000589</v>
      </c>
      <c r="E42" s="494" t="str">
        <f>'[6]price list MAN'!E42</f>
        <v>CKD</v>
      </c>
      <c r="F42" s="726" t="str">
        <f>'[6]price list MAN'!F42</f>
        <v>2018-05-30</v>
      </c>
      <c r="G42" s="32">
        <f>'[6]price list MAN'!G42</f>
        <v>15.9</v>
      </c>
      <c r="H42" s="26">
        <f>'[6]price list MAN'!H42</f>
        <v>43039</v>
      </c>
      <c r="I42" s="51" t="str">
        <f t="shared" si="0"/>
        <v>2017Q4</v>
      </c>
      <c r="J42" s="177">
        <f>'[6]price list MAN'!J42</f>
        <v>695000</v>
      </c>
      <c r="K42" s="177">
        <f>'[6]price list MAN'!P42</f>
        <v>572250</v>
      </c>
      <c r="L42" s="177">
        <f>'[6]price list MAN'!R42</f>
        <v>545000</v>
      </c>
      <c r="M42" s="174">
        <f>'[6]price list MAN'!S42</f>
        <v>710000</v>
      </c>
      <c r="N42" s="174">
        <f>'[6]price list MAN'!Y42</f>
        <v>588000</v>
      </c>
      <c r="O42" s="174">
        <f>'[6]price list MAN'!AA42</f>
        <v>560000</v>
      </c>
      <c r="P42" s="68">
        <f t="shared" si="1"/>
        <v>0.21126760563380281</v>
      </c>
      <c r="Q42" s="62" t="e">
        <f>O42-#REF!</f>
        <v>#REF!</v>
      </c>
      <c r="W42" s="210"/>
      <c r="X42" s="210"/>
      <c r="Y42" s="210"/>
      <c r="Z42" s="210"/>
      <c r="AA42" s="210"/>
      <c r="AB42" s="210"/>
      <c r="AC42" s="210"/>
      <c r="AT42" s="425" t="str">
        <f t="shared" si="2"/>
        <v>KP0005892017Q415,9</v>
      </c>
      <c r="AU42" s="64" t="str">
        <f t="shared" si="3"/>
        <v>10-2017</v>
      </c>
      <c r="BA42" s="428" t="str">
        <f t="shared" si="4"/>
        <v>WIP - 30 Days</v>
      </c>
    </row>
    <row r="43" spans="2:53">
      <c r="B43" s="36">
        <f>'[6]price list MAN'!B43</f>
        <v>48704</v>
      </c>
      <c r="C43" s="10" t="str">
        <f>'[6]price list MAN'!C43</f>
        <v>CLA-15-2204X2BB-C</v>
      </c>
      <c r="D43" s="16" t="str">
        <f>IFERROR(VLOOKUP(C43&amp;"",'[7]Retail Price List'!$A$3:$B$103,2,FALSE),"Special Order")</f>
        <v>KP000589</v>
      </c>
      <c r="E43" s="494" t="str">
        <f>'[6]price list MAN'!E43</f>
        <v>CKD</v>
      </c>
      <c r="F43" s="726" t="str">
        <f>'[6]price list MAN'!F43</f>
        <v>2018-05-30</v>
      </c>
      <c r="G43" s="32">
        <f>'[6]price list MAN'!G43</f>
        <v>15.9</v>
      </c>
      <c r="H43" s="26">
        <f>'[6]price list MAN'!H43</f>
        <v>43039</v>
      </c>
      <c r="I43" s="51" t="str">
        <f t="shared" si="0"/>
        <v>2017Q4</v>
      </c>
      <c r="J43" s="177">
        <f>'[6]price list MAN'!J43</f>
        <v>695000</v>
      </c>
      <c r="K43" s="177">
        <f>'[6]price list MAN'!P43</f>
        <v>572250</v>
      </c>
      <c r="L43" s="177">
        <f>'[6]price list MAN'!R43</f>
        <v>545000</v>
      </c>
      <c r="M43" s="174">
        <f>'[6]price list MAN'!S43</f>
        <v>710000</v>
      </c>
      <c r="N43" s="174">
        <f>'[6]price list MAN'!Y43</f>
        <v>588000</v>
      </c>
      <c r="O43" s="174">
        <f>'[6]price list MAN'!AA43</f>
        <v>560000</v>
      </c>
      <c r="P43" s="68">
        <f t="shared" si="1"/>
        <v>0.21126760563380281</v>
      </c>
      <c r="Q43" s="62" t="e">
        <f>O43-#REF!</f>
        <v>#REF!</v>
      </c>
      <c r="W43" s="210"/>
      <c r="X43" s="210"/>
      <c r="Y43" s="210"/>
      <c r="Z43" s="210"/>
      <c r="AA43" s="210"/>
      <c r="AB43" s="210"/>
      <c r="AC43" s="210"/>
      <c r="AT43" s="425" t="str">
        <f t="shared" si="2"/>
        <v>KP0005892017Q415,9</v>
      </c>
      <c r="AU43" s="64" t="str">
        <f t="shared" si="3"/>
        <v>10-2017</v>
      </c>
      <c r="BA43" s="428" t="str">
        <f t="shared" si="4"/>
        <v>WIP - 30 Days</v>
      </c>
    </row>
    <row r="44" spans="2:53">
      <c r="B44" s="36">
        <f>'[6]price list MAN'!B44</f>
        <v>48705</v>
      </c>
      <c r="C44" s="10" t="str">
        <f>'[6]price list MAN'!C44</f>
        <v>CLA-15-2204X2BB-C</v>
      </c>
      <c r="D44" s="16" t="str">
        <f>IFERROR(VLOOKUP(C44&amp;"",'[7]Retail Price List'!$A$3:$B$103,2,FALSE),"Special Order")</f>
        <v>KP000589</v>
      </c>
      <c r="E44" s="494" t="str">
        <f>'[6]price list MAN'!E44</f>
        <v>CKD</v>
      </c>
      <c r="F44" s="726" t="str">
        <f>'[6]price list MAN'!F44</f>
        <v>2018-05-30</v>
      </c>
      <c r="G44" s="32">
        <f>'[6]price list MAN'!G44</f>
        <v>15.9</v>
      </c>
      <c r="H44" s="26">
        <f>'[6]price list MAN'!H44</f>
        <v>43039</v>
      </c>
      <c r="I44" s="51" t="str">
        <f t="shared" si="0"/>
        <v>2017Q4</v>
      </c>
      <c r="J44" s="177">
        <f>'[6]price list MAN'!J44</f>
        <v>695000</v>
      </c>
      <c r="K44" s="177">
        <f>'[6]price list MAN'!P44</f>
        <v>572250</v>
      </c>
      <c r="L44" s="177">
        <f>'[6]price list MAN'!R44</f>
        <v>545000</v>
      </c>
      <c r="M44" s="174">
        <f>'[6]price list MAN'!S44</f>
        <v>710000</v>
      </c>
      <c r="N44" s="174">
        <f>'[6]price list MAN'!Y44</f>
        <v>588000</v>
      </c>
      <c r="O44" s="174">
        <f>'[6]price list MAN'!AA44</f>
        <v>560000</v>
      </c>
      <c r="P44" s="68">
        <f t="shared" si="1"/>
        <v>0.21126760563380281</v>
      </c>
      <c r="Q44" s="62" t="e">
        <f>O44-#REF!</f>
        <v>#REF!</v>
      </c>
      <c r="W44" s="210"/>
      <c r="X44" s="210"/>
      <c r="Y44" s="210"/>
      <c r="Z44" s="210"/>
      <c r="AA44" s="210"/>
      <c r="AB44" s="210"/>
      <c r="AC44" s="210"/>
      <c r="AT44" s="425" t="str">
        <f t="shared" si="2"/>
        <v>KP0005892017Q415,9</v>
      </c>
      <c r="AU44" s="64" t="str">
        <f t="shared" si="3"/>
        <v>10-2017</v>
      </c>
      <c r="BA44" s="428" t="str">
        <f t="shared" si="4"/>
        <v>WIP - 30 Days</v>
      </c>
    </row>
    <row r="45" spans="2:53">
      <c r="B45" s="36">
        <f>'[6]price list MAN'!B45</f>
        <v>48706</v>
      </c>
      <c r="C45" s="10" t="str">
        <f>'[6]price list MAN'!C45</f>
        <v>CLA-15-2204X2BB-C</v>
      </c>
      <c r="D45" s="16" t="str">
        <f>IFERROR(VLOOKUP(C45&amp;"",'[7]Retail Price List'!$A$3:$B$103,2,FALSE),"Special Order")</f>
        <v>KP000589</v>
      </c>
      <c r="E45" s="494" t="str">
        <f>'[6]price list MAN'!E45</f>
        <v>CKD</v>
      </c>
      <c r="F45" s="726" t="str">
        <f>'[6]price list MAN'!F45</f>
        <v>2018-05-30</v>
      </c>
      <c r="G45" s="32">
        <f>'[6]price list MAN'!G45</f>
        <v>15.9</v>
      </c>
      <c r="H45" s="26">
        <f>'[6]price list MAN'!H45</f>
        <v>43039</v>
      </c>
      <c r="I45" s="51" t="str">
        <f t="shared" si="0"/>
        <v>2017Q4</v>
      </c>
      <c r="J45" s="177">
        <f>'[6]price list MAN'!J45</f>
        <v>695000</v>
      </c>
      <c r="K45" s="177">
        <f>'[6]price list MAN'!P45</f>
        <v>572250</v>
      </c>
      <c r="L45" s="177">
        <f>'[6]price list MAN'!R45</f>
        <v>545000</v>
      </c>
      <c r="M45" s="174">
        <f>'[6]price list MAN'!S45</f>
        <v>710000</v>
      </c>
      <c r="N45" s="174">
        <f>'[6]price list MAN'!Y45</f>
        <v>588000</v>
      </c>
      <c r="O45" s="174">
        <f>'[6]price list MAN'!AA45</f>
        <v>560000</v>
      </c>
      <c r="P45" s="68">
        <f t="shared" si="1"/>
        <v>0.21126760563380281</v>
      </c>
      <c r="Q45" s="62" t="e">
        <f>O45-#REF!</f>
        <v>#REF!</v>
      </c>
      <c r="W45" s="210"/>
      <c r="X45" s="210"/>
      <c r="Y45" s="210"/>
      <c r="Z45" s="210"/>
      <c r="AA45" s="210"/>
      <c r="AB45" s="210"/>
      <c r="AC45" s="210"/>
      <c r="AT45" s="425" t="str">
        <f t="shared" si="2"/>
        <v>KP0005892017Q415,9</v>
      </c>
      <c r="AU45" s="64" t="str">
        <f t="shared" si="3"/>
        <v>10-2017</v>
      </c>
      <c r="BA45" s="428" t="str">
        <f t="shared" si="4"/>
        <v>WIP - 30 Days</v>
      </c>
    </row>
    <row r="46" spans="2:53">
      <c r="B46" s="36">
        <f>'[6]price list MAN'!B46</f>
        <v>48707</v>
      </c>
      <c r="C46" s="10" t="str">
        <f>'[6]price list MAN'!C46</f>
        <v>CLA-15-2204X2BB-C</v>
      </c>
      <c r="D46" s="16" t="str">
        <f>IFERROR(VLOOKUP(C46&amp;"",'[7]Retail Price List'!$A$3:$B$103,2,FALSE),"Special Order")</f>
        <v>KP000589</v>
      </c>
      <c r="E46" s="494" t="str">
        <f>'[6]price list MAN'!E46</f>
        <v>CKD</v>
      </c>
      <c r="F46" s="726" t="str">
        <f>'[6]price list MAN'!F46</f>
        <v>2018-06-30</v>
      </c>
      <c r="G46" s="32">
        <f>'[6]price list MAN'!G46</f>
        <v>15.9</v>
      </c>
      <c r="H46" s="26">
        <f>'[6]price list MAN'!H46</f>
        <v>43039</v>
      </c>
      <c r="I46" s="51" t="str">
        <f t="shared" si="0"/>
        <v>2017Q4</v>
      </c>
      <c r="J46" s="177">
        <f>'[6]price list MAN'!J46</f>
        <v>695000</v>
      </c>
      <c r="K46" s="177">
        <f>'[6]price list MAN'!P46</f>
        <v>572250</v>
      </c>
      <c r="L46" s="177">
        <f>'[6]price list MAN'!R46</f>
        <v>545000</v>
      </c>
      <c r="M46" s="174">
        <f>'[6]price list MAN'!S46</f>
        <v>710000</v>
      </c>
      <c r="N46" s="174">
        <f>'[6]price list MAN'!Y46</f>
        <v>588000</v>
      </c>
      <c r="O46" s="174">
        <f>'[6]price list MAN'!AA46</f>
        <v>560000</v>
      </c>
      <c r="P46" s="68">
        <f t="shared" si="1"/>
        <v>0.21126760563380281</v>
      </c>
      <c r="Q46" s="62" t="e">
        <f>O46-#REF!</f>
        <v>#REF!</v>
      </c>
      <c r="W46" s="210"/>
      <c r="X46" s="210"/>
      <c r="Y46" s="210"/>
      <c r="Z46" s="210"/>
      <c r="AA46" s="210"/>
      <c r="AB46" s="210"/>
      <c r="AC46" s="210"/>
      <c r="AT46" s="425" t="str">
        <f t="shared" si="2"/>
        <v>KP0005892017Q415,9</v>
      </c>
      <c r="AU46" s="64" t="str">
        <f t="shared" si="3"/>
        <v>10-2017</v>
      </c>
      <c r="BA46" s="428" t="str">
        <f t="shared" si="4"/>
        <v>WIP - 30 Days</v>
      </c>
    </row>
    <row r="47" spans="2:53">
      <c r="B47" s="36">
        <f>'[6]price list MAN'!B47</f>
        <v>48714</v>
      </c>
      <c r="C47" s="10" t="str">
        <f>'[6]price list MAN'!C47</f>
        <v>CLA-15-2204X2BB-C</v>
      </c>
      <c r="D47" s="16" t="str">
        <f>IFERROR(VLOOKUP(C47&amp;"",'[7]Retail Price List'!$A$3:$B$103,2,FALSE),"Special Order")</f>
        <v>KP000589</v>
      </c>
      <c r="E47" s="494" t="str">
        <f>'[6]price list MAN'!E47</f>
        <v>CKD</v>
      </c>
      <c r="F47" s="726" t="str">
        <f>'[6]price list MAN'!F47</f>
        <v>2018-06-30</v>
      </c>
      <c r="G47" s="32">
        <f>'[6]price list MAN'!G47</f>
        <v>15.9</v>
      </c>
      <c r="H47" s="26">
        <f>'[6]price list MAN'!H47</f>
        <v>43039</v>
      </c>
      <c r="I47" s="51" t="str">
        <f t="shared" si="0"/>
        <v>2017Q4</v>
      </c>
      <c r="J47" s="177">
        <f>'[6]price list MAN'!J47</f>
        <v>695000</v>
      </c>
      <c r="K47" s="177">
        <f>'[6]price list MAN'!P47</f>
        <v>572250</v>
      </c>
      <c r="L47" s="177">
        <f>'[6]price list MAN'!R47</f>
        <v>545000</v>
      </c>
      <c r="M47" s="174">
        <f>'[6]price list MAN'!S47</f>
        <v>710000</v>
      </c>
      <c r="N47" s="174">
        <f>'[6]price list MAN'!Y47</f>
        <v>588000</v>
      </c>
      <c r="O47" s="174">
        <f>'[6]price list MAN'!AA47</f>
        <v>560000</v>
      </c>
      <c r="P47" s="68">
        <f t="shared" si="1"/>
        <v>0.21126760563380281</v>
      </c>
      <c r="Q47" s="62" t="e">
        <f>O47-#REF!</f>
        <v>#REF!</v>
      </c>
      <c r="W47" s="210"/>
      <c r="X47" s="210"/>
      <c r="Y47" s="210"/>
      <c r="Z47" s="210"/>
      <c r="AA47" s="210"/>
      <c r="AB47" s="210"/>
      <c r="AC47" s="210"/>
      <c r="AT47" s="425" t="str">
        <f t="shared" si="2"/>
        <v>KP0005892017Q415,9</v>
      </c>
      <c r="AU47" s="64" t="str">
        <f t="shared" si="3"/>
        <v>10-2017</v>
      </c>
      <c r="BA47" s="428" t="str">
        <f t="shared" si="4"/>
        <v>WIP - 30 Days</v>
      </c>
    </row>
    <row r="48" spans="2:53">
      <c r="B48" s="36">
        <f>'[6]price list MAN'!B48</f>
        <v>48715</v>
      </c>
      <c r="C48" s="10" t="str">
        <f>'[6]price list MAN'!C48</f>
        <v>CLA-15-2204X2BB-C</v>
      </c>
      <c r="D48" s="16" t="str">
        <f>IFERROR(VLOOKUP(C48&amp;"",'[7]Retail Price List'!$A$3:$B$103,2,FALSE),"Special Order")</f>
        <v>KP000589</v>
      </c>
      <c r="E48" s="494" t="str">
        <f>'[6]price list MAN'!E48</f>
        <v>CKD</v>
      </c>
      <c r="F48" s="726" t="str">
        <f>'[6]price list MAN'!F48</f>
        <v>2018-06-30</v>
      </c>
      <c r="G48" s="32">
        <f>'[6]price list MAN'!G48</f>
        <v>15.9</v>
      </c>
      <c r="H48" s="26">
        <f>'[6]price list MAN'!H48</f>
        <v>43039</v>
      </c>
      <c r="I48" s="51" t="str">
        <f t="shared" si="0"/>
        <v>2017Q4</v>
      </c>
      <c r="J48" s="177">
        <f>'[6]price list MAN'!J48</f>
        <v>695000</v>
      </c>
      <c r="K48" s="177">
        <f>'[6]price list MAN'!P48</f>
        <v>572250</v>
      </c>
      <c r="L48" s="177">
        <f>'[6]price list MAN'!R48</f>
        <v>545000</v>
      </c>
      <c r="M48" s="174">
        <f>'[6]price list MAN'!S48</f>
        <v>710000</v>
      </c>
      <c r="N48" s="174">
        <f>'[6]price list MAN'!Y48</f>
        <v>588000</v>
      </c>
      <c r="O48" s="174">
        <f>'[6]price list MAN'!AA48</f>
        <v>560000</v>
      </c>
      <c r="P48" s="68">
        <f t="shared" si="1"/>
        <v>0.21126760563380281</v>
      </c>
      <c r="Q48" s="62" t="e">
        <f>O48-#REF!</f>
        <v>#REF!</v>
      </c>
      <c r="W48" s="210"/>
      <c r="X48" s="210"/>
      <c r="Y48" s="210"/>
      <c r="Z48" s="210"/>
      <c r="AA48" s="210"/>
      <c r="AB48" s="210"/>
      <c r="AC48" s="210"/>
      <c r="AT48" s="425" t="str">
        <f t="shared" si="2"/>
        <v>KP0005892017Q415,9</v>
      </c>
      <c r="AU48" s="64" t="str">
        <f t="shared" si="3"/>
        <v>10-2017</v>
      </c>
      <c r="BA48" s="428" t="str">
        <f t="shared" si="4"/>
        <v>WIP - 30 Days</v>
      </c>
    </row>
    <row r="49" spans="2:53">
      <c r="B49" s="36">
        <f>'[6]price list MAN'!B49</f>
        <v>48716</v>
      </c>
      <c r="C49" s="10" t="str">
        <f>'[6]price list MAN'!C49</f>
        <v>CLA-15-2204X2BB-C</v>
      </c>
      <c r="D49" s="16" t="str">
        <f>IFERROR(VLOOKUP(C49&amp;"",'[7]Retail Price List'!$A$3:$B$103,2,FALSE),"Special Order")</f>
        <v>KP000589</v>
      </c>
      <c r="E49" s="494" t="str">
        <f>'[6]price list MAN'!E49</f>
        <v>CKD</v>
      </c>
      <c r="F49" s="726" t="str">
        <f>'[6]price list MAN'!F49</f>
        <v>2018-06-30</v>
      </c>
      <c r="G49" s="32">
        <f>'[6]price list MAN'!G49</f>
        <v>15.9</v>
      </c>
      <c r="H49" s="26">
        <f>'[6]price list MAN'!H49</f>
        <v>43039</v>
      </c>
      <c r="I49" s="51" t="str">
        <f t="shared" si="0"/>
        <v>2017Q4</v>
      </c>
      <c r="J49" s="177">
        <f>'[6]price list MAN'!J49</f>
        <v>695000</v>
      </c>
      <c r="K49" s="177">
        <f>'[6]price list MAN'!P49</f>
        <v>572250</v>
      </c>
      <c r="L49" s="177">
        <f>'[6]price list MAN'!R49</f>
        <v>545000</v>
      </c>
      <c r="M49" s="174">
        <f>'[6]price list MAN'!S49</f>
        <v>710000</v>
      </c>
      <c r="N49" s="174">
        <f>'[6]price list MAN'!Y49</f>
        <v>588000</v>
      </c>
      <c r="O49" s="174">
        <f>'[6]price list MAN'!AA49</f>
        <v>560000</v>
      </c>
      <c r="P49" s="68">
        <f t="shared" si="1"/>
        <v>0.21126760563380281</v>
      </c>
      <c r="Q49" s="62" t="e">
        <f>O49-#REF!</f>
        <v>#REF!</v>
      </c>
      <c r="W49" s="210"/>
      <c r="X49" s="210"/>
      <c r="Y49" s="210"/>
      <c r="Z49" s="210"/>
      <c r="AA49" s="210"/>
      <c r="AB49" s="210"/>
      <c r="AC49" s="210"/>
      <c r="AT49" s="425" t="str">
        <f t="shared" si="2"/>
        <v>KP0005892017Q415,9</v>
      </c>
      <c r="AU49" s="64" t="str">
        <f t="shared" si="3"/>
        <v>10-2017</v>
      </c>
      <c r="BA49" s="428" t="str">
        <f t="shared" si="4"/>
        <v>WIP - 30 Days</v>
      </c>
    </row>
    <row r="50" spans="2:53">
      <c r="B50" s="36" t="str">
        <f>'[6]price list MAN'!B50</f>
        <v>MA6-0685</v>
      </c>
      <c r="C50" s="10" t="str">
        <f>'[6]price list MAN'!C50</f>
        <v>CLA-15-2204X2BB-C</v>
      </c>
      <c r="D50" s="16" t="str">
        <f>IFERROR(VLOOKUP(C50&amp;"",'[7]Retail Price List'!$A$3:$B$103,2,FALSE),"Special Order")</f>
        <v>KP000589</v>
      </c>
      <c r="E50" s="494" t="str">
        <f>'[6]price list MAN'!E50</f>
        <v>BODY</v>
      </c>
      <c r="F50" s="726">
        <f>'[6]price list MAN'!F50</f>
        <v>292</v>
      </c>
      <c r="G50" s="32">
        <f>'[6]price list MAN'!G50</f>
        <v>15.4</v>
      </c>
      <c r="H50" s="26">
        <f>'[6]price list MAN'!H50</f>
        <v>42751</v>
      </c>
      <c r="I50" s="51" t="str">
        <f t="shared" si="0"/>
        <v>2017Q1</v>
      </c>
      <c r="J50" s="177">
        <f>'[6]price list MAN'!J50</f>
        <v>1014818</v>
      </c>
      <c r="K50" s="177">
        <f>'[6]price list MAN'!P50</f>
        <v>719250</v>
      </c>
      <c r="L50" s="177">
        <f>'[6]price list MAN'!R50</f>
        <v>685000</v>
      </c>
      <c r="M50" s="174">
        <f>'[6]price list MAN'!S50</f>
        <v>1029818</v>
      </c>
      <c r="N50" s="174">
        <f>'[6]price list MAN'!Y50</f>
        <v>735000</v>
      </c>
      <c r="O50" s="174">
        <f>'[6]price list MAN'!AA50</f>
        <v>700000</v>
      </c>
      <c r="P50" s="68">
        <f t="shared" si="1"/>
        <v>0.32026824157278277</v>
      </c>
      <c r="Q50" s="62" t="e">
        <f>O50-#REF!</f>
        <v>#REF!</v>
      </c>
      <c r="W50" s="210"/>
      <c r="X50" s="210"/>
      <c r="Y50" s="210"/>
      <c r="Z50" s="210"/>
      <c r="AA50" s="210"/>
      <c r="AB50" s="210"/>
      <c r="AC50" s="210"/>
      <c r="AT50" s="425" t="str">
        <f t="shared" si="2"/>
        <v>KP0005892017Q115,4</v>
      </c>
      <c r="AU50" s="64" t="str">
        <f t="shared" si="3"/>
        <v>01-2017</v>
      </c>
      <c r="BA50" s="428" t="str">
        <f t="shared" si="4"/>
        <v>121-365 Days</v>
      </c>
    </row>
    <row r="51" spans="2:53">
      <c r="B51" s="36" t="str">
        <f>'[6]price list MAN'!B51</f>
        <v>MA6-1404</v>
      </c>
      <c r="C51" s="10" t="str">
        <f>'[6]price list MAN'!C51</f>
        <v>CLA-15-2204X2BB-C</v>
      </c>
      <c r="D51" s="16" t="str">
        <f>IFERROR(VLOOKUP(C51&amp;"",'[7]Retail Price List'!$A$3:$B$103,2,FALSE),"Special Order")</f>
        <v>KP000589</v>
      </c>
      <c r="E51" s="494" t="str">
        <f>'[6]price list MAN'!E51</f>
        <v>CKD</v>
      </c>
      <c r="F51" s="726" t="str">
        <f>'[6]price list MAN'!F51</f>
        <v>2018-03-07</v>
      </c>
      <c r="G51" s="32">
        <f>'[6]price list MAN'!G51</f>
        <v>15.3</v>
      </c>
      <c r="H51" s="26">
        <f>'[6]price list MAN'!H51</f>
        <v>42978</v>
      </c>
      <c r="I51" s="51" t="str">
        <f t="shared" si="0"/>
        <v>2017Q3</v>
      </c>
      <c r="J51" s="177">
        <f>'[6]price list MAN'!J51</f>
        <v>695000</v>
      </c>
      <c r="K51" s="177">
        <f>'[6]price list MAN'!P51</f>
        <v>567000</v>
      </c>
      <c r="L51" s="177">
        <f>'[6]price list MAN'!R51</f>
        <v>540000</v>
      </c>
      <c r="M51" s="174">
        <f>'[6]price list MAN'!S51</f>
        <v>710000</v>
      </c>
      <c r="N51" s="174">
        <f>'[6]price list MAN'!Y51</f>
        <v>582750</v>
      </c>
      <c r="O51" s="174">
        <f>'[6]price list MAN'!AA51</f>
        <v>555000</v>
      </c>
      <c r="P51" s="68">
        <f t="shared" si="1"/>
        <v>0.21830985915492956</v>
      </c>
      <c r="Q51" s="62" t="e">
        <f>O51-#REF!</f>
        <v>#REF!</v>
      </c>
      <c r="W51" s="210"/>
      <c r="X51" s="210"/>
      <c r="Y51" s="210"/>
      <c r="Z51" s="210"/>
      <c r="AA51" s="210"/>
      <c r="AB51" s="210"/>
      <c r="AC51" s="210"/>
      <c r="AT51" s="425" t="str">
        <f t="shared" si="2"/>
        <v>KP0005892017Q315,3</v>
      </c>
      <c r="AU51" s="64" t="str">
        <f t="shared" si="3"/>
        <v>08-2017</v>
      </c>
      <c r="BA51" s="428" t="str">
        <f t="shared" si="4"/>
        <v>WIP - 30 Days</v>
      </c>
    </row>
    <row r="52" spans="2:53">
      <c r="B52" s="36" t="str">
        <f>'[6]price list MAN'!B52</f>
        <v>MA6-1405</v>
      </c>
      <c r="C52" s="10" t="str">
        <f>'[6]price list MAN'!C52</f>
        <v>CLA-15-2204X2BB-C</v>
      </c>
      <c r="D52" s="16" t="str">
        <f>IFERROR(VLOOKUP(C52&amp;"",'[7]Retail Price List'!$A$3:$B$103,2,FALSE),"Special Order")</f>
        <v>KP000589</v>
      </c>
      <c r="E52" s="494" t="str">
        <f>'[6]price list MAN'!E52</f>
        <v>CKD</v>
      </c>
      <c r="F52" s="726" t="str">
        <f>'[6]price list MAN'!F52</f>
        <v>2018-03-07</v>
      </c>
      <c r="G52" s="32">
        <f>'[6]price list MAN'!G52</f>
        <v>15.3</v>
      </c>
      <c r="H52" s="26">
        <f>'[6]price list MAN'!H52</f>
        <v>42978</v>
      </c>
      <c r="I52" s="51" t="str">
        <f t="shared" si="0"/>
        <v>2017Q3</v>
      </c>
      <c r="J52" s="177">
        <f>'[6]price list MAN'!J52</f>
        <v>695000</v>
      </c>
      <c r="K52" s="177">
        <f>'[6]price list MAN'!P52</f>
        <v>567000</v>
      </c>
      <c r="L52" s="177">
        <f>'[6]price list MAN'!R52</f>
        <v>540000</v>
      </c>
      <c r="M52" s="174">
        <f>'[6]price list MAN'!S52</f>
        <v>710000</v>
      </c>
      <c r="N52" s="174">
        <f>'[6]price list MAN'!Y52</f>
        <v>582750</v>
      </c>
      <c r="O52" s="174">
        <f>'[6]price list MAN'!AA52</f>
        <v>555000</v>
      </c>
      <c r="P52" s="68">
        <f t="shared" si="1"/>
        <v>0.21830985915492956</v>
      </c>
      <c r="Q52" s="62" t="e">
        <f>O52-#REF!</f>
        <v>#REF!</v>
      </c>
      <c r="W52" s="210"/>
      <c r="X52" s="210"/>
      <c r="Y52" s="210"/>
      <c r="Z52" s="210"/>
      <c r="AA52" s="210"/>
      <c r="AB52" s="210"/>
      <c r="AC52" s="210"/>
      <c r="AT52" s="425" t="str">
        <f t="shared" si="2"/>
        <v>KP0005892017Q315,3</v>
      </c>
      <c r="AU52" s="64" t="str">
        <f t="shared" si="3"/>
        <v>08-2017</v>
      </c>
      <c r="BA52" s="428" t="str">
        <f t="shared" si="4"/>
        <v>WIP - 30 Days</v>
      </c>
    </row>
    <row r="53" spans="2:53">
      <c r="B53" s="36" t="str">
        <f>'[6]price list MAN'!B53</f>
        <v>MA6-1406</v>
      </c>
      <c r="C53" s="10" t="str">
        <f>'[6]price list MAN'!C53</f>
        <v>CLA-15-2204X2BB-C</v>
      </c>
      <c r="D53" s="16" t="str">
        <f>IFERROR(VLOOKUP(C53&amp;"",'[7]Retail Price List'!$A$3:$B$103,2,FALSE),"Special Order")</f>
        <v>KP000589</v>
      </c>
      <c r="E53" s="494" t="str">
        <f>'[6]price list MAN'!E53</f>
        <v>CKD</v>
      </c>
      <c r="F53" s="726" t="str">
        <f>'[6]price list MAN'!F53</f>
        <v>2018-03-30</v>
      </c>
      <c r="G53" s="32">
        <f>'[6]price list MAN'!G53</f>
        <v>15.3</v>
      </c>
      <c r="H53" s="26">
        <f>'[6]price list MAN'!H53</f>
        <v>42978</v>
      </c>
      <c r="I53" s="51" t="str">
        <f t="shared" si="0"/>
        <v>2017Q3</v>
      </c>
      <c r="J53" s="177">
        <f>'[6]price list MAN'!J53</f>
        <v>695000</v>
      </c>
      <c r="K53" s="177">
        <f>'[6]price list MAN'!P53</f>
        <v>567000</v>
      </c>
      <c r="L53" s="177">
        <f>'[6]price list MAN'!R53</f>
        <v>540000</v>
      </c>
      <c r="M53" s="174">
        <f>'[6]price list MAN'!S53</f>
        <v>710000</v>
      </c>
      <c r="N53" s="174">
        <f>'[6]price list MAN'!Y53</f>
        <v>582750</v>
      </c>
      <c r="O53" s="174">
        <f>'[6]price list MAN'!AA53</f>
        <v>555000</v>
      </c>
      <c r="P53" s="68">
        <f t="shared" si="1"/>
        <v>0.21830985915492956</v>
      </c>
      <c r="Q53" s="62" t="e">
        <f>O53-#REF!</f>
        <v>#REF!</v>
      </c>
      <c r="W53" s="210"/>
      <c r="X53" s="210"/>
      <c r="Y53" s="210"/>
      <c r="Z53" s="210"/>
      <c r="AA53" s="210"/>
      <c r="AB53" s="210"/>
      <c r="AC53" s="210"/>
      <c r="AT53" s="425" t="str">
        <f t="shared" si="2"/>
        <v>KP0005892017Q315,3</v>
      </c>
      <c r="AU53" s="64" t="str">
        <f t="shared" si="3"/>
        <v>08-2017</v>
      </c>
      <c r="BA53" s="428" t="str">
        <f t="shared" si="4"/>
        <v>WIP - 30 Days</v>
      </c>
    </row>
    <row r="54" spans="2:53">
      <c r="B54" s="36" t="str">
        <f>'[6]price list MAN'!B54</f>
        <v>MA6-1407</v>
      </c>
      <c r="C54" s="10" t="str">
        <f>'[6]price list MAN'!C54</f>
        <v>CLA-15-2204X2BB-C</v>
      </c>
      <c r="D54" s="16" t="str">
        <f>IFERROR(VLOOKUP(C54&amp;"",'[7]Retail Price List'!$A$3:$B$103,2,FALSE),"Special Order")</f>
        <v>KP000589</v>
      </c>
      <c r="E54" s="494" t="str">
        <f>'[6]price list MAN'!E54</f>
        <v>CKD</v>
      </c>
      <c r="F54" s="726" t="str">
        <f>'[6]price list MAN'!F54</f>
        <v>2018-03-30</v>
      </c>
      <c r="G54" s="32">
        <f>'[6]price list MAN'!G54</f>
        <v>15.3</v>
      </c>
      <c r="H54" s="26">
        <f>'[6]price list MAN'!H54</f>
        <v>42978</v>
      </c>
      <c r="I54" s="51" t="str">
        <f t="shared" si="0"/>
        <v>2017Q3</v>
      </c>
      <c r="J54" s="177">
        <f>'[6]price list MAN'!J54</f>
        <v>695000</v>
      </c>
      <c r="K54" s="177">
        <f>'[6]price list MAN'!P54</f>
        <v>567000</v>
      </c>
      <c r="L54" s="177">
        <f>'[6]price list MAN'!R54</f>
        <v>540000</v>
      </c>
      <c r="M54" s="174">
        <f>'[6]price list MAN'!S54</f>
        <v>710000</v>
      </c>
      <c r="N54" s="174">
        <f>'[6]price list MAN'!Y54</f>
        <v>582750</v>
      </c>
      <c r="O54" s="174">
        <f>'[6]price list MAN'!AA54</f>
        <v>555000</v>
      </c>
      <c r="P54" s="68">
        <f t="shared" si="1"/>
        <v>0.21830985915492956</v>
      </c>
      <c r="Q54" s="62" t="e">
        <f>O54-#REF!</f>
        <v>#REF!</v>
      </c>
      <c r="W54" s="210"/>
      <c r="X54" s="210"/>
      <c r="Y54" s="210"/>
      <c r="Z54" s="210"/>
      <c r="AA54" s="210"/>
      <c r="AB54" s="210"/>
      <c r="AC54" s="210"/>
      <c r="AT54" s="425" t="str">
        <f t="shared" si="2"/>
        <v>KP0005892017Q315,3</v>
      </c>
      <c r="AU54" s="64" t="str">
        <f t="shared" si="3"/>
        <v>08-2017</v>
      </c>
      <c r="BA54" s="428" t="str">
        <f t="shared" si="4"/>
        <v>WIP - 30 Days</v>
      </c>
    </row>
    <row r="55" spans="2:53">
      <c r="B55" s="36" t="str">
        <f>'[6]price list MAN'!B55</f>
        <v>MA6-1408</v>
      </c>
      <c r="C55" s="10" t="str">
        <f>'[6]price list MAN'!C55</f>
        <v>CLA-15-2204X2BB-C</v>
      </c>
      <c r="D55" s="16" t="s">
        <v>683</v>
      </c>
      <c r="E55" s="494" t="str">
        <f>'[6]price list MAN'!E55</f>
        <v>CKD</v>
      </c>
      <c r="F55" s="726" t="str">
        <f>'[6]price list MAN'!F55</f>
        <v>2018-03-30</v>
      </c>
      <c r="G55" s="32">
        <f>'[6]price list MAN'!G55</f>
        <v>15.3</v>
      </c>
      <c r="H55" s="26">
        <f>'[6]price list MAN'!H55</f>
        <v>42978</v>
      </c>
      <c r="I55" s="51" t="str">
        <f t="shared" si="0"/>
        <v>2017Q3</v>
      </c>
      <c r="J55" s="177">
        <f>'[6]price list MAN'!J55</f>
        <v>695000</v>
      </c>
      <c r="K55" s="177">
        <f>'[6]price list MAN'!P55</f>
        <v>567000</v>
      </c>
      <c r="L55" s="177">
        <f>'[6]price list MAN'!R55</f>
        <v>540000</v>
      </c>
      <c r="M55" s="174">
        <f>'[6]price list MAN'!S55</f>
        <v>710000</v>
      </c>
      <c r="N55" s="174">
        <f>'[6]price list MAN'!Y55</f>
        <v>582750</v>
      </c>
      <c r="O55" s="174">
        <f>'[6]price list MAN'!AA55</f>
        <v>555000</v>
      </c>
      <c r="P55" s="68">
        <f t="shared" si="1"/>
        <v>0.21830985915492956</v>
      </c>
      <c r="Q55" s="62" t="e">
        <f>O55-#REF!</f>
        <v>#REF!</v>
      </c>
      <c r="W55" s="210"/>
      <c r="X55" s="210"/>
      <c r="Y55" s="210"/>
      <c r="Z55" s="210"/>
      <c r="AA55" s="210"/>
      <c r="AB55" s="210"/>
      <c r="AC55" s="210"/>
      <c r="AT55" s="425" t="str">
        <f t="shared" si="2"/>
        <v>KP0005162017Q315,3</v>
      </c>
      <c r="AU55" s="64" t="str">
        <f t="shared" si="3"/>
        <v>08-2017</v>
      </c>
      <c r="BA55" s="428" t="str">
        <f t="shared" si="4"/>
        <v>WIP - 30 Days</v>
      </c>
    </row>
    <row r="56" spans="2:53">
      <c r="B56" s="36" t="str">
        <f>'[6]price list MAN'!B56</f>
        <v>MA6-1409</v>
      </c>
      <c r="C56" s="10" t="str">
        <f>'[6]price list MAN'!C56</f>
        <v>CLA-15-2204X2BB-C</v>
      </c>
      <c r="D56" s="16" t="s">
        <v>683</v>
      </c>
      <c r="E56" s="494" t="str">
        <f>'[6]price list MAN'!E56</f>
        <v>CKD</v>
      </c>
      <c r="F56" s="11" t="str">
        <f>'[6]price list MAN'!F56</f>
        <v>2018-03-30</v>
      </c>
      <c r="G56" s="32">
        <f>'[6]price list MAN'!G56</f>
        <v>15.3</v>
      </c>
      <c r="H56" s="26">
        <f>'[6]price list MAN'!H56</f>
        <v>42978</v>
      </c>
      <c r="I56" s="51" t="str">
        <f t="shared" si="0"/>
        <v>2017Q3</v>
      </c>
      <c r="J56" s="177">
        <f>'[6]price list MAN'!J56</f>
        <v>695000</v>
      </c>
      <c r="K56" s="177">
        <f>'[6]price list MAN'!P56</f>
        <v>567000</v>
      </c>
      <c r="L56" s="177">
        <f>'[6]price list MAN'!R56</f>
        <v>540000</v>
      </c>
      <c r="M56" s="174">
        <f>'[6]price list MAN'!S56</f>
        <v>710000</v>
      </c>
      <c r="N56" s="174">
        <f>'[6]price list MAN'!Y56</f>
        <v>582750</v>
      </c>
      <c r="O56" s="174">
        <f>'[6]price list MAN'!AA56</f>
        <v>555000</v>
      </c>
      <c r="P56" s="68">
        <f t="shared" si="1"/>
        <v>0.21830985915492956</v>
      </c>
      <c r="Q56" s="62" t="e">
        <f>O56-#REF!</f>
        <v>#REF!</v>
      </c>
      <c r="W56" s="210"/>
      <c r="X56" s="210"/>
      <c r="Y56" s="210"/>
      <c r="Z56" s="210"/>
      <c r="AA56" s="210"/>
      <c r="AB56" s="210"/>
      <c r="AC56" s="210"/>
      <c r="AT56" s="425" t="str">
        <f t="shared" si="2"/>
        <v>KP0005162017Q315,3</v>
      </c>
      <c r="AU56" s="64" t="str">
        <f t="shared" si="3"/>
        <v>08-2017</v>
      </c>
      <c r="BA56" s="428" t="str">
        <f t="shared" si="4"/>
        <v>WIP - 30 Days</v>
      </c>
    </row>
    <row r="57" spans="2:53">
      <c r="B57" s="36" t="str">
        <f>'[6]price list MAN'!B57</f>
        <v>MA6-1410</v>
      </c>
      <c r="C57" s="10" t="str">
        <f>'[6]price list MAN'!C57</f>
        <v>CLA-15-2204X2BB-C</v>
      </c>
      <c r="D57" s="16" t="str">
        <f>IFERROR(VLOOKUP(C57&amp;"",'[7]Retail Price List'!$A$3:$B$103,2,FALSE),"Special Order")</f>
        <v>KP000589</v>
      </c>
      <c r="E57" s="494" t="str">
        <f>'[6]price list MAN'!E57</f>
        <v>CKD</v>
      </c>
      <c r="F57" s="11" t="str">
        <f>'[6]price list MAN'!F57</f>
        <v>2018-03-30</v>
      </c>
      <c r="G57" s="32">
        <f>'[6]price list MAN'!G57</f>
        <v>15.3</v>
      </c>
      <c r="H57" s="26">
        <f>'[6]price list MAN'!H57</f>
        <v>42978</v>
      </c>
      <c r="I57" s="51" t="str">
        <f t="shared" si="0"/>
        <v>2017Q3</v>
      </c>
      <c r="J57" s="177">
        <f>'[6]price list MAN'!J57</f>
        <v>695000</v>
      </c>
      <c r="K57" s="177">
        <f>'[6]price list MAN'!P57</f>
        <v>567000</v>
      </c>
      <c r="L57" s="177">
        <f>'[6]price list MAN'!R57</f>
        <v>540000</v>
      </c>
      <c r="M57" s="174">
        <f>'[6]price list MAN'!S57</f>
        <v>710000</v>
      </c>
      <c r="N57" s="174">
        <f>'[6]price list MAN'!Y57</f>
        <v>582750</v>
      </c>
      <c r="O57" s="174">
        <f>'[6]price list MAN'!AA57</f>
        <v>555000</v>
      </c>
      <c r="P57" s="68">
        <f t="shared" si="1"/>
        <v>0.21830985915492956</v>
      </c>
      <c r="Q57" s="62" t="e">
        <f>O57-#REF!</f>
        <v>#REF!</v>
      </c>
      <c r="W57" s="210"/>
      <c r="X57" s="210"/>
      <c r="Y57" s="210"/>
      <c r="Z57" s="210"/>
      <c r="AA57" s="210"/>
      <c r="AB57" s="210"/>
      <c r="AC57" s="210"/>
      <c r="AT57" s="425" t="str">
        <f t="shared" si="2"/>
        <v>KP0005892017Q315,3</v>
      </c>
      <c r="AU57" s="64" t="str">
        <f t="shared" si="3"/>
        <v>08-2017</v>
      </c>
      <c r="BA57" s="428" t="str">
        <f t="shared" si="4"/>
        <v>WIP - 30 Days</v>
      </c>
    </row>
    <row r="58" spans="2:53">
      <c r="B58" s="36" t="str">
        <f>'[6]price list MAN'!B58</f>
        <v>MA6-1411</v>
      </c>
      <c r="C58" s="10" t="str">
        <f>'[6]price list MAN'!C58</f>
        <v>CLA-15-2204X2BB-C</v>
      </c>
      <c r="D58" s="16" t="str">
        <f>IFERROR(VLOOKUP(C58&amp;"",'[7]Retail Price List'!$A$3:$B$103,2,FALSE),"Special Order")</f>
        <v>KP000589</v>
      </c>
      <c r="E58" s="494" t="str">
        <f>'[6]price list MAN'!E58</f>
        <v>CKD</v>
      </c>
      <c r="F58" s="11" t="str">
        <f>'[6]price list MAN'!F58</f>
        <v>2018-03-30</v>
      </c>
      <c r="G58" s="32">
        <f>'[6]price list MAN'!G58</f>
        <v>15.3</v>
      </c>
      <c r="H58" s="26">
        <f>'[6]price list MAN'!H58</f>
        <v>42978</v>
      </c>
      <c r="I58" s="51" t="str">
        <f t="shared" si="0"/>
        <v>2017Q3</v>
      </c>
      <c r="J58" s="177">
        <f>'[6]price list MAN'!J58</f>
        <v>695000</v>
      </c>
      <c r="K58" s="177">
        <f>'[6]price list MAN'!P58</f>
        <v>567000</v>
      </c>
      <c r="L58" s="177">
        <f>'[6]price list MAN'!R58</f>
        <v>540000</v>
      </c>
      <c r="M58" s="174">
        <f>'[6]price list MAN'!S58</f>
        <v>710000</v>
      </c>
      <c r="N58" s="174">
        <f>'[6]price list MAN'!Y58</f>
        <v>582750</v>
      </c>
      <c r="O58" s="174">
        <f>'[6]price list MAN'!AA58</f>
        <v>555000</v>
      </c>
      <c r="P58" s="68">
        <f t="shared" si="1"/>
        <v>0.21830985915492956</v>
      </c>
      <c r="Q58" s="62" t="e">
        <f>O58-#REF!</f>
        <v>#REF!</v>
      </c>
      <c r="W58" s="210"/>
      <c r="X58" s="210"/>
      <c r="Y58" s="210"/>
      <c r="Z58" s="210"/>
      <c r="AA58" s="210"/>
      <c r="AB58" s="210"/>
      <c r="AC58" s="210"/>
      <c r="AT58" s="425" t="str">
        <f t="shared" si="2"/>
        <v>KP0005892017Q315,3</v>
      </c>
      <c r="AU58" s="64" t="str">
        <f t="shared" si="3"/>
        <v>08-2017</v>
      </c>
      <c r="BA58" s="428" t="str">
        <f t="shared" si="4"/>
        <v>WIP - 30 Days</v>
      </c>
    </row>
    <row r="59" spans="2:53">
      <c r="B59" s="36" t="str">
        <f>'[6]price list MAN'!B59</f>
        <v>MA6-5109</v>
      </c>
      <c r="C59" s="10" t="str">
        <f>'[6]price list MAN'!C59</f>
        <v>CLA-15-2204X2BB-C</v>
      </c>
      <c r="D59" s="16" t="str">
        <f>IFERROR(VLOOKUP(C59&amp;"",'[7]Retail Price List'!$A$3:$B$103,2,FALSE),"Special Order")</f>
        <v>KP000589</v>
      </c>
      <c r="E59" s="494" t="str">
        <f>'[6]price list MAN'!E59</f>
        <v>BODY</v>
      </c>
      <c r="F59" s="11">
        <f>'[6]price list MAN'!F59</f>
        <v>158</v>
      </c>
      <c r="G59" s="32">
        <f>'[6]price list MAN'!G59</f>
        <v>14.7</v>
      </c>
      <c r="H59" s="26">
        <f>'[6]price list MAN'!H59</f>
        <v>42859</v>
      </c>
      <c r="I59" s="51" t="str">
        <f t="shared" si="0"/>
        <v>2017Q2</v>
      </c>
      <c r="J59" s="177">
        <f>'[6]price list MAN'!J59</f>
        <v>1205891.6000000001</v>
      </c>
      <c r="K59" s="177">
        <f>'[6]price list MAN'!P59</f>
        <v>903283.5</v>
      </c>
      <c r="L59" s="177">
        <f>'[6]price list MAN'!R59</f>
        <v>860270</v>
      </c>
      <c r="M59" s="174">
        <f>'[6]price list MAN'!S59</f>
        <v>1220891.6000000001</v>
      </c>
      <c r="N59" s="174">
        <f>'[6]price list MAN'!Y59</f>
        <v>919033.5</v>
      </c>
      <c r="O59" s="174">
        <f>'[6]price list MAN'!AA59</f>
        <v>875270</v>
      </c>
      <c r="P59" s="68">
        <f t="shared" si="1"/>
        <v>0.28308950606261857</v>
      </c>
      <c r="Q59" s="62" t="e">
        <f>O59-#REF!</f>
        <v>#REF!</v>
      </c>
      <c r="W59" s="210"/>
      <c r="X59" s="210"/>
      <c r="Y59" s="210"/>
      <c r="Z59" s="210"/>
      <c r="AA59" s="210"/>
      <c r="AB59" s="210"/>
      <c r="AC59" s="210"/>
      <c r="AT59" s="425" t="str">
        <f t="shared" si="2"/>
        <v>KP0005892017Q214,7</v>
      </c>
      <c r="AU59" s="64" t="str">
        <f t="shared" si="3"/>
        <v>05-2017</v>
      </c>
      <c r="BA59" s="428" t="str">
        <f t="shared" si="4"/>
        <v>121-365 Days</v>
      </c>
    </row>
    <row r="60" spans="2:53">
      <c r="B60" s="36" t="str">
        <f>'[6]price list MAN'!B60</f>
        <v>MA6-5110</v>
      </c>
      <c r="C60" s="10" t="str">
        <f>'[6]price list MAN'!C60</f>
        <v>CLA-15-2204X2BB-C</v>
      </c>
      <c r="D60" s="16" t="str">
        <f>IFERROR(VLOOKUP(C60&amp;"",'[7]Retail Price List'!$A$3:$B$103,2,FALSE),"Special Order")</f>
        <v>KP000589</v>
      </c>
      <c r="E60" s="494" t="str">
        <f>'[6]price list MAN'!E60</f>
        <v>BODY</v>
      </c>
      <c r="F60" s="11">
        <f>'[6]price list MAN'!F60</f>
        <v>154</v>
      </c>
      <c r="G60" s="32">
        <f>'[6]price list MAN'!G60</f>
        <v>14.7</v>
      </c>
      <c r="H60" s="26">
        <f>'[6]price list MAN'!H60</f>
        <v>42859</v>
      </c>
      <c r="I60" s="51" t="str">
        <f t="shared" si="0"/>
        <v>2017Q2</v>
      </c>
      <c r="J60" s="177">
        <f>'[6]price list MAN'!J60</f>
        <v>1035587.48</v>
      </c>
      <c r="K60" s="177">
        <f>'[6]price list MAN'!P60</f>
        <v>737710.05</v>
      </c>
      <c r="L60" s="177">
        <f>'[6]price list MAN'!R60</f>
        <v>702581</v>
      </c>
      <c r="M60" s="174">
        <f>'[6]price list MAN'!S60</f>
        <v>1050587.48</v>
      </c>
      <c r="N60" s="174">
        <f>'[6]price list MAN'!Y60</f>
        <v>753460.05</v>
      </c>
      <c r="O60" s="174">
        <f>'[6]price list MAN'!AA60</f>
        <v>717581</v>
      </c>
      <c r="P60" s="68">
        <f t="shared" si="1"/>
        <v>0.31697168140629278</v>
      </c>
      <c r="Q60" s="62" t="e">
        <f>O60-#REF!</f>
        <v>#REF!</v>
      </c>
      <c r="W60" s="210"/>
      <c r="X60" s="210"/>
      <c r="Y60" s="210"/>
      <c r="Z60" s="210"/>
      <c r="AA60" s="210"/>
      <c r="AB60" s="210"/>
      <c r="AC60" s="210"/>
      <c r="AT60" s="425" t="str">
        <f t="shared" si="2"/>
        <v>KP0005892017Q214,7</v>
      </c>
      <c r="AU60" s="64" t="str">
        <f t="shared" si="3"/>
        <v>05-2017</v>
      </c>
      <c r="BA60" s="428" t="str">
        <f t="shared" si="4"/>
        <v>121-365 Days</v>
      </c>
    </row>
    <row r="61" spans="2:53">
      <c r="B61" s="36" t="str">
        <f>'[6]price list MAN'!B61</f>
        <v>MA6-5112</v>
      </c>
      <c r="C61" s="10" t="str">
        <f>'[6]price list MAN'!C61</f>
        <v>CLA-15-2204X2BB-C</v>
      </c>
      <c r="D61" s="16" t="str">
        <f>IFERROR(VLOOKUP(C61&amp;"",'[7]Retail Price List'!$A$3:$B$103,2,FALSE),"Special Order")</f>
        <v>KP000589</v>
      </c>
      <c r="E61" s="494" t="str">
        <f>'[6]price list MAN'!E61</f>
        <v>BODY</v>
      </c>
      <c r="F61" s="11">
        <f>'[6]price list MAN'!F61</f>
        <v>158</v>
      </c>
      <c r="G61" s="32">
        <f>'[6]price list MAN'!G61</f>
        <v>14.7</v>
      </c>
      <c r="H61" s="26">
        <f>'[6]price list MAN'!H61</f>
        <v>42859</v>
      </c>
      <c r="I61" s="51" t="str">
        <f t="shared" si="0"/>
        <v>2017Q2</v>
      </c>
      <c r="J61" s="177">
        <f>'[6]price list MAN'!J61</f>
        <v>1205891.6000000001</v>
      </c>
      <c r="K61" s="177">
        <f>'[6]price list MAN'!P61</f>
        <v>903283.5</v>
      </c>
      <c r="L61" s="177">
        <f>'[6]price list MAN'!R61</f>
        <v>860270</v>
      </c>
      <c r="M61" s="174">
        <f>'[6]price list MAN'!S61</f>
        <v>1220891.6000000001</v>
      </c>
      <c r="N61" s="174">
        <f>'[6]price list MAN'!Y61</f>
        <v>919033.5</v>
      </c>
      <c r="O61" s="174">
        <f>'[6]price list MAN'!AA61</f>
        <v>875270</v>
      </c>
      <c r="P61" s="68">
        <f t="shared" si="1"/>
        <v>0.28308950606261857</v>
      </c>
      <c r="Q61" s="62" t="e">
        <f>O61-#REF!</f>
        <v>#REF!</v>
      </c>
      <c r="W61" s="210"/>
      <c r="X61" s="210"/>
      <c r="Y61" s="210"/>
      <c r="Z61" s="210"/>
      <c r="AA61" s="210"/>
      <c r="AB61" s="210"/>
      <c r="AC61" s="210"/>
      <c r="AT61" s="425" t="str">
        <f t="shared" si="2"/>
        <v>KP0005892017Q214,7</v>
      </c>
      <c r="AU61" s="64" t="str">
        <f t="shared" si="3"/>
        <v>05-2017</v>
      </c>
      <c r="BA61" s="428" t="str">
        <f t="shared" si="4"/>
        <v>121-365 Days</v>
      </c>
    </row>
    <row r="62" spans="2:53">
      <c r="B62" s="36" t="str">
        <f>'[6]price list MAN'!B62</f>
        <v>MA6-5165</v>
      </c>
      <c r="C62" s="10" t="str">
        <f>'[6]price list MAN'!C62</f>
        <v>CLA-15-2204X2BB-C</v>
      </c>
      <c r="D62" s="16" t="str">
        <f>IFERROR(VLOOKUP(C62&amp;"",'[7]Retail Price List'!$A$3:$B$103,2,FALSE),"Special Order")</f>
        <v>KP000589</v>
      </c>
      <c r="E62" s="494" t="str">
        <f>'[6]price list MAN'!E62</f>
        <v>BODY</v>
      </c>
      <c r="F62" s="11">
        <f>'[6]price list MAN'!F62</f>
        <v>153</v>
      </c>
      <c r="G62" s="32">
        <f>'[6]price list MAN'!G62</f>
        <v>14.7</v>
      </c>
      <c r="H62" s="26">
        <f>'[6]price list MAN'!H62</f>
        <v>42900</v>
      </c>
      <c r="I62" s="51" t="str">
        <f t="shared" si="0"/>
        <v>2017Q2</v>
      </c>
      <c r="J62" s="177">
        <f>'[6]price list MAN'!J62</f>
        <v>1035587.48</v>
      </c>
      <c r="K62" s="177">
        <f>'[6]price list MAN'!P62</f>
        <v>737710.05</v>
      </c>
      <c r="L62" s="177">
        <f>'[6]price list MAN'!R62</f>
        <v>702581</v>
      </c>
      <c r="M62" s="174">
        <f>'[6]price list MAN'!S62</f>
        <v>1050587.48</v>
      </c>
      <c r="N62" s="174">
        <f>'[6]price list MAN'!Y62</f>
        <v>753460.05</v>
      </c>
      <c r="O62" s="174">
        <f>'[6]price list MAN'!AA62</f>
        <v>717581</v>
      </c>
      <c r="P62" s="68">
        <f t="shared" si="1"/>
        <v>0.31697168140629278</v>
      </c>
      <c r="Q62" s="62" t="e">
        <f>O62-#REF!</f>
        <v>#REF!</v>
      </c>
      <c r="W62" s="210"/>
      <c r="X62" s="210"/>
      <c r="Y62" s="210"/>
      <c r="Z62" s="210"/>
      <c r="AA62" s="210"/>
      <c r="AB62" s="210"/>
      <c r="AC62" s="210"/>
      <c r="AT62" s="425" t="str">
        <f t="shared" si="2"/>
        <v>KP0005892017Q214,7</v>
      </c>
      <c r="AU62" s="64" t="str">
        <f t="shared" si="3"/>
        <v>06-2017</v>
      </c>
      <c r="BA62" s="428" t="str">
        <f t="shared" si="4"/>
        <v>121-365 Days</v>
      </c>
    </row>
    <row r="63" spans="2:53">
      <c r="B63" s="36" t="str">
        <f>'[6]price list MAN'!B63</f>
        <v>MA6-5166</v>
      </c>
      <c r="C63" s="10" t="str">
        <f>'[6]price list MAN'!C63</f>
        <v>CLA-15-2204X2BB-C</v>
      </c>
      <c r="D63" s="16" t="str">
        <f>IFERROR(VLOOKUP(C63&amp;"",'[7]Retail Price List'!$A$3:$B$103,2,FALSE),"Special Order")</f>
        <v>KP000589</v>
      </c>
      <c r="E63" s="494" t="str">
        <f>'[6]price list MAN'!E63</f>
        <v>BODY</v>
      </c>
      <c r="F63" s="11">
        <f>'[6]price list MAN'!F63</f>
        <v>153</v>
      </c>
      <c r="G63" s="32">
        <f>'[6]price list MAN'!G63</f>
        <v>14.7</v>
      </c>
      <c r="H63" s="26">
        <f>'[6]price list MAN'!H63</f>
        <v>42900</v>
      </c>
      <c r="I63" s="51" t="str">
        <f t="shared" si="0"/>
        <v>2017Q2</v>
      </c>
      <c r="J63" s="177">
        <f>'[6]price list MAN'!J63</f>
        <v>1035587.48</v>
      </c>
      <c r="K63" s="177">
        <f>'[6]price list MAN'!P63</f>
        <v>737710.05</v>
      </c>
      <c r="L63" s="177">
        <f>'[6]price list MAN'!R63</f>
        <v>702581</v>
      </c>
      <c r="M63" s="174">
        <f>'[6]price list MAN'!S63</f>
        <v>1050587.48</v>
      </c>
      <c r="N63" s="174">
        <f>'[6]price list MAN'!Y63</f>
        <v>753460.05</v>
      </c>
      <c r="O63" s="174">
        <f>'[6]price list MAN'!AA63</f>
        <v>717581</v>
      </c>
      <c r="P63" s="68">
        <f t="shared" si="1"/>
        <v>0.31697168140629278</v>
      </c>
      <c r="Q63" s="62" t="e">
        <f>O63-#REF!</f>
        <v>#REF!</v>
      </c>
      <c r="W63" s="210"/>
      <c r="X63" s="210"/>
      <c r="Y63" s="210"/>
      <c r="Z63" s="210"/>
      <c r="AA63" s="210"/>
      <c r="AB63" s="210"/>
      <c r="AC63" s="210"/>
      <c r="AT63" s="425" t="str">
        <f t="shared" si="2"/>
        <v>KP0005892017Q214,7</v>
      </c>
      <c r="AU63" s="64" t="str">
        <f t="shared" si="3"/>
        <v>06-2017</v>
      </c>
      <c r="BA63" s="428" t="str">
        <f t="shared" si="4"/>
        <v>121-365 Days</v>
      </c>
    </row>
    <row r="64" spans="2:53">
      <c r="B64" s="36" t="str">
        <f>'[6]price list MAN'!B64</f>
        <v>MA6-5167</v>
      </c>
      <c r="C64" s="10" t="str">
        <f>'[6]price list MAN'!C64</f>
        <v>CLA-15-2204X2BB-C</v>
      </c>
      <c r="D64" s="16" t="str">
        <f>IFERROR(VLOOKUP(C64&amp;"",'[7]Retail Price List'!$A$3:$B$103,2,FALSE),"Special Order")</f>
        <v>KP000589</v>
      </c>
      <c r="E64" s="494" t="str">
        <f>'[6]price list MAN'!E64</f>
        <v>SOLD</v>
      </c>
      <c r="F64" s="11">
        <f>'[6]price list MAN'!F64</f>
        <v>144</v>
      </c>
      <c r="G64" s="32">
        <f>'[6]price list MAN'!G64</f>
        <v>14.7</v>
      </c>
      <c r="H64" s="26">
        <f>'[6]price list MAN'!H64</f>
        <v>42900</v>
      </c>
      <c r="I64" s="51" t="str">
        <f t="shared" si="0"/>
        <v>2017Q2</v>
      </c>
      <c r="J64" s="177">
        <f>'[6]price list MAN'!J64</f>
        <v>695000</v>
      </c>
      <c r="K64" s="177">
        <f>'[6]price list MAN'!P64</f>
        <v>588000</v>
      </c>
      <c r="L64" s="177">
        <f>'[6]price list MAN'!R64</f>
        <v>560000</v>
      </c>
      <c r="M64" s="174">
        <f>'[6]price list MAN'!S64</f>
        <v>710000</v>
      </c>
      <c r="N64" s="174">
        <f>'[6]price list MAN'!Y64</f>
        <v>603750</v>
      </c>
      <c r="O64" s="174">
        <f>'[6]price list MAN'!AA64</f>
        <v>575000</v>
      </c>
      <c r="P64" s="68">
        <f t="shared" si="1"/>
        <v>0.19014084507042253</v>
      </c>
      <c r="Q64" s="62" t="e">
        <f>O64-#REF!</f>
        <v>#REF!</v>
      </c>
      <c r="W64" s="210"/>
      <c r="X64" s="210"/>
      <c r="Y64" s="210"/>
      <c r="Z64" s="210"/>
      <c r="AA64" s="210"/>
      <c r="AB64" s="210"/>
      <c r="AC64" s="210"/>
      <c r="AT64" s="425" t="str">
        <f t="shared" si="2"/>
        <v>KP0005892017Q214,7</v>
      </c>
      <c r="AU64" s="64" t="str">
        <f t="shared" si="3"/>
        <v>06-2017</v>
      </c>
      <c r="AW64" s="431"/>
      <c r="AX64" s="431"/>
      <c r="AY64" s="431"/>
      <c r="BA64" s="428" t="str">
        <f t="shared" si="4"/>
        <v>121-365 Days</v>
      </c>
    </row>
    <row r="65" spans="1:245" s="40" customFormat="1">
      <c r="A65" s="41"/>
      <c r="B65" s="36" t="str">
        <f>'[6]price list MAN'!B65</f>
        <v>MA6-5168</v>
      </c>
      <c r="C65" s="10" t="str">
        <f>'[6]price list MAN'!C65</f>
        <v>CLA-15-2204X2BB-C</v>
      </c>
      <c r="D65" s="16" t="str">
        <f>IFERROR(VLOOKUP(C65&amp;"",'[7]Retail Price List'!$A$3:$B$103,2,FALSE),"Special Order")</f>
        <v>KP000589</v>
      </c>
      <c r="E65" s="494" t="str">
        <f>'[6]price list MAN'!E65</f>
        <v>BODY</v>
      </c>
      <c r="F65" s="11">
        <f>'[6]price list MAN'!F65</f>
        <v>146</v>
      </c>
      <c r="G65" s="32">
        <f>'[6]price list MAN'!G65</f>
        <v>14.7</v>
      </c>
      <c r="H65" s="26">
        <f>'[6]price list MAN'!H65</f>
        <v>42900</v>
      </c>
      <c r="I65" s="51" t="str">
        <f t="shared" si="0"/>
        <v>2017Q2</v>
      </c>
      <c r="J65" s="177">
        <f>'[6]price list MAN'!J65</f>
        <v>1035587.48</v>
      </c>
      <c r="K65" s="177">
        <f>'[6]price list MAN'!P65</f>
        <v>737710.05</v>
      </c>
      <c r="L65" s="177">
        <f>'[6]price list MAN'!R65</f>
        <v>702581</v>
      </c>
      <c r="M65" s="174">
        <f>'[6]price list MAN'!S65</f>
        <v>1050587.48</v>
      </c>
      <c r="N65" s="174">
        <f>'[6]price list MAN'!Y65</f>
        <v>753460.05</v>
      </c>
      <c r="O65" s="174">
        <f>'[6]price list MAN'!AA65</f>
        <v>717581</v>
      </c>
      <c r="P65" s="68">
        <f t="shared" si="1"/>
        <v>0.31697168140629278</v>
      </c>
      <c r="Q65" s="62" t="e">
        <f>O65-#REF!</f>
        <v>#REF!</v>
      </c>
      <c r="R65" s="63"/>
      <c r="S65" s="64"/>
      <c r="T65" s="64"/>
      <c r="U65" s="64"/>
      <c r="V65" s="64"/>
      <c r="W65" s="210"/>
      <c r="X65" s="210"/>
      <c r="Y65" s="210"/>
      <c r="Z65" s="210"/>
      <c r="AA65" s="210"/>
      <c r="AB65" s="210"/>
      <c r="AC65" s="210"/>
      <c r="AD65" s="54"/>
      <c r="AE65" s="54"/>
      <c r="AF65" s="54"/>
      <c r="AG65" s="5"/>
      <c r="AH65" s="5"/>
      <c r="AI65" s="5"/>
      <c r="AJ65" s="5"/>
      <c r="AK65" s="5"/>
      <c r="AL65" s="5"/>
      <c r="AM65" s="5"/>
      <c r="AT65" s="425" t="str">
        <f t="shared" si="2"/>
        <v>KP0005892017Q214,7</v>
      </c>
      <c r="AU65" s="64" t="str">
        <f t="shared" si="3"/>
        <v>06-2017</v>
      </c>
      <c r="AV65" s="431"/>
      <c r="AW65" s="64"/>
      <c r="AX65" s="64"/>
      <c r="AY65" s="64"/>
      <c r="AZ65" s="431"/>
      <c r="BA65" s="428" t="str">
        <f t="shared" si="4"/>
        <v>121-365 Days</v>
      </c>
      <c r="BB65" s="169"/>
      <c r="BC65" s="169"/>
      <c r="BD65" s="169"/>
      <c r="BE65" s="41"/>
      <c r="BF65" s="41"/>
      <c r="BG65" s="41"/>
      <c r="BH65" s="41"/>
      <c r="BI65" s="41"/>
      <c r="BJ65" s="41"/>
      <c r="BK65" s="41"/>
      <c r="BL65" s="41"/>
      <c r="BM65" s="41"/>
      <c r="BN65" s="41"/>
      <c r="BO65" s="41"/>
      <c r="BP65" s="41"/>
      <c r="BQ65" s="41"/>
      <c r="BR65" s="41"/>
      <c r="BS65" s="41"/>
      <c r="BT65" s="41"/>
      <c r="BU65" s="41"/>
      <c r="BV65" s="41"/>
      <c r="BW65" s="41"/>
      <c r="BX65" s="41"/>
      <c r="BY65" s="41"/>
      <c r="BZ65" s="41"/>
      <c r="CA65" s="41"/>
      <c r="CB65" s="41"/>
      <c r="CC65" s="41"/>
      <c r="CD65" s="41"/>
      <c r="CE65" s="41"/>
      <c r="CF65" s="41"/>
      <c r="CG65" s="41"/>
      <c r="CH65" s="41"/>
      <c r="CI65" s="41"/>
      <c r="CJ65" s="41"/>
      <c r="CK65" s="41"/>
      <c r="CL65" s="41"/>
      <c r="CM65" s="41"/>
      <c r="CN65" s="41"/>
      <c r="CO65" s="41"/>
      <c r="CP65" s="41"/>
      <c r="CQ65" s="41"/>
      <c r="CR65" s="41"/>
      <c r="CS65" s="41"/>
      <c r="CT65" s="41"/>
      <c r="CU65" s="41"/>
      <c r="CV65" s="41"/>
      <c r="CW65" s="41"/>
      <c r="CX65" s="41"/>
      <c r="CY65" s="41"/>
      <c r="CZ65" s="41"/>
      <c r="DA65" s="41"/>
      <c r="DB65" s="41"/>
      <c r="DC65" s="41"/>
      <c r="DD65" s="41"/>
      <c r="DE65" s="41"/>
      <c r="DF65" s="41"/>
      <c r="DG65" s="41"/>
      <c r="DH65" s="41"/>
      <c r="DI65" s="41"/>
      <c r="DJ65" s="41"/>
      <c r="DK65" s="41"/>
      <c r="DL65" s="41"/>
      <c r="DM65" s="41"/>
      <c r="DN65" s="41"/>
      <c r="DO65" s="41"/>
      <c r="DP65" s="41"/>
      <c r="DQ65" s="41"/>
      <c r="DR65" s="41"/>
      <c r="DS65" s="41"/>
      <c r="DT65" s="41"/>
      <c r="DU65" s="41"/>
      <c r="DV65" s="41"/>
      <c r="DW65" s="41"/>
      <c r="DX65" s="41"/>
      <c r="DY65" s="41"/>
      <c r="DZ65" s="41"/>
      <c r="EA65" s="41"/>
      <c r="EB65" s="41"/>
      <c r="EC65" s="41"/>
      <c r="ED65" s="41"/>
      <c r="EE65" s="41"/>
      <c r="EF65" s="41"/>
      <c r="EG65" s="41"/>
      <c r="EH65" s="41"/>
      <c r="EI65" s="41"/>
      <c r="EJ65" s="41"/>
      <c r="EK65" s="41"/>
      <c r="EL65" s="41"/>
      <c r="EM65" s="41"/>
      <c r="EN65" s="41"/>
      <c r="EO65" s="41"/>
      <c r="EP65" s="41"/>
      <c r="EQ65" s="41"/>
      <c r="ER65" s="41"/>
      <c r="ES65" s="41"/>
      <c r="ET65" s="41"/>
      <c r="EU65" s="41"/>
      <c r="EV65" s="41"/>
      <c r="EW65" s="41"/>
      <c r="EX65" s="41"/>
      <c r="EY65" s="41"/>
      <c r="EZ65" s="41"/>
      <c r="FA65" s="41"/>
      <c r="FB65" s="41"/>
      <c r="FC65" s="41"/>
      <c r="FD65" s="41"/>
      <c r="FE65" s="41"/>
      <c r="FF65" s="41"/>
      <c r="FG65" s="41"/>
      <c r="FH65" s="41"/>
      <c r="FI65" s="41"/>
      <c r="FJ65" s="41"/>
      <c r="FK65" s="41"/>
      <c r="FL65" s="41"/>
      <c r="FM65" s="41"/>
      <c r="FN65" s="41"/>
      <c r="FO65" s="41"/>
      <c r="FP65" s="41"/>
      <c r="FQ65" s="41"/>
      <c r="FR65" s="41"/>
      <c r="FS65" s="41"/>
      <c r="FT65" s="41"/>
      <c r="FU65" s="41"/>
      <c r="FV65" s="41"/>
      <c r="FW65" s="41"/>
      <c r="FX65" s="41"/>
      <c r="FY65" s="41"/>
      <c r="FZ65" s="41"/>
      <c r="GA65" s="41"/>
      <c r="GB65" s="41"/>
      <c r="GC65" s="41"/>
      <c r="GD65" s="41"/>
      <c r="GE65" s="41"/>
      <c r="GF65" s="41"/>
      <c r="GG65" s="41"/>
      <c r="GH65" s="41"/>
      <c r="GI65" s="41"/>
      <c r="GJ65" s="41"/>
      <c r="GK65" s="41"/>
      <c r="GL65" s="41"/>
      <c r="GM65" s="41"/>
      <c r="GN65" s="41"/>
      <c r="GO65" s="41"/>
      <c r="GP65" s="41"/>
      <c r="GQ65" s="41"/>
      <c r="GR65" s="41"/>
      <c r="GS65" s="41"/>
      <c r="GT65" s="41"/>
      <c r="GU65" s="41"/>
      <c r="GV65" s="41"/>
      <c r="GW65" s="41"/>
      <c r="GX65" s="41"/>
      <c r="GY65" s="41"/>
      <c r="GZ65" s="41"/>
      <c r="HA65" s="41"/>
      <c r="HB65" s="41"/>
      <c r="HC65" s="41"/>
      <c r="HD65" s="41"/>
      <c r="HE65" s="41"/>
      <c r="HF65" s="41"/>
      <c r="HG65" s="41"/>
      <c r="HH65" s="41"/>
      <c r="HI65" s="41"/>
      <c r="HJ65" s="41"/>
      <c r="HK65" s="41"/>
      <c r="HL65" s="41"/>
      <c r="HM65" s="41"/>
      <c r="HN65" s="41"/>
      <c r="HO65" s="41"/>
      <c r="HP65" s="41"/>
      <c r="HQ65" s="41"/>
      <c r="HR65" s="41"/>
      <c r="HS65" s="41"/>
      <c r="HT65" s="41"/>
      <c r="HU65" s="41"/>
      <c r="HV65" s="41"/>
      <c r="HW65" s="41"/>
      <c r="HX65" s="41"/>
      <c r="HY65" s="41"/>
      <c r="HZ65" s="41"/>
      <c r="IA65" s="41"/>
      <c r="IB65" s="41"/>
      <c r="IC65" s="41"/>
      <c r="ID65" s="41"/>
      <c r="IE65" s="41"/>
      <c r="IF65" s="41"/>
      <c r="IG65" s="41"/>
      <c r="IH65" s="41"/>
      <c r="II65" s="41"/>
      <c r="IJ65" s="41"/>
      <c r="IK65" s="41"/>
    </row>
    <row r="66" spans="1:245">
      <c r="B66" s="36" t="str">
        <f>'[6]price list MAN'!B66</f>
        <v>MA6-5169</v>
      </c>
      <c r="C66" s="10" t="str">
        <f>'[6]price list MAN'!C66</f>
        <v>CLA-15-2204X2BB-C</v>
      </c>
      <c r="D66" s="16" t="str">
        <f>IFERROR(VLOOKUP(C66&amp;"",'[7]Retail Price List'!$A$3:$B$103,2,FALSE),"Special Order")</f>
        <v>KP000589</v>
      </c>
      <c r="E66" s="494" t="str">
        <f>'[6]price list MAN'!E66</f>
        <v>BODY</v>
      </c>
      <c r="F66" s="11">
        <f>'[6]price list MAN'!F66</f>
        <v>137</v>
      </c>
      <c r="G66" s="32">
        <f>'[6]price list MAN'!G66</f>
        <v>14.7</v>
      </c>
      <c r="H66" s="26">
        <f>'[6]price list MAN'!H66</f>
        <v>42900</v>
      </c>
      <c r="I66" s="51" t="str">
        <f t="shared" si="0"/>
        <v>2017Q2</v>
      </c>
      <c r="J66" s="177">
        <f>'[6]price list MAN'!J66</f>
        <v>1035587.48</v>
      </c>
      <c r="K66" s="177">
        <f>'[6]price list MAN'!P66</f>
        <v>737710.05</v>
      </c>
      <c r="L66" s="177">
        <f>'[6]price list MAN'!R66</f>
        <v>702581</v>
      </c>
      <c r="M66" s="174">
        <f>'[6]price list MAN'!S66</f>
        <v>1050587.48</v>
      </c>
      <c r="N66" s="174">
        <f>'[6]price list MAN'!Y66</f>
        <v>753460.05</v>
      </c>
      <c r="O66" s="174">
        <f>'[6]price list MAN'!AA66</f>
        <v>717581</v>
      </c>
      <c r="P66" s="68">
        <f t="shared" si="1"/>
        <v>0.31697168140629278</v>
      </c>
      <c r="Q66" s="62" t="e">
        <f>O66-#REF!</f>
        <v>#REF!</v>
      </c>
      <c r="W66" s="210"/>
      <c r="X66" s="210"/>
      <c r="Y66" s="210"/>
      <c r="Z66" s="210"/>
      <c r="AA66" s="210"/>
      <c r="AB66" s="210"/>
      <c r="AC66" s="210"/>
      <c r="AT66" s="425" t="str">
        <f t="shared" si="2"/>
        <v>KP0005892017Q214,7</v>
      </c>
      <c r="AU66" s="64" t="str">
        <f t="shared" si="3"/>
        <v>06-2017</v>
      </c>
      <c r="BA66" s="428" t="str">
        <f t="shared" si="4"/>
        <v>121-365 Days</v>
      </c>
    </row>
    <row r="67" spans="1:245">
      <c r="B67" s="36" t="str">
        <f>'[6]price list MAN'!B67</f>
        <v>MA6-5170</v>
      </c>
      <c r="C67" s="10" t="str">
        <f>'[6]price list MAN'!C67</f>
        <v>CLA-15-2204X2BB-C</v>
      </c>
      <c r="D67" s="16" t="str">
        <f>IFERROR(VLOOKUP(C67&amp;"",'[7]Retail Price List'!$A$3:$B$103,2,FALSE),"Special Order")</f>
        <v>KP000589</v>
      </c>
      <c r="E67" s="494" t="str">
        <f>'[6]price list MAN'!E67</f>
        <v>BODY</v>
      </c>
      <c r="F67" s="11">
        <f>'[6]price list MAN'!F67</f>
        <v>137</v>
      </c>
      <c r="G67" s="32">
        <f>'[6]price list MAN'!G67</f>
        <v>14.7</v>
      </c>
      <c r="H67" s="26">
        <f>'[6]price list MAN'!H67</f>
        <v>42900</v>
      </c>
      <c r="I67" s="51" t="str">
        <f t="shared" si="0"/>
        <v>2017Q2</v>
      </c>
      <c r="J67" s="177">
        <f>'[6]price list MAN'!J67</f>
        <v>1035587.48</v>
      </c>
      <c r="K67" s="177">
        <f>'[6]price list MAN'!P67</f>
        <v>737710.05</v>
      </c>
      <c r="L67" s="177">
        <f>'[6]price list MAN'!R67</f>
        <v>702581</v>
      </c>
      <c r="M67" s="174">
        <f>'[6]price list MAN'!S67</f>
        <v>1050587.48</v>
      </c>
      <c r="N67" s="174">
        <f>'[6]price list MAN'!Y67</f>
        <v>753460.05</v>
      </c>
      <c r="O67" s="174">
        <f>'[6]price list MAN'!AA67</f>
        <v>717581</v>
      </c>
      <c r="P67" s="68">
        <f t="shared" si="1"/>
        <v>0.31697168140629278</v>
      </c>
      <c r="Q67" s="62" t="e">
        <f>O67-#REF!</f>
        <v>#REF!</v>
      </c>
      <c r="W67" s="210"/>
      <c r="X67" s="210"/>
      <c r="Y67" s="210"/>
      <c r="Z67" s="210"/>
      <c r="AA67" s="210"/>
      <c r="AB67" s="210"/>
      <c r="AC67" s="210"/>
      <c r="AT67" s="425" t="str">
        <f t="shared" si="2"/>
        <v>KP0005892017Q214,7</v>
      </c>
      <c r="AU67" s="64" t="str">
        <f t="shared" si="3"/>
        <v>06-2017</v>
      </c>
      <c r="BA67" s="428" t="str">
        <f t="shared" si="4"/>
        <v>121-365 Days</v>
      </c>
    </row>
    <row r="68" spans="1:245">
      <c r="B68" s="36" t="str">
        <f>'[6]price list MAN'!B68</f>
        <v>MA6-5173</v>
      </c>
      <c r="C68" s="10" t="str">
        <f>'[6]price list MAN'!C68</f>
        <v>CLA-15-2204X2BB-C</v>
      </c>
      <c r="D68" s="16" t="str">
        <f>IFERROR(VLOOKUP(C68&amp;"",'[7]Retail Price List'!$A$3:$B$103,2,FALSE),"Special Order")</f>
        <v>KP000589</v>
      </c>
      <c r="E68" s="494" t="str">
        <f>'[6]price list MAN'!E68</f>
        <v>BODY</v>
      </c>
      <c r="F68" s="11">
        <f>'[6]price list MAN'!F68</f>
        <v>116</v>
      </c>
      <c r="G68" s="32">
        <f>'[6]price list MAN'!G68</f>
        <v>14.7</v>
      </c>
      <c r="H68" s="26">
        <f>'[6]price list MAN'!H68</f>
        <v>42900</v>
      </c>
      <c r="I68" s="51" t="str">
        <f t="shared" si="0"/>
        <v>2017Q2</v>
      </c>
      <c r="J68" s="177">
        <f>'[6]price list MAN'!J68</f>
        <v>1205891.6000000001</v>
      </c>
      <c r="K68" s="177">
        <f>'[6]price list MAN'!P68</f>
        <v>903283.5</v>
      </c>
      <c r="L68" s="177">
        <f>'[6]price list MAN'!R68</f>
        <v>860270</v>
      </c>
      <c r="M68" s="174">
        <f>'[6]price list MAN'!S68</f>
        <v>1220891.6000000001</v>
      </c>
      <c r="N68" s="174">
        <f>'[6]price list MAN'!Y68</f>
        <v>919033.5</v>
      </c>
      <c r="O68" s="174">
        <f>'[6]price list MAN'!AA68</f>
        <v>875270</v>
      </c>
      <c r="P68" s="68">
        <f t="shared" si="1"/>
        <v>0.28308950606261857</v>
      </c>
      <c r="Q68" s="62" t="e">
        <f>O68-#REF!</f>
        <v>#REF!</v>
      </c>
      <c r="W68" s="210"/>
      <c r="X68" s="210"/>
      <c r="Y68" s="210"/>
      <c r="Z68" s="210"/>
      <c r="AA68" s="210"/>
      <c r="AB68" s="210"/>
      <c r="AC68" s="210"/>
      <c r="AT68" s="425" t="str">
        <f t="shared" si="2"/>
        <v>KP0005892017Q214,7</v>
      </c>
      <c r="AU68" s="64" t="str">
        <f t="shared" si="3"/>
        <v>06-2017</v>
      </c>
      <c r="BA68" s="428" t="str">
        <f t="shared" si="4"/>
        <v>31-120 Days</v>
      </c>
    </row>
    <row r="69" spans="1:245">
      <c r="B69" s="36" t="str">
        <f>'[6]price list MAN'!B69</f>
        <v>MA6-5351</v>
      </c>
      <c r="C69" s="10" t="str">
        <f>'[6]price list MAN'!C69</f>
        <v>CLA-15-2204X2BB-C</v>
      </c>
      <c r="D69" s="16" t="str">
        <f>IFERROR(VLOOKUP(C69&amp;"",'[7]Retail Price List'!$A$3:$B$103,2,FALSE),"Special Order")</f>
        <v>KP000589</v>
      </c>
      <c r="E69" s="494" t="str">
        <f>'[6]price list MAN'!E69</f>
        <v>CKD</v>
      </c>
      <c r="F69" s="11" t="str">
        <f>'[6]price list MAN'!F69</f>
        <v>2018-02-19</v>
      </c>
      <c r="G69" s="32">
        <f>'[6]price list MAN'!G69</f>
        <v>15.3</v>
      </c>
      <c r="H69" s="26">
        <f>'[6]price list MAN'!H69</f>
        <v>42978</v>
      </c>
      <c r="I69" s="51" t="str">
        <f t="shared" ref="I69:I132" si="5">IFERROR(VLOOKUP(AU69,$AW$5:$AY$40,3,FALSE),"")</f>
        <v>2017Q3</v>
      </c>
      <c r="J69" s="177">
        <f>'[6]price list MAN'!J69</f>
        <v>1002169.8740000001</v>
      </c>
      <c r="K69" s="177">
        <f>'[6]price list MAN'!P69</f>
        <v>865637.37750000006</v>
      </c>
      <c r="L69" s="177">
        <f>'[6]price list MAN'!R69</f>
        <v>824416.55</v>
      </c>
      <c r="M69" s="174">
        <f>'[6]price list MAN'!S69</f>
        <v>1017169.8740000001</v>
      </c>
      <c r="N69" s="174">
        <f>'[6]price list MAN'!Y69</f>
        <v>881387.37750000006</v>
      </c>
      <c r="O69" s="174">
        <f>'[6]price list MAN'!AA69</f>
        <v>839416.55</v>
      </c>
      <c r="P69" s="68">
        <f t="shared" ref="P69:P132" si="6">(M69-O69)/M69</f>
        <v>0.17475283976017561</v>
      </c>
      <c r="Q69" s="62" t="e">
        <f>O69-#REF!</f>
        <v>#REF!</v>
      </c>
      <c r="W69" s="210"/>
      <c r="X69" s="210"/>
      <c r="Y69" s="210"/>
      <c r="Z69" s="210"/>
      <c r="AA69" s="210"/>
      <c r="AB69" s="210"/>
      <c r="AC69" s="210"/>
      <c r="AT69" s="425" t="str">
        <f t="shared" ref="AT69:AT132" si="7">D69&amp;I69&amp;G69</f>
        <v>KP0005892017Q315,3</v>
      </c>
      <c r="AU69" s="64" t="str">
        <f t="shared" ref="AU69:AU132" si="8">IF(MONTH(H69)&lt;10,0&amp;MONTH(H69)&amp;"-"&amp;YEAR(H69),MONTH(H69)&amp;"-"&amp;YEAR(H69))</f>
        <v>08-2017</v>
      </c>
      <c r="BA69" s="428" t="str">
        <f t="shared" ref="BA69:BA132" si="9">IF(B69=0,"",IF(AND(F69&gt;=31,F69&lt;=120),"31-120 Days",IF(AND(F69&gt;=121,F69&lt;=365),"121-365 Days",IF(OR(E69="CKD",F69&lt;=30),"WIP - 30 Days","&gt;365 Days"))))</f>
        <v>WIP - 30 Days</v>
      </c>
    </row>
    <row r="70" spans="1:245">
      <c r="B70" s="36" t="str">
        <f>'[6]price list MAN'!B70</f>
        <v>MA6-5352</v>
      </c>
      <c r="C70" s="10" t="str">
        <f>'[6]price list MAN'!C70</f>
        <v>CLA-15-2204X2BB-C</v>
      </c>
      <c r="D70" s="16" t="str">
        <f>IFERROR(VLOOKUP(C70&amp;"",'[7]Retail Price List'!$A$3:$B$103,2,FALSE),"Special Order")</f>
        <v>KP000589</v>
      </c>
      <c r="E70" s="494" t="str">
        <f>'[6]price list MAN'!E70</f>
        <v>BODY</v>
      </c>
      <c r="F70" s="11">
        <f>'[6]price list MAN'!F70</f>
        <v>4</v>
      </c>
      <c r="G70" s="32">
        <f>'[6]price list MAN'!G70</f>
        <v>15.3</v>
      </c>
      <c r="H70" s="26">
        <f>'[6]price list MAN'!H70</f>
        <v>42978</v>
      </c>
      <c r="I70" s="51" t="str">
        <f t="shared" si="5"/>
        <v>2017Q3</v>
      </c>
      <c r="J70" s="177">
        <f>'[6]price list MAN'!J70</f>
        <v>1002169.8740000001</v>
      </c>
      <c r="K70" s="177">
        <f>'[6]price list MAN'!P70</f>
        <v>865637.37750000006</v>
      </c>
      <c r="L70" s="177">
        <f>'[6]price list MAN'!R70</f>
        <v>824416.55</v>
      </c>
      <c r="M70" s="174">
        <f>'[6]price list MAN'!S70</f>
        <v>1017169.8740000001</v>
      </c>
      <c r="N70" s="174">
        <f>'[6]price list MAN'!Y70</f>
        <v>881387.37750000006</v>
      </c>
      <c r="O70" s="174">
        <f>'[6]price list MAN'!AA70</f>
        <v>839416.55</v>
      </c>
      <c r="P70" s="68">
        <f t="shared" si="6"/>
        <v>0.17475283976017561</v>
      </c>
      <c r="Q70" s="62" t="e">
        <f>O70-#REF!</f>
        <v>#REF!</v>
      </c>
      <c r="W70" s="210"/>
      <c r="X70" s="210"/>
      <c r="Y70" s="210"/>
      <c r="Z70" s="210"/>
      <c r="AA70" s="210"/>
      <c r="AB70" s="210"/>
      <c r="AC70" s="210"/>
      <c r="AT70" s="425" t="str">
        <f t="shared" si="7"/>
        <v>KP0005892017Q315,3</v>
      </c>
      <c r="AU70" s="64" t="str">
        <f t="shared" si="8"/>
        <v>08-2017</v>
      </c>
      <c r="BA70" s="428" t="str">
        <f t="shared" si="9"/>
        <v>WIP - 30 Days</v>
      </c>
    </row>
    <row r="71" spans="1:245">
      <c r="B71" s="36" t="str">
        <f>'[6]price list MAN'!B71</f>
        <v>MA6-5353</v>
      </c>
      <c r="C71" s="10" t="str">
        <f>'[6]price list MAN'!C71</f>
        <v>CLA-15-2204X2BB-C</v>
      </c>
      <c r="D71" s="16" t="str">
        <f>IFERROR(VLOOKUP(C71&amp;"",'[7]Retail Price List'!$A$3:$B$103,2,FALSE),"Special Order")</f>
        <v>KP000589</v>
      </c>
      <c r="E71" s="494" t="str">
        <f>'[6]price list MAN'!E71</f>
        <v>CKD</v>
      </c>
      <c r="F71" s="11" t="str">
        <f>'[6]price list MAN'!F71</f>
        <v>2018-02-19</v>
      </c>
      <c r="G71" s="32">
        <f>'[6]price list MAN'!G71</f>
        <v>15.3</v>
      </c>
      <c r="H71" s="26">
        <f>'[6]price list MAN'!H71</f>
        <v>42978</v>
      </c>
      <c r="I71" s="51" t="str">
        <f t="shared" si="5"/>
        <v>2017Q3</v>
      </c>
      <c r="J71" s="177">
        <f>'[6]price list MAN'!J71</f>
        <v>1002169.8740000001</v>
      </c>
      <c r="K71" s="177">
        <f>'[6]price list MAN'!P71</f>
        <v>865637.37750000006</v>
      </c>
      <c r="L71" s="177">
        <f>'[6]price list MAN'!R71</f>
        <v>824416.55</v>
      </c>
      <c r="M71" s="174">
        <f>'[6]price list MAN'!S71</f>
        <v>1017169.8740000001</v>
      </c>
      <c r="N71" s="174">
        <f>'[6]price list MAN'!Y71</f>
        <v>881387.37750000006</v>
      </c>
      <c r="O71" s="174">
        <f>'[6]price list MAN'!AA71</f>
        <v>839416.55</v>
      </c>
      <c r="P71" s="68">
        <f t="shared" si="6"/>
        <v>0.17475283976017561</v>
      </c>
      <c r="Q71" s="62" t="e">
        <f>O71-#REF!</f>
        <v>#REF!</v>
      </c>
      <c r="W71" s="210"/>
      <c r="X71" s="210"/>
      <c r="Y71" s="210"/>
      <c r="Z71" s="210"/>
      <c r="AA71" s="210"/>
      <c r="AB71" s="210"/>
      <c r="AC71" s="210"/>
      <c r="AT71" s="425" t="str">
        <f t="shared" si="7"/>
        <v>KP0005892017Q315,3</v>
      </c>
      <c r="AU71" s="64" t="str">
        <f t="shared" si="8"/>
        <v>08-2017</v>
      </c>
      <c r="BA71" s="428" t="str">
        <f t="shared" si="9"/>
        <v>WIP - 30 Days</v>
      </c>
    </row>
    <row r="72" spans="1:245">
      <c r="B72" s="36" t="str">
        <f>'[6]price list MAN'!B72</f>
        <v>MA6-5354</v>
      </c>
      <c r="C72" s="10" t="str">
        <f>'[6]price list MAN'!C72</f>
        <v>CLA-15-2204X2BB-C</v>
      </c>
      <c r="D72" s="16" t="str">
        <f>IFERROR(VLOOKUP(C72&amp;"",'[7]Retail Price List'!$A$3:$B$103,2,FALSE),"Special Order")</f>
        <v>KP000589</v>
      </c>
      <c r="E72" s="494" t="str">
        <f>'[6]price list MAN'!E72</f>
        <v>CKD</v>
      </c>
      <c r="F72" s="11" t="str">
        <f>'[6]price list MAN'!F72</f>
        <v>2018-02-20</v>
      </c>
      <c r="G72" s="32">
        <f>'[6]price list MAN'!G72</f>
        <v>15.3</v>
      </c>
      <c r="H72" s="26">
        <f>'[6]price list MAN'!H72</f>
        <v>42978</v>
      </c>
      <c r="I72" s="51" t="str">
        <f t="shared" si="5"/>
        <v>2017Q3</v>
      </c>
      <c r="J72" s="177">
        <f>'[6]price list MAN'!J72</f>
        <v>1002169.8740000001</v>
      </c>
      <c r="K72" s="177">
        <f>'[6]price list MAN'!P72</f>
        <v>865637.37750000006</v>
      </c>
      <c r="L72" s="177">
        <f>'[6]price list MAN'!R72</f>
        <v>824416.55</v>
      </c>
      <c r="M72" s="174">
        <f>'[6]price list MAN'!S72</f>
        <v>1017169.8740000001</v>
      </c>
      <c r="N72" s="174">
        <f>'[6]price list MAN'!Y72</f>
        <v>881387.37750000006</v>
      </c>
      <c r="O72" s="174">
        <f>'[6]price list MAN'!AA72</f>
        <v>839416.55</v>
      </c>
      <c r="P72" s="68">
        <f t="shared" si="6"/>
        <v>0.17475283976017561</v>
      </c>
      <c r="Q72" s="62" t="e">
        <f>O72-#REF!</f>
        <v>#REF!</v>
      </c>
      <c r="W72" s="210"/>
      <c r="X72" s="210"/>
      <c r="Y72" s="210"/>
      <c r="Z72" s="210"/>
      <c r="AA72" s="210"/>
      <c r="AB72" s="210"/>
      <c r="AC72" s="210"/>
      <c r="AT72" s="425" t="str">
        <f t="shared" si="7"/>
        <v>KP0005892017Q315,3</v>
      </c>
      <c r="AU72" s="64" t="str">
        <f t="shared" si="8"/>
        <v>08-2017</v>
      </c>
      <c r="BA72" s="428" t="str">
        <f t="shared" si="9"/>
        <v>WIP - 30 Days</v>
      </c>
    </row>
    <row r="73" spans="1:245">
      <c r="B73" s="36" t="str">
        <f>'[6]price list MAN'!B73</f>
        <v>MA6-5355</v>
      </c>
      <c r="C73" s="10" t="str">
        <f>'[6]price list MAN'!C73</f>
        <v>CLA-15-2204X2BB-C</v>
      </c>
      <c r="D73" s="16" t="str">
        <f>IFERROR(VLOOKUP(C73&amp;"",'[7]Retail Price List'!$A$3:$B$103,2,FALSE),"Special Order")</f>
        <v>KP000589</v>
      </c>
      <c r="E73" s="494" t="str">
        <f>'[6]price list MAN'!E73</f>
        <v>SOLD</v>
      </c>
      <c r="F73" s="11">
        <f>'[6]price list MAN'!F73</f>
        <v>4</v>
      </c>
      <c r="G73" s="32">
        <f>'[6]price list MAN'!G73</f>
        <v>15.3</v>
      </c>
      <c r="H73" s="26">
        <f>'[6]price list MAN'!H73</f>
        <v>42978</v>
      </c>
      <c r="I73" s="51" t="str">
        <f t="shared" si="5"/>
        <v>2017Q3</v>
      </c>
      <c r="J73" s="177">
        <f>'[6]price list MAN'!J73</f>
        <v>1002169.8740000001</v>
      </c>
      <c r="K73" s="177">
        <f>'[6]price list MAN'!P73</f>
        <v>865637.37750000006</v>
      </c>
      <c r="L73" s="177">
        <f>'[6]price list MAN'!R73</f>
        <v>824416.55</v>
      </c>
      <c r="M73" s="174">
        <f>'[6]price list MAN'!S73</f>
        <v>1017169.8740000001</v>
      </c>
      <c r="N73" s="174">
        <f>'[6]price list MAN'!Y73</f>
        <v>881387.37750000006</v>
      </c>
      <c r="O73" s="174">
        <f>'[6]price list MAN'!AA73</f>
        <v>839416.55</v>
      </c>
      <c r="P73" s="68">
        <f t="shared" si="6"/>
        <v>0.17475283976017561</v>
      </c>
      <c r="Q73" s="62" t="e">
        <f>O73-#REF!</f>
        <v>#REF!</v>
      </c>
      <c r="W73" s="210"/>
      <c r="X73" s="210"/>
      <c r="Y73" s="210"/>
      <c r="Z73" s="210"/>
      <c r="AA73" s="210"/>
      <c r="AB73" s="210"/>
      <c r="AC73" s="210"/>
      <c r="AT73" s="425" t="str">
        <f t="shared" si="7"/>
        <v>KP0005892017Q315,3</v>
      </c>
      <c r="AU73" s="64" t="str">
        <f t="shared" si="8"/>
        <v>08-2017</v>
      </c>
      <c r="BA73" s="428" t="str">
        <f t="shared" si="9"/>
        <v>WIP - 30 Days</v>
      </c>
    </row>
    <row r="74" spans="1:245">
      <c r="B74" s="36" t="str">
        <f>'[6]price list MAN'!B74</f>
        <v>MA6-5356</v>
      </c>
      <c r="C74" s="10" t="str">
        <f>'[6]price list MAN'!C74</f>
        <v>CLA-15-2204X2BB-C</v>
      </c>
      <c r="D74" s="16" t="str">
        <f>IFERROR(VLOOKUP(C74&amp;"",'[7]Retail Price List'!$A$3:$B$103,2,FALSE),"Special Order")</f>
        <v>KP000589</v>
      </c>
      <c r="E74" s="494" t="str">
        <f>'[6]price list MAN'!E74</f>
        <v>BODY</v>
      </c>
      <c r="F74" s="11">
        <f>'[6]price list MAN'!F74</f>
        <v>4</v>
      </c>
      <c r="G74" s="32">
        <f>'[6]price list MAN'!G74</f>
        <v>15.3</v>
      </c>
      <c r="H74" s="26">
        <f>'[6]price list MAN'!H74</f>
        <v>42978</v>
      </c>
      <c r="I74" s="51" t="str">
        <f t="shared" si="5"/>
        <v>2017Q3</v>
      </c>
      <c r="J74" s="177">
        <f>'[6]price list MAN'!J74</f>
        <v>773994.44</v>
      </c>
      <c r="K74" s="177">
        <f>'[6]price list MAN'!P74</f>
        <v>643800.15</v>
      </c>
      <c r="L74" s="177">
        <f>'[6]price list MAN'!R74</f>
        <v>613143</v>
      </c>
      <c r="M74" s="174">
        <f>'[6]price list MAN'!S74</f>
        <v>788994.44</v>
      </c>
      <c r="N74" s="174">
        <f>'[6]price list MAN'!Y74</f>
        <v>659550.15</v>
      </c>
      <c r="O74" s="174">
        <f>'[6]price list MAN'!AA74</f>
        <v>628143</v>
      </c>
      <c r="P74" s="68">
        <f t="shared" si="6"/>
        <v>0.20386891446281921</v>
      </c>
      <c r="Q74" s="62" t="e">
        <f>O74-#REF!</f>
        <v>#REF!</v>
      </c>
      <c r="W74" s="210"/>
      <c r="X74" s="210"/>
      <c r="Y74" s="210"/>
      <c r="Z74" s="210"/>
      <c r="AA74" s="210"/>
      <c r="AB74" s="210"/>
      <c r="AC74" s="210"/>
      <c r="AT74" s="425" t="str">
        <f t="shared" si="7"/>
        <v>KP0005892017Q315,3</v>
      </c>
      <c r="AU74" s="64" t="str">
        <f t="shared" si="8"/>
        <v>08-2017</v>
      </c>
      <c r="BA74" s="428" t="str">
        <f t="shared" si="9"/>
        <v>WIP - 30 Days</v>
      </c>
    </row>
    <row r="75" spans="1:245">
      <c r="B75" s="36" t="str">
        <f>'[6]price list MAN'!B75</f>
        <v>MA6-5357</v>
      </c>
      <c r="C75" s="10" t="str">
        <f>'[6]price list MAN'!C75</f>
        <v>CLA-15-2204X2BB-C</v>
      </c>
      <c r="D75" s="16" t="str">
        <f>IFERROR(VLOOKUP(C75&amp;"",'[7]Retail Price List'!$A$3:$B$103,2,FALSE),"Special Order")</f>
        <v>KP000589</v>
      </c>
      <c r="E75" s="494" t="str">
        <f>'[6]price list MAN'!E75</f>
        <v>SOLD</v>
      </c>
      <c r="F75" s="11">
        <f>'[6]price list MAN'!F75</f>
        <v>8</v>
      </c>
      <c r="G75" s="32">
        <f>'[6]price list MAN'!G75</f>
        <v>15.3</v>
      </c>
      <c r="H75" s="26">
        <f>'[6]price list MAN'!H75</f>
        <v>42978</v>
      </c>
      <c r="I75" s="51" t="str">
        <f t="shared" si="5"/>
        <v>2017Q3</v>
      </c>
      <c r="J75" s="177">
        <f>'[6]price list MAN'!J75</f>
        <v>1040891.6000000001</v>
      </c>
      <c r="K75" s="177">
        <f>'[6]price list MAN'!P75</f>
        <v>903283.5</v>
      </c>
      <c r="L75" s="177">
        <f>'[6]price list MAN'!R75</f>
        <v>860270</v>
      </c>
      <c r="M75" s="174">
        <f>'[6]price list MAN'!S75</f>
        <v>1055891.6000000001</v>
      </c>
      <c r="N75" s="174">
        <f>'[6]price list MAN'!Y75</f>
        <v>919033.5</v>
      </c>
      <c r="O75" s="174">
        <f>'[6]price list MAN'!AA75</f>
        <v>875270</v>
      </c>
      <c r="P75" s="68">
        <f t="shared" si="6"/>
        <v>0.17106074146247596</v>
      </c>
      <c r="Q75" s="62" t="e">
        <f>O75-#REF!</f>
        <v>#REF!</v>
      </c>
      <c r="W75" s="210"/>
      <c r="X75" s="210"/>
      <c r="Y75" s="210"/>
      <c r="Z75" s="210"/>
      <c r="AA75" s="210"/>
      <c r="AB75" s="210"/>
      <c r="AC75" s="210"/>
      <c r="AT75" s="425" t="str">
        <f t="shared" si="7"/>
        <v>KP0005892017Q315,3</v>
      </c>
      <c r="AU75" s="64" t="str">
        <f t="shared" si="8"/>
        <v>08-2017</v>
      </c>
      <c r="BA75" s="428" t="str">
        <f t="shared" si="9"/>
        <v>WIP - 30 Days</v>
      </c>
    </row>
    <row r="76" spans="1:245">
      <c r="B76" s="36" t="str">
        <f>'[6]price list MAN'!B76</f>
        <v>MA6-5358</v>
      </c>
      <c r="C76" s="10" t="str">
        <f>'[6]price list MAN'!C76</f>
        <v>CLA-15-2204X2BB-C</v>
      </c>
      <c r="D76" s="16" t="str">
        <f>IFERROR(VLOOKUP(C76&amp;"",'[7]Retail Price List'!$A$3:$B$103,2,FALSE),"Special Order")</f>
        <v>KP000589</v>
      </c>
      <c r="E76" s="494" t="str">
        <f>'[6]price list MAN'!E76</f>
        <v>CKD</v>
      </c>
      <c r="F76" s="11" t="str">
        <f>'[6]price list MAN'!F76</f>
        <v>2018-02-21</v>
      </c>
      <c r="G76" s="32">
        <f>'[6]price list MAN'!G76</f>
        <v>15.3</v>
      </c>
      <c r="H76" s="26">
        <f>'[6]price list MAN'!H76</f>
        <v>42978</v>
      </c>
      <c r="I76" s="51" t="str">
        <f t="shared" si="5"/>
        <v>2017Q3</v>
      </c>
      <c r="J76" s="177">
        <f>'[6]price list MAN'!J76</f>
        <v>1040891.6000000001</v>
      </c>
      <c r="K76" s="177">
        <f>'[6]price list MAN'!P76</f>
        <v>903283.5</v>
      </c>
      <c r="L76" s="177">
        <f>'[6]price list MAN'!R76</f>
        <v>860270</v>
      </c>
      <c r="M76" s="174">
        <f>'[6]price list MAN'!S76</f>
        <v>1055891.6000000001</v>
      </c>
      <c r="N76" s="174">
        <f>'[6]price list MAN'!Y76</f>
        <v>919033.5</v>
      </c>
      <c r="O76" s="174">
        <f>'[6]price list MAN'!AA76</f>
        <v>875270</v>
      </c>
      <c r="P76" s="68">
        <f t="shared" si="6"/>
        <v>0.17106074146247596</v>
      </c>
      <c r="Q76" s="62" t="e">
        <f>O76-#REF!</f>
        <v>#REF!</v>
      </c>
      <c r="W76" s="210"/>
      <c r="X76" s="210"/>
      <c r="Y76" s="210"/>
      <c r="Z76" s="210"/>
      <c r="AA76" s="210"/>
      <c r="AB76" s="210"/>
      <c r="AC76" s="210"/>
      <c r="AT76" s="425" t="str">
        <f t="shared" si="7"/>
        <v>KP0005892017Q315,3</v>
      </c>
      <c r="AU76" s="64" t="str">
        <f t="shared" si="8"/>
        <v>08-2017</v>
      </c>
      <c r="BA76" s="428" t="str">
        <f t="shared" si="9"/>
        <v>WIP - 30 Days</v>
      </c>
    </row>
    <row r="77" spans="1:245">
      <c r="B77" s="36" t="str">
        <f>'[6]price list MAN'!B77</f>
        <v>MA6-5359</v>
      </c>
      <c r="C77" s="10" t="str">
        <f>'[6]price list MAN'!C77</f>
        <v>CLA-15-2204X2BB-C</v>
      </c>
      <c r="D77" s="16" t="str">
        <f>IFERROR(VLOOKUP(C77&amp;"",'[7]Retail Price List'!$A$3:$B$103,2,FALSE),"Special Order")</f>
        <v>KP000589</v>
      </c>
      <c r="E77" s="494" t="str">
        <f>'[6]price list MAN'!E77</f>
        <v>CKD</v>
      </c>
      <c r="F77" s="11" t="str">
        <f>'[6]price list MAN'!F77</f>
        <v>2018-02-21</v>
      </c>
      <c r="G77" s="32">
        <f>'[6]price list MAN'!G77</f>
        <v>15.3</v>
      </c>
      <c r="H77" s="26">
        <f>'[6]price list MAN'!H77</f>
        <v>42978</v>
      </c>
      <c r="I77" s="51" t="str">
        <f t="shared" si="5"/>
        <v>2017Q3</v>
      </c>
      <c r="J77" s="177">
        <f>'[6]price list MAN'!J77</f>
        <v>773994.44</v>
      </c>
      <c r="K77" s="177">
        <f>'[6]price list MAN'!P77</f>
        <v>643800.15</v>
      </c>
      <c r="L77" s="177">
        <f>'[6]price list MAN'!R77</f>
        <v>613143</v>
      </c>
      <c r="M77" s="174">
        <f>'[6]price list MAN'!S77</f>
        <v>788994.44</v>
      </c>
      <c r="N77" s="174">
        <f>'[6]price list MAN'!Y77</f>
        <v>659550.15</v>
      </c>
      <c r="O77" s="174">
        <f>'[6]price list MAN'!AA77</f>
        <v>628143</v>
      </c>
      <c r="P77" s="68">
        <f t="shared" si="6"/>
        <v>0.20386891446281921</v>
      </c>
      <c r="Q77" s="62" t="e">
        <f>O77-#REF!</f>
        <v>#REF!</v>
      </c>
      <c r="W77" s="210"/>
      <c r="X77" s="210"/>
      <c r="Y77" s="210"/>
      <c r="Z77" s="210"/>
      <c r="AA77" s="210"/>
      <c r="AB77" s="210"/>
      <c r="AC77" s="210"/>
      <c r="AT77" s="425" t="str">
        <f t="shared" si="7"/>
        <v>KP0005892017Q315,3</v>
      </c>
      <c r="AU77" s="64" t="str">
        <f t="shared" si="8"/>
        <v>08-2017</v>
      </c>
      <c r="BA77" s="428" t="str">
        <f t="shared" si="9"/>
        <v>WIP - 30 Days</v>
      </c>
    </row>
    <row r="78" spans="1:245">
      <c r="B78" s="36" t="str">
        <f>'[6]price list MAN'!B78</f>
        <v>MA6-5360</v>
      </c>
      <c r="C78" s="10" t="str">
        <f>'[6]price list MAN'!C78</f>
        <v>CLA-15-2204X2BB-C</v>
      </c>
      <c r="D78" s="16" t="str">
        <f>IFERROR(VLOOKUP(C78&amp;"",'[7]Retail Price List'!$A$3:$B$103,2,FALSE),"Special Order")</f>
        <v>KP000589</v>
      </c>
      <c r="E78" s="494" t="str">
        <f>'[6]price list MAN'!E78</f>
        <v>SOLD</v>
      </c>
      <c r="F78" s="11">
        <f>'[6]price list MAN'!F78</f>
        <v>14</v>
      </c>
      <c r="G78" s="32">
        <f>'[6]price list MAN'!G78</f>
        <v>15.3</v>
      </c>
      <c r="H78" s="26">
        <f>'[6]price list MAN'!H78</f>
        <v>42978</v>
      </c>
      <c r="I78" s="51" t="str">
        <f t="shared" si="5"/>
        <v>2017Q3</v>
      </c>
      <c r="J78" s="177">
        <f>'[6]price list MAN'!J78</f>
        <v>773994.44</v>
      </c>
      <c r="K78" s="177">
        <f>'[6]price list MAN'!P78</f>
        <v>643800.15</v>
      </c>
      <c r="L78" s="177">
        <f>'[6]price list MAN'!R78</f>
        <v>613143</v>
      </c>
      <c r="M78" s="174">
        <f>'[6]price list MAN'!S78</f>
        <v>788994.44</v>
      </c>
      <c r="N78" s="174">
        <f>'[6]price list MAN'!Y78</f>
        <v>659550.15</v>
      </c>
      <c r="O78" s="174">
        <f>'[6]price list MAN'!AA78</f>
        <v>628143</v>
      </c>
      <c r="P78" s="68">
        <f t="shared" si="6"/>
        <v>0.20386891446281921</v>
      </c>
      <c r="Q78" s="62" t="e">
        <f>O78-#REF!</f>
        <v>#REF!</v>
      </c>
      <c r="W78" s="210"/>
      <c r="X78" s="210"/>
      <c r="Y78" s="210"/>
      <c r="Z78" s="210"/>
      <c r="AA78" s="210"/>
      <c r="AB78" s="210"/>
      <c r="AC78" s="210"/>
      <c r="AT78" s="425" t="str">
        <f t="shared" si="7"/>
        <v>KP0005892017Q315,3</v>
      </c>
      <c r="AU78" s="64" t="str">
        <f t="shared" si="8"/>
        <v>08-2017</v>
      </c>
      <c r="BA78" s="428" t="str">
        <f t="shared" si="9"/>
        <v>WIP - 30 Days</v>
      </c>
    </row>
    <row r="79" spans="1:245">
      <c r="B79" s="36" t="str">
        <f>'[6]price list MAN'!B79</f>
        <v>MA6-5361</v>
      </c>
      <c r="C79" s="10" t="str">
        <f>'[6]price list MAN'!C79</f>
        <v>CLA-15-2204X2BB-C</v>
      </c>
      <c r="D79" s="16" t="str">
        <f>IFERROR(VLOOKUP(C79&amp;"",'[7]Retail Price List'!$A$3:$B$103,2,FALSE),"Special Order")</f>
        <v>KP000589</v>
      </c>
      <c r="E79" s="494" t="str">
        <f>'[6]price list MAN'!E79</f>
        <v>SOLD</v>
      </c>
      <c r="F79" s="11">
        <f>'[6]price list MAN'!F79</f>
        <v>13</v>
      </c>
      <c r="G79" s="32">
        <f>'[6]price list MAN'!G79</f>
        <v>15.3</v>
      </c>
      <c r="H79" s="26">
        <f>'[6]price list MAN'!H79</f>
        <v>42978</v>
      </c>
      <c r="I79" s="51" t="str">
        <f t="shared" si="5"/>
        <v>2017Q3</v>
      </c>
      <c r="J79" s="177">
        <f>'[6]price list MAN'!J79</f>
        <v>773994.44</v>
      </c>
      <c r="K79" s="177">
        <f>'[6]price list MAN'!P79</f>
        <v>643800.15</v>
      </c>
      <c r="L79" s="177">
        <f>'[6]price list MAN'!R79</f>
        <v>613143</v>
      </c>
      <c r="M79" s="174">
        <f>'[6]price list MAN'!S79</f>
        <v>788994.44</v>
      </c>
      <c r="N79" s="174">
        <f>'[6]price list MAN'!Y79</f>
        <v>659550.15</v>
      </c>
      <c r="O79" s="174">
        <f>'[6]price list MAN'!AA79</f>
        <v>628143</v>
      </c>
      <c r="P79" s="68">
        <f t="shared" si="6"/>
        <v>0.20386891446281921</v>
      </c>
      <c r="Q79" s="62" t="e">
        <f>O79-#REF!</f>
        <v>#REF!</v>
      </c>
      <c r="W79" s="210"/>
      <c r="X79" s="210"/>
      <c r="Y79" s="210"/>
      <c r="Z79" s="210"/>
      <c r="AA79" s="210"/>
      <c r="AB79" s="210"/>
      <c r="AC79" s="210"/>
      <c r="AT79" s="425" t="str">
        <f t="shared" si="7"/>
        <v>KP0005892017Q315,3</v>
      </c>
      <c r="AU79" s="64" t="str">
        <f t="shared" si="8"/>
        <v>08-2017</v>
      </c>
      <c r="BA79" s="428" t="str">
        <f t="shared" si="9"/>
        <v>WIP - 30 Days</v>
      </c>
    </row>
    <row r="80" spans="1:245">
      <c r="B80" s="36" t="str">
        <f>'[6]price list MAN'!B80</f>
        <v>MA6-5362</v>
      </c>
      <c r="C80" s="10" t="str">
        <f>'[6]price list MAN'!C80</f>
        <v>CLA-15-2204X2BB-C</v>
      </c>
      <c r="D80" s="16" t="str">
        <f>IFERROR(VLOOKUP(C80&amp;"",'[7]Retail Price List'!$A$3:$B$103,2,FALSE),"Special Order")</f>
        <v>KP000589</v>
      </c>
      <c r="E80" s="494" t="str">
        <f>'[6]price list MAN'!E80</f>
        <v>SOLD</v>
      </c>
      <c r="F80" s="11">
        <f>'[6]price list MAN'!F80</f>
        <v>13</v>
      </c>
      <c r="G80" s="32">
        <f>'[6]price list MAN'!G80</f>
        <v>15.3</v>
      </c>
      <c r="H80" s="26">
        <f>'[6]price list MAN'!H80</f>
        <v>42978</v>
      </c>
      <c r="I80" s="51" t="str">
        <f t="shared" si="5"/>
        <v>2017Q3</v>
      </c>
      <c r="J80" s="177">
        <f>'[6]price list MAN'!J80</f>
        <v>695000</v>
      </c>
      <c r="K80" s="177">
        <f>'[6]price list MAN'!P80</f>
        <v>567000</v>
      </c>
      <c r="L80" s="177">
        <f>'[6]price list MAN'!R80</f>
        <v>540000</v>
      </c>
      <c r="M80" s="174">
        <f>'[6]price list MAN'!S80</f>
        <v>710000</v>
      </c>
      <c r="N80" s="174">
        <f>'[6]price list MAN'!Y80</f>
        <v>582750</v>
      </c>
      <c r="O80" s="174">
        <f>'[6]price list MAN'!AA80</f>
        <v>555000</v>
      </c>
      <c r="P80" s="68">
        <f t="shared" si="6"/>
        <v>0.21830985915492956</v>
      </c>
      <c r="Q80" s="62" t="e">
        <f>O80-#REF!</f>
        <v>#REF!</v>
      </c>
      <c r="W80" s="210"/>
      <c r="X80" s="210"/>
      <c r="Y80" s="210"/>
      <c r="Z80" s="210"/>
      <c r="AA80" s="210"/>
      <c r="AB80" s="210"/>
      <c r="AC80" s="210"/>
      <c r="AT80" s="425" t="str">
        <f t="shared" si="7"/>
        <v>KP0005892017Q315,3</v>
      </c>
      <c r="AU80" s="64" t="str">
        <f t="shared" si="8"/>
        <v>08-2017</v>
      </c>
      <c r="BA80" s="428" t="str">
        <f t="shared" si="9"/>
        <v>WIP - 30 Days</v>
      </c>
    </row>
    <row r="81" spans="1:245">
      <c r="B81" s="36" t="str">
        <f>'[6]price list MAN'!B81</f>
        <v>MA6-5363</v>
      </c>
      <c r="C81" s="10" t="str">
        <f>'[6]price list MAN'!C81</f>
        <v>CLA-15-2204X2BB-C</v>
      </c>
      <c r="D81" s="16" t="str">
        <f>IFERROR(VLOOKUP(C81&amp;"",'[7]Retail Price List'!$A$3:$B$103,2,FALSE),"Special Order")</f>
        <v>KP000589</v>
      </c>
      <c r="E81" s="494" t="str">
        <f>'[6]price list MAN'!E81</f>
        <v>SOLD</v>
      </c>
      <c r="F81" s="11">
        <f>'[6]price list MAN'!F81</f>
        <v>12</v>
      </c>
      <c r="G81" s="32">
        <f>'[6]price list MAN'!G81</f>
        <v>15.3</v>
      </c>
      <c r="H81" s="26">
        <f>'[6]price list MAN'!H81</f>
        <v>42978</v>
      </c>
      <c r="I81" s="51" t="str">
        <f t="shared" si="5"/>
        <v>2017Q3</v>
      </c>
      <c r="J81" s="177">
        <f>'[6]price list MAN'!J81</f>
        <v>695000</v>
      </c>
      <c r="K81" s="177">
        <f>'[6]price list MAN'!P81</f>
        <v>567000</v>
      </c>
      <c r="L81" s="177">
        <f>'[6]price list MAN'!R81</f>
        <v>540000</v>
      </c>
      <c r="M81" s="174">
        <f>'[6]price list MAN'!S81</f>
        <v>710000</v>
      </c>
      <c r="N81" s="174">
        <f>'[6]price list MAN'!Y81</f>
        <v>582750</v>
      </c>
      <c r="O81" s="174">
        <f>'[6]price list MAN'!AA81</f>
        <v>555000</v>
      </c>
      <c r="P81" s="68">
        <f t="shared" si="6"/>
        <v>0.21830985915492956</v>
      </c>
      <c r="Q81" s="62" t="e">
        <f>O81-#REF!</f>
        <v>#REF!</v>
      </c>
      <c r="W81" s="210"/>
      <c r="X81" s="210"/>
      <c r="Y81" s="210"/>
      <c r="Z81" s="210"/>
      <c r="AA81" s="210"/>
      <c r="AB81" s="210"/>
      <c r="AC81" s="210"/>
      <c r="AT81" s="425" t="str">
        <f t="shared" si="7"/>
        <v>KP0005892017Q315,3</v>
      </c>
      <c r="AU81" s="64" t="str">
        <f t="shared" si="8"/>
        <v>08-2017</v>
      </c>
      <c r="BA81" s="428" t="str">
        <f t="shared" si="9"/>
        <v>WIP - 30 Days</v>
      </c>
    </row>
    <row r="82" spans="1:245">
      <c r="B82" s="36" t="str">
        <f>'[6]price list MAN'!B82</f>
        <v>MA6-5364</v>
      </c>
      <c r="C82" s="10" t="str">
        <f>'[6]price list MAN'!C82</f>
        <v>CLA-15-2204X2BB-C</v>
      </c>
      <c r="D82" s="16" t="str">
        <f>IFERROR(VLOOKUP(C82&amp;"",'[7]Retail Price List'!$A$3:$B$103,2,FALSE),"Special Order")</f>
        <v>KP000589</v>
      </c>
      <c r="E82" s="494" t="str">
        <f>'[6]price list MAN'!E82</f>
        <v>SOLD</v>
      </c>
      <c r="F82" s="11">
        <f>'[6]price list MAN'!F82</f>
        <v>8</v>
      </c>
      <c r="G82" s="32">
        <f>'[6]price list MAN'!G82</f>
        <v>15.3</v>
      </c>
      <c r="H82" s="26">
        <f>'[6]price list MAN'!H82</f>
        <v>42978</v>
      </c>
      <c r="I82" s="51" t="str">
        <f t="shared" si="5"/>
        <v>2017Q3</v>
      </c>
      <c r="J82" s="177">
        <f>'[6]price list MAN'!J82</f>
        <v>695000</v>
      </c>
      <c r="K82" s="177">
        <f>'[6]price list MAN'!P82</f>
        <v>588000</v>
      </c>
      <c r="L82" s="177">
        <f>'[6]price list MAN'!R82</f>
        <v>560000</v>
      </c>
      <c r="M82" s="174">
        <f>'[6]price list MAN'!S82</f>
        <v>710000</v>
      </c>
      <c r="N82" s="174">
        <f>'[6]price list MAN'!Y82</f>
        <v>603750</v>
      </c>
      <c r="O82" s="174">
        <f>'[6]price list MAN'!AA82</f>
        <v>575000</v>
      </c>
      <c r="P82" s="68">
        <f t="shared" si="6"/>
        <v>0.19014084507042253</v>
      </c>
      <c r="Q82" s="62" t="e">
        <f>O82-#REF!</f>
        <v>#REF!</v>
      </c>
      <c r="W82" s="210"/>
      <c r="X82" s="210"/>
      <c r="Y82" s="210"/>
      <c r="Z82" s="210"/>
      <c r="AA82" s="210"/>
      <c r="AB82" s="210"/>
      <c r="AC82" s="210"/>
      <c r="AT82" s="425" t="str">
        <f t="shared" si="7"/>
        <v>KP0005892017Q315,3</v>
      </c>
      <c r="AU82" s="64" t="str">
        <f t="shared" si="8"/>
        <v>08-2017</v>
      </c>
      <c r="BA82" s="428" t="str">
        <f t="shared" si="9"/>
        <v>WIP - 30 Days</v>
      </c>
    </row>
    <row r="83" spans="1:245">
      <c r="B83" s="36" t="str">
        <f>'[6]price list MAN'!B83</f>
        <v>MA6-5365</v>
      </c>
      <c r="C83" s="10" t="str">
        <f>'[6]price list MAN'!C83</f>
        <v>CLA-15-2204X2BB-C</v>
      </c>
      <c r="D83" s="16" t="str">
        <f>IFERROR(VLOOKUP(C83&amp;"",'[7]Retail Price List'!$A$3:$B$103,2,FALSE),"Special Order")</f>
        <v>KP000589</v>
      </c>
      <c r="E83" s="494" t="str">
        <f>'[6]price list MAN'!E83</f>
        <v>SOLD</v>
      </c>
      <c r="F83" s="11">
        <f>'[6]price list MAN'!F83</f>
        <v>8</v>
      </c>
      <c r="G83" s="32">
        <f>'[6]price list MAN'!G83</f>
        <v>15.3</v>
      </c>
      <c r="H83" s="26">
        <f>'[6]price list MAN'!H83</f>
        <v>42978</v>
      </c>
      <c r="I83" s="51" t="str">
        <f t="shared" si="5"/>
        <v>2017Q3</v>
      </c>
      <c r="J83" s="177">
        <f>'[6]price list MAN'!J83</f>
        <v>695000</v>
      </c>
      <c r="K83" s="177">
        <f>'[6]price list MAN'!P83</f>
        <v>588000</v>
      </c>
      <c r="L83" s="177">
        <f>'[6]price list MAN'!R83</f>
        <v>560000</v>
      </c>
      <c r="M83" s="174">
        <f>'[6]price list MAN'!S83</f>
        <v>710000</v>
      </c>
      <c r="N83" s="174">
        <f>'[6]price list MAN'!Y83</f>
        <v>603750</v>
      </c>
      <c r="O83" s="174">
        <f>'[6]price list MAN'!AA83</f>
        <v>575000</v>
      </c>
      <c r="P83" s="68">
        <f t="shared" si="6"/>
        <v>0.19014084507042253</v>
      </c>
      <c r="Q83" s="62" t="e">
        <f>O83-#REF!</f>
        <v>#REF!</v>
      </c>
      <c r="W83" s="210"/>
      <c r="X83" s="210"/>
      <c r="Y83" s="210"/>
      <c r="Z83" s="210"/>
      <c r="AA83" s="210"/>
      <c r="AB83" s="210"/>
      <c r="AC83" s="210"/>
      <c r="AT83" s="425" t="str">
        <f t="shared" si="7"/>
        <v>KP0005892017Q315,3</v>
      </c>
      <c r="AU83" s="64" t="str">
        <f t="shared" si="8"/>
        <v>08-2017</v>
      </c>
      <c r="BA83" s="428" t="str">
        <f t="shared" si="9"/>
        <v>WIP - 30 Days</v>
      </c>
    </row>
    <row r="84" spans="1:245">
      <c r="B84" s="36" t="str">
        <f>'[6]price list MAN'!B84</f>
        <v>MA6-5366</v>
      </c>
      <c r="C84" s="10" t="str">
        <f>'[6]price list MAN'!C84</f>
        <v>CLA-15-2204X2BB-C</v>
      </c>
      <c r="D84" s="16" t="str">
        <f>IFERROR(VLOOKUP(C84&amp;"",'[7]Retail Price List'!$A$3:$B$103,2,FALSE),"Special Order")</f>
        <v>KP000589</v>
      </c>
      <c r="E84" s="494" t="str">
        <f>'[6]price list MAN'!E84</f>
        <v>SOLD</v>
      </c>
      <c r="F84" s="11">
        <f>'[6]price list MAN'!F84</f>
        <v>13</v>
      </c>
      <c r="G84" s="32">
        <f>'[6]price list MAN'!G84</f>
        <v>15.3</v>
      </c>
      <c r="H84" s="26">
        <f>'[6]price list MAN'!H84</f>
        <v>42978</v>
      </c>
      <c r="I84" s="51" t="str">
        <f t="shared" si="5"/>
        <v>2017Q3</v>
      </c>
      <c r="J84" s="177">
        <f>'[6]price list MAN'!J84</f>
        <v>695000</v>
      </c>
      <c r="K84" s="177">
        <f>'[6]price list MAN'!P84</f>
        <v>588000</v>
      </c>
      <c r="L84" s="177">
        <f>'[6]price list MAN'!R84</f>
        <v>560000</v>
      </c>
      <c r="M84" s="174">
        <f>'[6]price list MAN'!S84</f>
        <v>710000</v>
      </c>
      <c r="N84" s="174">
        <f>'[6]price list MAN'!Y84</f>
        <v>603750</v>
      </c>
      <c r="O84" s="174">
        <f>'[6]price list MAN'!AA84</f>
        <v>575000</v>
      </c>
      <c r="P84" s="68">
        <f t="shared" si="6"/>
        <v>0.19014084507042253</v>
      </c>
      <c r="Q84" s="62" t="e">
        <f>O84-#REF!</f>
        <v>#REF!</v>
      </c>
      <c r="W84" s="210"/>
      <c r="X84" s="210"/>
      <c r="Y84" s="210"/>
      <c r="Z84" s="210"/>
      <c r="AA84" s="210"/>
      <c r="AB84" s="210"/>
      <c r="AC84" s="210"/>
      <c r="AT84" s="425" t="str">
        <f t="shared" si="7"/>
        <v>KP0005892017Q315,3</v>
      </c>
      <c r="AU84" s="64" t="str">
        <f t="shared" si="8"/>
        <v>08-2017</v>
      </c>
      <c r="BA84" s="428" t="str">
        <f t="shared" si="9"/>
        <v>WIP - 30 Days</v>
      </c>
    </row>
    <row r="85" spans="1:245">
      <c r="B85" s="36" t="str">
        <f>'[6]price list MAN'!B85</f>
        <v>MA6-5367</v>
      </c>
      <c r="C85" s="10" t="str">
        <f>'[6]price list MAN'!C85</f>
        <v>CLA-15-2204X2BB-C</v>
      </c>
      <c r="D85" s="16" t="str">
        <f>IFERROR(VLOOKUP(C85&amp;"",'[7]Retail Price List'!$A$3:$B$103,2,FALSE),"Special Order")</f>
        <v>KP000589</v>
      </c>
      <c r="E85" s="494" t="str">
        <f>'[6]price list MAN'!E85</f>
        <v>CKD</v>
      </c>
      <c r="F85" s="11" t="str">
        <f>'[6]price list MAN'!F85</f>
        <v>2018-02-15</v>
      </c>
      <c r="G85" s="32">
        <f>'[6]price list MAN'!G85</f>
        <v>15.3</v>
      </c>
      <c r="H85" s="26">
        <f>'[6]price list MAN'!H85</f>
        <v>42978</v>
      </c>
      <c r="I85" s="51" t="str">
        <f t="shared" si="5"/>
        <v>2017Q3</v>
      </c>
      <c r="J85" s="177">
        <f>'[6]price list MAN'!J85</f>
        <v>695000</v>
      </c>
      <c r="K85" s="177">
        <f>'[6]price list MAN'!P85</f>
        <v>588000</v>
      </c>
      <c r="L85" s="177">
        <f>'[6]price list MAN'!R85</f>
        <v>560000</v>
      </c>
      <c r="M85" s="174">
        <f>'[6]price list MAN'!S85</f>
        <v>710000</v>
      </c>
      <c r="N85" s="174">
        <f>'[6]price list MAN'!Y85</f>
        <v>603750</v>
      </c>
      <c r="O85" s="174">
        <f>'[6]price list MAN'!AA85</f>
        <v>575000</v>
      </c>
      <c r="P85" s="68">
        <f t="shared" si="6"/>
        <v>0.19014084507042253</v>
      </c>
      <c r="Q85" s="62" t="e">
        <f>O85-#REF!</f>
        <v>#REF!</v>
      </c>
      <c r="W85" s="210"/>
      <c r="X85" s="210"/>
      <c r="Y85" s="210"/>
      <c r="Z85" s="210"/>
      <c r="AA85" s="210"/>
      <c r="AB85" s="210"/>
      <c r="AC85" s="210"/>
      <c r="AT85" s="425" t="str">
        <f t="shared" si="7"/>
        <v>KP0005892017Q315,3</v>
      </c>
      <c r="AU85" s="64" t="str">
        <f t="shared" si="8"/>
        <v>08-2017</v>
      </c>
      <c r="BA85" s="428" t="str">
        <f t="shared" si="9"/>
        <v>WIP - 30 Days</v>
      </c>
    </row>
    <row r="86" spans="1:245">
      <c r="B86" s="36" t="str">
        <f>'[6]price list MAN'!B86</f>
        <v>MA6-5368</v>
      </c>
      <c r="C86" s="10" t="str">
        <f>'[6]price list MAN'!C86</f>
        <v>CLA-15-2204X2BB-C</v>
      </c>
      <c r="D86" s="16" t="str">
        <f>IFERROR(VLOOKUP(C86&amp;"",'[7]Retail Price List'!$A$3:$B$103,2,FALSE),"Special Order")</f>
        <v>KP000589</v>
      </c>
      <c r="E86" s="494" t="str">
        <f>'[6]price list MAN'!E86</f>
        <v>CKD</v>
      </c>
      <c r="F86" s="11" t="str">
        <f>'[6]price list MAN'!F86</f>
        <v>2018-02-16</v>
      </c>
      <c r="G86" s="32">
        <f>'[6]price list MAN'!G86</f>
        <v>15.3</v>
      </c>
      <c r="H86" s="26">
        <f>'[6]price list MAN'!H86</f>
        <v>42978</v>
      </c>
      <c r="I86" s="51" t="str">
        <f t="shared" si="5"/>
        <v>2017Q3</v>
      </c>
      <c r="J86" s="177">
        <f>'[6]price list MAN'!J86</f>
        <v>695000</v>
      </c>
      <c r="K86" s="177">
        <f>'[6]price list MAN'!P86</f>
        <v>588000</v>
      </c>
      <c r="L86" s="177">
        <f>'[6]price list MAN'!R86</f>
        <v>560000</v>
      </c>
      <c r="M86" s="174">
        <f>'[6]price list MAN'!S86</f>
        <v>710000</v>
      </c>
      <c r="N86" s="174">
        <f>'[6]price list MAN'!Y86</f>
        <v>603750</v>
      </c>
      <c r="O86" s="174">
        <f>'[6]price list MAN'!AA86</f>
        <v>575000</v>
      </c>
      <c r="P86" s="68">
        <f t="shared" si="6"/>
        <v>0.19014084507042253</v>
      </c>
      <c r="Q86" s="62" t="e">
        <f>O86-#REF!</f>
        <v>#REF!</v>
      </c>
      <c r="W86" s="210"/>
      <c r="X86" s="210"/>
      <c r="Y86" s="210"/>
      <c r="Z86" s="210"/>
      <c r="AA86" s="210"/>
      <c r="AB86" s="210"/>
      <c r="AC86" s="210"/>
      <c r="AT86" s="425" t="str">
        <f t="shared" si="7"/>
        <v>KP0005892017Q315,3</v>
      </c>
      <c r="AU86" s="64" t="str">
        <f t="shared" si="8"/>
        <v>08-2017</v>
      </c>
      <c r="BA86" s="428" t="str">
        <f t="shared" si="9"/>
        <v>WIP - 30 Days</v>
      </c>
    </row>
    <row r="87" spans="1:245">
      <c r="B87" s="36" t="str">
        <f>'[6]price list MAN'!B87</f>
        <v>MA6-5373</v>
      </c>
      <c r="C87" s="10" t="str">
        <f>'[6]price list MAN'!C87</f>
        <v>CLA-15-2204X2BB-C</v>
      </c>
      <c r="D87" s="16" t="str">
        <f>IFERROR(VLOOKUP(C87&amp;"",'[7]Retail Price List'!$A$3:$B$103,2,FALSE),"Special Order")</f>
        <v>KP000589</v>
      </c>
      <c r="E87" s="494" t="str">
        <f>'[6]price list MAN'!E87</f>
        <v>SOLD</v>
      </c>
      <c r="F87" s="11">
        <f>'[6]price list MAN'!F87</f>
        <v>12</v>
      </c>
      <c r="G87" s="32">
        <f>'[6]price list MAN'!G87</f>
        <v>15.3</v>
      </c>
      <c r="H87" s="26">
        <f>'[6]price list MAN'!H87</f>
        <v>42978</v>
      </c>
      <c r="I87" s="51" t="str">
        <f t="shared" si="5"/>
        <v>2017Q3</v>
      </c>
      <c r="J87" s="177">
        <f>'[6]price list MAN'!J87</f>
        <v>695000</v>
      </c>
      <c r="K87" s="177">
        <f>'[6]price list MAN'!P87</f>
        <v>588000</v>
      </c>
      <c r="L87" s="177">
        <f>'[6]price list MAN'!R87</f>
        <v>560000</v>
      </c>
      <c r="M87" s="174">
        <f>'[6]price list MAN'!S87</f>
        <v>710000</v>
      </c>
      <c r="N87" s="174">
        <f>'[6]price list MAN'!Y87</f>
        <v>603750</v>
      </c>
      <c r="O87" s="174">
        <f>'[6]price list MAN'!AA87</f>
        <v>575000</v>
      </c>
      <c r="P87" s="68">
        <f t="shared" si="6"/>
        <v>0.19014084507042253</v>
      </c>
      <c r="Q87" s="62" t="e">
        <f>O87-#REF!</f>
        <v>#REF!</v>
      </c>
      <c r="W87" s="210"/>
      <c r="X87" s="210"/>
      <c r="Y87" s="210"/>
      <c r="Z87" s="210"/>
      <c r="AA87" s="210"/>
      <c r="AB87" s="210"/>
      <c r="AC87" s="210"/>
      <c r="AT87" s="425" t="str">
        <f t="shared" si="7"/>
        <v>KP0005892017Q315,3</v>
      </c>
      <c r="AU87" s="64" t="str">
        <f t="shared" si="8"/>
        <v>08-2017</v>
      </c>
      <c r="BA87" s="428" t="str">
        <f t="shared" si="9"/>
        <v>WIP - 30 Days</v>
      </c>
    </row>
    <row r="88" spans="1:245" s="4" customFormat="1">
      <c r="A88" s="41"/>
      <c r="B88" s="36" t="str">
        <f>'[6]price list MAN'!B88</f>
        <v>MA6-5461</v>
      </c>
      <c r="C88" s="10" t="str">
        <f>'[6]price list MAN'!C88</f>
        <v>CLA-15-2204X2BB-C</v>
      </c>
      <c r="D88" s="16" t="str">
        <f>IFERROR(VLOOKUP(C88&amp;"",'[7]Retail Price List'!$A$3:$B$103,2,FALSE),"Special Order")</f>
        <v>KP000589</v>
      </c>
      <c r="E88" s="494" t="str">
        <f>'[6]price list MAN'!E88</f>
        <v>CKD</v>
      </c>
      <c r="F88" s="11" t="str">
        <f>'[6]price list MAN'!F88</f>
        <v>2018-03-30</v>
      </c>
      <c r="G88" s="32">
        <f>'[6]price list MAN'!G88</f>
        <v>15.9</v>
      </c>
      <c r="H88" s="26">
        <f>'[6]price list MAN'!H88</f>
        <v>43039</v>
      </c>
      <c r="I88" s="51" t="str">
        <f t="shared" si="5"/>
        <v>2017Q4</v>
      </c>
      <c r="J88" s="177">
        <f>'[6]price list MAN'!J88</f>
        <v>695000</v>
      </c>
      <c r="K88" s="177">
        <f>'[6]price list MAN'!P88</f>
        <v>572250</v>
      </c>
      <c r="L88" s="177">
        <f>'[6]price list MAN'!R88</f>
        <v>545000</v>
      </c>
      <c r="M88" s="174">
        <f>'[6]price list MAN'!S88</f>
        <v>710000</v>
      </c>
      <c r="N88" s="174">
        <f>'[6]price list MAN'!Y88</f>
        <v>588000</v>
      </c>
      <c r="O88" s="174">
        <f>'[6]price list MAN'!AA88</f>
        <v>560000</v>
      </c>
      <c r="P88" s="68">
        <f t="shared" si="6"/>
        <v>0.21126760563380281</v>
      </c>
      <c r="Q88" s="62" t="e">
        <f>O88-#REF!</f>
        <v>#REF!</v>
      </c>
      <c r="R88" s="63" t="e">
        <f>SUM(Q5:Q87)/SUM(O5:O87)</f>
        <v>#REF!</v>
      </c>
      <c r="S88" s="64"/>
      <c r="T88" s="64"/>
      <c r="U88" s="64"/>
      <c r="V88" s="64"/>
      <c r="W88" s="210"/>
      <c r="X88" s="210"/>
      <c r="Y88" s="210"/>
      <c r="Z88" s="210"/>
      <c r="AA88" s="210"/>
      <c r="AB88" s="210"/>
      <c r="AC88" s="210"/>
      <c r="AD88" s="54"/>
      <c r="AE88" s="54"/>
      <c r="AF88" s="54"/>
      <c r="AG88" s="5"/>
      <c r="AH88" s="5"/>
      <c r="AI88" s="5"/>
      <c r="AJ88" s="5"/>
      <c r="AK88" s="5"/>
      <c r="AL88" s="5"/>
      <c r="AM88" s="5"/>
      <c r="AN88" s="5"/>
      <c r="AO88" s="5"/>
      <c r="AP88" s="5"/>
      <c r="AQ88" s="5"/>
      <c r="AR88" s="5"/>
      <c r="AS88" s="5"/>
      <c r="AT88" s="425" t="str">
        <f t="shared" si="7"/>
        <v>KP0005892017Q415,9</v>
      </c>
      <c r="AU88" s="64" t="str">
        <f t="shared" si="8"/>
        <v>10-2017</v>
      </c>
      <c r="AV88" s="64"/>
      <c r="AW88" s="64"/>
      <c r="AX88" s="64"/>
      <c r="AY88" s="64"/>
      <c r="AZ88" s="64"/>
      <c r="BA88" s="428" t="str">
        <f t="shared" si="9"/>
        <v>WIP - 30 Days</v>
      </c>
      <c r="BB88" s="169"/>
      <c r="BC88" s="169"/>
      <c r="BD88" s="169"/>
      <c r="BE88" s="41"/>
      <c r="BF88" s="41"/>
      <c r="BG88" s="41"/>
      <c r="BH88" s="41"/>
      <c r="BI88" s="41"/>
      <c r="BJ88" s="41"/>
      <c r="BK88" s="41"/>
      <c r="BL88" s="41"/>
      <c r="BM88" s="41"/>
      <c r="BN88" s="41"/>
      <c r="BO88" s="41"/>
      <c r="BP88" s="41"/>
      <c r="BQ88" s="41"/>
      <c r="BR88" s="41"/>
      <c r="BS88" s="41"/>
      <c r="BT88" s="41"/>
      <c r="BU88" s="41"/>
      <c r="BV88" s="41"/>
      <c r="BW88" s="41"/>
      <c r="BX88" s="41"/>
      <c r="BY88" s="41"/>
      <c r="BZ88" s="41"/>
      <c r="CA88" s="41"/>
      <c r="CB88" s="41"/>
      <c r="CC88" s="41"/>
      <c r="CD88" s="41"/>
      <c r="CE88" s="41"/>
      <c r="CF88" s="41"/>
      <c r="CG88" s="41"/>
      <c r="CH88" s="41"/>
      <c r="CI88" s="41"/>
      <c r="CJ88" s="41"/>
      <c r="CK88" s="41"/>
      <c r="CL88" s="41"/>
      <c r="CM88" s="41"/>
      <c r="CN88" s="41"/>
      <c r="CO88" s="41"/>
      <c r="CP88" s="41"/>
      <c r="CQ88" s="41"/>
      <c r="CR88" s="41"/>
      <c r="CS88" s="41"/>
      <c r="CT88" s="41"/>
      <c r="CU88" s="41"/>
      <c r="CV88" s="41"/>
      <c r="CW88" s="41"/>
      <c r="CX88" s="41"/>
      <c r="CY88" s="41"/>
      <c r="CZ88" s="41"/>
      <c r="DA88" s="41"/>
      <c r="DB88" s="41"/>
      <c r="DC88" s="41"/>
      <c r="DD88" s="41"/>
      <c r="DE88" s="41"/>
      <c r="DF88" s="41"/>
      <c r="DG88" s="41"/>
      <c r="DH88" s="41"/>
      <c r="DI88" s="41"/>
      <c r="DJ88" s="41"/>
      <c r="DK88" s="41"/>
      <c r="DL88" s="41"/>
      <c r="DM88" s="41"/>
      <c r="DN88" s="41"/>
      <c r="DO88" s="41"/>
      <c r="DP88" s="41"/>
      <c r="DQ88" s="41"/>
      <c r="DR88" s="41"/>
      <c r="DS88" s="41"/>
      <c r="DT88" s="41"/>
      <c r="DU88" s="41"/>
      <c r="DV88" s="41"/>
      <c r="DW88" s="41"/>
      <c r="DX88" s="41"/>
      <c r="DY88" s="41"/>
      <c r="DZ88" s="41"/>
      <c r="EA88" s="41"/>
      <c r="EB88" s="41"/>
      <c r="EC88" s="41"/>
      <c r="ED88" s="41"/>
      <c r="EE88" s="41"/>
      <c r="EF88" s="41"/>
      <c r="EG88" s="41"/>
      <c r="EH88" s="41"/>
      <c r="EI88" s="41"/>
      <c r="EJ88" s="41"/>
      <c r="EK88" s="41"/>
      <c r="EL88" s="41"/>
      <c r="EM88" s="41"/>
      <c r="EN88" s="41"/>
      <c r="EO88" s="41"/>
      <c r="EP88" s="41"/>
      <c r="EQ88" s="41"/>
      <c r="ER88" s="41"/>
      <c r="ES88" s="41"/>
      <c r="ET88" s="41"/>
      <c r="EU88" s="41"/>
      <c r="EV88" s="41"/>
      <c r="EW88" s="41"/>
      <c r="EX88" s="41"/>
      <c r="EY88" s="41"/>
      <c r="EZ88" s="41"/>
      <c r="FA88" s="41"/>
      <c r="FB88" s="41"/>
      <c r="FC88" s="41"/>
      <c r="FD88" s="41"/>
      <c r="FE88" s="41"/>
      <c r="FF88" s="41"/>
      <c r="FG88" s="41"/>
      <c r="FH88" s="41"/>
      <c r="FI88" s="41"/>
      <c r="FJ88" s="41"/>
      <c r="FK88" s="41"/>
      <c r="FL88" s="41"/>
      <c r="FM88" s="41"/>
      <c r="FN88" s="41"/>
      <c r="FO88" s="41"/>
      <c r="FP88" s="41"/>
      <c r="FQ88" s="41"/>
      <c r="FR88" s="41"/>
      <c r="FS88" s="41"/>
      <c r="FT88" s="41"/>
      <c r="FU88" s="41"/>
      <c r="FV88" s="41"/>
      <c r="FW88" s="41"/>
      <c r="FX88" s="41"/>
      <c r="FY88" s="41"/>
      <c r="FZ88" s="41"/>
      <c r="GA88" s="41"/>
      <c r="GB88" s="41"/>
      <c r="GC88" s="41"/>
      <c r="GD88" s="41"/>
      <c r="GE88" s="41"/>
      <c r="GF88" s="41"/>
      <c r="GG88" s="41"/>
      <c r="GH88" s="41"/>
      <c r="GI88" s="41"/>
      <c r="GJ88" s="41"/>
      <c r="GK88" s="41"/>
      <c r="GL88" s="41"/>
      <c r="GM88" s="41"/>
      <c r="GN88" s="41"/>
      <c r="GO88" s="41"/>
      <c r="GP88" s="41"/>
      <c r="GQ88" s="41"/>
      <c r="GR88" s="41"/>
      <c r="GS88" s="41"/>
      <c r="GT88" s="41"/>
      <c r="GU88" s="41"/>
      <c r="GV88" s="41"/>
      <c r="GW88" s="41"/>
      <c r="GX88" s="41"/>
      <c r="GY88" s="41"/>
      <c r="GZ88" s="41"/>
      <c r="HA88" s="41"/>
      <c r="HB88" s="41"/>
      <c r="HC88" s="41"/>
      <c r="HD88" s="41"/>
      <c r="HE88" s="41"/>
      <c r="HF88" s="41"/>
      <c r="HG88" s="41"/>
      <c r="HH88" s="41"/>
      <c r="HI88" s="41"/>
      <c r="HJ88" s="41"/>
      <c r="HK88" s="41"/>
      <c r="HL88" s="41"/>
      <c r="HM88" s="41"/>
      <c r="HN88" s="41"/>
      <c r="HO88" s="41"/>
      <c r="HP88" s="41"/>
      <c r="HQ88" s="41"/>
      <c r="HR88" s="41"/>
      <c r="HS88" s="41"/>
      <c r="HT88" s="41"/>
      <c r="HU88" s="41"/>
      <c r="HV88" s="41"/>
      <c r="HW88" s="41"/>
      <c r="HX88" s="41"/>
      <c r="HY88" s="41"/>
      <c r="HZ88" s="41"/>
      <c r="IA88" s="41"/>
      <c r="IB88" s="41"/>
      <c r="IC88" s="41"/>
      <c r="ID88" s="41"/>
      <c r="IE88" s="41"/>
      <c r="IF88" s="41"/>
      <c r="IG88" s="41"/>
      <c r="IH88" s="41"/>
      <c r="II88" s="41"/>
      <c r="IJ88" s="41"/>
      <c r="IK88" s="41"/>
    </row>
    <row r="89" spans="1:245">
      <c r="B89" s="36" t="str">
        <f>'[6]price list MAN'!B89</f>
        <v>MA6-5462</v>
      </c>
      <c r="C89" s="10" t="str">
        <f>'[6]price list MAN'!C89</f>
        <v>CLA-15-2204X2BB-C</v>
      </c>
      <c r="D89" s="16" t="str">
        <f>IFERROR(VLOOKUP(C89&amp;"",'[7]Retail Price List'!$A$3:$B$103,2,FALSE),"Special Order")</f>
        <v>KP000589</v>
      </c>
      <c r="E89" s="494" t="str">
        <f>'[6]price list MAN'!E89</f>
        <v>CKD</v>
      </c>
      <c r="F89" s="11" t="str">
        <f>'[6]price list MAN'!F89</f>
        <v>2018-03-30</v>
      </c>
      <c r="G89" s="32">
        <f>'[6]price list MAN'!G89</f>
        <v>15.9</v>
      </c>
      <c r="H89" s="26">
        <f>'[6]price list MAN'!H89</f>
        <v>43039</v>
      </c>
      <c r="I89" s="51" t="str">
        <f t="shared" si="5"/>
        <v>2017Q4</v>
      </c>
      <c r="J89" s="177">
        <f>'[6]price list MAN'!J89</f>
        <v>695000</v>
      </c>
      <c r="K89" s="177">
        <f>'[6]price list MAN'!P89</f>
        <v>572250</v>
      </c>
      <c r="L89" s="177">
        <f>'[6]price list MAN'!R89</f>
        <v>545000</v>
      </c>
      <c r="M89" s="174">
        <f>'[6]price list MAN'!S89</f>
        <v>710000</v>
      </c>
      <c r="N89" s="174">
        <f>'[6]price list MAN'!Y89</f>
        <v>588000</v>
      </c>
      <c r="O89" s="174">
        <f>'[6]price list MAN'!AA89</f>
        <v>560000</v>
      </c>
      <c r="P89" s="68">
        <f t="shared" si="6"/>
        <v>0.21126760563380281</v>
      </c>
      <c r="Q89" s="62" t="e">
        <f>O89-#REF!</f>
        <v>#REF!</v>
      </c>
      <c r="S89" s="64" t="s">
        <v>9</v>
      </c>
      <c r="T89" s="64" t="s">
        <v>10</v>
      </c>
      <c r="U89" s="64" t="s">
        <v>11</v>
      </c>
      <c r="W89" s="210"/>
      <c r="X89" s="210"/>
      <c r="Y89" s="210"/>
      <c r="Z89" s="210"/>
      <c r="AA89" s="210"/>
      <c r="AB89" s="210"/>
      <c r="AC89" s="210"/>
      <c r="AT89" s="425" t="str">
        <f t="shared" si="7"/>
        <v>KP0005892017Q415,9</v>
      </c>
      <c r="AU89" s="64" t="str">
        <f t="shared" si="8"/>
        <v>10-2017</v>
      </c>
      <c r="BA89" s="428" t="str">
        <f t="shared" si="9"/>
        <v>WIP - 30 Days</v>
      </c>
    </row>
    <row r="90" spans="1:245">
      <c r="B90" s="36" t="str">
        <f>'[6]price list MAN'!B90</f>
        <v>MA6-5463</v>
      </c>
      <c r="C90" s="10" t="str">
        <f>'[6]price list MAN'!C90</f>
        <v>CLA-15-2204X2BB-C</v>
      </c>
      <c r="D90" s="16" t="str">
        <f>IFERROR(VLOOKUP(C90&amp;"",'[7]Retail Price List'!$A$3:$B$103,2,FALSE),"Special Order")</f>
        <v>KP000589</v>
      </c>
      <c r="E90" s="494" t="str">
        <f>'[6]price list MAN'!E90</f>
        <v>CKD</v>
      </c>
      <c r="F90" s="11" t="str">
        <f>'[6]price list MAN'!F90</f>
        <v>2018-05-30</v>
      </c>
      <c r="G90" s="32">
        <f>'[6]price list MAN'!G90</f>
        <v>15.9</v>
      </c>
      <c r="H90" s="26">
        <f>'[6]price list MAN'!H90</f>
        <v>43039</v>
      </c>
      <c r="I90" s="51" t="str">
        <f t="shared" si="5"/>
        <v>2017Q4</v>
      </c>
      <c r="J90" s="177">
        <f>'[6]price list MAN'!J90</f>
        <v>695000</v>
      </c>
      <c r="K90" s="177">
        <f>'[6]price list MAN'!P90</f>
        <v>572250</v>
      </c>
      <c r="L90" s="177">
        <f>'[6]price list MAN'!R90</f>
        <v>545000</v>
      </c>
      <c r="M90" s="174">
        <f>'[6]price list MAN'!S90</f>
        <v>710000</v>
      </c>
      <c r="N90" s="174">
        <f>'[6]price list MAN'!Y90</f>
        <v>588000</v>
      </c>
      <c r="O90" s="174">
        <f>'[6]price list MAN'!AA90</f>
        <v>560000</v>
      </c>
      <c r="P90" s="68">
        <f t="shared" si="6"/>
        <v>0.21126760563380281</v>
      </c>
      <c r="Q90" s="62" t="e">
        <f>O90-#REF!</f>
        <v>#REF!</v>
      </c>
      <c r="W90" s="210"/>
      <c r="X90" s="210"/>
      <c r="Y90" s="210"/>
      <c r="Z90" s="210"/>
      <c r="AA90" s="210"/>
      <c r="AB90" s="210"/>
      <c r="AC90" s="210"/>
      <c r="AT90" s="425" t="str">
        <f t="shared" si="7"/>
        <v>KP0005892017Q415,9</v>
      </c>
      <c r="AU90" s="64" t="str">
        <f t="shared" si="8"/>
        <v>10-2017</v>
      </c>
      <c r="BA90" s="428" t="str">
        <f t="shared" si="9"/>
        <v>WIP - 30 Days</v>
      </c>
    </row>
    <row r="91" spans="1:245">
      <c r="B91" s="36" t="str">
        <f>'[6]price list MAN'!B91</f>
        <v>TBAKP589</v>
      </c>
      <c r="C91" s="10" t="str">
        <f>'[6]price list MAN'!C91</f>
        <v>CLA-15-2204X2BB-C</v>
      </c>
      <c r="D91" s="16" t="str">
        <f>IFERROR(VLOOKUP(C91&amp;"",'[7]Retail Price List'!$A$3:$B$103,2,FALSE),"Special Order")</f>
        <v>KP000589</v>
      </c>
      <c r="E91" s="494" t="str">
        <f>'[6]price list MAN'!E91</f>
        <v>CKD</v>
      </c>
      <c r="F91" s="11" t="str">
        <f>'[6]price list MAN'!F91</f>
        <v>2018-08-19</v>
      </c>
      <c r="G91" s="32">
        <f>'[6]price list MAN'!G91</f>
        <v>15.8</v>
      </c>
      <c r="H91" s="26">
        <f>'[6]price list MAN'!H91</f>
        <v>43159</v>
      </c>
      <c r="I91" s="51" t="str">
        <f t="shared" si="5"/>
        <v>2018Q1</v>
      </c>
      <c r="J91" s="177">
        <f>'[6]price list MAN'!J91</f>
        <v>695000</v>
      </c>
      <c r="K91" s="177">
        <f>'[6]price list MAN'!P91</f>
        <v>588000</v>
      </c>
      <c r="L91" s="177">
        <f>'[6]price list MAN'!R91</f>
        <v>560000</v>
      </c>
      <c r="M91" s="174">
        <f>'[6]price list MAN'!S91</f>
        <v>710000</v>
      </c>
      <c r="N91" s="174">
        <f>'[6]price list MAN'!Y91</f>
        <v>603750</v>
      </c>
      <c r="O91" s="174">
        <f>'[6]price list MAN'!AA91</f>
        <v>575000</v>
      </c>
      <c r="P91" s="68">
        <f t="shared" si="6"/>
        <v>0.19014084507042253</v>
      </c>
      <c r="Q91" s="62" t="e">
        <f>O91-#REF!</f>
        <v>#REF!</v>
      </c>
      <c r="R91" s="170" t="s">
        <v>8</v>
      </c>
      <c r="S91" s="64">
        <v>11.2</v>
      </c>
      <c r="T91" s="64">
        <v>-1.8</v>
      </c>
      <c r="U91" s="64">
        <v>2.8</v>
      </c>
      <c r="W91" s="210"/>
      <c r="X91" s="210"/>
      <c r="Y91" s="210"/>
      <c r="Z91" s="210"/>
      <c r="AA91" s="210"/>
      <c r="AB91" s="210"/>
      <c r="AC91" s="210"/>
      <c r="AT91" s="425" t="str">
        <f t="shared" si="7"/>
        <v>KP0005892018Q115,8</v>
      </c>
      <c r="AU91" s="64" t="str">
        <f t="shared" si="8"/>
        <v>02-2018</v>
      </c>
      <c r="BA91" s="428" t="str">
        <f t="shared" si="9"/>
        <v>WIP - 30 Days</v>
      </c>
    </row>
    <row r="92" spans="1:245">
      <c r="B92" s="36" t="str">
        <f>'[6]price list MAN'!B92</f>
        <v>MC6-3602</v>
      </c>
      <c r="C92" s="10" t="str">
        <f>'[6]price list MAN'!C92</f>
        <v>CLA-26-2806X4BB-C-K</v>
      </c>
      <c r="D92" s="16" t="str">
        <f>IFERROR(VLOOKUP(C92&amp;"",'[7]Retail Price List'!$A$3:$B$103,2,FALSE),"Special Order")</f>
        <v>KP000516</v>
      </c>
      <c r="E92" s="494" t="str">
        <f>'[6]price list MAN'!E92</f>
        <v>BOOKED</v>
      </c>
      <c r="F92" s="11">
        <f>'[6]price list MAN'!F92</f>
        <v>341</v>
      </c>
      <c r="G92" s="32">
        <f>'[6]price list MAN'!G92</f>
        <v>16</v>
      </c>
      <c r="H92" s="26">
        <f>'[6]price list MAN'!H92</f>
        <v>42656</v>
      </c>
      <c r="I92" s="51" t="str">
        <f t="shared" si="5"/>
        <v>201610Q4</v>
      </c>
      <c r="J92" s="177">
        <f>'[6]price list MAN'!J92</f>
        <v>1050000</v>
      </c>
      <c r="K92" s="177">
        <f>'[6]price list MAN'!P92</f>
        <v>829500</v>
      </c>
      <c r="L92" s="177">
        <f>'[6]price list MAN'!R92</f>
        <v>790000</v>
      </c>
      <c r="M92" s="174">
        <f>'[6]price list MAN'!S92</f>
        <v>1080000</v>
      </c>
      <c r="N92" s="174">
        <f>'[6]price list MAN'!Y92</f>
        <v>861000</v>
      </c>
      <c r="O92" s="174">
        <f>'[6]price list MAN'!AA92</f>
        <v>820000</v>
      </c>
      <c r="P92" s="68">
        <f t="shared" si="6"/>
        <v>0.24074074074074073</v>
      </c>
      <c r="Q92" s="62" t="e">
        <f>O92-#REF!</f>
        <v>#REF!</v>
      </c>
      <c r="R92" s="170" t="s">
        <v>12</v>
      </c>
      <c r="S92" s="64">
        <v>5.8</v>
      </c>
      <c r="T92" s="64">
        <v>2.7</v>
      </c>
      <c r="U92" s="64">
        <v>3.5</v>
      </c>
      <c r="W92" s="210"/>
      <c r="X92" s="210"/>
      <c r="Y92" s="210"/>
      <c r="Z92" s="210"/>
      <c r="AA92" s="210"/>
      <c r="AB92" s="210"/>
      <c r="AC92" s="210"/>
      <c r="AT92" s="425" t="str">
        <f t="shared" si="7"/>
        <v>KP000516201610Q416</v>
      </c>
      <c r="AU92" s="64" t="str">
        <f t="shared" si="8"/>
        <v>10-2016</v>
      </c>
      <c r="BA92" s="428" t="str">
        <f t="shared" si="9"/>
        <v>121-365 Days</v>
      </c>
    </row>
    <row r="93" spans="1:245">
      <c r="B93" s="36" t="str">
        <f>'[6]price list MAN'!B93</f>
        <v>MC6-3807</v>
      </c>
      <c r="C93" s="10" t="str">
        <f>'[6]price list MAN'!C93</f>
        <v>CLA-26-2806X4BB-C-K</v>
      </c>
      <c r="D93" s="16" t="str">
        <f>IFERROR(VLOOKUP(C93&amp;"",'[7]Retail Price List'!$A$3:$B$103,2,FALSE),"Special Order")</f>
        <v>KP000516</v>
      </c>
      <c r="E93" s="494" t="str">
        <f>'[6]price list MAN'!E93</f>
        <v>BODY</v>
      </c>
      <c r="F93" s="11">
        <f>'[6]price list MAN'!F93</f>
        <v>144</v>
      </c>
      <c r="G93" s="32">
        <f>'[6]price list MAN'!G93</f>
        <v>14.7</v>
      </c>
      <c r="H93" s="26">
        <f>'[6]price list MAN'!H93</f>
        <v>42900</v>
      </c>
      <c r="I93" s="51" t="str">
        <f t="shared" si="5"/>
        <v>2017Q2</v>
      </c>
      <c r="J93" s="177">
        <f>'[6]price list MAN'!J93</f>
        <v>1050000</v>
      </c>
      <c r="K93" s="177">
        <f>'[6]price list MAN'!P93</f>
        <v>829500</v>
      </c>
      <c r="L93" s="177">
        <f>'[6]price list MAN'!R93</f>
        <v>790000</v>
      </c>
      <c r="M93" s="174">
        <f>'[6]price list MAN'!S93</f>
        <v>1080000</v>
      </c>
      <c r="N93" s="174">
        <f>'[6]price list MAN'!Y93</f>
        <v>861000</v>
      </c>
      <c r="O93" s="174">
        <f>'[6]price list MAN'!AA93</f>
        <v>820000</v>
      </c>
      <c r="P93" s="68">
        <f t="shared" si="6"/>
        <v>0.24074074074074073</v>
      </c>
      <c r="Q93" s="62" t="e">
        <f>O93-#REF!</f>
        <v>#REF!</v>
      </c>
      <c r="R93" s="63" t="s">
        <v>13</v>
      </c>
      <c r="S93" s="64">
        <f>COUNT(#REF!)</f>
        <v>0</v>
      </c>
      <c r="W93" s="210"/>
      <c r="X93" s="210"/>
      <c r="Y93" s="210"/>
      <c r="Z93" s="210"/>
      <c r="AA93" s="210"/>
      <c r="AB93" s="210"/>
      <c r="AC93" s="210"/>
      <c r="AT93" s="425" t="str">
        <f t="shared" si="7"/>
        <v>KP0005162017Q214,7</v>
      </c>
      <c r="AU93" s="64" t="str">
        <f t="shared" si="8"/>
        <v>06-2017</v>
      </c>
      <c r="BA93" s="428" t="str">
        <f t="shared" si="9"/>
        <v>121-365 Days</v>
      </c>
    </row>
    <row r="94" spans="1:245">
      <c r="B94" s="36" t="str">
        <f>'[6]price list MAN'!B94</f>
        <v>MC6-3809</v>
      </c>
      <c r="C94" s="10" t="str">
        <f>'[6]price list MAN'!C94</f>
        <v>CLA-26-2806X4BB-C-K</v>
      </c>
      <c r="D94" s="16" t="str">
        <f>IFERROR(VLOOKUP(C94&amp;"",'[7]Retail Price List'!$A$3:$B$103,2,FALSE),"Special Order")</f>
        <v>KP000516</v>
      </c>
      <c r="E94" s="494" t="str">
        <f>'[6]price list MAN'!E94</f>
        <v>BODY</v>
      </c>
      <c r="F94" s="11">
        <f>'[6]price list MAN'!F94</f>
        <v>166</v>
      </c>
      <c r="G94" s="32">
        <f>'[6]price list MAN'!G94</f>
        <v>14.7</v>
      </c>
      <c r="H94" s="26">
        <f>'[6]price list MAN'!H94</f>
        <v>42900</v>
      </c>
      <c r="I94" s="51" t="str">
        <f t="shared" si="5"/>
        <v>2017Q2</v>
      </c>
      <c r="J94" s="177">
        <f>'[6]price list MAN'!J94</f>
        <v>1050000</v>
      </c>
      <c r="K94" s="177">
        <f>'[6]price list MAN'!P94</f>
        <v>829500</v>
      </c>
      <c r="L94" s="177">
        <f>'[6]price list MAN'!R94</f>
        <v>790000</v>
      </c>
      <c r="M94" s="174">
        <f>'[6]price list MAN'!S94</f>
        <v>1080000</v>
      </c>
      <c r="N94" s="174">
        <f>'[6]price list MAN'!Y94</f>
        <v>861000</v>
      </c>
      <c r="O94" s="174">
        <f>'[6]price list MAN'!AA94</f>
        <v>820000</v>
      </c>
      <c r="P94" s="68">
        <f t="shared" si="6"/>
        <v>0.24074074074074073</v>
      </c>
      <c r="Q94" s="62" t="e">
        <f>O94-#REF!</f>
        <v>#REF!</v>
      </c>
      <c r="R94" s="63" t="s">
        <v>14</v>
      </c>
      <c r="S94" s="62" t="e">
        <f>+AVERAGE(#REF!)</f>
        <v>#REF!</v>
      </c>
      <c r="W94" s="210"/>
      <c r="X94" s="210"/>
      <c r="Y94" s="210"/>
      <c r="Z94" s="210"/>
      <c r="AA94" s="210"/>
      <c r="AB94" s="210"/>
      <c r="AC94" s="210"/>
      <c r="AT94" s="425" t="str">
        <f t="shared" si="7"/>
        <v>KP0005162017Q214,7</v>
      </c>
      <c r="AU94" s="64" t="str">
        <f t="shared" si="8"/>
        <v>06-2017</v>
      </c>
      <c r="BA94" s="428" t="str">
        <f t="shared" si="9"/>
        <v>121-365 Days</v>
      </c>
    </row>
    <row r="95" spans="1:245">
      <c r="B95" s="36" t="str">
        <f>'[6]price list MAN'!B95</f>
        <v>MC6-3815</v>
      </c>
      <c r="C95" s="10" t="str">
        <f>'[6]price list MAN'!C95</f>
        <v>CLA-26-2806X4BB-C-K</v>
      </c>
      <c r="D95" s="16" t="str">
        <f>IFERROR(VLOOKUP(C95&amp;"",'[7]Retail Price List'!$A$3:$B$103,2,FALSE),"Special Order")</f>
        <v>KP000516</v>
      </c>
      <c r="E95" s="494" t="str">
        <f>'[6]price list MAN'!E95</f>
        <v>BODY</v>
      </c>
      <c r="F95" s="11">
        <f>'[6]price list MAN'!F95</f>
        <v>131</v>
      </c>
      <c r="G95" s="32">
        <f>'[6]price list MAN'!G95</f>
        <v>14.7</v>
      </c>
      <c r="H95" s="26">
        <f>'[6]price list MAN'!H95</f>
        <v>42900</v>
      </c>
      <c r="I95" s="51" t="str">
        <f t="shared" si="5"/>
        <v>2017Q2</v>
      </c>
      <c r="J95" s="177">
        <f>'[6]price list MAN'!J95</f>
        <v>1050000</v>
      </c>
      <c r="K95" s="177">
        <f>'[6]price list MAN'!P95</f>
        <v>829500</v>
      </c>
      <c r="L95" s="177">
        <f>'[6]price list MAN'!R95</f>
        <v>790000</v>
      </c>
      <c r="M95" s="174">
        <f>'[6]price list MAN'!S95</f>
        <v>1080000</v>
      </c>
      <c r="N95" s="174">
        <f>'[6]price list MAN'!Y95</f>
        <v>861000</v>
      </c>
      <c r="O95" s="174">
        <f>'[6]price list MAN'!AA95</f>
        <v>820000</v>
      </c>
      <c r="P95" s="68">
        <f t="shared" si="6"/>
        <v>0.24074074074074073</v>
      </c>
      <c r="Q95" s="62" t="e">
        <f>O95-#REF!</f>
        <v>#REF!</v>
      </c>
      <c r="W95" s="210"/>
      <c r="X95" s="210"/>
      <c r="Y95" s="210"/>
      <c r="Z95" s="210"/>
      <c r="AA95" s="210"/>
      <c r="AB95" s="210"/>
      <c r="AC95" s="210"/>
      <c r="AT95" s="425" t="str">
        <f t="shared" si="7"/>
        <v>KP0005162017Q214,7</v>
      </c>
      <c r="AU95" s="64" t="str">
        <f t="shared" si="8"/>
        <v>06-2017</v>
      </c>
      <c r="BA95" s="428" t="str">
        <f t="shared" si="9"/>
        <v>121-365 Days</v>
      </c>
    </row>
    <row r="96" spans="1:245">
      <c r="B96" s="36" t="str">
        <f>'[6]price list MAN'!B96</f>
        <v>MC6-3816</v>
      </c>
      <c r="C96" s="10" t="str">
        <f>'[6]price list MAN'!C96</f>
        <v>CLA-26-2806X4BB-C-K</v>
      </c>
      <c r="D96" s="16" t="str">
        <f>IFERROR(VLOOKUP(C96&amp;"",'[7]Retail Price List'!$A$3:$B$103,2,FALSE),"Special Order")</f>
        <v>KP000516</v>
      </c>
      <c r="E96" s="494" t="str">
        <f>'[6]price list MAN'!E96</f>
        <v>BODY</v>
      </c>
      <c r="F96" s="11">
        <f>'[6]price list MAN'!F96</f>
        <v>131</v>
      </c>
      <c r="G96" s="32">
        <f>'[6]price list MAN'!G96</f>
        <v>14.7</v>
      </c>
      <c r="H96" s="26">
        <f>'[6]price list MAN'!H96</f>
        <v>42900</v>
      </c>
      <c r="I96" s="51" t="str">
        <f t="shared" si="5"/>
        <v>2017Q2</v>
      </c>
      <c r="J96" s="177">
        <f>'[6]price list MAN'!J96</f>
        <v>1050000</v>
      </c>
      <c r="K96" s="177">
        <f>'[6]price list MAN'!P96</f>
        <v>829500</v>
      </c>
      <c r="L96" s="177">
        <f>'[6]price list MAN'!R96</f>
        <v>790000</v>
      </c>
      <c r="M96" s="174">
        <f>'[6]price list MAN'!S96</f>
        <v>1080000</v>
      </c>
      <c r="N96" s="174">
        <f>'[6]price list MAN'!Y96</f>
        <v>861000</v>
      </c>
      <c r="O96" s="174">
        <f>'[6]price list MAN'!AA96</f>
        <v>820000</v>
      </c>
      <c r="P96" s="68">
        <f t="shared" si="6"/>
        <v>0.24074074074074073</v>
      </c>
      <c r="Q96" s="62" t="e">
        <f>O96-#REF!</f>
        <v>#REF!</v>
      </c>
      <c r="W96" s="210"/>
      <c r="X96" s="210"/>
      <c r="Y96" s="210"/>
      <c r="Z96" s="210"/>
      <c r="AA96" s="210"/>
      <c r="AB96" s="210"/>
      <c r="AC96" s="210"/>
      <c r="AT96" s="425" t="str">
        <f t="shared" si="7"/>
        <v>KP0005162017Q214,7</v>
      </c>
      <c r="AU96" s="64" t="str">
        <f t="shared" si="8"/>
        <v>06-2017</v>
      </c>
      <c r="BA96" s="428" t="str">
        <f t="shared" si="9"/>
        <v>121-365 Days</v>
      </c>
    </row>
    <row r="97" spans="2:53">
      <c r="B97" s="36" t="str">
        <f>'[6]price list MAN'!B97</f>
        <v>MC6-3817</v>
      </c>
      <c r="C97" s="10" t="str">
        <f>'[6]price list MAN'!C97</f>
        <v>CLA-26-2806X4BB-C-K</v>
      </c>
      <c r="D97" s="16" t="str">
        <f>IFERROR(VLOOKUP(C97&amp;"",'[7]Retail Price List'!$A$3:$B$103,2,FALSE),"Special Order")</f>
        <v>KP000516</v>
      </c>
      <c r="E97" s="494" t="str">
        <f>'[6]price list MAN'!E97</f>
        <v>BODY</v>
      </c>
      <c r="F97" s="11">
        <f>'[6]price list MAN'!F97</f>
        <v>131</v>
      </c>
      <c r="G97" s="32">
        <f>'[6]price list MAN'!G97</f>
        <v>14.7</v>
      </c>
      <c r="H97" s="26">
        <f>'[6]price list MAN'!H97</f>
        <v>42900</v>
      </c>
      <c r="I97" s="51" t="str">
        <f t="shared" si="5"/>
        <v>2017Q2</v>
      </c>
      <c r="J97" s="177">
        <f>'[6]price list MAN'!J97</f>
        <v>1050000</v>
      </c>
      <c r="K97" s="177">
        <f>'[6]price list MAN'!P97</f>
        <v>829500</v>
      </c>
      <c r="L97" s="177">
        <f>'[6]price list MAN'!R97</f>
        <v>790000</v>
      </c>
      <c r="M97" s="174">
        <f>'[6]price list MAN'!S97</f>
        <v>1080000</v>
      </c>
      <c r="N97" s="174">
        <f>'[6]price list MAN'!Y97</f>
        <v>861000</v>
      </c>
      <c r="O97" s="174">
        <f>'[6]price list MAN'!AA97</f>
        <v>820000</v>
      </c>
      <c r="P97" s="68">
        <f t="shared" si="6"/>
        <v>0.24074074074074073</v>
      </c>
      <c r="Q97" s="62" t="e">
        <f>O97-#REF!</f>
        <v>#REF!</v>
      </c>
      <c r="W97" s="210"/>
      <c r="X97" s="210"/>
      <c r="Y97" s="210"/>
      <c r="Z97" s="210"/>
      <c r="AA97" s="210"/>
      <c r="AB97" s="210"/>
      <c r="AC97" s="210"/>
      <c r="AT97" s="425" t="str">
        <f t="shared" si="7"/>
        <v>KP0005162017Q214,7</v>
      </c>
      <c r="AU97" s="64" t="str">
        <f t="shared" si="8"/>
        <v>06-2017</v>
      </c>
      <c r="BA97" s="428" t="str">
        <f t="shared" si="9"/>
        <v>121-365 Days</v>
      </c>
    </row>
    <row r="98" spans="2:53">
      <c r="B98" s="36" t="str">
        <f>'[6]price list MAN'!B98</f>
        <v>MC6-3818</v>
      </c>
      <c r="C98" s="10" t="str">
        <f>'[6]price list MAN'!C98</f>
        <v>CLA-26-2806X4BB-C-K</v>
      </c>
      <c r="D98" s="16" t="str">
        <f>IFERROR(VLOOKUP(C98&amp;"",'[7]Retail Price List'!$A$3:$B$103,2,FALSE),"Special Order")</f>
        <v>KP000516</v>
      </c>
      <c r="E98" s="494" t="str">
        <f>'[6]price list MAN'!E98</f>
        <v>BODY</v>
      </c>
      <c r="F98" s="11">
        <f>'[6]price list MAN'!F98</f>
        <v>131</v>
      </c>
      <c r="G98" s="32">
        <f>'[6]price list MAN'!G98</f>
        <v>14.7</v>
      </c>
      <c r="H98" s="26">
        <f>'[6]price list MAN'!H98</f>
        <v>42900</v>
      </c>
      <c r="I98" s="51" t="str">
        <f t="shared" si="5"/>
        <v>2017Q2</v>
      </c>
      <c r="J98" s="177">
        <f>'[6]price list MAN'!J98</f>
        <v>1050000</v>
      </c>
      <c r="K98" s="177">
        <f>'[6]price list MAN'!P98</f>
        <v>829500</v>
      </c>
      <c r="L98" s="177">
        <f>'[6]price list MAN'!R98</f>
        <v>790000</v>
      </c>
      <c r="M98" s="174">
        <f>'[6]price list MAN'!S98</f>
        <v>1080000</v>
      </c>
      <c r="N98" s="174">
        <f>'[6]price list MAN'!Y98</f>
        <v>861000</v>
      </c>
      <c r="O98" s="174">
        <f>'[6]price list MAN'!AA98</f>
        <v>820000</v>
      </c>
      <c r="P98" s="68">
        <f t="shared" si="6"/>
        <v>0.24074074074074073</v>
      </c>
      <c r="Q98" s="62" t="e">
        <f>O98-#REF!</f>
        <v>#REF!</v>
      </c>
      <c r="W98" s="210"/>
      <c r="X98" s="210"/>
      <c r="Y98" s="210"/>
      <c r="Z98" s="210"/>
      <c r="AA98" s="210"/>
      <c r="AB98" s="210"/>
      <c r="AC98" s="210"/>
      <c r="AT98" s="425" t="str">
        <f t="shared" si="7"/>
        <v>KP0005162017Q214,7</v>
      </c>
      <c r="AU98" s="64" t="str">
        <f t="shared" si="8"/>
        <v>06-2017</v>
      </c>
      <c r="BA98" s="428" t="str">
        <f t="shared" si="9"/>
        <v>121-365 Days</v>
      </c>
    </row>
    <row r="99" spans="2:53">
      <c r="B99" s="36" t="str">
        <f>'[6]price list MAN'!B99</f>
        <v>MC6-3831</v>
      </c>
      <c r="C99" s="10" t="str">
        <f>'[6]price list MAN'!C99</f>
        <v>CLA-26-2806X4BB-C-K</v>
      </c>
      <c r="D99" s="16" t="str">
        <f>IFERROR(VLOOKUP(C99&amp;"",'[7]Retail Price List'!$A$3:$B$103,2,FALSE),"Special Order")</f>
        <v>KP000516</v>
      </c>
      <c r="E99" s="494" t="str">
        <f>'[6]price list MAN'!E99</f>
        <v>UNSOLD</v>
      </c>
      <c r="F99" s="11">
        <f>'[6]price list MAN'!F99</f>
        <v>109</v>
      </c>
      <c r="G99" s="32">
        <f>'[6]price list MAN'!G99</f>
        <v>14.7</v>
      </c>
      <c r="H99" s="26">
        <f>'[6]price list MAN'!H99</f>
        <v>42900</v>
      </c>
      <c r="I99" s="51" t="str">
        <f t="shared" si="5"/>
        <v>2017Q2</v>
      </c>
      <c r="J99" s="177">
        <f>'[6]price list MAN'!J99</f>
        <v>1050000</v>
      </c>
      <c r="K99" s="177">
        <f>'[6]price list MAN'!P99</f>
        <v>829500</v>
      </c>
      <c r="L99" s="177">
        <f>'[6]price list MAN'!R99</f>
        <v>790000</v>
      </c>
      <c r="M99" s="174">
        <f>'[6]price list MAN'!S99</f>
        <v>1080000</v>
      </c>
      <c r="N99" s="174">
        <f>'[6]price list MAN'!Y99</f>
        <v>861000</v>
      </c>
      <c r="O99" s="174">
        <f>'[6]price list MAN'!AA99</f>
        <v>820000</v>
      </c>
      <c r="P99" s="68">
        <f t="shared" si="6"/>
        <v>0.24074074074074073</v>
      </c>
      <c r="Q99" s="62" t="e">
        <f>O99-#REF!</f>
        <v>#REF!</v>
      </c>
      <c r="W99" s="210"/>
      <c r="X99" s="210"/>
      <c r="Y99" s="210"/>
      <c r="Z99" s="210"/>
      <c r="AA99" s="210"/>
      <c r="AB99" s="210"/>
      <c r="AC99" s="210"/>
      <c r="AT99" s="425" t="str">
        <f t="shared" si="7"/>
        <v>KP0005162017Q214,7</v>
      </c>
      <c r="AU99" s="64" t="str">
        <f t="shared" si="8"/>
        <v>06-2017</v>
      </c>
      <c r="BA99" s="428" t="str">
        <f t="shared" si="9"/>
        <v>31-120 Days</v>
      </c>
    </row>
    <row r="100" spans="2:53">
      <c r="B100" s="36" t="str">
        <f>'[6]price list MAN'!B100</f>
        <v>MC6-3832</v>
      </c>
      <c r="C100" s="10" t="str">
        <f>'[6]price list MAN'!C100</f>
        <v>CLA-26-2806X4BB-C-K</v>
      </c>
      <c r="D100" s="16" t="str">
        <f>IFERROR(VLOOKUP(C100&amp;"",'[7]Retail Price List'!$A$3:$B$103,2,FALSE),"Special Order")</f>
        <v>KP000516</v>
      </c>
      <c r="E100" s="494" t="str">
        <f>'[6]price list MAN'!E100</f>
        <v>BODY</v>
      </c>
      <c r="F100" s="11">
        <f>'[6]price list MAN'!F100</f>
        <v>111</v>
      </c>
      <c r="G100" s="32">
        <f>'[6]price list MAN'!G100</f>
        <v>14.7</v>
      </c>
      <c r="H100" s="26">
        <f>'[6]price list MAN'!H100</f>
        <v>42900</v>
      </c>
      <c r="I100" s="51" t="str">
        <f t="shared" si="5"/>
        <v>2017Q2</v>
      </c>
      <c r="J100" s="177">
        <f>'[6]price list MAN'!J100</f>
        <v>1050000</v>
      </c>
      <c r="K100" s="177">
        <f>'[6]price list MAN'!P100</f>
        <v>829500</v>
      </c>
      <c r="L100" s="177">
        <f>'[6]price list MAN'!R100</f>
        <v>790000</v>
      </c>
      <c r="M100" s="174">
        <f>'[6]price list MAN'!S100</f>
        <v>1080000</v>
      </c>
      <c r="N100" s="174">
        <f>'[6]price list MAN'!Y100</f>
        <v>861000</v>
      </c>
      <c r="O100" s="174">
        <f>'[6]price list MAN'!AA100</f>
        <v>820000</v>
      </c>
      <c r="P100" s="68">
        <f t="shared" si="6"/>
        <v>0.24074074074074073</v>
      </c>
      <c r="Q100" s="62" t="e">
        <f>O100-#REF!</f>
        <v>#REF!</v>
      </c>
      <c r="W100" s="210"/>
      <c r="X100" s="210"/>
      <c r="Y100" s="210"/>
      <c r="Z100" s="210"/>
      <c r="AA100" s="210"/>
      <c r="AB100" s="210"/>
      <c r="AC100" s="210"/>
      <c r="AT100" s="425" t="str">
        <f t="shared" si="7"/>
        <v>KP0005162017Q214,7</v>
      </c>
      <c r="AU100" s="64" t="str">
        <f t="shared" si="8"/>
        <v>06-2017</v>
      </c>
      <c r="BA100" s="428" t="str">
        <f t="shared" si="9"/>
        <v>31-120 Days</v>
      </c>
    </row>
    <row r="101" spans="2:53">
      <c r="B101" s="36" t="str">
        <f>'[6]price list MAN'!B101</f>
        <v>MC6-3833</v>
      </c>
      <c r="C101" s="10" t="str">
        <f>'[6]price list MAN'!C101</f>
        <v>CLA-26-2806X4BB-C-K</v>
      </c>
      <c r="D101" s="16" t="str">
        <f>IFERROR(VLOOKUP(C101&amp;"",'[7]Retail Price List'!$A$3:$B$103,2,FALSE),"Special Order")</f>
        <v>KP000516</v>
      </c>
      <c r="E101" s="494" t="str">
        <f>'[6]price list MAN'!E101</f>
        <v>UNSOLD</v>
      </c>
      <c r="F101" s="11">
        <f>'[6]price list MAN'!F101</f>
        <v>109</v>
      </c>
      <c r="G101" s="32">
        <f>'[6]price list MAN'!G101</f>
        <v>14.7</v>
      </c>
      <c r="H101" s="26">
        <f>'[6]price list MAN'!H101</f>
        <v>42900</v>
      </c>
      <c r="I101" s="51" t="str">
        <f t="shared" si="5"/>
        <v>2017Q2</v>
      </c>
      <c r="J101" s="177">
        <f>'[6]price list MAN'!J101</f>
        <v>1050000</v>
      </c>
      <c r="K101" s="177">
        <f>'[6]price list MAN'!P101</f>
        <v>829500</v>
      </c>
      <c r="L101" s="177">
        <f>'[6]price list MAN'!R101</f>
        <v>790000</v>
      </c>
      <c r="M101" s="174">
        <f>'[6]price list MAN'!S101</f>
        <v>1080000</v>
      </c>
      <c r="N101" s="174">
        <f>'[6]price list MAN'!Y101</f>
        <v>861000</v>
      </c>
      <c r="O101" s="174">
        <f>'[6]price list MAN'!AA101</f>
        <v>820000</v>
      </c>
      <c r="P101" s="68">
        <f t="shared" si="6"/>
        <v>0.24074074074074073</v>
      </c>
      <c r="Q101" s="62" t="e">
        <f>O101-#REF!</f>
        <v>#REF!</v>
      </c>
      <c r="W101" s="210"/>
      <c r="X101" s="210"/>
      <c r="Y101" s="210"/>
      <c r="Z101" s="210"/>
      <c r="AA101" s="210"/>
      <c r="AB101" s="210"/>
      <c r="AC101" s="210"/>
      <c r="AT101" s="425" t="str">
        <f t="shared" si="7"/>
        <v>KP0005162017Q214,7</v>
      </c>
      <c r="AU101" s="64" t="str">
        <f t="shared" si="8"/>
        <v>06-2017</v>
      </c>
      <c r="BA101" s="428" t="str">
        <f t="shared" si="9"/>
        <v>31-120 Days</v>
      </c>
    </row>
    <row r="102" spans="2:53">
      <c r="B102" s="36" t="str">
        <f>'[6]price list MAN'!B102</f>
        <v>MC6-3834</v>
      </c>
      <c r="C102" s="10" t="str">
        <f>'[6]price list MAN'!C102</f>
        <v>CLA-26-2806X4BB-C-K</v>
      </c>
      <c r="D102" s="16" t="str">
        <f>IFERROR(VLOOKUP(C102&amp;"",'[7]Retail Price List'!$A$3:$B$103,2,FALSE),"Special Order")</f>
        <v>KP000516</v>
      </c>
      <c r="E102" s="494" t="str">
        <f>'[6]price list MAN'!E102</f>
        <v>BODY</v>
      </c>
      <c r="F102" s="11">
        <f>'[6]price list MAN'!F102</f>
        <v>109</v>
      </c>
      <c r="G102" s="32">
        <f>'[6]price list MAN'!G102</f>
        <v>14.7</v>
      </c>
      <c r="H102" s="26">
        <f>'[6]price list MAN'!H102</f>
        <v>42900</v>
      </c>
      <c r="I102" s="51" t="str">
        <f t="shared" si="5"/>
        <v>2017Q2</v>
      </c>
      <c r="J102" s="177">
        <f>'[6]price list MAN'!J102</f>
        <v>1050000</v>
      </c>
      <c r="K102" s="177">
        <f>'[6]price list MAN'!P102</f>
        <v>829500</v>
      </c>
      <c r="L102" s="177">
        <f>'[6]price list MAN'!R102</f>
        <v>790000</v>
      </c>
      <c r="M102" s="174">
        <f>'[6]price list MAN'!S102</f>
        <v>1080000</v>
      </c>
      <c r="N102" s="174">
        <f>'[6]price list MAN'!Y102</f>
        <v>861000</v>
      </c>
      <c r="O102" s="174">
        <f>'[6]price list MAN'!AA102</f>
        <v>820000</v>
      </c>
      <c r="P102" s="68">
        <f t="shared" si="6"/>
        <v>0.24074074074074073</v>
      </c>
      <c r="Q102" s="62" t="e">
        <f>O102-#REF!</f>
        <v>#REF!</v>
      </c>
      <c r="W102" s="210"/>
      <c r="X102" s="210"/>
      <c r="Y102" s="210"/>
      <c r="Z102" s="210"/>
      <c r="AA102" s="210"/>
      <c r="AB102" s="210"/>
      <c r="AC102" s="210"/>
      <c r="AT102" s="425" t="str">
        <f t="shared" si="7"/>
        <v>KP0005162017Q214,7</v>
      </c>
      <c r="AU102" s="64" t="str">
        <f t="shared" si="8"/>
        <v>06-2017</v>
      </c>
      <c r="BA102" s="428" t="str">
        <f t="shared" si="9"/>
        <v>31-120 Days</v>
      </c>
    </row>
    <row r="103" spans="2:53">
      <c r="B103" s="36" t="str">
        <f>'[6]price list MAN'!B103</f>
        <v>MC6-3836</v>
      </c>
      <c r="C103" s="10" t="str">
        <f>'[6]price list MAN'!C103</f>
        <v>CLA-26-2806X4BB-C-K</v>
      </c>
      <c r="D103" s="16" t="str">
        <f>IFERROR(VLOOKUP(C103&amp;"",'[7]Retail Price List'!$A$3:$B$103,2,FALSE),"Special Order")</f>
        <v>KP000516</v>
      </c>
      <c r="E103" s="494" t="str">
        <f>'[6]price list MAN'!E103</f>
        <v>BOOKED</v>
      </c>
      <c r="F103" s="11">
        <f>'[6]price list MAN'!F103</f>
        <v>113</v>
      </c>
      <c r="G103" s="32">
        <f>'[6]price list MAN'!G103</f>
        <v>14.7</v>
      </c>
      <c r="H103" s="26">
        <f>'[6]price list MAN'!H103</f>
        <v>42900</v>
      </c>
      <c r="I103" s="51" t="str">
        <f t="shared" si="5"/>
        <v>2017Q2</v>
      </c>
      <c r="J103" s="177">
        <f>'[6]price list MAN'!J103</f>
        <v>1050000</v>
      </c>
      <c r="K103" s="177">
        <f>'[6]price list MAN'!P103</f>
        <v>829500</v>
      </c>
      <c r="L103" s="177">
        <f>'[6]price list MAN'!R103</f>
        <v>790000</v>
      </c>
      <c r="M103" s="174">
        <f>'[6]price list MAN'!S103</f>
        <v>1080000</v>
      </c>
      <c r="N103" s="174">
        <f>'[6]price list MAN'!Y103</f>
        <v>861000</v>
      </c>
      <c r="O103" s="174">
        <f>'[6]price list MAN'!AA103</f>
        <v>820000</v>
      </c>
      <c r="P103" s="68">
        <f t="shared" si="6"/>
        <v>0.24074074074074073</v>
      </c>
      <c r="Q103" s="62" t="e">
        <f>O103-#REF!</f>
        <v>#REF!</v>
      </c>
      <c r="W103" s="210"/>
      <c r="X103" s="210"/>
      <c r="Y103" s="210"/>
      <c r="Z103" s="210"/>
      <c r="AA103" s="210"/>
      <c r="AB103" s="210"/>
      <c r="AC103" s="210"/>
      <c r="AT103" s="425" t="str">
        <f t="shared" si="7"/>
        <v>KP0005162017Q214,7</v>
      </c>
      <c r="AU103" s="64" t="str">
        <f t="shared" si="8"/>
        <v>06-2017</v>
      </c>
      <c r="BA103" s="428" t="str">
        <f t="shared" si="9"/>
        <v>31-120 Days</v>
      </c>
    </row>
    <row r="104" spans="2:53">
      <c r="B104" s="36" t="str">
        <f>'[6]price list MAN'!B104</f>
        <v>MC6-3901</v>
      </c>
      <c r="C104" s="10" t="str">
        <f>'[6]price list MAN'!C104</f>
        <v>CLA-26-2806X4BB-C-K</v>
      </c>
      <c r="D104" s="16" t="str">
        <f>IFERROR(VLOOKUP(C104&amp;"",'[7]Retail Price List'!$A$3:$B$103,2,FALSE),"Special Order")</f>
        <v>KP000516</v>
      </c>
      <c r="E104" s="494" t="str">
        <f>'[6]price list MAN'!E104</f>
        <v>CKD</v>
      </c>
      <c r="F104" s="11" t="str">
        <f>'[6]price list MAN'!F104</f>
        <v>2018-09-30</v>
      </c>
      <c r="G104" s="32">
        <f>'[6]price list MAN'!G104</f>
        <v>14.7</v>
      </c>
      <c r="H104" s="26">
        <f>'[6]price list MAN'!H104</f>
        <v>42947</v>
      </c>
      <c r="I104" s="51" t="str">
        <f t="shared" si="5"/>
        <v>201707Q3</v>
      </c>
      <c r="J104" s="177">
        <f>'[6]price list MAN'!J104</f>
        <v>1050000</v>
      </c>
      <c r="K104" s="177">
        <f>'[6]price list MAN'!P104</f>
        <v>866250</v>
      </c>
      <c r="L104" s="177">
        <f>'[6]price list MAN'!R104</f>
        <v>825000</v>
      </c>
      <c r="M104" s="174">
        <f>'[6]price list MAN'!S104</f>
        <v>1080000</v>
      </c>
      <c r="N104" s="174">
        <f>'[6]price list MAN'!Y104</f>
        <v>897750</v>
      </c>
      <c r="O104" s="174">
        <f>'[6]price list MAN'!AA104</f>
        <v>855000</v>
      </c>
      <c r="P104" s="68">
        <f t="shared" si="6"/>
        <v>0.20833333333333334</v>
      </c>
      <c r="Q104" s="62" t="e">
        <f>O104-#REF!</f>
        <v>#REF!</v>
      </c>
      <c r="W104" s="210"/>
      <c r="X104" s="210"/>
      <c r="Y104" s="210"/>
      <c r="Z104" s="210"/>
      <c r="AA104" s="210"/>
      <c r="AB104" s="210"/>
      <c r="AC104" s="210"/>
      <c r="AT104" s="425" t="str">
        <f t="shared" si="7"/>
        <v>KP000516201707Q314,7</v>
      </c>
      <c r="AU104" s="64" t="str">
        <f t="shared" si="8"/>
        <v>07-2017</v>
      </c>
      <c r="BA104" s="428" t="str">
        <f t="shared" si="9"/>
        <v>WIP - 30 Days</v>
      </c>
    </row>
    <row r="105" spans="2:53">
      <c r="B105" s="36" t="str">
        <f>'[6]price list MAN'!B105</f>
        <v>MC6-3902</v>
      </c>
      <c r="C105" s="10" t="str">
        <f>'[6]price list MAN'!C105</f>
        <v>CLA-26-2806X4BB-C-K</v>
      </c>
      <c r="D105" s="16" t="str">
        <f>IFERROR(VLOOKUP(C105&amp;"",'[7]Retail Price List'!$A$3:$B$103,2,FALSE),"Special Order")</f>
        <v>KP000516</v>
      </c>
      <c r="E105" s="494" t="str">
        <f>'[6]price list MAN'!E105</f>
        <v>CKD</v>
      </c>
      <c r="F105" s="11" t="str">
        <f>'[6]price list MAN'!F105</f>
        <v>2018-09-30</v>
      </c>
      <c r="G105" s="32">
        <f>'[6]price list MAN'!G105</f>
        <v>14.7</v>
      </c>
      <c r="H105" s="26">
        <f>'[6]price list MAN'!H105</f>
        <v>42947</v>
      </c>
      <c r="I105" s="51" t="str">
        <f t="shared" si="5"/>
        <v>201707Q3</v>
      </c>
      <c r="J105" s="177">
        <f>'[6]price list MAN'!J105</f>
        <v>1050000</v>
      </c>
      <c r="K105" s="177">
        <f>'[6]price list MAN'!P105</f>
        <v>866250</v>
      </c>
      <c r="L105" s="177">
        <f>'[6]price list MAN'!R105</f>
        <v>825000</v>
      </c>
      <c r="M105" s="174">
        <f>'[6]price list MAN'!S105</f>
        <v>1080000</v>
      </c>
      <c r="N105" s="174">
        <f>'[6]price list MAN'!Y105</f>
        <v>897750</v>
      </c>
      <c r="O105" s="174">
        <f>'[6]price list MAN'!AA105</f>
        <v>855000</v>
      </c>
      <c r="P105" s="68">
        <f t="shared" si="6"/>
        <v>0.20833333333333334</v>
      </c>
      <c r="Q105" s="62" t="e">
        <f>O105-#REF!</f>
        <v>#REF!</v>
      </c>
      <c r="W105" s="210"/>
      <c r="X105" s="210"/>
      <c r="Y105" s="210"/>
      <c r="Z105" s="210"/>
      <c r="AA105" s="210"/>
      <c r="AB105" s="210"/>
      <c r="AC105" s="210"/>
      <c r="AT105" s="425" t="str">
        <f t="shared" si="7"/>
        <v>KP000516201707Q314,7</v>
      </c>
      <c r="AU105" s="64" t="str">
        <f t="shared" si="8"/>
        <v>07-2017</v>
      </c>
      <c r="BA105" s="428" t="str">
        <f t="shared" si="9"/>
        <v>WIP - 30 Days</v>
      </c>
    </row>
    <row r="106" spans="2:53">
      <c r="B106" s="36" t="str">
        <f>'[6]price list MAN'!B106</f>
        <v>MC6-3903</v>
      </c>
      <c r="C106" s="10" t="str">
        <f>'[6]price list MAN'!C106</f>
        <v>CLA-26-2806X4BB-C-K</v>
      </c>
      <c r="D106" s="16" t="str">
        <f>IFERROR(VLOOKUP(C106&amp;"",'[7]Retail Price List'!$A$3:$B$103,2,FALSE),"Special Order")</f>
        <v>KP000516</v>
      </c>
      <c r="E106" s="494" t="str">
        <f>'[6]price list MAN'!E106</f>
        <v>CKD</v>
      </c>
      <c r="F106" s="11" t="str">
        <f>'[6]price list MAN'!F106</f>
        <v>2018-09-30</v>
      </c>
      <c r="G106" s="32">
        <f>'[6]price list MAN'!G106</f>
        <v>14.7</v>
      </c>
      <c r="H106" s="26">
        <f>'[6]price list MAN'!H106</f>
        <v>42947</v>
      </c>
      <c r="I106" s="51" t="str">
        <f t="shared" si="5"/>
        <v>201707Q3</v>
      </c>
      <c r="J106" s="177">
        <f>'[6]price list MAN'!J106</f>
        <v>1050000</v>
      </c>
      <c r="K106" s="177">
        <f>'[6]price list MAN'!P106</f>
        <v>866250</v>
      </c>
      <c r="L106" s="177">
        <f>'[6]price list MAN'!R106</f>
        <v>825000</v>
      </c>
      <c r="M106" s="174">
        <f>'[6]price list MAN'!S106</f>
        <v>1080000</v>
      </c>
      <c r="N106" s="174">
        <f>'[6]price list MAN'!Y106</f>
        <v>897750</v>
      </c>
      <c r="O106" s="174">
        <f>'[6]price list MAN'!AA106</f>
        <v>855000</v>
      </c>
      <c r="P106" s="68">
        <f t="shared" si="6"/>
        <v>0.20833333333333334</v>
      </c>
      <c r="Q106" s="62" t="e">
        <f>O106-#REF!</f>
        <v>#REF!</v>
      </c>
      <c r="W106" s="210"/>
      <c r="X106" s="210"/>
      <c r="Y106" s="210"/>
      <c r="Z106" s="210"/>
      <c r="AA106" s="210"/>
      <c r="AB106" s="210"/>
      <c r="AC106" s="210"/>
      <c r="AT106" s="425" t="str">
        <f t="shared" si="7"/>
        <v>KP000516201707Q314,7</v>
      </c>
      <c r="AU106" s="64" t="str">
        <f t="shared" si="8"/>
        <v>07-2017</v>
      </c>
      <c r="BA106" s="428" t="str">
        <f t="shared" si="9"/>
        <v>WIP - 30 Days</v>
      </c>
    </row>
    <row r="107" spans="2:53">
      <c r="B107" s="36" t="str">
        <f>'[6]price list MAN'!B107</f>
        <v>MC6-3904</v>
      </c>
      <c r="C107" s="10" t="str">
        <f>'[6]price list MAN'!C107</f>
        <v>CLA-26-2806X4BB-C-K</v>
      </c>
      <c r="D107" s="16" t="str">
        <f>IFERROR(VLOOKUP(C107&amp;"",'[7]Retail Price List'!$A$3:$B$103,2,FALSE),"Special Order")</f>
        <v>KP000516</v>
      </c>
      <c r="E107" s="494" t="str">
        <f>'[6]price list MAN'!E107</f>
        <v>CKD</v>
      </c>
      <c r="F107" s="11" t="str">
        <f>'[6]price list MAN'!F107</f>
        <v>2018-09-30</v>
      </c>
      <c r="G107" s="32">
        <f>'[6]price list MAN'!G107</f>
        <v>14.7</v>
      </c>
      <c r="H107" s="26">
        <f>'[6]price list MAN'!H107</f>
        <v>42947</v>
      </c>
      <c r="I107" s="51" t="str">
        <f t="shared" si="5"/>
        <v>201707Q3</v>
      </c>
      <c r="J107" s="177">
        <f>'[6]price list MAN'!J107</f>
        <v>1050000</v>
      </c>
      <c r="K107" s="177">
        <f>'[6]price list MAN'!P107</f>
        <v>866250</v>
      </c>
      <c r="L107" s="177">
        <f>'[6]price list MAN'!R107</f>
        <v>825000</v>
      </c>
      <c r="M107" s="174">
        <f>'[6]price list MAN'!S107</f>
        <v>1080000</v>
      </c>
      <c r="N107" s="174">
        <f>'[6]price list MAN'!Y107</f>
        <v>897750</v>
      </c>
      <c r="O107" s="174">
        <f>'[6]price list MAN'!AA107</f>
        <v>855000</v>
      </c>
      <c r="P107" s="68">
        <f t="shared" si="6"/>
        <v>0.20833333333333334</v>
      </c>
      <c r="Q107" s="62" t="e">
        <f>O107-#REF!</f>
        <v>#REF!</v>
      </c>
      <c r="W107" s="210"/>
      <c r="X107" s="210"/>
      <c r="Y107" s="210"/>
      <c r="Z107" s="210"/>
      <c r="AA107" s="210"/>
      <c r="AB107" s="210"/>
      <c r="AC107" s="210"/>
      <c r="AT107" s="425" t="str">
        <f t="shared" si="7"/>
        <v>KP000516201707Q314,7</v>
      </c>
      <c r="AU107" s="64" t="str">
        <f t="shared" si="8"/>
        <v>07-2017</v>
      </c>
      <c r="BA107" s="428" t="str">
        <f t="shared" si="9"/>
        <v>WIP - 30 Days</v>
      </c>
    </row>
    <row r="108" spans="2:53">
      <c r="B108" s="36" t="str">
        <f>'[6]price list MAN'!B108</f>
        <v>MC6-3905</v>
      </c>
      <c r="C108" s="10" t="str">
        <f>'[6]price list MAN'!C108</f>
        <v>CLA-26-2806X4BB-C-K</v>
      </c>
      <c r="D108" s="16" t="str">
        <f>IFERROR(VLOOKUP(C108&amp;"",'[7]Retail Price List'!$A$3:$B$103,2,FALSE),"Special Order")</f>
        <v>KP000516</v>
      </c>
      <c r="E108" s="494" t="str">
        <f>'[6]price list MAN'!E108</f>
        <v>CKD</v>
      </c>
      <c r="F108" s="11" t="str">
        <f>'[6]price list MAN'!F108</f>
        <v>2018-09-30</v>
      </c>
      <c r="G108" s="32">
        <f>'[6]price list MAN'!G108</f>
        <v>14.7</v>
      </c>
      <c r="H108" s="26">
        <f>'[6]price list MAN'!H108</f>
        <v>42947</v>
      </c>
      <c r="I108" s="51" t="str">
        <f t="shared" si="5"/>
        <v>201707Q3</v>
      </c>
      <c r="J108" s="177">
        <f>'[6]price list MAN'!J108</f>
        <v>1050000</v>
      </c>
      <c r="K108" s="177">
        <f>'[6]price list MAN'!P108</f>
        <v>866250</v>
      </c>
      <c r="L108" s="177">
        <f>'[6]price list MAN'!R108</f>
        <v>825000</v>
      </c>
      <c r="M108" s="174">
        <f>'[6]price list MAN'!S108</f>
        <v>1080000</v>
      </c>
      <c r="N108" s="174">
        <f>'[6]price list MAN'!Y108</f>
        <v>897750</v>
      </c>
      <c r="O108" s="174">
        <f>'[6]price list MAN'!AA108</f>
        <v>855000</v>
      </c>
      <c r="P108" s="68">
        <f t="shared" si="6"/>
        <v>0.20833333333333334</v>
      </c>
      <c r="Q108" s="62" t="e">
        <f>O108-#REF!</f>
        <v>#REF!</v>
      </c>
      <c r="W108" s="210"/>
      <c r="X108" s="210"/>
      <c r="Y108" s="210"/>
      <c r="Z108" s="210"/>
      <c r="AA108" s="210"/>
      <c r="AB108" s="210"/>
      <c r="AC108" s="210"/>
      <c r="AT108" s="425" t="str">
        <f t="shared" si="7"/>
        <v>KP000516201707Q314,7</v>
      </c>
      <c r="AU108" s="64" t="str">
        <f t="shared" si="8"/>
        <v>07-2017</v>
      </c>
      <c r="BA108" s="428" t="str">
        <f t="shared" si="9"/>
        <v>WIP - 30 Days</v>
      </c>
    </row>
    <row r="109" spans="2:53">
      <c r="B109" s="36" t="str">
        <f>'[6]price list MAN'!B109</f>
        <v>MC6-3906</v>
      </c>
      <c r="C109" s="10" t="str">
        <f>'[6]price list MAN'!C109</f>
        <v>CLA-26-2806X4BB-C-K</v>
      </c>
      <c r="D109" s="16" t="str">
        <f>IFERROR(VLOOKUP(C109&amp;"",'[7]Retail Price List'!$A$3:$B$103,2,FALSE),"Special Order")</f>
        <v>KP000516</v>
      </c>
      <c r="E109" s="494" t="str">
        <f>'[6]price list MAN'!E109</f>
        <v>CKD</v>
      </c>
      <c r="F109" s="11" t="str">
        <f>'[6]price list MAN'!F109</f>
        <v>2018-09-30</v>
      </c>
      <c r="G109" s="32">
        <f>'[6]price list MAN'!G109</f>
        <v>14.7</v>
      </c>
      <c r="H109" s="26">
        <f>'[6]price list MAN'!H109</f>
        <v>42947</v>
      </c>
      <c r="I109" s="51" t="str">
        <f t="shared" si="5"/>
        <v>201707Q3</v>
      </c>
      <c r="J109" s="177">
        <f>'[6]price list MAN'!J109</f>
        <v>1050000</v>
      </c>
      <c r="K109" s="177">
        <f>'[6]price list MAN'!P109</f>
        <v>866250</v>
      </c>
      <c r="L109" s="177">
        <f>'[6]price list MAN'!R109</f>
        <v>825000</v>
      </c>
      <c r="M109" s="174">
        <f>'[6]price list MAN'!S109</f>
        <v>1080000</v>
      </c>
      <c r="N109" s="174">
        <f>'[6]price list MAN'!Y109</f>
        <v>897750</v>
      </c>
      <c r="O109" s="174">
        <f>'[6]price list MAN'!AA109</f>
        <v>855000</v>
      </c>
      <c r="P109" s="68">
        <f t="shared" si="6"/>
        <v>0.20833333333333334</v>
      </c>
      <c r="Q109" s="62" t="e">
        <f>O109-#REF!</f>
        <v>#REF!</v>
      </c>
      <c r="W109" s="210"/>
      <c r="X109" s="210"/>
      <c r="Y109" s="210"/>
      <c r="Z109" s="210"/>
      <c r="AA109" s="210"/>
      <c r="AB109" s="210"/>
      <c r="AC109" s="210"/>
      <c r="AT109" s="425" t="str">
        <f t="shared" si="7"/>
        <v>KP000516201707Q314,7</v>
      </c>
      <c r="AU109" s="64" t="str">
        <f t="shared" si="8"/>
        <v>07-2017</v>
      </c>
      <c r="BA109" s="428" t="str">
        <f t="shared" si="9"/>
        <v>WIP - 30 Days</v>
      </c>
    </row>
    <row r="110" spans="2:53">
      <c r="B110" s="36" t="str">
        <f>'[6]price list MAN'!B110</f>
        <v>MC6-3907</v>
      </c>
      <c r="C110" s="10" t="str">
        <f>'[6]price list MAN'!C110</f>
        <v>CLA-26-2806X4BB-C-K</v>
      </c>
      <c r="D110" s="16" t="str">
        <f>IFERROR(VLOOKUP(C110&amp;"",'[7]Retail Price List'!$A$3:$B$103,2,FALSE),"Special Order")</f>
        <v>KP000516</v>
      </c>
      <c r="E110" s="494" t="str">
        <f>'[6]price list MAN'!E110</f>
        <v>CKD</v>
      </c>
      <c r="F110" s="11" t="str">
        <f>'[6]price list MAN'!F110</f>
        <v>2018-07-30</v>
      </c>
      <c r="G110" s="32">
        <f>'[6]price list MAN'!G110</f>
        <v>14.7</v>
      </c>
      <c r="H110" s="26">
        <f>'[6]price list MAN'!H110</f>
        <v>42947</v>
      </c>
      <c r="I110" s="51" t="str">
        <f t="shared" si="5"/>
        <v>201707Q3</v>
      </c>
      <c r="J110" s="177">
        <f>'[6]price list MAN'!J110</f>
        <v>1050000</v>
      </c>
      <c r="K110" s="177">
        <f>'[6]price list MAN'!P110</f>
        <v>866250</v>
      </c>
      <c r="L110" s="177">
        <f>'[6]price list MAN'!R110</f>
        <v>825000</v>
      </c>
      <c r="M110" s="174">
        <f>'[6]price list MAN'!S110</f>
        <v>1080000</v>
      </c>
      <c r="N110" s="174">
        <f>'[6]price list MAN'!Y110</f>
        <v>897750</v>
      </c>
      <c r="O110" s="174">
        <f>'[6]price list MAN'!AA110</f>
        <v>855000</v>
      </c>
      <c r="P110" s="68">
        <f t="shared" si="6"/>
        <v>0.20833333333333334</v>
      </c>
      <c r="Q110" s="62" t="e">
        <f>O110-#REF!</f>
        <v>#REF!</v>
      </c>
      <c r="W110" s="210"/>
      <c r="X110" s="210"/>
      <c r="Y110" s="210"/>
      <c r="Z110" s="210"/>
      <c r="AA110" s="210"/>
      <c r="AB110" s="210"/>
      <c r="AC110" s="210"/>
      <c r="AT110" s="425" t="str">
        <f t="shared" si="7"/>
        <v>KP000516201707Q314,7</v>
      </c>
      <c r="AU110" s="64" t="str">
        <f t="shared" si="8"/>
        <v>07-2017</v>
      </c>
      <c r="BA110" s="428" t="str">
        <f t="shared" si="9"/>
        <v>WIP - 30 Days</v>
      </c>
    </row>
    <row r="111" spans="2:53">
      <c r="B111" s="36" t="str">
        <f>'[6]price list MAN'!B111</f>
        <v>MC6-3908</v>
      </c>
      <c r="C111" s="10" t="str">
        <f>'[6]price list MAN'!C111</f>
        <v>CLA-26-2806X4BB-C-K</v>
      </c>
      <c r="D111" s="16" t="str">
        <f>IFERROR(VLOOKUP(C111&amp;"",'[7]Retail Price List'!$A$3:$B$103,2,FALSE),"Special Order")</f>
        <v>KP000516</v>
      </c>
      <c r="E111" s="494" t="str">
        <f>'[6]price list MAN'!E111</f>
        <v>CKD</v>
      </c>
      <c r="F111" s="11" t="str">
        <f>'[6]price list MAN'!F111</f>
        <v>2018-07-30</v>
      </c>
      <c r="G111" s="32">
        <f>'[6]price list MAN'!G111</f>
        <v>14.7</v>
      </c>
      <c r="H111" s="26">
        <f>'[6]price list MAN'!H111</f>
        <v>42947</v>
      </c>
      <c r="I111" s="51" t="str">
        <f t="shared" si="5"/>
        <v>201707Q3</v>
      </c>
      <c r="J111" s="177">
        <f>'[6]price list MAN'!J111</f>
        <v>1050000</v>
      </c>
      <c r="K111" s="177">
        <f>'[6]price list MAN'!P111</f>
        <v>866250</v>
      </c>
      <c r="L111" s="177">
        <f>'[6]price list MAN'!R111</f>
        <v>825000</v>
      </c>
      <c r="M111" s="174">
        <f>'[6]price list MAN'!S111</f>
        <v>1080000</v>
      </c>
      <c r="N111" s="174">
        <f>'[6]price list MAN'!Y111</f>
        <v>897750</v>
      </c>
      <c r="O111" s="174">
        <f>'[6]price list MAN'!AA111</f>
        <v>855000</v>
      </c>
      <c r="P111" s="68">
        <f t="shared" si="6"/>
        <v>0.20833333333333334</v>
      </c>
      <c r="Q111" s="62" t="e">
        <f>O111-#REF!</f>
        <v>#REF!</v>
      </c>
      <c r="W111" s="210"/>
      <c r="X111" s="210"/>
      <c r="Y111" s="210"/>
      <c r="Z111" s="210"/>
      <c r="AA111" s="210"/>
      <c r="AB111" s="210"/>
      <c r="AC111" s="210"/>
      <c r="AT111" s="425" t="str">
        <f t="shared" si="7"/>
        <v>KP000516201707Q314,7</v>
      </c>
      <c r="AU111" s="64" t="str">
        <f t="shared" si="8"/>
        <v>07-2017</v>
      </c>
      <c r="BA111" s="428" t="str">
        <f t="shared" si="9"/>
        <v>WIP - 30 Days</v>
      </c>
    </row>
    <row r="112" spans="2:53">
      <c r="B112" s="36" t="str">
        <f>'[6]price list MAN'!B112</f>
        <v>MC6-3909</v>
      </c>
      <c r="C112" s="10" t="str">
        <f>'[6]price list MAN'!C112</f>
        <v>CLA-26-2806X4BB-C-K</v>
      </c>
      <c r="D112" s="16" t="str">
        <f>IFERROR(VLOOKUP(C112&amp;"",'[7]Retail Price List'!$A$3:$B$103,2,FALSE),"Special Order")</f>
        <v>KP000516</v>
      </c>
      <c r="E112" s="494" t="str">
        <f>'[6]price list MAN'!E112</f>
        <v>CKD</v>
      </c>
      <c r="F112" s="11" t="str">
        <f>'[6]price list MAN'!F112</f>
        <v>2018-07-30</v>
      </c>
      <c r="G112" s="32">
        <f>'[6]price list MAN'!G112</f>
        <v>14.7</v>
      </c>
      <c r="H112" s="26">
        <f>'[6]price list MAN'!H112</f>
        <v>42947</v>
      </c>
      <c r="I112" s="51" t="str">
        <f t="shared" si="5"/>
        <v>201707Q3</v>
      </c>
      <c r="J112" s="177">
        <f>'[6]price list MAN'!J112</f>
        <v>1050000</v>
      </c>
      <c r="K112" s="177">
        <f>'[6]price list MAN'!P112</f>
        <v>866250</v>
      </c>
      <c r="L112" s="177">
        <f>'[6]price list MAN'!R112</f>
        <v>825000</v>
      </c>
      <c r="M112" s="174">
        <f>'[6]price list MAN'!S112</f>
        <v>1080000</v>
      </c>
      <c r="N112" s="174">
        <f>'[6]price list MAN'!Y112</f>
        <v>897750</v>
      </c>
      <c r="O112" s="174">
        <f>'[6]price list MAN'!AA112</f>
        <v>855000</v>
      </c>
      <c r="P112" s="68">
        <f t="shared" si="6"/>
        <v>0.20833333333333334</v>
      </c>
      <c r="Q112" s="62" t="e">
        <f>O112-#REF!</f>
        <v>#REF!</v>
      </c>
      <c r="W112" s="210"/>
      <c r="X112" s="210"/>
      <c r="Y112" s="210"/>
      <c r="Z112" s="210"/>
      <c r="AA112" s="210"/>
      <c r="AB112" s="210"/>
      <c r="AC112" s="210"/>
      <c r="AT112" s="425" t="str">
        <f t="shared" si="7"/>
        <v>KP000516201707Q314,7</v>
      </c>
      <c r="AU112" s="64" t="str">
        <f t="shared" si="8"/>
        <v>07-2017</v>
      </c>
      <c r="BA112" s="428" t="str">
        <f t="shared" si="9"/>
        <v>WIP - 30 Days</v>
      </c>
    </row>
    <row r="113" spans="1:245">
      <c r="B113" s="36" t="str">
        <f>'[6]price list MAN'!B113</f>
        <v>MC6-3910</v>
      </c>
      <c r="C113" s="10" t="str">
        <f>'[6]price list MAN'!C113</f>
        <v>CLA-26-2806X4BB-C-K</v>
      </c>
      <c r="D113" s="16" t="str">
        <f>IFERROR(VLOOKUP(C113&amp;"",'[7]Retail Price List'!$A$3:$B$103,2,FALSE),"Special Order")</f>
        <v>KP000516</v>
      </c>
      <c r="E113" s="494" t="str">
        <f>'[6]price list MAN'!E113</f>
        <v>CKD</v>
      </c>
      <c r="F113" s="11" t="str">
        <f>'[6]price list MAN'!F113</f>
        <v>2018-07-30</v>
      </c>
      <c r="G113" s="32">
        <f>'[6]price list MAN'!G113</f>
        <v>14.7</v>
      </c>
      <c r="H113" s="26">
        <f>'[6]price list MAN'!H113</f>
        <v>42947</v>
      </c>
      <c r="I113" s="51" t="str">
        <f t="shared" si="5"/>
        <v>201707Q3</v>
      </c>
      <c r="J113" s="177">
        <f>'[6]price list MAN'!J113</f>
        <v>1050000</v>
      </c>
      <c r="K113" s="177">
        <f>'[6]price list MAN'!P113</f>
        <v>866250</v>
      </c>
      <c r="L113" s="177">
        <f>'[6]price list MAN'!R113</f>
        <v>825000</v>
      </c>
      <c r="M113" s="174">
        <f>'[6]price list MAN'!S113</f>
        <v>1080000</v>
      </c>
      <c r="N113" s="174">
        <f>'[6]price list MAN'!Y113</f>
        <v>897750</v>
      </c>
      <c r="O113" s="174">
        <f>'[6]price list MAN'!AA113</f>
        <v>855000</v>
      </c>
      <c r="P113" s="68">
        <f t="shared" si="6"/>
        <v>0.20833333333333334</v>
      </c>
      <c r="Q113" s="62" t="e">
        <f>O113-#REF!</f>
        <v>#REF!</v>
      </c>
      <c r="W113" s="210"/>
      <c r="X113" s="210"/>
      <c r="Y113" s="210"/>
      <c r="Z113" s="210"/>
      <c r="AA113" s="210"/>
      <c r="AB113" s="210"/>
      <c r="AC113" s="210"/>
      <c r="AT113" s="425" t="str">
        <f t="shared" si="7"/>
        <v>KP000516201707Q314,7</v>
      </c>
      <c r="AU113" s="64" t="str">
        <f t="shared" si="8"/>
        <v>07-2017</v>
      </c>
      <c r="BA113" s="428" t="str">
        <f t="shared" si="9"/>
        <v>WIP - 30 Days</v>
      </c>
    </row>
    <row r="114" spans="1:245">
      <c r="B114" s="36" t="str">
        <f>'[6]price list MAN'!B114</f>
        <v>MC6-3911</v>
      </c>
      <c r="C114" s="10" t="str">
        <f>'[6]price list MAN'!C114</f>
        <v>CLA-26-2806X4BB-C-K</v>
      </c>
      <c r="D114" s="16" t="str">
        <f>IFERROR(VLOOKUP(C114&amp;"",'[7]Retail Price List'!$A$3:$B$103,2,FALSE),"Special Order")</f>
        <v>KP000516</v>
      </c>
      <c r="E114" s="494" t="str">
        <f>'[6]price list MAN'!E114</f>
        <v>CKD</v>
      </c>
      <c r="F114" s="11" t="str">
        <f>'[6]price list MAN'!F114</f>
        <v>2018-07-30</v>
      </c>
      <c r="G114" s="32">
        <f>'[6]price list MAN'!G114</f>
        <v>14.7</v>
      </c>
      <c r="H114" s="26">
        <f>'[6]price list MAN'!H114</f>
        <v>42947</v>
      </c>
      <c r="I114" s="51" t="str">
        <f t="shared" si="5"/>
        <v>201707Q3</v>
      </c>
      <c r="J114" s="177">
        <f>'[6]price list MAN'!J114</f>
        <v>1050000</v>
      </c>
      <c r="K114" s="177">
        <f>'[6]price list MAN'!P114</f>
        <v>866250</v>
      </c>
      <c r="L114" s="177">
        <f>'[6]price list MAN'!R114</f>
        <v>825000</v>
      </c>
      <c r="M114" s="174">
        <f>'[6]price list MAN'!S114</f>
        <v>1080000</v>
      </c>
      <c r="N114" s="174">
        <f>'[6]price list MAN'!Y114</f>
        <v>897750</v>
      </c>
      <c r="O114" s="174">
        <f>'[6]price list MAN'!AA114</f>
        <v>855000</v>
      </c>
      <c r="P114" s="68">
        <f t="shared" si="6"/>
        <v>0.20833333333333334</v>
      </c>
      <c r="Q114" s="62" t="e">
        <f>O114-#REF!</f>
        <v>#REF!</v>
      </c>
      <c r="W114" s="210"/>
      <c r="X114" s="210"/>
      <c r="Y114" s="210"/>
      <c r="Z114" s="210"/>
      <c r="AA114" s="210"/>
      <c r="AB114" s="210"/>
      <c r="AC114" s="210"/>
      <c r="AT114" s="425" t="str">
        <f t="shared" si="7"/>
        <v>KP000516201707Q314,7</v>
      </c>
      <c r="AU114" s="64" t="str">
        <f t="shared" si="8"/>
        <v>07-2017</v>
      </c>
      <c r="BA114" s="428" t="str">
        <f t="shared" si="9"/>
        <v>WIP - 30 Days</v>
      </c>
    </row>
    <row r="115" spans="1:245" s="4" customFormat="1">
      <c r="A115" s="41"/>
      <c r="B115" s="36" t="str">
        <f>'[6]price list MAN'!B115</f>
        <v>MC6-3912</v>
      </c>
      <c r="C115" s="10" t="str">
        <f>'[6]price list MAN'!C115</f>
        <v>CLA-26-2806X4BB-C-K</v>
      </c>
      <c r="D115" s="16" t="str">
        <f>IFERROR(VLOOKUP(C115&amp;"",'[7]Retail Price List'!$A$3:$B$103,2,FALSE),"Special Order")</f>
        <v>KP000516</v>
      </c>
      <c r="E115" s="494" t="str">
        <f>'[6]price list MAN'!E115</f>
        <v>CKD</v>
      </c>
      <c r="F115" s="11" t="str">
        <f>'[6]price list MAN'!F115</f>
        <v>2018-07-30</v>
      </c>
      <c r="G115" s="32">
        <f>'[6]price list MAN'!G115</f>
        <v>14.7</v>
      </c>
      <c r="H115" s="26">
        <f>'[6]price list MAN'!H115</f>
        <v>42947</v>
      </c>
      <c r="I115" s="51" t="str">
        <f t="shared" si="5"/>
        <v>201707Q3</v>
      </c>
      <c r="J115" s="177">
        <f>'[6]price list MAN'!J115</f>
        <v>1050000</v>
      </c>
      <c r="K115" s="177">
        <f>'[6]price list MAN'!P115</f>
        <v>866250</v>
      </c>
      <c r="L115" s="177">
        <f>'[6]price list MAN'!R115</f>
        <v>825000</v>
      </c>
      <c r="M115" s="174">
        <f>'[6]price list MAN'!S115</f>
        <v>1080000</v>
      </c>
      <c r="N115" s="174">
        <f>'[6]price list MAN'!Y115</f>
        <v>897750</v>
      </c>
      <c r="O115" s="174">
        <f>'[6]price list MAN'!AA115</f>
        <v>855000</v>
      </c>
      <c r="P115" s="68">
        <f t="shared" si="6"/>
        <v>0.20833333333333334</v>
      </c>
      <c r="Q115" s="62" t="e">
        <f>O115-#REF!</f>
        <v>#REF!</v>
      </c>
      <c r="R115" s="63" t="e">
        <f>SUM(Q89:Q114)/SUM(O89:O114)</f>
        <v>#REF!</v>
      </c>
      <c r="S115" s="64"/>
      <c r="T115" s="64"/>
      <c r="U115" s="64"/>
      <c r="V115" s="64"/>
      <c r="W115" s="210"/>
      <c r="X115" s="210"/>
      <c r="Y115" s="210"/>
      <c r="Z115" s="210"/>
      <c r="AA115" s="210"/>
      <c r="AB115" s="210"/>
      <c r="AC115" s="210"/>
      <c r="AD115" s="54"/>
      <c r="AE115" s="54"/>
      <c r="AF115" s="54"/>
      <c r="AG115" s="5"/>
      <c r="AH115" s="5"/>
      <c r="AI115" s="5"/>
      <c r="AJ115" s="5"/>
      <c r="AK115" s="5"/>
      <c r="AL115" s="5"/>
      <c r="AM115" s="5"/>
      <c r="AN115" s="5"/>
      <c r="AO115" s="5"/>
      <c r="AP115" s="5"/>
      <c r="AQ115" s="5"/>
      <c r="AR115" s="5"/>
      <c r="AS115" s="5"/>
      <c r="AT115" s="425" t="str">
        <f t="shared" si="7"/>
        <v>KP000516201707Q314,7</v>
      </c>
      <c r="AU115" s="64" t="str">
        <f t="shared" si="8"/>
        <v>07-2017</v>
      </c>
      <c r="AV115" s="64"/>
      <c r="AW115" s="64"/>
      <c r="AX115" s="64"/>
      <c r="AY115" s="64"/>
      <c r="AZ115" s="64"/>
      <c r="BA115" s="428" t="str">
        <f t="shared" si="9"/>
        <v>WIP - 30 Days</v>
      </c>
      <c r="BB115" s="169"/>
      <c r="BC115" s="169"/>
      <c r="BD115" s="169"/>
      <c r="BE115" s="41"/>
      <c r="BF115" s="41"/>
      <c r="BG115" s="41"/>
      <c r="BH115" s="41"/>
      <c r="BI115" s="41"/>
      <c r="BJ115" s="41"/>
      <c r="BK115" s="41"/>
      <c r="BL115" s="41"/>
      <c r="BM115" s="41"/>
      <c r="BN115" s="41"/>
      <c r="BO115" s="41"/>
      <c r="BP115" s="41"/>
      <c r="BQ115" s="41"/>
      <c r="BR115" s="41"/>
      <c r="BS115" s="41"/>
      <c r="BT115" s="41"/>
      <c r="BU115" s="41"/>
      <c r="BV115" s="41"/>
      <c r="BW115" s="41"/>
      <c r="BX115" s="41"/>
      <c r="BY115" s="41"/>
      <c r="BZ115" s="41"/>
      <c r="CA115" s="41"/>
      <c r="CB115" s="41"/>
      <c r="CC115" s="41"/>
      <c r="CD115" s="41"/>
      <c r="CE115" s="41"/>
      <c r="CF115" s="41"/>
      <c r="CG115" s="41"/>
      <c r="CH115" s="41"/>
      <c r="CI115" s="41"/>
      <c r="CJ115" s="41"/>
      <c r="CK115" s="41"/>
      <c r="CL115" s="41"/>
      <c r="CM115" s="41"/>
      <c r="CN115" s="41"/>
      <c r="CO115" s="41"/>
      <c r="CP115" s="41"/>
      <c r="CQ115" s="41"/>
      <c r="CR115" s="41"/>
      <c r="CS115" s="41"/>
      <c r="CT115" s="41"/>
      <c r="CU115" s="41"/>
      <c r="CV115" s="41"/>
      <c r="CW115" s="41"/>
      <c r="CX115" s="41"/>
      <c r="CY115" s="41"/>
      <c r="CZ115" s="41"/>
      <c r="DA115" s="41"/>
      <c r="DB115" s="41"/>
      <c r="DC115" s="41"/>
      <c r="DD115" s="41"/>
      <c r="DE115" s="41"/>
      <c r="DF115" s="41"/>
      <c r="DG115" s="41"/>
      <c r="DH115" s="41"/>
      <c r="DI115" s="41"/>
      <c r="DJ115" s="41"/>
      <c r="DK115" s="41"/>
      <c r="DL115" s="41"/>
      <c r="DM115" s="41"/>
      <c r="DN115" s="41"/>
      <c r="DO115" s="41"/>
      <c r="DP115" s="41"/>
      <c r="DQ115" s="41"/>
      <c r="DR115" s="41"/>
      <c r="DS115" s="41"/>
      <c r="DT115" s="41"/>
      <c r="DU115" s="41"/>
      <c r="DV115" s="41"/>
      <c r="DW115" s="41"/>
      <c r="DX115" s="41"/>
      <c r="DY115" s="41"/>
      <c r="DZ115" s="41"/>
      <c r="EA115" s="41"/>
      <c r="EB115" s="41"/>
      <c r="EC115" s="41"/>
      <c r="ED115" s="41"/>
      <c r="EE115" s="41"/>
      <c r="EF115" s="41"/>
      <c r="EG115" s="41"/>
      <c r="EH115" s="41"/>
      <c r="EI115" s="41"/>
      <c r="EJ115" s="41"/>
      <c r="EK115" s="41"/>
      <c r="EL115" s="41"/>
      <c r="EM115" s="41"/>
      <c r="EN115" s="41"/>
      <c r="EO115" s="41"/>
      <c r="EP115" s="41"/>
      <c r="EQ115" s="41"/>
      <c r="ER115" s="41"/>
      <c r="ES115" s="41"/>
      <c r="ET115" s="41"/>
      <c r="EU115" s="41"/>
      <c r="EV115" s="41"/>
      <c r="EW115" s="41"/>
      <c r="EX115" s="41"/>
      <c r="EY115" s="41"/>
      <c r="EZ115" s="41"/>
      <c r="FA115" s="41"/>
      <c r="FB115" s="41"/>
      <c r="FC115" s="41"/>
      <c r="FD115" s="41"/>
      <c r="FE115" s="41"/>
      <c r="FF115" s="41"/>
      <c r="FG115" s="41"/>
      <c r="FH115" s="41"/>
      <c r="FI115" s="41"/>
      <c r="FJ115" s="41"/>
      <c r="FK115" s="41"/>
      <c r="FL115" s="41"/>
      <c r="FM115" s="41"/>
      <c r="FN115" s="41"/>
      <c r="FO115" s="41"/>
      <c r="FP115" s="41"/>
      <c r="FQ115" s="41"/>
      <c r="FR115" s="41"/>
      <c r="FS115" s="41"/>
      <c r="FT115" s="41"/>
      <c r="FU115" s="41"/>
      <c r="FV115" s="41"/>
      <c r="FW115" s="41"/>
      <c r="FX115" s="41"/>
      <c r="FY115" s="41"/>
      <c r="FZ115" s="41"/>
      <c r="GA115" s="41"/>
      <c r="GB115" s="41"/>
      <c r="GC115" s="41"/>
      <c r="GD115" s="41"/>
      <c r="GE115" s="41"/>
      <c r="GF115" s="41"/>
      <c r="GG115" s="41"/>
      <c r="GH115" s="41"/>
      <c r="GI115" s="41"/>
      <c r="GJ115" s="41"/>
      <c r="GK115" s="41"/>
      <c r="GL115" s="41"/>
      <c r="GM115" s="41"/>
      <c r="GN115" s="41"/>
      <c r="GO115" s="41"/>
      <c r="GP115" s="41"/>
      <c r="GQ115" s="41"/>
      <c r="GR115" s="41"/>
      <c r="GS115" s="41"/>
      <c r="GT115" s="41"/>
      <c r="GU115" s="41"/>
      <c r="GV115" s="41"/>
      <c r="GW115" s="41"/>
      <c r="GX115" s="41"/>
      <c r="GY115" s="41"/>
      <c r="GZ115" s="41"/>
      <c r="HA115" s="41"/>
      <c r="HB115" s="41"/>
      <c r="HC115" s="41"/>
      <c r="HD115" s="41"/>
      <c r="HE115" s="41"/>
      <c r="HF115" s="41"/>
      <c r="HG115" s="41"/>
      <c r="HH115" s="41"/>
      <c r="HI115" s="41"/>
      <c r="HJ115" s="41"/>
      <c r="HK115" s="41"/>
      <c r="HL115" s="41"/>
      <c r="HM115" s="41"/>
      <c r="HN115" s="41"/>
      <c r="HO115" s="41"/>
      <c r="HP115" s="41"/>
      <c r="HQ115" s="41"/>
      <c r="HR115" s="41"/>
      <c r="HS115" s="41"/>
      <c r="HT115" s="41"/>
      <c r="HU115" s="41"/>
      <c r="HV115" s="41"/>
      <c r="HW115" s="41"/>
      <c r="HX115" s="41"/>
      <c r="HY115" s="41"/>
      <c r="HZ115" s="41"/>
      <c r="IA115" s="41"/>
      <c r="IB115" s="41"/>
      <c r="IC115" s="41"/>
      <c r="ID115" s="41"/>
      <c r="IE115" s="41"/>
      <c r="IF115" s="41"/>
      <c r="IG115" s="41"/>
      <c r="IH115" s="41"/>
      <c r="II115" s="41"/>
      <c r="IJ115" s="41"/>
      <c r="IK115" s="41"/>
    </row>
    <row r="116" spans="1:245">
      <c r="B116" s="36" t="str">
        <f>'[6]price list MAN'!B116</f>
        <v>MC6-3985</v>
      </c>
      <c r="C116" s="10" t="str">
        <f>'[6]price list MAN'!C116</f>
        <v>CLA-26-2806X4BB-C-K</v>
      </c>
      <c r="D116" s="16" t="str">
        <f>IFERROR(VLOOKUP(C116&amp;"",'[7]Retail Price List'!$A$3:$B$103,2,FALSE),"Special Order")</f>
        <v>KP000516</v>
      </c>
      <c r="E116" s="494" t="str">
        <f>'[6]price list MAN'!E116</f>
        <v>CKD</v>
      </c>
      <c r="F116" s="11" t="str">
        <f>'[6]price list MAN'!F116</f>
        <v>2018-08-30</v>
      </c>
      <c r="G116" s="32">
        <f>'[6]price list MAN'!G116</f>
        <v>15.3</v>
      </c>
      <c r="H116" s="26">
        <f>'[6]price list MAN'!H116</f>
        <v>42978</v>
      </c>
      <c r="I116" s="51" t="str">
        <f t="shared" si="5"/>
        <v>2017Q3</v>
      </c>
      <c r="J116" s="177">
        <f>'[6]price list MAN'!J116</f>
        <v>1050000</v>
      </c>
      <c r="K116" s="177">
        <f>'[6]price list MAN'!P116</f>
        <v>866250</v>
      </c>
      <c r="L116" s="177">
        <f>'[6]price list MAN'!R116</f>
        <v>825000</v>
      </c>
      <c r="M116" s="174">
        <f>'[6]price list MAN'!S116</f>
        <v>1080000</v>
      </c>
      <c r="N116" s="174">
        <f>'[6]price list MAN'!Y116</f>
        <v>897750</v>
      </c>
      <c r="O116" s="174">
        <f>'[6]price list MAN'!AA116</f>
        <v>855000</v>
      </c>
      <c r="P116" s="68">
        <f t="shared" si="6"/>
        <v>0.20833333333333334</v>
      </c>
      <c r="Q116" s="62" t="e">
        <f>O116-#REF!</f>
        <v>#REF!</v>
      </c>
      <c r="S116" s="64" t="s">
        <v>9</v>
      </c>
      <c r="T116" s="64" t="s">
        <v>10</v>
      </c>
      <c r="U116" s="64" t="s">
        <v>11</v>
      </c>
      <c r="W116" s="210"/>
      <c r="X116" s="210"/>
      <c r="Y116" s="210"/>
      <c r="Z116" s="210"/>
      <c r="AA116" s="210"/>
      <c r="AB116" s="210"/>
      <c r="AC116" s="210"/>
      <c r="AT116" s="425" t="str">
        <f t="shared" si="7"/>
        <v>KP0005162017Q315,3</v>
      </c>
      <c r="AU116" s="64" t="str">
        <f t="shared" si="8"/>
        <v>08-2017</v>
      </c>
      <c r="BA116" s="428" t="str">
        <f t="shared" si="9"/>
        <v>WIP - 30 Days</v>
      </c>
    </row>
    <row r="117" spans="1:245">
      <c r="B117" s="36" t="str">
        <f>'[6]price list MAN'!B117</f>
        <v>MC6-3986</v>
      </c>
      <c r="C117" s="10" t="str">
        <f>'[6]price list MAN'!C117</f>
        <v>CLA-26-2806X4BB-C-K</v>
      </c>
      <c r="D117" s="16" t="str">
        <f>IFERROR(VLOOKUP(C117&amp;"",'[7]Retail Price List'!$A$3:$B$103,2,FALSE),"Special Order")</f>
        <v>KP000516</v>
      </c>
      <c r="E117" s="494" t="str">
        <f>'[6]price list MAN'!E117</f>
        <v>CKD</v>
      </c>
      <c r="F117" s="11" t="str">
        <f>'[6]price list MAN'!F117</f>
        <v>2018-08-30</v>
      </c>
      <c r="G117" s="32">
        <f>'[6]price list MAN'!G117</f>
        <v>15.3</v>
      </c>
      <c r="H117" s="26">
        <f>'[6]price list MAN'!H117</f>
        <v>42978</v>
      </c>
      <c r="I117" s="51" t="str">
        <f t="shared" si="5"/>
        <v>2017Q3</v>
      </c>
      <c r="J117" s="177">
        <f>'[6]price list MAN'!J117</f>
        <v>1050000</v>
      </c>
      <c r="K117" s="177">
        <f>'[6]price list MAN'!P117</f>
        <v>866250</v>
      </c>
      <c r="L117" s="177">
        <f>'[6]price list MAN'!R117</f>
        <v>825000</v>
      </c>
      <c r="M117" s="174">
        <f>'[6]price list MAN'!S117</f>
        <v>1080000</v>
      </c>
      <c r="N117" s="174">
        <f>'[6]price list MAN'!Y117</f>
        <v>897750</v>
      </c>
      <c r="O117" s="174">
        <f>'[6]price list MAN'!AA117</f>
        <v>855000</v>
      </c>
      <c r="P117" s="68">
        <f t="shared" si="6"/>
        <v>0.20833333333333334</v>
      </c>
      <c r="Q117" s="62" t="e">
        <f>O117-#REF!</f>
        <v>#REF!</v>
      </c>
      <c r="R117" s="170" t="s">
        <v>8</v>
      </c>
      <c r="S117" s="64">
        <v>11.5</v>
      </c>
      <c r="T117" s="64">
        <v>-3.3</v>
      </c>
      <c r="U117" s="64">
        <v>2.9</v>
      </c>
      <c r="W117" s="210"/>
      <c r="X117" s="210"/>
      <c r="Y117" s="210"/>
      <c r="Z117" s="210"/>
      <c r="AA117" s="210"/>
      <c r="AB117" s="210"/>
      <c r="AC117" s="210"/>
      <c r="AT117" s="425" t="str">
        <f t="shared" si="7"/>
        <v>KP0005162017Q315,3</v>
      </c>
      <c r="AU117" s="64" t="str">
        <f t="shared" si="8"/>
        <v>08-2017</v>
      </c>
      <c r="BA117" s="428" t="str">
        <f t="shared" si="9"/>
        <v>WIP - 30 Days</v>
      </c>
    </row>
    <row r="118" spans="1:245">
      <c r="B118" s="36" t="str">
        <f>'[6]price list MAN'!B118</f>
        <v>MC6-3987</v>
      </c>
      <c r="C118" s="10" t="str">
        <f>'[6]price list MAN'!C118</f>
        <v>CLA-26-2806X4BB-C-K</v>
      </c>
      <c r="D118" s="16" t="str">
        <f>IFERROR(VLOOKUP(C118&amp;"",'[7]Retail Price List'!$A$3:$B$103,2,FALSE),"Special Order")</f>
        <v>KP000516</v>
      </c>
      <c r="E118" s="494" t="str">
        <f>'[6]price list MAN'!E118</f>
        <v>CKD</v>
      </c>
      <c r="F118" s="11" t="str">
        <f>'[6]price list MAN'!F118</f>
        <v>2018-08-30</v>
      </c>
      <c r="G118" s="32">
        <f>'[6]price list MAN'!G118</f>
        <v>15.3</v>
      </c>
      <c r="H118" s="26">
        <f>'[6]price list MAN'!H118</f>
        <v>42978</v>
      </c>
      <c r="I118" s="51" t="str">
        <f t="shared" si="5"/>
        <v>2017Q3</v>
      </c>
      <c r="J118" s="177">
        <f>'[6]price list MAN'!J118</f>
        <v>1050000</v>
      </c>
      <c r="K118" s="177">
        <f>'[6]price list MAN'!P118</f>
        <v>866250</v>
      </c>
      <c r="L118" s="177">
        <f>'[6]price list MAN'!R118</f>
        <v>825000</v>
      </c>
      <c r="M118" s="174">
        <f>'[6]price list MAN'!S118</f>
        <v>1080000</v>
      </c>
      <c r="N118" s="174">
        <f>'[6]price list MAN'!Y118</f>
        <v>897750</v>
      </c>
      <c r="O118" s="174">
        <f>'[6]price list MAN'!AA118</f>
        <v>855000</v>
      </c>
      <c r="P118" s="68">
        <f t="shared" si="6"/>
        <v>0.20833333333333334</v>
      </c>
      <c r="Q118" s="62" t="e">
        <f>O118-#REF!</f>
        <v>#REF!</v>
      </c>
      <c r="R118" s="170" t="s">
        <v>12</v>
      </c>
      <c r="S118" s="64">
        <v>-2.6</v>
      </c>
      <c r="T118" s="64">
        <v>-2.6</v>
      </c>
      <c r="U118" s="64">
        <v>-2.6</v>
      </c>
      <c r="W118" s="210"/>
      <c r="X118" s="210"/>
      <c r="Y118" s="210"/>
      <c r="Z118" s="210"/>
      <c r="AA118" s="210"/>
      <c r="AB118" s="210"/>
      <c r="AC118" s="210"/>
      <c r="AT118" s="425" t="str">
        <f t="shared" si="7"/>
        <v>KP0005162017Q315,3</v>
      </c>
      <c r="AU118" s="64" t="str">
        <f t="shared" si="8"/>
        <v>08-2017</v>
      </c>
      <c r="BA118" s="428" t="str">
        <f t="shared" si="9"/>
        <v>WIP - 30 Days</v>
      </c>
    </row>
    <row r="119" spans="1:245">
      <c r="B119" s="36" t="str">
        <f>'[6]price list MAN'!B119</f>
        <v>MC6-3988</v>
      </c>
      <c r="C119" s="10" t="str">
        <f>'[6]price list MAN'!C119</f>
        <v>CLA-26-2806X4BB-C-K</v>
      </c>
      <c r="D119" s="16" t="str">
        <f>IFERROR(VLOOKUP(C119&amp;"",'[7]Retail Price List'!$A$3:$B$103,2,FALSE),"Special Order")</f>
        <v>KP000516</v>
      </c>
      <c r="E119" s="494" t="str">
        <f>'[6]price list MAN'!E119</f>
        <v>CKD</v>
      </c>
      <c r="F119" s="11" t="str">
        <f>'[6]price list MAN'!F119</f>
        <v>2018-08-30</v>
      </c>
      <c r="G119" s="32">
        <f>'[6]price list MAN'!G119</f>
        <v>15.3</v>
      </c>
      <c r="H119" s="26">
        <f>'[6]price list MAN'!H119</f>
        <v>42978</v>
      </c>
      <c r="I119" s="51" t="str">
        <f t="shared" si="5"/>
        <v>2017Q3</v>
      </c>
      <c r="J119" s="177">
        <f>'[6]price list MAN'!J119</f>
        <v>1050000</v>
      </c>
      <c r="K119" s="177">
        <f>'[6]price list MAN'!P119</f>
        <v>866250</v>
      </c>
      <c r="L119" s="177">
        <f>'[6]price list MAN'!R119</f>
        <v>825000</v>
      </c>
      <c r="M119" s="174">
        <f>'[6]price list MAN'!S119</f>
        <v>1080000</v>
      </c>
      <c r="N119" s="174">
        <f>'[6]price list MAN'!Y119</f>
        <v>897750</v>
      </c>
      <c r="O119" s="174">
        <f>'[6]price list MAN'!AA119</f>
        <v>855000</v>
      </c>
      <c r="P119" s="68">
        <f t="shared" si="6"/>
        <v>0.20833333333333334</v>
      </c>
      <c r="Q119" s="62" t="e">
        <f>O119-#REF!</f>
        <v>#REF!</v>
      </c>
      <c r="R119" s="63" t="s">
        <v>13</v>
      </c>
      <c r="S119" s="64">
        <f>COUNT(#REF!)</f>
        <v>0</v>
      </c>
      <c r="W119" s="210"/>
      <c r="X119" s="210"/>
      <c r="Y119" s="210"/>
      <c r="Z119" s="210"/>
      <c r="AA119" s="210"/>
      <c r="AB119" s="210"/>
      <c r="AC119" s="210"/>
      <c r="AT119" s="425" t="str">
        <f t="shared" si="7"/>
        <v>KP0005162017Q315,3</v>
      </c>
      <c r="AU119" s="64" t="str">
        <f t="shared" si="8"/>
        <v>08-2017</v>
      </c>
      <c r="BA119" s="428" t="str">
        <f t="shared" si="9"/>
        <v>WIP - 30 Days</v>
      </c>
    </row>
    <row r="120" spans="1:245">
      <c r="B120" s="36" t="str">
        <f>'[6]price list MAN'!B120</f>
        <v>MC6-3989</v>
      </c>
      <c r="C120" s="10" t="str">
        <f>'[6]price list MAN'!C120</f>
        <v>CLA-26-2806X4BB-C-K</v>
      </c>
      <c r="D120" s="16" t="str">
        <f>IFERROR(VLOOKUP(C120&amp;"",'[7]Retail Price List'!$A$3:$B$103,2,FALSE),"Special Order")</f>
        <v>KP000516</v>
      </c>
      <c r="E120" s="494" t="str">
        <f>'[6]price list MAN'!E120</f>
        <v>CKD</v>
      </c>
      <c r="F120" s="11" t="str">
        <f>'[6]price list MAN'!F120</f>
        <v>2018-08-30</v>
      </c>
      <c r="G120" s="32">
        <f>'[6]price list MAN'!G120</f>
        <v>15.3</v>
      </c>
      <c r="H120" s="26">
        <f>'[6]price list MAN'!H120</f>
        <v>42978</v>
      </c>
      <c r="I120" s="51" t="str">
        <f t="shared" si="5"/>
        <v>2017Q3</v>
      </c>
      <c r="J120" s="177">
        <f>'[6]price list MAN'!J120</f>
        <v>1050000</v>
      </c>
      <c r="K120" s="177">
        <f>'[6]price list MAN'!P120</f>
        <v>866250</v>
      </c>
      <c r="L120" s="177">
        <f>'[6]price list MAN'!R120</f>
        <v>825000</v>
      </c>
      <c r="M120" s="174">
        <f>'[6]price list MAN'!S120</f>
        <v>1080000</v>
      </c>
      <c r="N120" s="174">
        <f>'[6]price list MAN'!Y120</f>
        <v>897750</v>
      </c>
      <c r="O120" s="174">
        <f>'[6]price list MAN'!AA120</f>
        <v>855000</v>
      </c>
      <c r="P120" s="68">
        <f t="shared" si="6"/>
        <v>0.20833333333333334</v>
      </c>
      <c r="Q120" s="62" t="e">
        <f>O120-#REF!</f>
        <v>#REF!</v>
      </c>
      <c r="R120" s="63" t="s">
        <v>14</v>
      </c>
      <c r="S120" s="62" t="e">
        <f>+AVERAGE(#REF!)</f>
        <v>#REF!</v>
      </c>
      <c r="W120" s="210"/>
      <c r="X120" s="210"/>
      <c r="Y120" s="210"/>
      <c r="Z120" s="210"/>
      <c r="AA120" s="210"/>
      <c r="AB120" s="210"/>
      <c r="AC120" s="210"/>
      <c r="AT120" s="425" t="str">
        <f t="shared" si="7"/>
        <v>KP0005162017Q315,3</v>
      </c>
      <c r="AU120" s="64" t="str">
        <f t="shared" si="8"/>
        <v>08-2017</v>
      </c>
      <c r="BA120" s="428" t="str">
        <f t="shared" si="9"/>
        <v>WIP - 30 Days</v>
      </c>
    </row>
    <row r="121" spans="1:245">
      <c r="B121" s="36" t="str">
        <f>'[6]price list MAN'!B121</f>
        <v>MC6-3990</v>
      </c>
      <c r="C121" s="10" t="str">
        <f>'[6]price list MAN'!C121</f>
        <v>CLA-26-2806X4BB-C-K</v>
      </c>
      <c r="D121" s="16" t="str">
        <f>IFERROR(VLOOKUP(C121&amp;"",'[7]Retail Price List'!$A$3:$B$103,2,FALSE),"Special Order")</f>
        <v>KP000516</v>
      </c>
      <c r="E121" s="494" t="str">
        <f>'[6]price list MAN'!E121</f>
        <v>CKD</v>
      </c>
      <c r="F121" s="11" t="str">
        <f>'[6]price list MAN'!F121</f>
        <v>2018-08-30</v>
      </c>
      <c r="G121" s="32">
        <f>'[6]price list MAN'!G121</f>
        <v>15.3</v>
      </c>
      <c r="H121" s="26">
        <f>'[6]price list MAN'!H121</f>
        <v>42978</v>
      </c>
      <c r="I121" s="51" t="str">
        <f t="shared" si="5"/>
        <v>2017Q3</v>
      </c>
      <c r="J121" s="177">
        <f>'[6]price list MAN'!J121</f>
        <v>1050000</v>
      </c>
      <c r="K121" s="177">
        <f>'[6]price list MAN'!P121</f>
        <v>866250</v>
      </c>
      <c r="L121" s="177">
        <f>'[6]price list MAN'!R121</f>
        <v>825000</v>
      </c>
      <c r="M121" s="174">
        <f>'[6]price list MAN'!S121</f>
        <v>1080000</v>
      </c>
      <c r="N121" s="174">
        <f>'[6]price list MAN'!Y121</f>
        <v>897750</v>
      </c>
      <c r="O121" s="174">
        <f>'[6]price list MAN'!AA121</f>
        <v>855000</v>
      </c>
      <c r="P121" s="68">
        <f t="shared" si="6"/>
        <v>0.20833333333333334</v>
      </c>
      <c r="Q121" s="62" t="e">
        <f>O121-#REF!</f>
        <v>#REF!</v>
      </c>
      <c r="S121" s="62"/>
      <c r="W121" s="210"/>
      <c r="X121" s="210"/>
      <c r="Y121" s="210"/>
      <c r="Z121" s="210"/>
      <c r="AA121" s="210"/>
      <c r="AB121" s="210"/>
      <c r="AC121" s="210"/>
      <c r="AT121" s="425" t="str">
        <f t="shared" si="7"/>
        <v>KP0005162017Q315,3</v>
      </c>
      <c r="AU121" s="64" t="str">
        <f t="shared" si="8"/>
        <v>08-2017</v>
      </c>
      <c r="BA121" s="428" t="str">
        <f t="shared" si="9"/>
        <v>WIP - 30 Days</v>
      </c>
    </row>
    <row r="122" spans="1:245">
      <c r="B122" s="36" t="str">
        <f>'[6]price list MAN'!B122</f>
        <v>TBAKP516</v>
      </c>
      <c r="C122" s="10" t="str">
        <f>'[6]price list MAN'!C122</f>
        <v>CLA-26-2806X4BB-C-K</v>
      </c>
      <c r="D122" s="16" t="str">
        <f>IFERROR(VLOOKUP(C122&amp;"",'[7]Retail Price List'!$A$3:$B$103,2,FALSE),"Special Order")</f>
        <v>KP000516</v>
      </c>
      <c r="E122" s="494" t="str">
        <f>'[6]price list MAN'!E122</f>
        <v>CKD</v>
      </c>
      <c r="F122" s="11" t="str">
        <f>'[6]price list MAN'!F122</f>
        <v>2018-08-19</v>
      </c>
      <c r="G122" s="32">
        <f>'[6]price list MAN'!G122</f>
        <v>15.8</v>
      </c>
      <c r="H122" s="26">
        <f>'[6]price list MAN'!H122</f>
        <v>43159</v>
      </c>
      <c r="I122" s="51" t="str">
        <f t="shared" si="5"/>
        <v>2018Q1</v>
      </c>
      <c r="J122" s="177">
        <f>'[6]price list MAN'!J122</f>
        <v>1050000</v>
      </c>
      <c r="K122" s="177">
        <f>'[6]price list MAN'!P122</f>
        <v>882000</v>
      </c>
      <c r="L122" s="177">
        <f>'[6]price list MAN'!R122</f>
        <v>840000</v>
      </c>
      <c r="M122" s="174">
        <f>'[6]price list MAN'!S122</f>
        <v>1080000</v>
      </c>
      <c r="N122" s="174">
        <f>'[6]price list MAN'!Y122</f>
        <v>913500</v>
      </c>
      <c r="O122" s="174">
        <f>'[6]price list MAN'!AA122</f>
        <v>870000</v>
      </c>
      <c r="P122" s="68">
        <f t="shared" si="6"/>
        <v>0.19444444444444445</v>
      </c>
      <c r="Q122" s="62" t="e">
        <f>O122-#REF!</f>
        <v>#REF!</v>
      </c>
      <c r="S122" s="62"/>
      <c r="W122" s="210"/>
      <c r="X122" s="210"/>
      <c r="Y122" s="210"/>
      <c r="Z122" s="210"/>
      <c r="AA122" s="210"/>
      <c r="AB122" s="210"/>
      <c r="AC122" s="210"/>
      <c r="AT122" s="425" t="str">
        <f t="shared" si="7"/>
        <v>KP0005162018Q115,8</v>
      </c>
      <c r="AU122" s="64" t="str">
        <f t="shared" si="8"/>
        <v>02-2018</v>
      </c>
      <c r="BA122" s="428" t="str">
        <f t="shared" si="9"/>
        <v>WIP - 30 Days</v>
      </c>
    </row>
    <row r="123" spans="1:245">
      <c r="B123" s="36">
        <f>'[6]price list MAN'!B123</f>
        <v>48708</v>
      </c>
      <c r="C123" s="10" t="str">
        <f>'[6]price list MAN'!C123</f>
        <v>CLA-26-2806X4BB-C-L</v>
      </c>
      <c r="D123" s="16" t="str">
        <f>IFERROR(VLOOKUP(C123&amp;"",'[7]Retail Price List'!$A$3:$B$103,2,FALSE),"Special Order")</f>
        <v>KP000590</v>
      </c>
      <c r="E123" s="494" t="str">
        <f>'[6]price list MAN'!E123</f>
        <v>CKD</v>
      </c>
      <c r="F123" s="11" t="str">
        <f>'[6]price list MAN'!F123</f>
        <v>2018-08-30</v>
      </c>
      <c r="G123" s="32">
        <f>'[6]price list MAN'!G123</f>
        <v>15.9</v>
      </c>
      <c r="H123" s="26">
        <f>'[6]price list MAN'!H123</f>
        <v>43039</v>
      </c>
      <c r="I123" s="51" t="str">
        <f t="shared" si="5"/>
        <v>2017Q4</v>
      </c>
      <c r="J123" s="177">
        <f>'[6]price list MAN'!J123</f>
        <v>1040000</v>
      </c>
      <c r="K123" s="177">
        <f>'[6]price list MAN'!P123</f>
        <v>808500</v>
      </c>
      <c r="L123" s="177">
        <f>'[6]price list MAN'!R123</f>
        <v>770000</v>
      </c>
      <c r="M123" s="174">
        <f>'[6]price list MAN'!S123</f>
        <v>1070000</v>
      </c>
      <c r="N123" s="174">
        <f>'[6]price list MAN'!Y123</f>
        <v>840000</v>
      </c>
      <c r="O123" s="174">
        <f>'[6]price list MAN'!AA123</f>
        <v>800000</v>
      </c>
      <c r="P123" s="68">
        <f t="shared" si="6"/>
        <v>0.25233644859813081</v>
      </c>
      <c r="Q123" s="62" t="e">
        <f>O123-#REF!</f>
        <v>#REF!</v>
      </c>
      <c r="S123" s="62"/>
      <c r="W123" s="210"/>
      <c r="X123" s="210"/>
      <c r="Y123" s="210"/>
      <c r="Z123" s="210"/>
      <c r="AA123" s="210"/>
      <c r="AB123" s="210"/>
      <c r="AC123" s="210"/>
      <c r="AT123" s="425" t="str">
        <f t="shared" si="7"/>
        <v>KP0005902017Q415,9</v>
      </c>
      <c r="AU123" s="64" t="str">
        <f t="shared" si="8"/>
        <v>10-2017</v>
      </c>
      <c r="BA123" s="428" t="str">
        <f t="shared" si="9"/>
        <v>WIP - 30 Days</v>
      </c>
    </row>
    <row r="124" spans="1:245">
      <c r="B124" s="36">
        <f>'[6]price list MAN'!B124</f>
        <v>48709</v>
      </c>
      <c r="C124" s="10" t="str">
        <f>'[6]price list MAN'!C124</f>
        <v>CLA-26-2806X4BB-C-L</v>
      </c>
      <c r="D124" s="16" t="str">
        <f>IFERROR(VLOOKUP(C124&amp;"",'[7]Retail Price List'!$A$3:$B$103,2,FALSE),"Special Order")</f>
        <v>KP000590</v>
      </c>
      <c r="E124" s="494" t="str">
        <f>'[6]price list MAN'!E124</f>
        <v>CKD</v>
      </c>
      <c r="F124" s="11" t="str">
        <f>'[6]price list MAN'!F124</f>
        <v>2018-08-30</v>
      </c>
      <c r="G124" s="32">
        <f>'[6]price list MAN'!G124</f>
        <v>15.9</v>
      </c>
      <c r="H124" s="26">
        <f>'[6]price list MAN'!H124</f>
        <v>43039</v>
      </c>
      <c r="I124" s="51" t="str">
        <f t="shared" si="5"/>
        <v>2017Q4</v>
      </c>
      <c r="J124" s="177">
        <f>'[6]price list MAN'!J124</f>
        <v>1040000</v>
      </c>
      <c r="K124" s="177">
        <f>'[6]price list MAN'!P124</f>
        <v>808500</v>
      </c>
      <c r="L124" s="177">
        <f>'[6]price list MAN'!R124</f>
        <v>770000</v>
      </c>
      <c r="M124" s="174">
        <f>'[6]price list MAN'!S124</f>
        <v>1070000</v>
      </c>
      <c r="N124" s="174">
        <f>'[6]price list MAN'!Y124</f>
        <v>840000</v>
      </c>
      <c r="O124" s="174">
        <f>'[6]price list MAN'!AA124</f>
        <v>800000</v>
      </c>
      <c r="P124" s="68">
        <f t="shared" si="6"/>
        <v>0.25233644859813081</v>
      </c>
      <c r="Q124" s="62" t="e">
        <f>O124-#REF!</f>
        <v>#REF!</v>
      </c>
      <c r="S124" s="62"/>
      <c r="W124" s="210"/>
      <c r="X124" s="210"/>
      <c r="Y124" s="210"/>
      <c r="Z124" s="210"/>
      <c r="AA124" s="210"/>
      <c r="AB124" s="210"/>
      <c r="AC124" s="210"/>
      <c r="AT124" s="425" t="str">
        <f t="shared" si="7"/>
        <v>KP0005902017Q415,9</v>
      </c>
      <c r="AU124" s="64" t="str">
        <f t="shared" si="8"/>
        <v>10-2017</v>
      </c>
      <c r="BA124" s="428" t="str">
        <f t="shared" si="9"/>
        <v>WIP - 30 Days</v>
      </c>
    </row>
    <row r="125" spans="1:245">
      <c r="B125" s="36">
        <f>'[6]price list MAN'!B125</f>
        <v>48710</v>
      </c>
      <c r="C125" s="10" t="str">
        <f>'[6]price list MAN'!C125</f>
        <v>CLA-26-2806X4BB-C-L</v>
      </c>
      <c r="D125" s="16" t="str">
        <f>IFERROR(VLOOKUP(C125&amp;"",'[7]Retail Price List'!$A$3:$B$103,2,FALSE),"Special Order")</f>
        <v>KP000590</v>
      </c>
      <c r="E125" s="494" t="str">
        <f>'[6]price list MAN'!E125</f>
        <v>CKD</v>
      </c>
      <c r="F125" s="11" t="str">
        <f>'[6]price list MAN'!F125</f>
        <v>2018-08-30</v>
      </c>
      <c r="G125" s="32">
        <f>'[6]price list MAN'!G125</f>
        <v>15.9</v>
      </c>
      <c r="H125" s="26">
        <f>'[6]price list MAN'!H125</f>
        <v>43039</v>
      </c>
      <c r="I125" s="51" t="str">
        <f t="shared" si="5"/>
        <v>2017Q4</v>
      </c>
      <c r="J125" s="177">
        <f>'[6]price list MAN'!J125</f>
        <v>1040000</v>
      </c>
      <c r="K125" s="177">
        <f>'[6]price list MAN'!P125</f>
        <v>808500</v>
      </c>
      <c r="L125" s="177">
        <f>'[6]price list MAN'!R125</f>
        <v>770000</v>
      </c>
      <c r="M125" s="174">
        <f>'[6]price list MAN'!S125</f>
        <v>1070000</v>
      </c>
      <c r="N125" s="174">
        <f>'[6]price list MAN'!Y125</f>
        <v>840000</v>
      </c>
      <c r="O125" s="174">
        <f>'[6]price list MAN'!AA125</f>
        <v>800000</v>
      </c>
      <c r="P125" s="68">
        <f t="shared" si="6"/>
        <v>0.25233644859813081</v>
      </c>
      <c r="Q125" s="62" t="e">
        <f>O125-#REF!</f>
        <v>#REF!</v>
      </c>
      <c r="S125" s="62"/>
      <c r="W125" s="210"/>
      <c r="X125" s="210"/>
      <c r="Y125" s="210"/>
      <c r="Z125" s="210"/>
      <c r="AA125" s="210"/>
      <c r="AB125" s="210"/>
      <c r="AC125" s="210"/>
      <c r="AT125" s="425" t="str">
        <f t="shared" si="7"/>
        <v>KP0005902017Q415,9</v>
      </c>
      <c r="AU125" s="64" t="str">
        <f t="shared" si="8"/>
        <v>10-2017</v>
      </c>
      <c r="BA125" s="428" t="str">
        <f t="shared" si="9"/>
        <v>WIP - 30 Days</v>
      </c>
    </row>
    <row r="126" spans="1:245">
      <c r="B126" s="36">
        <f>'[6]price list MAN'!B126</f>
        <v>48711</v>
      </c>
      <c r="C126" s="10" t="str">
        <f>'[6]price list MAN'!C126</f>
        <v>CLA-26-2806X4BB-C-L</v>
      </c>
      <c r="D126" s="16" t="str">
        <f>IFERROR(VLOOKUP(C126&amp;"",'[7]Retail Price List'!$A$3:$B$103,2,FALSE),"Special Order")</f>
        <v>KP000590</v>
      </c>
      <c r="E126" s="494" t="str">
        <f>'[6]price list MAN'!E126</f>
        <v>CKD</v>
      </c>
      <c r="F126" s="11" t="str">
        <f>'[6]price list MAN'!F126</f>
        <v>2018-08-30</v>
      </c>
      <c r="G126" s="32">
        <f>'[6]price list MAN'!G126</f>
        <v>15.9</v>
      </c>
      <c r="H126" s="26">
        <f>'[6]price list MAN'!H126</f>
        <v>43039</v>
      </c>
      <c r="I126" s="51" t="str">
        <f t="shared" si="5"/>
        <v>2017Q4</v>
      </c>
      <c r="J126" s="177">
        <f>'[6]price list MAN'!J126</f>
        <v>1040000</v>
      </c>
      <c r="K126" s="177">
        <f>'[6]price list MAN'!P126</f>
        <v>808500</v>
      </c>
      <c r="L126" s="177">
        <f>'[6]price list MAN'!R126</f>
        <v>770000</v>
      </c>
      <c r="M126" s="174">
        <f>'[6]price list MAN'!S126</f>
        <v>1070000</v>
      </c>
      <c r="N126" s="174">
        <f>'[6]price list MAN'!Y126</f>
        <v>840000</v>
      </c>
      <c r="O126" s="174">
        <f>'[6]price list MAN'!AA126</f>
        <v>800000</v>
      </c>
      <c r="P126" s="68">
        <f t="shared" si="6"/>
        <v>0.25233644859813081</v>
      </c>
      <c r="Q126" s="62" t="e">
        <f>O126-#REF!</f>
        <v>#REF!</v>
      </c>
      <c r="S126" s="62"/>
      <c r="W126" s="210"/>
      <c r="X126" s="210"/>
      <c r="Y126" s="210"/>
      <c r="Z126" s="210"/>
      <c r="AA126" s="210"/>
      <c r="AB126" s="210"/>
      <c r="AC126" s="210"/>
      <c r="AT126" s="425" t="str">
        <f t="shared" si="7"/>
        <v>KP0005902017Q415,9</v>
      </c>
      <c r="AU126" s="64" t="str">
        <f t="shared" si="8"/>
        <v>10-2017</v>
      </c>
      <c r="BA126" s="428" t="str">
        <f t="shared" si="9"/>
        <v>WIP - 30 Days</v>
      </c>
    </row>
    <row r="127" spans="1:245">
      <c r="B127" s="36">
        <f>'[6]price list MAN'!B127</f>
        <v>48712</v>
      </c>
      <c r="C127" s="10" t="str">
        <f>'[6]price list MAN'!C127</f>
        <v>CLA-26-2806X4BB-C-L</v>
      </c>
      <c r="D127" s="16" t="str">
        <f>IFERROR(VLOOKUP(C127&amp;"",'[7]Retail Price List'!$A$3:$B$103,2,FALSE),"Special Order")</f>
        <v>KP000590</v>
      </c>
      <c r="E127" s="494" t="str">
        <f>'[6]price list MAN'!E127</f>
        <v>CKD</v>
      </c>
      <c r="F127" s="11" t="str">
        <f>'[6]price list MAN'!F127</f>
        <v>2018-08-30</v>
      </c>
      <c r="G127" s="32">
        <f>'[6]price list MAN'!G127</f>
        <v>15.9</v>
      </c>
      <c r="H127" s="26">
        <f>'[6]price list MAN'!H127</f>
        <v>43039</v>
      </c>
      <c r="I127" s="51" t="str">
        <f t="shared" si="5"/>
        <v>2017Q4</v>
      </c>
      <c r="J127" s="177">
        <f>'[6]price list MAN'!J127</f>
        <v>1040000</v>
      </c>
      <c r="K127" s="177">
        <f>'[6]price list MAN'!P127</f>
        <v>808500</v>
      </c>
      <c r="L127" s="177">
        <f>'[6]price list MAN'!R127</f>
        <v>770000</v>
      </c>
      <c r="M127" s="174">
        <f>'[6]price list MAN'!S127</f>
        <v>1070000</v>
      </c>
      <c r="N127" s="174">
        <f>'[6]price list MAN'!Y127</f>
        <v>840000</v>
      </c>
      <c r="O127" s="174">
        <f>'[6]price list MAN'!AA127</f>
        <v>800000</v>
      </c>
      <c r="P127" s="68">
        <f t="shared" si="6"/>
        <v>0.25233644859813081</v>
      </c>
      <c r="Q127" s="62" t="e">
        <f>O127-#REF!</f>
        <v>#REF!</v>
      </c>
      <c r="S127" s="62"/>
      <c r="W127" s="210"/>
      <c r="X127" s="210"/>
      <c r="Y127" s="210"/>
      <c r="Z127" s="210"/>
      <c r="AA127" s="210"/>
      <c r="AB127" s="210"/>
      <c r="AC127" s="210"/>
      <c r="AT127" s="425" t="str">
        <f t="shared" si="7"/>
        <v>KP0005902017Q415,9</v>
      </c>
      <c r="AU127" s="64" t="str">
        <f t="shared" si="8"/>
        <v>10-2017</v>
      </c>
      <c r="BA127" s="428" t="str">
        <f t="shared" si="9"/>
        <v>WIP - 30 Days</v>
      </c>
    </row>
    <row r="128" spans="1:245">
      <c r="B128" s="36">
        <f>'[6]price list MAN'!B128</f>
        <v>48713</v>
      </c>
      <c r="C128" s="10" t="str">
        <f>'[6]price list MAN'!C128</f>
        <v>CLA-26-2806X4BB-C-L</v>
      </c>
      <c r="D128" s="16" t="str">
        <f>IFERROR(VLOOKUP(C128&amp;"",'[7]Retail Price List'!$A$3:$B$103,2,FALSE),"Special Order")</f>
        <v>KP000590</v>
      </c>
      <c r="E128" s="494" t="str">
        <f>'[6]price list MAN'!E128</f>
        <v>CKD</v>
      </c>
      <c r="F128" s="11" t="str">
        <f>'[6]price list MAN'!F128</f>
        <v>2018-08-30</v>
      </c>
      <c r="G128" s="32">
        <f>'[6]price list MAN'!G128</f>
        <v>15.9</v>
      </c>
      <c r="H128" s="26">
        <f>'[6]price list MAN'!H128</f>
        <v>43039</v>
      </c>
      <c r="I128" s="51" t="str">
        <f t="shared" si="5"/>
        <v>2017Q4</v>
      </c>
      <c r="J128" s="177">
        <f>'[6]price list MAN'!J128</f>
        <v>1040000</v>
      </c>
      <c r="K128" s="177">
        <f>'[6]price list MAN'!P128</f>
        <v>808500</v>
      </c>
      <c r="L128" s="177">
        <f>'[6]price list MAN'!R128</f>
        <v>770000</v>
      </c>
      <c r="M128" s="174">
        <f>'[6]price list MAN'!S128</f>
        <v>1070000</v>
      </c>
      <c r="N128" s="174">
        <f>'[6]price list MAN'!Y128</f>
        <v>840000</v>
      </c>
      <c r="O128" s="174">
        <f>'[6]price list MAN'!AA128</f>
        <v>800000</v>
      </c>
      <c r="P128" s="68">
        <f t="shared" si="6"/>
        <v>0.25233644859813081</v>
      </c>
      <c r="Q128" s="62" t="e">
        <f>O128-#REF!</f>
        <v>#REF!</v>
      </c>
      <c r="S128" s="62"/>
      <c r="W128" s="210"/>
      <c r="X128" s="210"/>
      <c r="Y128" s="210"/>
      <c r="Z128" s="210"/>
      <c r="AA128" s="210"/>
      <c r="AB128" s="210"/>
      <c r="AC128" s="210"/>
      <c r="AT128" s="425" t="str">
        <f t="shared" si="7"/>
        <v>KP0005902017Q415,9</v>
      </c>
      <c r="AU128" s="64" t="str">
        <f t="shared" si="8"/>
        <v>10-2017</v>
      </c>
      <c r="BA128" s="428" t="str">
        <f t="shared" si="9"/>
        <v>WIP - 30 Days</v>
      </c>
    </row>
    <row r="129" spans="1:245">
      <c r="B129" s="36" t="str">
        <f>'[6]price list MAN'!B129</f>
        <v>MC6-2570</v>
      </c>
      <c r="C129" s="10" t="str">
        <f>'[6]price list MAN'!C129</f>
        <v>CLA-26-2806X4BB-C-L</v>
      </c>
      <c r="D129" s="16" t="str">
        <f>IFERROR(VLOOKUP(C129&amp;"",'[7]Retail Price List'!$A$3:$B$103,2,FALSE),"Special Order")</f>
        <v>KP000590</v>
      </c>
      <c r="E129" s="494" t="str">
        <f>'[6]price list MAN'!E129</f>
        <v>CKD</v>
      </c>
      <c r="F129" s="11" t="str">
        <f>'[6]price list MAN'!F129</f>
        <v>2018-03-30</v>
      </c>
      <c r="G129" s="32">
        <f>'[6]price list MAN'!G129</f>
        <v>14.7</v>
      </c>
      <c r="H129" s="26">
        <f>'[6]price list MAN'!H129</f>
        <v>42937</v>
      </c>
      <c r="I129" s="51" t="str">
        <f t="shared" si="5"/>
        <v>201707Q3</v>
      </c>
      <c r="J129" s="177">
        <f>'[6]price list MAN'!J129</f>
        <v>1040000</v>
      </c>
      <c r="K129" s="177">
        <f>'[6]price list MAN'!P129</f>
        <v>808500</v>
      </c>
      <c r="L129" s="177">
        <f>'[6]price list MAN'!R129</f>
        <v>770000</v>
      </c>
      <c r="M129" s="174">
        <f>'[6]price list MAN'!S129</f>
        <v>1070000</v>
      </c>
      <c r="N129" s="174">
        <f>'[6]price list MAN'!Y129</f>
        <v>840000</v>
      </c>
      <c r="O129" s="174">
        <f>'[6]price list MAN'!AA129</f>
        <v>800000</v>
      </c>
      <c r="P129" s="68">
        <f t="shared" si="6"/>
        <v>0.25233644859813081</v>
      </c>
      <c r="Q129" s="62" t="e">
        <f>O129-#REF!</f>
        <v>#REF!</v>
      </c>
      <c r="S129" s="62"/>
      <c r="W129" s="210"/>
      <c r="X129" s="210"/>
      <c r="Y129" s="210"/>
      <c r="Z129" s="210"/>
      <c r="AA129" s="210"/>
      <c r="AB129" s="210"/>
      <c r="AC129" s="210"/>
      <c r="AT129" s="425" t="str">
        <f t="shared" si="7"/>
        <v>KP000590201707Q314,7</v>
      </c>
      <c r="AU129" s="64" t="str">
        <f t="shared" si="8"/>
        <v>07-2017</v>
      </c>
      <c r="BA129" s="428" t="str">
        <f t="shared" si="9"/>
        <v>WIP - 30 Days</v>
      </c>
    </row>
    <row r="130" spans="1:245">
      <c r="B130" s="36" t="str">
        <f>'[6]price list MAN'!B130</f>
        <v>MC6-2571</v>
      </c>
      <c r="C130" s="10" t="str">
        <f>'[6]price list MAN'!C130</f>
        <v>CLA-26-2806X4BB-C-L</v>
      </c>
      <c r="D130" s="16" t="str">
        <f>IFERROR(VLOOKUP(C130&amp;"",'[7]Retail Price List'!$A$3:$B$103,2,FALSE),"Special Order")</f>
        <v>KP000590</v>
      </c>
      <c r="E130" s="494" t="str">
        <f>'[6]price list MAN'!E130</f>
        <v>CKD</v>
      </c>
      <c r="F130" s="11" t="str">
        <f>'[6]price list MAN'!F130</f>
        <v>2018-03-30</v>
      </c>
      <c r="G130" s="32">
        <f>'[6]price list MAN'!G130</f>
        <v>14.7</v>
      </c>
      <c r="H130" s="26">
        <f>'[6]price list MAN'!H130</f>
        <v>42937</v>
      </c>
      <c r="I130" s="51" t="str">
        <f t="shared" si="5"/>
        <v>201707Q3</v>
      </c>
      <c r="J130" s="177">
        <f>'[6]price list MAN'!J130</f>
        <v>1040000</v>
      </c>
      <c r="K130" s="177">
        <f>'[6]price list MAN'!P130</f>
        <v>808500</v>
      </c>
      <c r="L130" s="177">
        <f>'[6]price list MAN'!R130</f>
        <v>770000</v>
      </c>
      <c r="M130" s="174">
        <f>'[6]price list MAN'!S130</f>
        <v>1070000</v>
      </c>
      <c r="N130" s="174">
        <f>'[6]price list MAN'!Y130</f>
        <v>840000</v>
      </c>
      <c r="O130" s="174">
        <f>'[6]price list MAN'!AA130</f>
        <v>800000</v>
      </c>
      <c r="P130" s="68">
        <f t="shared" si="6"/>
        <v>0.25233644859813081</v>
      </c>
      <c r="Q130" s="62" t="e">
        <f>O130-#REF!</f>
        <v>#REF!</v>
      </c>
      <c r="S130" s="62"/>
      <c r="W130" s="210"/>
      <c r="X130" s="210"/>
      <c r="Y130" s="210"/>
      <c r="Z130" s="210"/>
      <c r="AA130" s="210"/>
      <c r="AB130" s="210"/>
      <c r="AC130" s="210"/>
      <c r="AT130" s="425" t="str">
        <f t="shared" si="7"/>
        <v>KP000590201707Q314,7</v>
      </c>
      <c r="AU130" s="64" t="str">
        <f t="shared" si="8"/>
        <v>07-2017</v>
      </c>
      <c r="BA130" s="428" t="str">
        <f t="shared" si="9"/>
        <v>WIP - 30 Days</v>
      </c>
    </row>
    <row r="131" spans="1:245">
      <c r="B131" s="36" t="str">
        <f>'[6]price list MAN'!B131</f>
        <v>MC6-2572</v>
      </c>
      <c r="C131" s="10" t="str">
        <f>'[6]price list MAN'!C131</f>
        <v>CLA-26-2806X4BB-C-L</v>
      </c>
      <c r="D131" s="16" t="str">
        <f>IFERROR(VLOOKUP(C131&amp;"",'[7]Retail Price List'!$A$3:$B$103,2,FALSE),"Special Order")</f>
        <v>KP000590</v>
      </c>
      <c r="E131" s="494" t="str">
        <f>'[6]price list MAN'!E131</f>
        <v>CKD</v>
      </c>
      <c r="F131" s="11" t="str">
        <f>'[6]price list MAN'!F131</f>
        <v>2018-03-30</v>
      </c>
      <c r="G131" s="32">
        <f>'[6]price list MAN'!G131</f>
        <v>14.7</v>
      </c>
      <c r="H131" s="26">
        <f>'[6]price list MAN'!H131</f>
        <v>42937</v>
      </c>
      <c r="I131" s="51" t="str">
        <f t="shared" si="5"/>
        <v>201707Q3</v>
      </c>
      <c r="J131" s="177">
        <f>'[6]price list MAN'!J131</f>
        <v>1040000</v>
      </c>
      <c r="K131" s="177">
        <f>'[6]price list MAN'!P131</f>
        <v>808500</v>
      </c>
      <c r="L131" s="177">
        <f>'[6]price list MAN'!R131</f>
        <v>770000</v>
      </c>
      <c r="M131" s="174">
        <f>'[6]price list MAN'!S131</f>
        <v>1070000</v>
      </c>
      <c r="N131" s="174">
        <f>'[6]price list MAN'!Y131</f>
        <v>840000</v>
      </c>
      <c r="O131" s="174">
        <f>'[6]price list MAN'!AA131</f>
        <v>800000</v>
      </c>
      <c r="P131" s="68">
        <f t="shared" si="6"/>
        <v>0.25233644859813081</v>
      </c>
      <c r="Q131" s="62" t="e">
        <f>O131-#REF!</f>
        <v>#REF!</v>
      </c>
      <c r="S131" s="62"/>
      <c r="W131" s="210"/>
      <c r="X131" s="210"/>
      <c r="Y131" s="210"/>
      <c r="Z131" s="210"/>
      <c r="AA131" s="210"/>
      <c r="AB131" s="210"/>
      <c r="AC131" s="210"/>
      <c r="AT131" s="425" t="str">
        <f t="shared" si="7"/>
        <v>KP000590201707Q314,7</v>
      </c>
      <c r="AU131" s="64" t="str">
        <f t="shared" si="8"/>
        <v>07-2017</v>
      </c>
      <c r="BA131" s="428" t="str">
        <f t="shared" si="9"/>
        <v>WIP - 30 Days</v>
      </c>
    </row>
    <row r="132" spans="1:245">
      <c r="B132" s="36" t="str">
        <f>'[6]price list MAN'!B132</f>
        <v>MC6-3743</v>
      </c>
      <c r="C132" s="10" t="str">
        <f>'[6]price list MAN'!C132</f>
        <v>CLA-26-2806X4BB-C-L</v>
      </c>
      <c r="D132" s="16" t="str">
        <f>IFERROR(VLOOKUP(C132&amp;"",'[7]Retail Price List'!$A$3:$B$103,2,FALSE),"Special Order")</f>
        <v>KP000590</v>
      </c>
      <c r="E132" s="494" t="str">
        <f>'[6]price list MAN'!E132</f>
        <v>BODY</v>
      </c>
      <c r="F132" s="11">
        <f>'[6]price list MAN'!F132</f>
        <v>175</v>
      </c>
      <c r="G132" s="32">
        <f>'[6]price list MAN'!G132</f>
        <v>15.4</v>
      </c>
      <c r="H132" s="26">
        <f>'[6]price list MAN'!H132</f>
        <v>42804</v>
      </c>
      <c r="I132" s="51" t="str">
        <f t="shared" si="5"/>
        <v>2017Q1</v>
      </c>
      <c r="J132" s="177">
        <f>'[6]price list MAN'!J132</f>
        <v>1633574.08</v>
      </c>
      <c r="K132" s="177">
        <f>'[6]price list MAN'!P132</f>
        <v>1239000</v>
      </c>
      <c r="L132" s="177">
        <f>'[6]price list MAN'!R132</f>
        <v>1180000</v>
      </c>
      <c r="M132" s="174">
        <f>'[6]price list MAN'!S132</f>
        <v>1663574.08</v>
      </c>
      <c r="N132" s="174">
        <f>'[6]price list MAN'!Y132</f>
        <v>1270500</v>
      </c>
      <c r="O132" s="174">
        <f>'[6]price list MAN'!AA132</f>
        <v>1210000</v>
      </c>
      <c r="P132" s="68">
        <f t="shared" si="6"/>
        <v>0.27265036492994654</v>
      </c>
      <c r="Q132" s="62" t="e">
        <f>O132-#REF!</f>
        <v>#REF!</v>
      </c>
      <c r="S132" s="62"/>
      <c r="W132" s="210"/>
      <c r="X132" s="210"/>
      <c r="Y132" s="210"/>
      <c r="Z132" s="210"/>
      <c r="AA132" s="210"/>
      <c r="AB132" s="210"/>
      <c r="AC132" s="210"/>
      <c r="AT132" s="425" t="str">
        <f t="shared" si="7"/>
        <v>KP0005902017Q115,4</v>
      </c>
      <c r="AU132" s="64" t="str">
        <f t="shared" si="8"/>
        <v>03-2017</v>
      </c>
      <c r="BA132" s="428" t="str">
        <f t="shared" si="9"/>
        <v>121-365 Days</v>
      </c>
    </row>
    <row r="133" spans="1:245">
      <c r="B133" s="36" t="str">
        <f>'[6]price list MAN'!B133</f>
        <v>MC6-3745</v>
      </c>
      <c r="C133" s="10" t="str">
        <f>'[6]price list MAN'!C133</f>
        <v>CLA-26-2806X4BB-C-L</v>
      </c>
      <c r="D133" s="16" t="str">
        <f>IFERROR(VLOOKUP(C133&amp;"",'[7]Retail Price List'!$A$3:$B$103,2,FALSE),"Special Order")</f>
        <v>KP000590</v>
      </c>
      <c r="E133" s="494" t="str">
        <f>'[6]price list MAN'!E133</f>
        <v>BODY</v>
      </c>
      <c r="F133" s="11">
        <f>'[6]price list MAN'!F133</f>
        <v>145</v>
      </c>
      <c r="G133" s="32">
        <f>'[6]price list MAN'!G133</f>
        <v>15.4</v>
      </c>
      <c r="H133" s="26">
        <f>'[6]price list MAN'!H133</f>
        <v>42804</v>
      </c>
      <c r="I133" s="51" t="str">
        <f t="shared" ref="I133:I196" si="10">IFERROR(VLOOKUP(AU133,$AW$5:$AY$40,3,FALSE),"")</f>
        <v>2017Q1</v>
      </c>
      <c r="J133" s="177">
        <f>'[6]price list MAN'!J133</f>
        <v>1485934.84</v>
      </c>
      <c r="K133" s="177">
        <f>'[6]price list MAN'!P133</f>
        <v>1097250</v>
      </c>
      <c r="L133" s="177">
        <f>'[6]price list MAN'!R133</f>
        <v>1045000</v>
      </c>
      <c r="M133" s="174">
        <f>'[6]price list MAN'!S133</f>
        <v>1515934.84</v>
      </c>
      <c r="N133" s="174">
        <f>'[6]price list MAN'!Y133</f>
        <v>1128750</v>
      </c>
      <c r="O133" s="174">
        <f>'[6]price list MAN'!AA133</f>
        <v>1075000</v>
      </c>
      <c r="P133" s="68">
        <f t="shared" ref="P133:P196" si="11">(M133-O133)/M133</f>
        <v>0.29086661798735364</v>
      </c>
      <c r="Q133" s="62" t="e">
        <f>O133-#REF!</f>
        <v>#REF!</v>
      </c>
      <c r="W133" s="210"/>
      <c r="X133" s="210"/>
      <c r="Y133" s="210"/>
      <c r="Z133" s="210"/>
      <c r="AA133" s="210"/>
      <c r="AB133" s="210"/>
      <c r="AC133" s="210"/>
      <c r="AT133" s="425" t="str">
        <f t="shared" ref="AT133:AT196" si="12">D133&amp;I133&amp;G133</f>
        <v>KP0005902017Q115,4</v>
      </c>
      <c r="AU133" s="64" t="str">
        <f t="shared" ref="AU133:AU196" si="13">IF(MONTH(H133)&lt;10,0&amp;MONTH(H133)&amp;"-"&amp;YEAR(H133),MONTH(H133)&amp;"-"&amp;YEAR(H133))</f>
        <v>03-2017</v>
      </c>
      <c r="BA133" s="428" t="str">
        <f t="shared" ref="BA133:BA196" si="14">IF(B133=0,"",IF(AND(F133&gt;=31,F133&lt;=120),"31-120 Days",IF(AND(F133&gt;=121,F133&lt;=365),"121-365 Days",IF(OR(E133="CKD",F133&lt;=30),"WIP - 30 Days","&gt;365 Days"))))</f>
        <v>121-365 Days</v>
      </c>
    </row>
    <row r="134" spans="1:245">
      <c r="B134" s="36" t="str">
        <f>'[6]price list MAN'!B134</f>
        <v>MC6-3751</v>
      </c>
      <c r="C134" s="10" t="str">
        <f>'[6]price list MAN'!C134</f>
        <v>CLA-26-2806X4BB-C-L</v>
      </c>
      <c r="D134" s="16" t="str">
        <f>IFERROR(VLOOKUP(C134&amp;"",'[7]Retail Price List'!$A$3:$B$103,2,FALSE),"Special Order")</f>
        <v>KP000590</v>
      </c>
      <c r="E134" s="494" t="str">
        <f>'[6]price list MAN'!E134</f>
        <v>BODY</v>
      </c>
      <c r="F134" s="11">
        <f>'[6]price list MAN'!F134</f>
        <v>165</v>
      </c>
      <c r="G134" s="32">
        <f>'[6]price list MAN'!G134</f>
        <v>15.4</v>
      </c>
      <c r="H134" s="26">
        <f>'[6]price list MAN'!H134</f>
        <v>42804</v>
      </c>
      <c r="I134" s="51" t="str">
        <f t="shared" si="10"/>
        <v>2017Q1</v>
      </c>
      <c r="J134" s="177">
        <f>'[6]price list MAN'!J134</f>
        <v>1633574.08</v>
      </c>
      <c r="K134" s="177">
        <f>'[6]price list MAN'!P134</f>
        <v>1239000</v>
      </c>
      <c r="L134" s="177">
        <f>'[6]price list MAN'!R134</f>
        <v>1180000</v>
      </c>
      <c r="M134" s="174">
        <f>'[6]price list MAN'!S134</f>
        <v>1663574.08</v>
      </c>
      <c r="N134" s="174">
        <f>'[6]price list MAN'!Y134</f>
        <v>1270500</v>
      </c>
      <c r="O134" s="174">
        <f>'[6]price list MAN'!AA134</f>
        <v>1210000</v>
      </c>
      <c r="P134" s="68">
        <f t="shared" si="11"/>
        <v>0.27265036492994654</v>
      </c>
      <c r="Q134" s="62" t="e">
        <f>O134-#REF!</f>
        <v>#REF!</v>
      </c>
      <c r="W134" s="210"/>
      <c r="X134" s="210"/>
      <c r="Y134" s="210"/>
      <c r="Z134" s="210"/>
      <c r="AA134" s="210"/>
      <c r="AB134" s="210"/>
      <c r="AC134" s="210"/>
      <c r="AT134" s="425" t="str">
        <f t="shared" si="12"/>
        <v>KP0005902017Q115,4</v>
      </c>
      <c r="AU134" s="64" t="str">
        <f t="shared" si="13"/>
        <v>03-2017</v>
      </c>
      <c r="BA134" s="428" t="str">
        <f t="shared" si="14"/>
        <v>121-365 Days</v>
      </c>
    </row>
    <row r="135" spans="1:245">
      <c r="B135" s="36" t="str">
        <f>'[6]price list MAN'!B135</f>
        <v>MC6-3752</v>
      </c>
      <c r="C135" s="10" t="str">
        <f>'[6]price list MAN'!C135</f>
        <v>CLA-26-2806X4BB-C-L</v>
      </c>
      <c r="D135" s="16" t="str">
        <f>IFERROR(VLOOKUP(C135&amp;"",'[7]Retail Price List'!$A$3:$B$103,2,FALSE),"Special Order")</f>
        <v>KP000590</v>
      </c>
      <c r="E135" s="494" t="str">
        <f>'[6]price list MAN'!E135</f>
        <v>BODY</v>
      </c>
      <c r="F135" s="11">
        <f>'[6]price list MAN'!F135</f>
        <v>182</v>
      </c>
      <c r="G135" s="32">
        <f>'[6]price list MAN'!G135</f>
        <v>15.4</v>
      </c>
      <c r="H135" s="26">
        <f>'[6]price list MAN'!H135</f>
        <v>42804</v>
      </c>
      <c r="I135" s="51" t="str">
        <f t="shared" si="10"/>
        <v>2017Q1</v>
      </c>
      <c r="J135" s="177">
        <f>'[6]price list MAN'!J135</f>
        <v>1633574.08</v>
      </c>
      <c r="K135" s="177">
        <f>'[6]price list MAN'!P135</f>
        <v>1239000</v>
      </c>
      <c r="L135" s="177">
        <f>'[6]price list MAN'!R135</f>
        <v>1180000</v>
      </c>
      <c r="M135" s="174">
        <f>'[6]price list MAN'!S135</f>
        <v>1663574.08</v>
      </c>
      <c r="N135" s="174">
        <f>'[6]price list MAN'!Y135</f>
        <v>1270500</v>
      </c>
      <c r="O135" s="174">
        <f>'[6]price list MAN'!AA135</f>
        <v>1210000</v>
      </c>
      <c r="P135" s="68">
        <f t="shared" si="11"/>
        <v>0.27265036492994654</v>
      </c>
      <c r="Q135" s="62" t="e">
        <f>O135-#REF!</f>
        <v>#REF!</v>
      </c>
      <c r="W135" s="210"/>
      <c r="X135" s="210"/>
      <c r="Y135" s="210"/>
      <c r="Z135" s="210"/>
      <c r="AA135" s="210"/>
      <c r="AB135" s="210"/>
      <c r="AC135" s="210"/>
      <c r="AT135" s="425" t="str">
        <f t="shared" si="12"/>
        <v>KP0005902017Q115,4</v>
      </c>
      <c r="AU135" s="64" t="str">
        <f t="shared" si="13"/>
        <v>03-2017</v>
      </c>
      <c r="BA135" s="428" t="str">
        <f t="shared" si="14"/>
        <v>121-365 Days</v>
      </c>
    </row>
    <row r="136" spans="1:245">
      <c r="B136" s="36" t="str">
        <f>'[6]price list MAN'!B136</f>
        <v>MC6-3772</v>
      </c>
      <c r="C136" s="10" t="str">
        <f>'[6]price list MAN'!C136</f>
        <v>CLA-26-2806X4BB-C-L</v>
      </c>
      <c r="D136" s="16" t="str">
        <f>IFERROR(VLOOKUP(C136&amp;"",'[7]Retail Price List'!$A$3:$B$103,2,FALSE),"Special Order")</f>
        <v>KP000590</v>
      </c>
      <c r="E136" s="494" t="str">
        <f>'[6]price list MAN'!E136</f>
        <v>BODY</v>
      </c>
      <c r="F136" s="11">
        <f>'[6]price list MAN'!F136</f>
        <v>137</v>
      </c>
      <c r="G136" s="32">
        <f>'[6]price list MAN'!G136</f>
        <v>14.7</v>
      </c>
      <c r="H136" s="26">
        <f>'[6]price list MAN'!H136</f>
        <v>42838</v>
      </c>
      <c r="I136" s="51" t="str">
        <f t="shared" si="10"/>
        <v>2017Q2</v>
      </c>
      <c r="J136" s="177">
        <f>'[6]price list MAN'!J136</f>
        <v>1485934.84</v>
      </c>
      <c r="K136" s="177">
        <f>'[6]price list MAN'!P136</f>
        <v>1086750</v>
      </c>
      <c r="L136" s="177">
        <f>'[6]price list MAN'!R136</f>
        <v>1035000</v>
      </c>
      <c r="M136" s="174">
        <f>'[6]price list MAN'!S136</f>
        <v>1515934.84</v>
      </c>
      <c r="N136" s="174">
        <f>'[6]price list MAN'!Y136</f>
        <v>1118250</v>
      </c>
      <c r="O136" s="174">
        <f>'[6]price list MAN'!AA136</f>
        <v>1065000</v>
      </c>
      <c r="P136" s="68">
        <f t="shared" si="11"/>
        <v>0.2974632075874713</v>
      </c>
      <c r="Q136" s="62" t="e">
        <f>O136-#REF!</f>
        <v>#REF!</v>
      </c>
      <c r="W136" s="210"/>
      <c r="X136" s="210"/>
      <c r="Y136" s="210"/>
      <c r="Z136" s="210"/>
      <c r="AA136" s="210"/>
      <c r="AB136" s="210"/>
      <c r="AC136" s="210"/>
      <c r="AT136" s="425" t="str">
        <f t="shared" si="12"/>
        <v>KP0005902017Q214,7</v>
      </c>
      <c r="AU136" s="64" t="str">
        <f t="shared" si="13"/>
        <v>04-2017</v>
      </c>
      <c r="BA136" s="428" t="str">
        <f t="shared" si="14"/>
        <v>121-365 Days</v>
      </c>
    </row>
    <row r="137" spans="1:245">
      <c r="B137" s="36" t="str">
        <f>'[6]price list MAN'!B137</f>
        <v>MC6-3773</v>
      </c>
      <c r="C137" s="10" t="str">
        <f>'[6]price list MAN'!C137</f>
        <v>CLA-26-2806X4BB-C-L</v>
      </c>
      <c r="D137" s="16" t="str">
        <f>IFERROR(VLOOKUP(C137&amp;"",'[7]Retail Price List'!$A$3:$B$103,2,FALSE),"Special Order")</f>
        <v>KP000590</v>
      </c>
      <c r="E137" s="494" t="str">
        <f>'[6]price list MAN'!E137</f>
        <v>BODY</v>
      </c>
      <c r="F137" s="11">
        <f>'[6]price list MAN'!F137</f>
        <v>127</v>
      </c>
      <c r="G137" s="32">
        <f>'[6]price list MAN'!G137</f>
        <v>14.7</v>
      </c>
      <c r="H137" s="26">
        <f>'[6]price list MAN'!H137</f>
        <v>42838</v>
      </c>
      <c r="I137" s="51" t="str">
        <f t="shared" si="10"/>
        <v>2017Q2</v>
      </c>
      <c r="J137" s="177">
        <f>'[6]price list MAN'!J137</f>
        <v>1485934.84</v>
      </c>
      <c r="K137" s="177">
        <f>'[6]price list MAN'!P137</f>
        <v>1086750</v>
      </c>
      <c r="L137" s="177">
        <f>'[6]price list MAN'!R137</f>
        <v>1035000</v>
      </c>
      <c r="M137" s="174">
        <f>'[6]price list MAN'!S137</f>
        <v>1515934.84</v>
      </c>
      <c r="N137" s="174">
        <f>'[6]price list MAN'!Y137</f>
        <v>1118250</v>
      </c>
      <c r="O137" s="174">
        <f>'[6]price list MAN'!AA137</f>
        <v>1065000</v>
      </c>
      <c r="P137" s="68">
        <f t="shared" si="11"/>
        <v>0.2974632075874713</v>
      </c>
      <c r="Q137" s="62" t="e">
        <f>O137-#REF!</f>
        <v>#REF!</v>
      </c>
      <c r="W137" s="210"/>
      <c r="X137" s="210"/>
      <c r="Y137" s="210"/>
      <c r="Z137" s="210"/>
      <c r="AA137" s="210"/>
      <c r="AB137" s="210"/>
      <c r="AC137" s="210"/>
      <c r="AT137" s="425" t="str">
        <f t="shared" si="12"/>
        <v>KP0005902017Q214,7</v>
      </c>
      <c r="AU137" s="64" t="str">
        <f t="shared" si="13"/>
        <v>04-2017</v>
      </c>
      <c r="BA137" s="428" t="str">
        <f t="shared" si="14"/>
        <v>121-365 Days</v>
      </c>
    </row>
    <row r="138" spans="1:245">
      <c r="B138" s="36" t="str">
        <f>'[6]price list MAN'!B138</f>
        <v>MC6-3776</v>
      </c>
      <c r="C138" s="10" t="str">
        <f>'[6]price list MAN'!C138</f>
        <v>CLA-26-2806X4BB-C-L</v>
      </c>
      <c r="D138" s="16" t="str">
        <f>IFERROR(VLOOKUP(C138&amp;"",'[7]Retail Price List'!$A$3:$B$103,2,FALSE),"Special Order")</f>
        <v>KP000590</v>
      </c>
      <c r="E138" s="494" t="str">
        <f>'[6]price list MAN'!E138</f>
        <v>BODY</v>
      </c>
      <c r="F138" s="11">
        <f>'[6]price list MAN'!F138</f>
        <v>118</v>
      </c>
      <c r="G138" s="32">
        <f>'[6]price list MAN'!G138</f>
        <v>14.7</v>
      </c>
      <c r="H138" s="26">
        <f>'[6]price list MAN'!H138</f>
        <v>42838</v>
      </c>
      <c r="I138" s="51" t="str">
        <f t="shared" si="10"/>
        <v>2017Q2</v>
      </c>
      <c r="J138" s="177">
        <f>'[6]price list MAN'!J138</f>
        <v>1485934.84</v>
      </c>
      <c r="K138" s="177">
        <f>'[6]price list MAN'!P138</f>
        <v>1086750</v>
      </c>
      <c r="L138" s="177">
        <f>'[6]price list MAN'!R138</f>
        <v>1035000</v>
      </c>
      <c r="M138" s="174">
        <f>'[6]price list MAN'!S138</f>
        <v>1515934.84</v>
      </c>
      <c r="N138" s="174">
        <f>'[6]price list MAN'!Y138</f>
        <v>1118250</v>
      </c>
      <c r="O138" s="174">
        <f>'[6]price list MAN'!AA138</f>
        <v>1065000</v>
      </c>
      <c r="P138" s="68">
        <f t="shared" si="11"/>
        <v>0.2974632075874713</v>
      </c>
      <c r="Q138" s="62" t="e">
        <f>O138-#REF!</f>
        <v>#REF!</v>
      </c>
      <c r="W138" s="210"/>
      <c r="X138" s="210"/>
      <c r="Y138" s="210"/>
      <c r="Z138" s="210"/>
      <c r="AA138" s="210"/>
      <c r="AB138" s="210"/>
      <c r="AC138" s="210"/>
      <c r="AT138" s="425" t="str">
        <f t="shared" si="12"/>
        <v>KP0005902017Q214,7</v>
      </c>
      <c r="AU138" s="64" t="str">
        <f t="shared" si="13"/>
        <v>04-2017</v>
      </c>
      <c r="BA138" s="428" t="str">
        <f t="shared" si="14"/>
        <v>31-120 Days</v>
      </c>
    </row>
    <row r="139" spans="1:245">
      <c r="B139" s="36" t="str">
        <f>'[6]price list MAN'!B139</f>
        <v>MC6-3819</v>
      </c>
      <c r="C139" s="10" t="str">
        <f>'[6]price list MAN'!C139</f>
        <v>CLA-26-2806X4BB-C-L</v>
      </c>
      <c r="D139" s="16" t="str">
        <f>IFERROR(VLOOKUP(C139&amp;"",'[7]Retail Price List'!$A$3:$B$103,2,FALSE),"Special Order")</f>
        <v>KP000590</v>
      </c>
      <c r="E139" s="494" t="str">
        <f>'[6]price list MAN'!E139</f>
        <v>BOOKED</v>
      </c>
      <c r="F139" s="11">
        <f>'[6]price list MAN'!F139</f>
        <v>131</v>
      </c>
      <c r="G139" s="32">
        <f>'[6]price list MAN'!G139</f>
        <v>14.7</v>
      </c>
      <c r="H139" s="26">
        <f>'[6]price list MAN'!H139</f>
        <v>42900</v>
      </c>
      <c r="I139" s="51" t="str">
        <f t="shared" si="10"/>
        <v>2017Q2</v>
      </c>
      <c r="J139" s="177">
        <f>'[6]price list MAN'!J139</f>
        <v>1180000</v>
      </c>
      <c r="K139" s="177">
        <f>'[6]price list MAN'!P139</f>
        <v>798000</v>
      </c>
      <c r="L139" s="177">
        <f>'[6]price list MAN'!R139</f>
        <v>760000</v>
      </c>
      <c r="M139" s="174">
        <f>'[6]price list MAN'!S139</f>
        <v>1210000</v>
      </c>
      <c r="N139" s="174">
        <f>'[6]price list MAN'!Y139</f>
        <v>829500</v>
      </c>
      <c r="O139" s="174">
        <f>'[6]price list MAN'!AA139</f>
        <v>790000</v>
      </c>
      <c r="P139" s="68">
        <f t="shared" si="11"/>
        <v>0.34710743801652894</v>
      </c>
      <c r="Q139" s="62" t="e">
        <f>O139-#REF!</f>
        <v>#REF!</v>
      </c>
      <c r="W139" s="210"/>
      <c r="X139" s="210"/>
      <c r="Y139" s="210"/>
      <c r="Z139" s="210"/>
      <c r="AA139" s="210"/>
      <c r="AB139" s="210"/>
      <c r="AC139" s="210"/>
      <c r="AT139" s="425" t="str">
        <f t="shared" si="12"/>
        <v>KP0005902017Q214,7</v>
      </c>
      <c r="AU139" s="64" t="str">
        <f t="shared" si="13"/>
        <v>06-2017</v>
      </c>
      <c r="BA139" s="428" t="str">
        <f t="shared" si="14"/>
        <v>121-365 Days</v>
      </c>
    </row>
    <row r="140" spans="1:245">
      <c r="B140" s="36" t="str">
        <f>'[6]price list MAN'!B140</f>
        <v>MC6-3820</v>
      </c>
      <c r="C140" s="10" t="str">
        <f>'[6]price list MAN'!C140</f>
        <v>CLA-26-2806X4BB-C-L</v>
      </c>
      <c r="D140" s="16" t="str">
        <f>IFERROR(VLOOKUP(C140&amp;"",'[7]Retail Price List'!$A$3:$B$103,2,FALSE),"Special Order")</f>
        <v>KP000590</v>
      </c>
      <c r="E140" s="494" t="str">
        <f>'[6]price list MAN'!E140</f>
        <v>BODY</v>
      </c>
      <c r="F140" s="11">
        <f>'[6]price list MAN'!F140</f>
        <v>144</v>
      </c>
      <c r="G140" s="32">
        <f>'[6]price list MAN'!G140</f>
        <v>14.7</v>
      </c>
      <c r="H140" s="26">
        <f>'[6]price list MAN'!H140</f>
        <v>42900</v>
      </c>
      <c r="I140" s="51" t="str">
        <f t="shared" si="10"/>
        <v>2017Q2</v>
      </c>
      <c r="J140" s="177">
        <f>'[6]price list MAN'!J140</f>
        <v>1485934.84</v>
      </c>
      <c r="K140" s="177">
        <f>'[6]price list MAN'!P140</f>
        <v>1086750</v>
      </c>
      <c r="L140" s="177">
        <f>'[6]price list MAN'!R140</f>
        <v>1035000</v>
      </c>
      <c r="M140" s="174">
        <f>'[6]price list MAN'!S140</f>
        <v>1515934.84</v>
      </c>
      <c r="N140" s="174">
        <f>'[6]price list MAN'!Y140</f>
        <v>1118250</v>
      </c>
      <c r="O140" s="174">
        <f>'[6]price list MAN'!AA140</f>
        <v>1065000</v>
      </c>
      <c r="P140" s="68">
        <f t="shared" si="11"/>
        <v>0.2974632075874713</v>
      </c>
      <c r="Q140" s="62" t="e">
        <f>O140-#REF!</f>
        <v>#REF!</v>
      </c>
      <c r="W140" s="210"/>
      <c r="X140" s="210"/>
      <c r="Y140" s="210"/>
      <c r="Z140" s="210"/>
      <c r="AA140" s="210"/>
      <c r="AB140" s="210"/>
      <c r="AC140" s="210"/>
      <c r="AT140" s="425" t="str">
        <f t="shared" si="12"/>
        <v>KP0005902017Q214,7</v>
      </c>
      <c r="AU140" s="64" t="str">
        <f t="shared" si="13"/>
        <v>06-2017</v>
      </c>
      <c r="BA140" s="428" t="str">
        <f t="shared" si="14"/>
        <v>121-365 Days</v>
      </c>
    </row>
    <row r="141" spans="1:245">
      <c r="B141" s="36" t="str">
        <f>'[6]price list MAN'!B141</f>
        <v>MC6-3821</v>
      </c>
      <c r="C141" s="10" t="str">
        <f>'[6]price list MAN'!C141</f>
        <v>CLA-26-2806X4BB-C-L</v>
      </c>
      <c r="D141" s="16" t="str">
        <f>IFERROR(VLOOKUP(C141&amp;"",'[7]Retail Price List'!$A$3:$B$103,2,FALSE),"Special Order")</f>
        <v>KP000590</v>
      </c>
      <c r="E141" s="494" t="str">
        <f>'[6]price list MAN'!E141</f>
        <v>BODY</v>
      </c>
      <c r="F141" s="11">
        <f>'[6]price list MAN'!F141</f>
        <v>117</v>
      </c>
      <c r="G141" s="32">
        <f>'[6]price list MAN'!G141</f>
        <v>14.7</v>
      </c>
      <c r="H141" s="26">
        <f>'[6]price list MAN'!H141</f>
        <v>42900</v>
      </c>
      <c r="I141" s="51" t="str">
        <f t="shared" si="10"/>
        <v>2017Q2</v>
      </c>
      <c r="J141" s="177">
        <f>'[6]price list MAN'!J141</f>
        <v>1485934.84</v>
      </c>
      <c r="K141" s="177">
        <f>'[6]price list MAN'!P141</f>
        <v>1086750</v>
      </c>
      <c r="L141" s="177">
        <f>'[6]price list MAN'!R141</f>
        <v>1035000</v>
      </c>
      <c r="M141" s="174">
        <f>'[6]price list MAN'!S141</f>
        <v>1515934.84</v>
      </c>
      <c r="N141" s="174">
        <f>'[6]price list MAN'!Y141</f>
        <v>1118250</v>
      </c>
      <c r="O141" s="174">
        <f>'[6]price list MAN'!AA141</f>
        <v>1065000</v>
      </c>
      <c r="P141" s="68">
        <f t="shared" si="11"/>
        <v>0.2974632075874713</v>
      </c>
      <c r="Q141" s="62" t="e">
        <f>O141-#REF!</f>
        <v>#REF!</v>
      </c>
      <c r="W141" s="210"/>
      <c r="X141" s="210"/>
      <c r="Y141" s="210"/>
      <c r="Z141" s="210"/>
      <c r="AA141" s="210"/>
      <c r="AB141" s="210"/>
      <c r="AC141" s="210"/>
      <c r="AT141" s="425" t="str">
        <f t="shared" si="12"/>
        <v>KP0005902017Q214,7</v>
      </c>
      <c r="AU141" s="64" t="str">
        <f t="shared" si="13"/>
        <v>06-2017</v>
      </c>
      <c r="BA141" s="428" t="str">
        <f t="shared" si="14"/>
        <v>31-120 Days</v>
      </c>
    </row>
    <row r="142" spans="1:245">
      <c r="B142" s="36" t="str">
        <f>'[6]price list MAN'!B142</f>
        <v>MC6-3822</v>
      </c>
      <c r="C142" s="10" t="str">
        <f>'[6]price list MAN'!C142</f>
        <v>CLA-26-2806X4BB-C-L</v>
      </c>
      <c r="D142" s="16" t="str">
        <f>IFERROR(VLOOKUP(C142&amp;"",'[7]Retail Price List'!$A$3:$B$103,2,FALSE),"Special Order")</f>
        <v>KP000590</v>
      </c>
      <c r="E142" s="494" t="str">
        <f>'[6]price list MAN'!E142</f>
        <v>BODY</v>
      </c>
      <c r="F142" s="11">
        <f>'[6]price list MAN'!F142</f>
        <v>145</v>
      </c>
      <c r="G142" s="32">
        <f>'[6]price list MAN'!G142</f>
        <v>14.7</v>
      </c>
      <c r="H142" s="26">
        <f>'[6]price list MAN'!H142</f>
        <v>42900</v>
      </c>
      <c r="I142" s="51" t="str">
        <f t="shared" si="10"/>
        <v>2017Q2</v>
      </c>
      <c r="J142" s="177">
        <f>'[6]price list MAN'!J142</f>
        <v>1485934.84</v>
      </c>
      <c r="K142" s="177">
        <f>'[6]price list MAN'!P142</f>
        <v>1086750</v>
      </c>
      <c r="L142" s="177">
        <f>'[6]price list MAN'!R142</f>
        <v>1035000</v>
      </c>
      <c r="M142" s="174">
        <f>'[6]price list MAN'!S142</f>
        <v>1515934.84</v>
      </c>
      <c r="N142" s="174">
        <f>'[6]price list MAN'!Y142</f>
        <v>1118250</v>
      </c>
      <c r="O142" s="174">
        <f>'[6]price list MAN'!AA142</f>
        <v>1065000</v>
      </c>
      <c r="P142" s="68">
        <f t="shared" si="11"/>
        <v>0.2974632075874713</v>
      </c>
      <c r="Q142" s="62" t="e">
        <f>O142-#REF!</f>
        <v>#REF!</v>
      </c>
      <c r="W142" s="210"/>
      <c r="X142" s="210"/>
      <c r="Y142" s="210"/>
      <c r="Z142" s="210"/>
      <c r="AA142" s="210"/>
      <c r="AB142" s="210"/>
      <c r="AC142" s="210"/>
      <c r="AT142" s="425" t="str">
        <f t="shared" si="12"/>
        <v>KP0005902017Q214,7</v>
      </c>
      <c r="AU142" s="64" t="str">
        <f t="shared" si="13"/>
        <v>06-2017</v>
      </c>
      <c r="BA142" s="428" t="str">
        <f t="shared" si="14"/>
        <v>121-365 Days</v>
      </c>
    </row>
    <row r="143" spans="1:245" s="4" customFormat="1">
      <c r="A143" s="41"/>
      <c r="B143" s="36" t="str">
        <f>'[6]price list MAN'!B143</f>
        <v>MC6-3823</v>
      </c>
      <c r="C143" s="10" t="str">
        <f>'[6]price list MAN'!C143</f>
        <v>CLA-26-2806X4BB-C-L</v>
      </c>
      <c r="D143" s="16" t="str">
        <f>IFERROR(VLOOKUP(C143&amp;"",'[7]Retail Price List'!$A$3:$B$103,2,FALSE),"Special Order")</f>
        <v>KP000590</v>
      </c>
      <c r="E143" s="494" t="str">
        <f>'[6]price list MAN'!E143</f>
        <v>BODY</v>
      </c>
      <c r="F143" s="11">
        <f>'[6]price list MAN'!F143</f>
        <v>138</v>
      </c>
      <c r="G143" s="32">
        <f>'[6]price list MAN'!G143</f>
        <v>14.7</v>
      </c>
      <c r="H143" s="26">
        <f>'[6]price list MAN'!H143</f>
        <v>42900</v>
      </c>
      <c r="I143" s="51" t="str">
        <f t="shared" si="10"/>
        <v>2017Q2</v>
      </c>
      <c r="J143" s="177">
        <f>'[6]price list MAN'!J143</f>
        <v>1485934.84</v>
      </c>
      <c r="K143" s="177">
        <f>'[6]price list MAN'!P143</f>
        <v>1086750</v>
      </c>
      <c r="L143" s="177">
        <f>'[6]price list MAN'!R143</f>
        <v>1035000</v>
      </c>
      <c r="M143" s="174">
        <f>'[6]price list MAN'!S143</f>
        <v>1515934.84</v>
      </c>
      <c r="N143" s="174">
        <f>'[6]price list MAN'!Y143</f>
        <v>1118250</v>
      </c>
      <c r="O143" s="174">
        <f>'[6]price list MAN'!AA143</f>
        <v>1065000</v>
      </c>
      <c r="P143" s="68">
        <f t="shared" si="11"/>
        <v>0.2974632075874713</v>
      </c>
      <c r="Q143" s="62" t="e">
        <f>O143-#REF!</f>
        <v>#REF!</v>
      </c>
      <c r="R143" s="63" t="e">
        <f>SUM(Q116:Q142)/SUM(O116:O142)</f>
        <v>#REF!</v>
      </c>
      <c r="S143" s="64"/>
      <c r="T143" s="64"/>
      <c r="U143" s="64"/>
      <c r="V143" s="64"/>
      <c r="W143" s="210"/>
      <c r="X143" s="210"/>
      <c r="Y143" s="210"/>
      <c r="Z143" s="210"/>
      <c r="AA143" s="210"/>
      <c r="AB143" s="210"/>
      <c r="AC143" s="210"/>
      <c r="AD143" s="54"/>
      <c r="AE143" s="54"/>
      <c r="AF143" s="54"/>
      <c r="AG143" s="5"/>
      <c r="AH143" s="5"/>
      <c r="AI143" s="5"/>
      <c r="AJ143" s="5"/>
      <c r="AK143" s="5"/>
      <c r="AL143" s="5"/>
      <c r="AM143" s="5"/>
      <c r="AN143" s="5"/>
      <c r="AO143" s="5"/>
      <c r="AP143" s="5"/>
      <c r="AQ143" s="5"/>
      <c r="AR143" s="5"/>
      <c r="AS143" s="5"/>
      <c r="AT143" s="425" t="str">
        <f t="shared" si="12"/>
        <v>KP0005902017Q214,7</v>
      </c>
      <c r="AU143" s="64" t="str">
        <f t="shared" si="13"/>
        <v>06-2017</v>
      </c>
      <c r="AV143" s="64"/>
      <c r="AW143" s="64"/>
      <c r="AX143" s="64"/>
      <c r="AY143" s="64"/>
      <c r="AZ143" s="64"/>
      <c r="BA143" s="428" t="str">
        <f t="shared" si="14"/>
        <v>121-365 Days</v>
      </c>
      <c r="BB143" s="169"/>
      <c r="BC143" s="169"/>
      <c r="BD143" s="169"/>
      <c r="BE143" s="41"/>
      <c r="BF143" s="41"/>
      <c r="BG143" s="41"/>
      <c r="BH143" s="41"/>
      <c r="BI143" s="41"/>
      <c r="BJ143" s="41"/>
      <c r="BK143" s="41"/>
      <c r="BL143" s="41"/>
      <c r="BM143" s="41"/>
      <c r="BN143" s="41"/>
      <c r="BO143" s="41"/>
      <c r="BP143" s="41"/>
      <c r="BQ143" s="41"/>
      <c r="BR143" s="41"/>
      <c r="BS143" s="41"/>
      <c r="BT143" s="41"/>
      <c r="BU143" s="41"/>
      <c r="BV143" s="41"/>
      <c r="BW143" s="41"/>
      <c r="BX143" s="41"/>
      <c r="BY143" s="41"/>
      <c r="BZ143" s="41"/>
      <c r="CA143" s="41"/>
      <c r="CB143" s="41"/>
      <c r="CC143" s="41"/>
      <c r="CD143" s="41"/>
      <c r="CE143" s="41"/>
      <c r="CF143" s="41"/>
      <c r="CG143" s="41"/>
      <c r="CH143" s="41"/>
      <c r="CI143" s="41"/>
      <c r="CJ143" s="41"/>
      <c r="CK143" s="41"/>
      <c r="CL143" s="41"/>
      <c r="CM143" s="41"/>
      <c r="CN143" s="41"/>
      <c r="CO143" s="41"/>
      <c r="CP143" s="41"/>
      <c r="CQ143" s="41"/>
      <c r="CR143" s="41"/>
      <c r="CS143" s="41"/>
      <c r="CT143" s="41"/>
      <c r="CU143" s="41"/>
      <c r="CV143" s="41"/>
      <c r="CW143" s="41"/>
      <c r="CX143" s="41"/>
      <c r="CY143" s="41"/>
      <c r="CZ143" s="41"/>
      <c r="DA143" s="41"/>
      <c r="DB143" s="41"/>
      <c r="DC143" s="41"/>
      <c r="DD143" s="41"/>
      <c r="DE143" s="41"/>
      <c r="DF143" s="41"/>
      <c r="DG143" s="41"/>
      <c r="DH143" s="41"/>
      <c r="DI143" s="41"/>
      <c r="DJ143" s="41"/>
      <c r="DK143" s="41"/>
      <c r="DL143" s="41"/>
      <c r="DM143" s="41"/>
      <c r="DN143" s="41"/>
      <c r="DO143" s="41"/>
      <c r="DP143" s="41"/>
      <c r="DQ143" s="41"/>
      <c r="DR143" s="41"/>
      <c r="DS143" s="41"/>
      <c r="DT143" s="41"/>
      <c r="DU143" s="41"/>
      <c r="DV143" s="41"/>
      <c r="DW143" s="41"/>
      <c r="DX143" s="41"/>
      <c r="DY143" s="41"/>
      <c r="DZ143" s="41"/>
      <c r="EA143" s="41"/>
      <c r="EB143" s="41"/>
      <c r="EC143" s="41"/>
      <c r="ED143" s="41"/>
      <c r="EE143" s="41"/>
      <c r="EF143" s="41"/>
      <c r="EG143" s="41"/>
      <c r="EH143" s="41"/>
      <c r="EI143" s="41"/>
      <c r="EJ143" s="41"/>
      <c r="EK143" s="41"/>
      <c r="EL143" s="41"/>
      <c r="EM143" s="41"/>
      <c r="EN143" s="41"/>
      <c r="EO143" s="41"/>
      <c r="EP143" s="41"/>
      <c r="EQ143" s="41"/>
      <c r="ER143" s="41"/>
      <c r="ES143" s="41"/>
      <c r="ET143" s="41"/>
      <c r="EU143" s="41"/>
      <c r="EV143" s="41"/>
      <c r="EW143" s="41"/>
      <c r="EX143" s="41"/>
      <c r="EY143" s="41"/>
      <c r="EZ143" s="41"/>
      <c r="FA143" s="41"/>
      <c r="FB143" s="41"/>
      <c r="FC143" s="41"/>
      <c r="FD143" s="41"/>
      <c r="FE143" s="41"/>
      <c r="FF143" s="41"/>
      <c r="FG143" s="41"/>
      <c r="FH143" s="41"/>
      <c r="FI143" s="41"/>
      <c r="FJ143" s="41"/>
      <c r="FK143" s="41"/>
      <c r="FL143" s="41"/>
      <c r="FM143" s="41"/>
      <c r="FN143" s="41"/>
      <c r="FO143" s="41"/>
      <c r="FP143" s="41"/>
      <c r="FQ143" s="41"/>
      <c r="FR143" s="41"/>
      <c r="FS143" s="41"/>
      <c r="FT143" s="41"/>
      <c r="FU143" s="41"/>
      <c r="FV143" s="41"/>
      <c r="FW143" s="41"/>
      <c r="FX143" s="41"/>
      <c r="FY143" s="41"/>
      <c r="FZ143" s="41"/>
      <c r="GA143" s="41"/>
      <c r="GB143" s="41"/>
      <c r="GC143" s="41"/>
      <c r="GD143" s="41"/>
      <c r="GE143" s="41"/>
      <c r="GF143" s="41"/>
      <c r="GG143" s="41"/>
      <c r="GH143" s="41"/>
      <c r="GI143" s="41"/>
      <c r="GJ143" s="41"/>
      <c r="GK143" s="41"/>
      <c r="GL143" s="41"/>
      <c r="GM143" s="41"/>
      <c r="GN143" s="41"/>
      <c r="GO143" s="41"/>
      <c r="GP143" s="41"/>
      <c r="GQ143" s="41"/>
      <c r="GR143" s="41"/>
      <c r="GS143" s="41"/>
      <c r="GT143" s="41"/>
      <c r="GU143" s="41"/>
      <c r="GV143" s="41"/>
      <c r="GW143" s="41"/>
      <c r="GX143" s="41"/>
      <c r="GY143" s="41"/>
      <c r="GZ143" s="41"/>
      <c r="HA143" s="41"/>
      <c r="HB143" s="41"/>
      <c r="HC143" s="41"/>
      <c r="HD143" s="41"/>
      <c r="HE143" s="41"/>
      <c r="HF143" s="41"/>
      <c r="HG143" s="41"/>
      <c r="HH143" s="41"/>
      <c r="HI143" s="41"/>
      <c r="HJ143" s="41"/>
      <c r="HK143" s="41"/>
      <c r="HL143" s="41"/>
      <c r="HM143" s="41"/>
      <c r="HN143" s="41"/>
      <c r="HO143" s="41"/>
      <c r="HP143" s="41"/>
      <c r="HQ143" s="41"/>
      <c r="HR143" s="41"/>
      <c r="HS143" s="41"/>
      <c r="HT143" s="41"/>
      <c r="HU143" s="41"/>
      <c r="HV143" s="41"/>
      <c r="HW143" s="41"/>
      <c r="HX143" s="41"/>
      <c r="HY143" s="41"/>
      <c r="HZ143" s="41"/>
      <c r="IA143" s="41"/>
      <c r="IB143" s="41"/>
      <c r="IC143" s="41"/>
      <c r="ID143" s="41"/>
      <c r="IE143" s="41"/>
      <c r="IF143" s="41"/>
      <c r="IG143" s="41"/>
      <c r="IH143" s="41"/>
      <c r="II143" s="41"/>
      <c r="IJ143" s="41"/>
      <c r="IK143" s="41"/>
    </row>
    <row r="144" spans="1:245">
      <c r="B144" s="36" t="str">
        <f>'[6]price list MAN'!B144</f>
        <v>MC6-3824</v>
      </c>
      <c r="C144" s="10" t="str">
        <f>'[6]price list MAN'!C144</f>
        <v>CLA-26-2806X4BB-C-L</v>
      </c>
      <c r="D144" s="16" t="str">
        <f>IFERROR(VLOOKUP(C144&amp;"",'[7]Retail Price List'!$A$3:$B$103,2,FALSE),"Special Order")</f>
        <v>KP000590</v>
      </c>
      <c r="E144" s="494" t="str">
        <f>'[6]price list MAN'!E144</f>
        <v>BODY</v>
      </c>
      <c r="F144" s="11">
        <f>'[6]price list MAN'!F144</f>
        <v>155</v>
      </c>
      <c r="G144" s="32">
        <f>'[6]price list MAN'!G144</f>
        <v>14.7</v>
      </c>
      <c r="H144" s="26">
        <f>'[6]price list MAN'!H144</f>
        <v>42900</v>
      </c>
      <c r="I144" s="51" t="str">
        <f t="shared" si="10"/>
        <v>2017Q2</v>
      </c>
      <c r="J144" s="177">
        <f>'[6]price list MAN'!J144</f>
        <v>1633574.08</v>
      </c>
      <c r="K144" s="177">
        <f>'[6]price list MAN'!P144</f>
        <v>1223250</v>
      </c>
      <c r="L144" s="177">
        <f>'[6]price list MAN'!R144</f>
        <v>1165000</v>
      </c>
      <c r="M144" s="174">
        <f>'[6]price list MAN'!S144</f>
        <v>1663574.08</v>
      </c>
      <c r="N144" s="174">
        <f>'[6]price list MAN'!Y144</f>
        <v>1254750</v>
      </c>
      <c r="O144" s="174">
        <f>'[6]price list MAN'!AA144</f>
        <v>1195000</v>
      </c>
      <c r="P144" s="68">
        <f t="shared" si="11"/>
        <v>0.28166709594321165</v>
      </c>
      <c r="Q144" s="62" t="e">
        <f>O144-#REF!</f>
        <v>#REF!</v>
      </c>
      <c r="S144" s="64" t="s">
        <v>9</v>
      </c>
      <c r="T144" s="64" t="s">
        <v>10</v>
      </c>
      <c r="U144" s="64" t="s">
        <v>11</v>
      </c>
      <c r="W144" s="210"/>
      <c r="X144" s="210"/>
      <c r="Y144" s="210"/>
      <c r="Z144" s="210"/>
      <c r="AA144" s="210"/>
      <c r="AB144" s="210"/>
      <c r="AC144" s="210"/>
      <c r="AT144" s="425" t="str">
        <f t="shared" si="12"/>
        <v>KP0005902017Q214,7</v>
      </c>
      <c r="AU144" s="64" t="str">
        <f t="shared" si="13"/>
        <v>06-2017</v>
      </c>
      <c r="BA144" s="428" t="str">
        <f t="shared" si="14"/>
        <v>121-365 Days</v>
      </c>
    </row>
    <row r="145" spans="1:245">
      <c r="B145" s="36" t="str">
        <f>'[6]price list MAN'!B145</f>
        <v>MC6-3825</v>
      </c>
      <c r="C145" s="10" t="str">
        <f>'[6]price list MAN'!C145</f>
        <v>CLA-26-2806X4BB-C-L</v>
      </c>
      <c r="D145" s="16" t="str">
        <f>IFERROR(VLOOKUP(C145&amp;"",'[7]Retail Price List'!$A$3:$B$103,2,FALSE),"Special Order")</f>
        <v>KP000590</v>
      </c>
      <c r="E145" s="494" t="str">
        <f>'[6]price list MAN'!E145</f>
        <v>BODY</v>
      </c>
      <c r="F145" s="11">
        <f>'[6]price list MAN'!F145</f>
        <v>144</v>
      </c>
      <c r="G145" s="32">
        <f>'[6]price list MAN'!G145</f>
        <v>14.7</v>
      </c>
      <c r="H145" s="26">
        <f>'[6]price list MAN'!H145</f>
        <v>42900</v>
      </c>
      <c r="I145" s="51" t="str">
        <f t="shared" si="10"/>
        <v>2017Q2</v>
      </c>
      <c r="J145" s="177">
        <f>'[6]price list MAN'!J145</f>
        <v>1485934.84</v>
      </c>
      <c r="K145" s="177">
        <f>'[6]price list MAN'!P145</f>
        <v>1086750</v>
      </c>
      <c r="L145" s="177">
        <f>'[6]price list MAN'!R145</f>
        <v>1035000</v>
      </c>
      <c r="M145" s="174">
        <f>'[6]price list MAN'!S145</f>
        <v>1515934.84</v>
      </c>
      <c r="N145" s="174">
        <f>'[6]price list MAN'!Y145</f>
        <v>1118250</v>
      </c>
      <c r="O145" s="174">
        <f>'[6]price list MAN'!AA145</f>
        <v>1065000</v>
      </c>
      <c r="P145" s="68">
        <f t="shared" si="11"/>
        <v>0.2974632075874713</v>
      </c>
      <c r="Q145" s="62" t="e">
        <f>O145-#REF!</f>
        <v>#REF!</v>
      </c>
      <c r="R145" s="170" t="s">
        <v>8</v>
      </c>
      <c r="S145" s="64">
        <v>5.3</v>
      </c>
      <c r="T145" s="64">
        <v>5.3</v>
      </c>
      <c r="U145" s="64">
        <v>5.3</v>
      </c>
      <c r="W145" s="210"/>
      <c r="X145" s="210"/>
      <c r="Y145" s="210"/>
      <c r="Z145" s="210"/>
      <c r="AA145" s="210"/>
      <c r="AB145" s="210"/>
      <c r="AC145" s="210"/>
      <c r="AT145" s="425" t="str">
        <f t="shared" si="12"/>
        <v>KP0005902017Q214,7</v>
      </c>
      <c r="AU145" s="64" t="str">
        <f t="shared" si="13"/>
        <v>06-2017</v>
      </c>
      <c r="BA145" s="428" t="str">
        <f t="shared" si="14"/>
        <v>121-365 Days</v>
      </c>
    </row>
    <row r="146" spans="1:245" s="4" customFormat="1">
      <c r="A146" s="41"/>
      <c r="B146" s="36" t="str">
        <f>'[6]price list MAN'!B146</f>
        <v>MC6-3826</v>
      </c>
      <c r="C146" s="10" t="str">
        <f>'[6]price list MAN'!C146</f>
        <v>CLA-26-2806X4BB-C-L</v>
      </c>
      <c r="D146" s="16" t="str">
        <f>IFERROR(VLOOKUP(C146&amp;"",'[7]Retail Price List'!$A$3:$B$103,2,FALSE),"Special Order")</f>
        <v>KP000590</v>
      </c>
      <c r="E146" s="494" t="str">
        <f>'[6]price list MAN'!E146</f>
        <v>BODY</v>
      </c>
      <c r="F146" s="11">
        <f>'[6]price list MAN'!F146</f>
        <v>144</v>
      </c>
      <c r="G146" s="32">
        <f>'[6]price list MAN'!G146</f>
        <v>14.7</v>
      </c>
      <c r="H146" s="26">
        <f>'[6]price list MAN'!H146</f>
        <v>42900</v>
      </c>
      <c r="I146" s="51" t="str">
        <f t="shared" si="10"/>
        <v>2017Q2</v>
      </c>
      <c r="J146" s="177">
        <f>'[6]price list MAN'!J146</f>
        <v>1485934.84</v>
      </c>
      <c r="K146" s="177">
        <f>'[6]price list MAN'!P146</f>
        <v>1086750</v>
      </c>
      <c r="L146" s="177">
        <f>'[6]price list MAN'!R146</f>
        <v>1035000</v>
      </c>
      <c r="M146" s="174">
        <f>'[6]price list MAN'!S146</f>
        <v>1515934.84</v>
      </c>
      <c r="N146" s="174">
        <f>'[6]price list MAN'!Y146</f>
        <v>1118250</v>
      </c>
      <c r="O146" s="174">
        <f>'[6]price list MAN'!AA146</f>
        <v>1065000</v>
      </c>
      <c r="P146" s="68">
        <f t="shared" si="11"/>
        <v>0.2974632075874713</v>
      </c>
      <c r="Q146" s="62" t="e">
        <f>O146-#REF!</f>
        <v>#REF!</v>
      </c>
      <c r="R146" s="63" t="e">
        <f>SUM(Q144:Q145)/SUM(O144:O145)</f>
        <v>#REF!</v>
      </c>
      <c r="S146" s="64"/>
      <c r="T146" s="64"/>
      <c r="U146" s="64"/>
      <c r="V146" s="64"/>
      <c r="W146" s="210"/>
      <c r="X146" s="210"/>
      <c r="Y146" s="210"/>
      <c r="Z146" s="210"/>
      <c r="AA146" s="210"/>
      <c r="AB146" s="210"/>
      <c r="AC146" s="210"/>
      <c r="AD146" s="54"/>
      <c r="AE146" s="54"/>
      <c r="AF146" s="54"/>
      <c r="AG146" s="5"/>
      <c r="AH146" s="5"/>
      <c r="AI146" s="5"/>
      <c r="AJ146" s="5"/>
      <c r="AK146" s="5"/>
      <c r="AL146" s="5"/>
      <c r="AM146" s="5"/>
      <c r="AN146" s="5"/>
      <c r="AO146" s="5"/>
      <c r="AP146" s="5"/>
      <c r="AQ146" s="5"/>
      <c r="AR146" s="5"/>
      <c r="AS146" s="5"/>
      <c r="AT146" s="425" t="str">
        <f t="shared" si="12"/>
        <v>KP0005902017Q214,7</v>
      </c>
      <c r="AU146" s="64" t="str">
        <f t="shared" si="13"/>
        <v>06-2017</v>
      </c>
      <c r="AV146" s="64"/>
      <c r="AW146" s="64"/>
      <c r="AX146" s="64"/>
      <c r="AY146" s="64"/>
      <c r="AZ146" s="64"/>
      <c r="BA146" s="428" t="str">
        <f t="shared" si="14"/>
        <v>121-365 Days</v>
      </c>
      <c r="BB146" s="169"/>
      <c r="BC146" s="169"/>
      <c r="BD146" s="169"/>
      <c r="BE146" s="41"/>
      <c r="BF146" s="41"/>
      <c r="BG146" s="41"/>
      <c r="BH146" s="41"/>
      <c r="BI146" s="41"/>
      <c r="BJ146" s="41"/>
      <c r="BK146" s="41"/>
      <c r="BL146" s="41"/>
      <c r="BM146" s="41"/>
      <c r="BN146" s="41"/>
      <c r="BO146" s="41"/>
      <c r="BP146" s="41"/>
      <c r="BQ146" s="41"/>
      <c r="BR146" s="41"/>
      <c r="BS146" s="41"/>
      <c r="BT146" s="41"/>
      <c r="BU146" s="41"/>
      <c r="BV146" s="41"/>
      <c r="BW146" s="41"/>
      <c r="BX146" s="41"/>
      <c r="BY146" s="41"/>
      <c r="BZ146" s="41"/>
      <c r="CA146" s="41"/>
      <c r="CB146" s="41"/>
      <c r="CC146" s="41"/>
      <c r="CD146" s="41"/>
      <c r="CE146" s="41"/>
      <c r="CF146" s="41"/>
      <c r="CG146" s="41"/>
      <c r="CH146" s="41"/>
      <c r="CI146" s="41"/>
      <c r="CJ146" s="41"/>
      <c r="CK146" s="41"/>
      <c r="CL146" s="41"/>
      <c r="CM146" s="41"/>
      <c r="CN146" s="41"/>
      <c r="CO146" s="41"/>
      <c r="CP146" s="41"/>
      <c r="CQ146" s="41"/>
      <c r="CR146" s="41"/>
      <c r="CS146" s="41"/>
      <c r="CT146" s="41"/>
      <c r="CU146" s="41"/>
      <c r="CV146" s="41"/>
      <c r="CW146" s="41"/>
      <c r="CX146" s="41"/>
      <c r="CY146" s="41"/>
      <c r="CZ146" s="41"/>
      <c r="DA146" s="41"/>
      <c r="DB146" s="41"/>
      <c r="DC146" s="41"/>
      <c r="DD146" s="41"/>
      <c r="DE146" s="41"/>
      <c r="DF146" s="41"/>
      <c r="DG146" s="41"/>
      <c r="DH146" s="41"/>
      <c r="DI146" s="41"/>
      <c r="DJ146" s="41"/>
      <c r="DK146" s="41"/>
      <c r="DL146" s="41"/>
      <c r="DM146" s="41"/>
      <c r="DN146" s="41"/>
      <c r="DO146" s="41"/>
      <c r="DP146" s="41"/>
      <c r="DQ146" s="41"/>
      <c r="DR146" s="41"/>
      <c r="DS146" s="41"/>
      <c r="DT146" s="41"/>
      <c r="DU146" s="41"/>
      <c r="DV146" s="41"/>
      <c r="DW146" s="41"/>
      <c r="DX146" s="41"/>
      <c r="DY146" s="41"/>
      <c r="DZ146" s="41"/>
      <c r="EA146" s="41"/>
      <c r="EB146" s="41"/>
      <c r="EC146" s="41"/>
      <c r="ED146" s="41"/>
      <c r="EE146" s="41"/>
      <c r="EF146" s="41"/>
      <c r="EG146" s="41"/>
      <c r="EH146" s="41"/>
      <c r="EI146" s="41"/>
      <c r="EJ146" s="41"/>
      <c r="EK146" s="41"/>
      <c r="EL146" s="41"/>
      <c r="EM146" s="41"/>
      <c r="EN146" s="41"/>
      <c r="EO146" s="41"/>
      <c r="EP146" s="41"/>
      <c r="EQ146" s="41"/>
      <c r="ER146" s="41"/>
      <c r="ES146" s="41"/>
      <c r="ET146" s="41"/>
      <c r="EU146" s="41"/>
      <c r="EV146" s="41"/>
      <c r="EW146" s="41"/>
      <c r="EX146" s="41"/>
      <c r="EY146" s="41"/>
      <c r="EZ146" s="41"/>
      <c r="FA146" s="41"/>
      <c r="FB146" s="41"/>
      <c r="FC146" s="41"/>
      <c r="FD146" s="41"/>
      <c r="FE146" s="41"/>
      <c r="FF146" s="41"/>
      <c r="FG146" s="41"/>
      <c r="FH146" s="41"/>
      <c r="FI146" s="41"/>
      <c r="FJ146" s="41"/>
      <c r="FK146" s="41"/>
      <c r="FL146" s="41"/>
      <c r="FM146" s="41"/>
      <c r="FN146" s="41"/>
      <c r="FO146" s="41"/>
      <c r="FP146" s="41"/>
      <c r="FQ146" s="41"/>
      <c r="FR146" s="41"/>
      <c r="FS146" s="41"/>
      <c r="FT146" s="41"/>
      <c r="FU146" s="41"/>
      <c r="FV146" s="41"/>
      <c r="FW146" s="41"/>
      <c r="FX146" s="41"/>
      <c r="FY146" s="41"/>
      <c r="FZ146" s="41"/>
      <c r="GA146" s="41"/>
      <c r="GB146" s="41"/>
      <c r="GC146" s="41"/>
      <c r="GD146" s="41"/>
      <c r="GE146" s="41"/>
      <c r="GF146" s="41"/>
      <c r="GG146" s="41"/>
      <c r="GH146" s="41"/>
      <c r="GI146" s="41"/>
      <c r="GJ146" s="41"/>
      <c r="GK146" s="41"/>
      <c r="GL146" s="41"/>
      <c r="GM146" s="41"/>
      <c r="GN146" s="41"/>
      <c r="GO146" s="41"/>
      <c r="GP146" s="41"/>
      <c r="GQ146" s="41"/>
      <c r="GR146" s="41"/>
      <c r="GS146" s="41"/>
      <c r="GT146" s="41"/>
      <c r="GU146" s="41"/>
      <c r="GV146" s="41"/>
      <c r="GW146" s="41"/>
      <c r="GX146" s="41"/>
      <c r="GY146" s="41"/>
      <c r="GZ146" s="41"/>
      <c r="HA146" s="41"/>
      <c r="HB146" s="41"/>
      <c r="HC146" s="41"/>
      <c r="HD146" s="41"/>
      <c r="HE146" s="41"/>
      <c r="HF146" s="41"/>
      <c r="HG146" s="41"/>
      <c r="HH146" s="41"/>
      <c r="HI146" s="41"/>
      <c r="HJ146" s="41"/>
      <c r="HK146" s="41"/>
      <c r="HL146" s="41"/>
      <c r="HM146" s="41"/>
      <c r="HN146" s="41"/>
      <c r="HO146" s="41"/>
      <c r="HP146" s="41"/>
      <c r="HQ146" s="41"/>
      <c r="HR146" s="41"/>
      <c r="HS146" s="41"/>
      <c r="HT146" s="41"/>
      <c r="HU146" s="41"/>
      <c r="HV146" s="41"/>
      <c r="HW146" s="41"/>
      <c r="HX146" s="41"/>
      <c r="HY146" s="41"/>
      <c r="HZ146" s="41"/>
      <c r="IA146" s="41"/>
      <c r="IB146" s="41"/>
      <c r="IC146" s="41"/>
      <c r="ID146" s="41"/>
      <c r="IE146" s="41"/>
      <c r="IF146" s="41"/>
      <c r="IG146" s="41"/>
      <c r="IH146" s="41"/>
      <c r="II146" s="41"/>
      <c r="IJ146" s="41"/>
      <c r="IK146" s="41"/>
    </row>
    <row r="147" spans="1:245">
      <c r="B147" s="36" t="str">
        <f>'[6]price list MAN'!B147</f>
        <v>MC6-3827</v>
      </c>
      <c r="C147" s="10" t="str">
        <f>'[6]price list MAN'!C147</f>
        <v>CLA-26-2806X4BB-C-L</v>
      </c>
      <c r="D147" s="16" t="str">
        <f>IFERROR(VLOOKUP(C147&amp;"",'[7]Retail Price List'!$A$3:$B$103,2,FALSE),"Special Order")</f>
        <v>KP000590</v>
      </c>
      <c r="E147" s="494" t="str">
        <f>'[6]price list MAN'!E147</f>
        <v>BODY</v>
      </c>
      <c r="F147" s="11">
        <f>'[6]price list MAN'!F147</f>
        <v>144</v>
      </c>
      <c r="G147" s="32">
        <f>'[6]price list MAN'!G147</f>
        <v>14.7</v>
      </c>
      <c r="H147" s="26">
        <f>'[6]price list MAN'!H147</f>
        <v>42900</v>
      </c>
      <c r="I147" s="51" t="str">
        <f t="shared" si="10"/>
        <v>2017Q2</v>
      </c>
      <c r="J147" s="177">
        <f>'[6]price list MAN'!J147</f>
        <v>1485934.84</v>
      </c>
      <c r="K147" s="177">
        <f>'[6]price list MAN'!P147</f>
        <v>1086750</v>
      </c>
      <c r="L147" s="177">
        <f>'[6]price list MAN'!R147</f>
        <v>1035000</v>
      </c>
      <c r="M147" s="174">
        <f>'[6]price list MAN'!S147</f>
        <v>1515934.84</v>
      </c>
      <c r="N147" s="174">
        <f>'[6]price list MAN'!Y147</f>
        <v>1118250</v>
      </c>
      <c r="O147" s="174">
        <f>'[6]price list MAN'!AA147</f>
        <v>1065000</v>
      </c>
      <c r="P147" s="68">
        <f t="shared" si="11"/>
        <v>0.2974632075874713</v>
      </c>
      <c r="Q147" s="62" t="e">
        <f>O147-#REF!</f>
        <v>#REF!</v>
      </c>
      <c r="S147" s="64" t="s">
        <v>9</v>
      </c>
      <c r="T147" s="64" t="s">
        <v>10</v>
      </c>
      <c r="U147" s="64" t="s">
        <v>11</v>
      </c>
      <c r="W147" s="210"/>
      <c r="X147" s="210"/>
      <c r="Y147" s="210"/>
      <c r="Z147" s="210"/>
      <c r="AA147" s="210"/>
      <c r="AB147" s="210"/>
      <c r="AC147" s="210"/>
      <c r="AT147" s="425" t="str">
        <f t="shared" si="12"/>
        <v>KP0005902017Q214,7</v>
      </c>
      <c r="AU147" s="64" t="str">
        <f t="shared" si="13"/>
        <v>06-2017</v>
      </c>
      <c r="BA147" s="428" t="str">
        <f t="shared" si="14"/>
        <v>121-365 Days</v>
      </c>
    </row>
    <row r="148" spans="1:245">
      <c r="B148" s="36" t="str">
        <f>'[6]price list MAN'!B148</f>
        <v>MC6-3828</v>
      </c>
      <c r="C148" s="10" t="str">
        <f>'[6]price list MAN'!C148</f>
        <v>CLA-26-2806X4BB-C-L</v>
      </c>
      <c r="D148" s="16" t="str">
        <f>IFERROR(VLOOKUP(C148&amp;"",'[7]Retail Price List'!$A$3:$B$103,2,FALSE),"Special Order")</f>
        <v>KP000590</v>
      </c>
      <c r="E148" s="494" t="str">
        <f>'[6]price list MAN'!E148</f>
        <v>BODY</v>
      </c>
      <c r="F148" s="11">
        <f>'[6]price list MAN'!F148</f>
        <v>144</v>
      </c>
      <c r="G148" s="32">
        <f>'[6]price list MAN'!G148</f>
        <v>14.7</v>
      </c>
      <c r="H148" s="26">
        <f>'[6]price list MAN'!H148</f>
        <v>42900</v>
      </c>
      <c r="I148" s="51" t="str">
        <f t="shared" si="10"/>
        <v>2017Q2</v>
      </c>
      <c r="J148" s="177">
        <f>'[6]price list MAN'!J148</f>
        <v>1485934.84</v>
      </c>
      <c r="K148" s="177">
        <f>'[6]price list MAN'!P148</f>
        <v>1086750</v>
      </c>
      <c r="L148" s="177">
        <f>'[6]price list MAN'!R148</f>
        <v>1035000</v>
      </c>
      <c r="M148" s="174">
        <f>'[6]price list MAN'!S148</f>
        <v>1515934.84</v>
      </c>
      <c r="N148" s="174">
        <f>'[6]price list MAN'!Y148</f>
        <v>1118250</v>
      </c>
      <c r="O148" s="174">
        <f>'[6]price list MAN'!AA148</f>
        <v>1065000</v>
      </c>
      <c r="P148" s="68">
        <f t="shared" si="11"/>
        <v>0.2974632075874713</v>
      </c>
      <c r="Q148" s="62" t="e">
        <f>O148-#REF!</f>
        <v>#REF!</v>
      </c>
      <c r="R148" s="170" t="s">
        <v>8</v>
      </c>
      <c r="S148" s="64">
        <v>0</v>
      </c>
      <c r="T148" s="64">
        <v>0</v>
      </c>
      <c r="U148" s="64">
        <v>0</v>
      </c>
      <c r="W148" s="210"/>
      <c r="X148" s="210"/>
      <c r="Y148" s="210"/>
      <c r="Z148" s="210"/>
      <c r="AA148" s="210"/>
      <c r="AB148" s="210"/>
      <c r="AC148" s="210"/>
      <c r="AT148" s="425" t="str">
        <f t="shared" si="12"/>
        <v>KP0005902017Q214,7</v>
      </c>
      <c r="AU148" s="64" t="str">
        <f t="shared" si="13"/>
        <v>06-2017</v>
      </c>
      <c r="BA148" s="428" t="str">
        <f t="shared" si="14"/>
        <v>121-365 Days</v>
      </c>
    </row>
    <row r="149" spans="1:245">
      <c r="B149" s="36" t="str">
        <f>'[6]price list MAN'!B149</f>
        <v>MC6-3829</v>
      </c>
      <c r="C149" s="10" t="str">
        <f>'[6]price list MAN'!C149</f>
        <v>CLA-26-2806X4BB-C-L</v>
      </c>
      <c r="D149" s="16" t="str">
        <f>IFERROR(VLOOKUP(C149&amp;"",'[7]Retail Price List'!$A$3:$B$103,2,FALSE),"Special Order")</f>
        <v>KP000590</v>
      </c>
      <c r="E149" s="494" t="str">
        <f>'[6]price list MAN'!E149</f>
        <v>BODY</v>
      </c>
      <c r="F149" s="11">
        <f>'[6]price list MAN'!F149</f>
        <v>145</v>
      </c>
      <c r="G149" s="32">
        <f>'[6]price list MAN'!G149</f>
        <v>14.7</v>
      </c>
      <c r="H149" s="26">
        <f>'[6]price list MAN'!H149</f>
        <v>42900</v>
      </c>
      <c r="I149" s="51" t="str">
        <f t="shared" si="10"/>
        <v>2017Q2</v>
      </c>
      <c r="J149" s="177">
        <f>'[6]price list MAN'!J149</f>
        <v>1485934.84</v>
      </c>
      <c r="K149" s="177">
        <f>'[6]price list MAN'!P149</f>
        <v>1086750</v>
      </c>
      <c r="L149" s="177">
        <f>'[6]price list MAN'!R149</f>
        <v>1035000</v>
      </c>
      <c r="M149" s="174">
        <f>'[6]price list MAN'!S149</f>
        <v>1515934.84</v>
      </c>
      <c r="N149" s="174">
        <f>'[6]price list MAN'!Y149</f>
        <v>1118250</v>
      </c>
      <c r="O149" s="174">
        <f>'[6]price list MAN'!AA149</f>
        <v>1065000</v>
      </c>
      <c r="P149" s="68">
        <f t="shared" si="11"/>
        <v>0.2974632075874713</v>
      </c>
      <c r="Q149" s="62" t="e">
        <f>O149-#REF!</f>
        <v>#REF!</v>
      </c>
      <c r="R149" s="170" t="s">
        <v>12</v>
      </c>
      <c r="S149" s="64">
        <v>0</v>
      </c>
      <c r="T149" s="64">
        <v>0</v>
      </c>
      <c r="U149" s="64">
        <v>0</v>
      </c>
      <c r="W149" s="210"/>
      <c r="X149" s="210"/>
      <c r="Y149" s="210"/>
      <c r="Z149" s="210"/>
      <c r="AA149" s="210"/>
      <c r="AB149" s="210"/>
      <c r="AC149" s="210"/>
      <c r="AT149" s="425" t="str">
        <f t="shared" si="12"/>
        <v>KP0005902017Q214,7</v>
      </c>
      <c r="AU149" s="64" t="str">
        <f t="shared" si="13"/>
        <v>06-2017</v>
      </c>
      <c r="BA149" s="428" t="str">
        <f t="shared" si="14"/>
        <v>121-365 Days</v>
      </c>
    </row>
    <row r="150" spans="1:245">
      <c r="B150" s="36" t="str">
        <f>'[6]price list MAN'!B150</f>
        <v>MC6-3839</v>
      </c>
      <c r="C150" s="10" t="str">
        <f>'[6]price list MAN'!C150</f>
        <v>CLA-26-2806X4BB-C-L</v>
      </c>
      <c r="D150" s="16" t="str">
        <f>IFERROR(VLOOKUP(C150&amp;"",'[7]Retail Price List'!$A$3:$B$103,2,FALSE),"Special Order")</f>
        <v>KP000590</v>
      </c>
      <c r="E150" s="494" t="str">
        <f>'[6]price list MAN'!E150</f>
        <v>SOLD</v>
      </c>
      <c r="F150" s="11">
        <f>'[6]price list MAN'!F150</f>
        <v>74</v>
      </c>
      <c r="G150" s="32">
        <f>'[6]price list MAN'!G150</f>
        <v>14.7</v>
      </c>
      <c r="H150" s="26">
        <f>'[6]price list MAN'!H150</f>
        <v>42900</v>
      </c>
      <c r="I150" s="51" t="str">
        <f t="shared" si="10"/>
        <v>2017Q2</v>
      </c>
      <c r="J150" s="177">
        <f>'[6]price list MAN'!J150</f>
        <v>1040000</v>
      </c>
      <c r="K150" s="177">
        <f>'[6]price list MAN'!P150</f>
        <v>829500</v>
      </c>
      <c r="L150" s="177">
        <f>'[6]price list MAN'!R150</f>
        <v>790000</v>
      </c>
      <c r="M150" s="174">
        <f>'[6]price list MAN'!S150</f>
        <v>1070000</v>
      </c>
      <c r="N150" s="174">
        <f>'[6]price list MAN'!Y150</f>
        <v>861000</v>
      </c>
      <c r="O150" s="174">
        <f>'[6]price list MAN'!AA150</f>
        <v>820000</v>
      </c>
      <c r="P150" s="68">
        <f t="shared" si="11"/>
        <v>0.23364485981308411</v>
      </c>
      <c r="Q150" s="62" t="e">
        <f>O150-#REF!</f>
        <v>#REF!</v>
      </c>
      <c r="R150" s="63" t="s">
        <v>13</v>
      </c>
      <c r="S150" s="64">
        <f>COUNT(#REF!)</f>
        <v>0</v>
      </c>
      <c r="W150" s="210"/>
      <c r="X150" s="210"/>
      <c r="Y150" s="210"/>
      <c r="Z150" s="210"/>
      <c r="AA150" s="210"/>
      <c r="AB150" s="210"/>
      <c r="AC150" s="210"/>
      <c r="AT150" s="425" t="str">
        <f t="shared" si="12"/>
        <v>KP0005902017Q214,7</v>
      </c>
      <c r="AU150" s="64" t="str">
        <f t="shared" si="13"/>
        <v>06-2017</v>
      </c>
      <c r="BA150" s="428" t="str">
        <f t="shared" si="14"/>
        <v>31-120 Days</v>
      </c>
    </row>
    <row r="151" spans="1:245">
      <c r="B151" s="36" t="str">
        <f>'[6]price list MAN'!B151</f>
        <v>MC6-3840</v>
      </c>
      <c r="C151" s="10" t="str">
        <f>'[6]price list MAN'!C151</f>
        <v>CLA-26-2806X4BB-C-L</v>
      </c>
      <c r="D151" s="16" t="str">
        <f>IFERROR(VLOOKUP(C151&amp;"",'[7]Retail Price List'!$A$3:$B$103,2,FALSE),"Special Order")</f>
        <v>KP000590</v>
      </c>
      <c r="E151" s="494" t="str">
        <f>'[6]price list MAN'!E151</f>
        <v>SOLD</v>
      </c>
      <c r="F151" s="11">
        <f>'[6]price list MAN'!F151</f>
        <v>33</v>
      </c>
      <c r="G151" s="32">
        <f>'[6]price list MAN'!G151</f>
        <v>14.7</v>
      </c>
      <c r="H151" s="26">
        <f>'[6]price list MAN'!H151</f>
        <v>42900</v>
      </c>
      <c r="I151" s="51" t="str">
        <f t="shared" si="10"/>
        <v>2017Q2</v>
      </c>
      <c r="J151" s="177">
        <f>'[6]price list MAN'!J151</f>
        <v>1040000</v>
      </c>
      <c r="K151" s="177">
        <f>'[6]price list MAN'!P151</f>
        <v>829500</v>
      </c>
      <c r="L151" s="177">
        <f>'[6]price list MAN'!R151</f>
        <v>790000</v>
      </c>
      <c r="M151" s="174">
        <f>'[6]price list MAN'!S151</f>
        <v>1070000</v>
      </c>
      <c r="N151" s="174">
        <f>'[6]price list MAN'!Y151</f>
        <v>861000</v>
      </c>
      <c r="O151" s="174">
        <f>'[6]price list MAN'!AA151</f>
        <v>820000</v>
      </c>
      <c r="P151" s="68">
        <f t="shared" si="11"/>
        <v>0.23364485981308411</v>
      </c>
      <c r="Q151" s="62" t="e">
        <f>O151-#REF!</f>
        <v>#REF!</v>
      </c>
      <c r="R151" s="63" t="s">
        <v>14</v>
      </c>
      <c r="S151" s="62" t="e">
        <f>+AVERAGE(#REF!)</f>
        <v>#REF!</v>
      </c>
      <c r="W151" s="210"/>
      <c r="X151" s="210"/>
      <c r="Y151" s="210"/>
      <c r="Z151" s="210"/>
      <c r="AA151" s="210"/>
      <c r="AB151" s="210"/>
      <c r="AC151" s="210"/>
      <c r="AT151" s="425" t="str">
        <f t="shared" si="12"/>
        <v>KP0005902017Q214,7</v>
      </c>
      <c r="AU151" s="64" t="str">
        <f t="shared" si="13"/>
        <v>06-2017</v>
      </c>
      <c r="BA151" s="428" t="str">
        <f t="shared" si="14"/>
        <v>31-120 Days</v>
      </c>
    </row>
    <row r="152" spans="1:245">
      <c r="B152" s="36" t="str">
        <f>'[6]price list MAN'!B152</f>
        <v>MC6-3841</v>
      </c>
      <c r="C152" s="10" t="str">
        <f>'[6]price list MAN'!C152</f>
        <v>CLA-26-2806X4BB-C-L</v>
      </c>
      <c r="D152" s="16" t="str">
        <f>IFERROR(VLOOKUP(C152&amp;"",'[7]Retail Price List'!$A$3:$B$103,2,FALSE),"Special Order")</f>
        <v>KP000590</v>
      </c>
      <c r="E152" s="494" t="str">
        <f>'[6]price list MAN'!E152</f>
        <v>SOLD</v>
      </c>
      <c r="F152" s="11">
        <f>'[6]price list MAN'!F152</f>
        <v>33</v>
      </c>
      <c r="G152" s="32">
        <f>'[6]price list MAN'!G152</f>
        <v>14.7</v>
      </c>
      <c r="H152" s="26">
        <f>'[6]price list MAN'!H152</f>
        <v>42900</v>
      </c>
      <c r="I152" s="51" t="str">
        <f t="shared" si="10"/>
        <v>2017Q2</v>
      </c>
      <c r="J152" s="177">
        <f>'[6]price list MAN'!J152</f>
        <v>1040000</v>
      </c>
      <c r="K152" s="177">
        <f>'[6]price list MAN'!P152</f>
        <v>829500</v>
      </c>
      <c r="L152" s="177">
        <f>'[6]price list MAN'!R152</f>
        <v>790000</v>
      </c>
      <c r="M152" s="174">
        <f>'[6]price list MAN'!S152</f>
        <v>1070000</v>
      </c>
      <c r="N152" s="174">
        <f>'[6]price list MAN'!Y152</f>
        <v>861000</v>
      </c>
      <c r="O152" s="174">
        <f>'[6]price list MAN'!AA152</f>
        <v>820000</v>
      </c>
      <c r="P152" s="68">
        <f t="shared" si="11"/>
        <v>0.23364485981308411</v>
      </c>
      <c r="Q152" s="62" t="e">
        <f>O152-#REF!</f>
        <v>#REF!</v>
      </c>
      <c r="W152" s="210"/>
      <c r="X152" s="210"/>
      <c r="Y152" s="210"/>
      <c r="Z152" s="210"/>
      <c r="AA152" s="210"/>
      <c r="AB152" s="210"/>
      <c r="AC152" s="210"/>
      <c r="AT152" s="425" t="str">
        <f t="shared" si="12"/>
        <v>KP0005902017Q214,7</v>
      </c>
      <c r="AU152" s="64" t="str">
        <f t="shared" si="13"/>
        <v>06-2017</v>
      </c>
      <c r="BA152" s="428" t="str">
        <f t="shared" si="14"/>
        <v>31-120 Days</v>
      </c>
    </row>
    <row r="153" spans="1:245">
      <c r="B153" s="36" t="str">
        <f>'[6]price list MAN'!B153</f>
        <v>MC6-3842</v>
      </c>
      <c r="C153" s="10" t="str">
        <f>'[6]price list MAN'!C153</f>
        <v>CLA-26-2806X4BB-C-L</v>
      </c>
      <c r="D153" s="16" t="str">
        <f>IFERROR(VLOOKUP(C153&amp;"",'[7]Retail Price List'!$A$3:$B$103,2,FALSE),"Special Order")</f>
        <v>KP000590</v>
      </c>
      <c r="E153" s="494" t="str">
        <f>'[6]price list MAN'!E153</f>
        <v>SOLD</v>
      </c>
      <c r="F153" s="11">
        <f>'[6]price list MAN'!F153</f>
        <v>28</v>
      </c>
      <c r="G153" s="32">
        <f>'[6]price list MAN'!G153</f>
        <v>14.7</v>
      </c>
      <c r="H153" s="26">
        <f>'[6]price list MAN'!H153</f>
        <v>42900</v>
      </c>
      <c r="I153" s="51" t="str">
        <f t="shared" si="10"/>
        <v>2017Q2</v>
      </c>
      <c r="J153" s="177">
        <f>'[6]price list MAN'!J153</f>
        <v>1040000</v>
      </c>
      <c r="K153" s="177">
        <f>'[6]price list MAN'!P153</f>
        <v>829500</v>
      </c>
      <c r="L153" s="177">
        <f>'[6]price list MAN'!R153</f>
        <v>790000</v>
      </c>
      <c r="M153" s="174">
        <f>'[6]price list MAN'!S153</f>
        <v>1070000</v>
      </c>
      <c r="N153" s="174">
        <f>'[6]price list MAN'!Y153</f>
        <v>861000</v>
      </c>
      <c r="O153" s="174">
        <f>'[6]price list MAN'!AA153</f>
        <v>820000</v>
      </c>
      <c r="P153" s="68">
        <f t="shared" si="11"/>
        <v>0.23364485981308411</v>
      </c>
      <c r="Q153" s="62" t="e">
        <f>O153-#REF!</f>
        <v>#REF!</v>
      </c>
      <c r="W153" s="210"/>
      <c r="X153" s="210"/>
      <c r="Y153" s="210"/>
      <c r="Z153" s="210"/>
      <c r="AA153" s="210"/>
      <c r="AB153" s="210"/>
      <c r="AC153" s="210"/>
      <c r="AT153" s="425" t="str">
        <f t="shared" si="12"/>
        <v>KP0005902017Q214,7</v>
      </c>
      <c r="AU153" s="64" t="str">
        <f t="shared" si="13"/>
        <v>06-2017</v>
      </c>
      <c r="BA153" s="428" t="str">
        <f t="shared" si="14"/>
        <v>WIP - 30 Days</v>
      </c>
    </row>
    <row r="154" spans="1:245">
      <c r="B154" s="36" t="str">
        <f>'[6]price list MAN'!B154</f>
        <v>MC6-3925</v>
      </c>
      <c r="C154" s="10" t="str">
        <f>'[6]price list MAN'!C154</f>
        <v>CLA-26-2806X4BB-C-L</v>
      </c>
      <c r="D154" s="16" t="str">
        <f>IFERROR(VLOOKUP(C154&amp;"",'[7]Retail Price List'!$A$3:$B$103,2,FALSE),"Special Order")</f>
        <v>KP000590</v>
      </c>
      <c r="E154" s="494" t="str">
        <f>'[6]price list MAN'!E154</f>
        <v>CKD</v>
      </c>
      <c r="F154" s="11" t="str">
        <f>'[6]price list MAN'!F154</f>
        <v>2018-05-30</v>
      </c>
      <c r="G154" s="32">
        <f>'[6]price list MAN'!G154</f>
        <v>14.7</v>
      </c>
      <c r="H154" s="26">
        <f>'[6]price list MAN'!H154</f>
        <v>42947</v>
      </c>
      <c r="I154" s="51" t="str">
        <f t="shared" si="10"/>
        <v>201707Q3</v>
      </c>
      <c r="J154" s="177">
        <f>'[6]price list MAN'!J154</f>
        <v>1040000</v>
      </c>
      <c r="K154" s="177">
        <f>'[6]price list MAN'!P154</f>
        <v>808500</v>
      </c>
      <c r="L154" s="177">
        <f>'[6]price list MAN'!R154</f>
        <v>770000</v>
      </c>
      <c r="M154" s="174">
        <f>'[6]price list MAN'!S154</f>
        <v>1070000</v>
      </c>
      <c r="N154" s="174">
        <f>'[6]price list MAN'!Y154</f>
        <v>840000</v>
      </c>
      <c r="O154" s="174">
        <f>'[6]price list MAN'!AA154</f>
        <v>800000</v>
      </c>
      <c r="P154" s="68">
        <f t="shared" si="11"/>
        <v>0.25233644859813081</v>
      </c>
      <c r="Q154" s="62" t="e">
        <f>O154-#REF!</f>
        <v>#REF!</v>
      </c>
      <c r="W154" s="210"/>
      <c r="X154" s="210"/>
      <c r="Y154" s="210"/>
      <c r="Z154" s="210"/>
      <c r="AA154" s="210"/>
      <c r="AB154" s="210"/>
      <c r="AC154" s="210"/>
      <c r="AT154" s="425" t="str">
        <f t="shared" si="12"/>
        <v>KP000590201707Q314,7</v>
      </c>
      <c r="AU154" s="64" t="str">
        <f t="shared" si="13"/>
        <v>07-2017</v>
      </c>
      <c r="BA154" s="428" t="str">
        <f t="shared" si="14"/>
        <v>WIP - 30 Days</v>
      </c>
    </row>
    <row r="155" spans="1:245">
      <c r="B155" s="36" t="str">
        <f>'[6]price list MAN'!B155</f>
        <v>MC6-3926</v>
      </c>
      <c r="C155" s="10" t="str">
        <f>'[6]price list MAN'!C155</f>
        <v>CLA-26-2806X4BB-C-L</v>
      </c>
      <c r="D155" s="16" t="str">
        <f>IFERROR(VLOOKUP(C155&amp;"",'[7]Retail Price List'!$A$3:$B$103,2,FALSE),"Special Order")</f>
        <v>KP000590</v>
      </c>
      <c r="E155" s="494" t="str">
        <f>'[6]price list MAN'!E155</f>
        <v>CKD</v>
      </c>
      <c r="F155" s="11" t="str">
        <f>'[6]price list MAN'!F155</f>
        <v>2018-05-30</v>
      </c>
      <c r="G155" s="32">
        <f>'[6]price list MAN'!G155</f>
        <v>14.7</v>
      </c>
      <c r="H155" s="26">
        <f>'[6]price list MAN'!H155</f>
        <v>42947</v>
      </c>
      <c r="I155" s="51" t="str">
        <f t="shared" si="10"/>
        <v>201707Q3</v>
      </c>
      <c r="J155" s="177">
        <f>'[6]price list MAN'!J155</f>
        <v>1040000</v>
      </c>
      <c r="K155" s="177">
        <f>'[6]price list MAN'!P155</f>
        <v>808500</v>
      </c>
      <c r="L155" s="177">
        <f>'[6]price list MAN'!R155</f>
        <v>770000</v>
      </c>
      <c r="M155" s="174">
        <f>'[6]price list MAN'!S155</f>
        <v>1070000</v>
      </c>
      <c r="N155" s="174">
        <f>'[6]price list MAN'!Y155</f>
        <v>840000</v>
      </c>
      <c r="O155" s="174">
        <f>'[6]price list MAN'!AA155</f>
        <v>800000</v>
      </c>
      <c r="P155" s="68">
        <f t="shared" si="11"/>
        <v>0.25233644859813081</v>
      </c>
      <c r="Q155" s="62" t="e">
        <f>O155-#REF!</f>
        <v>#REF!</v>
      </c>
      <c r="W155" s="210"/>
      <c r="X155" s="210"/>
      <c r="Y155" s="210"/>
      <c r="Z155" s="210"/>
      <c r="AA155" s="210"/>
      <c r="AB155" s="210"/>
      <c r="AC155" s="210"/>
      <c r="AT155" s="425" t="str">
        <f t="shared" si="12"/>
        <v>KP000590201707Q314,7</v>
      </c>
      <c r="AU155" s="64" t="str">
        <f t="shared" si="13"/>
        <v>07-2017</v>
      </c>
      <c r="BA155" s="428" t="str">
        <f t="shared" si="14"/>
        <v>WIP - 30 Days</v>
      </c>
    </row>
    <row r="156" spans="1:245">
      <c r="B156" s="36" t="str">
        <f>'[6]price list MAN'!B156</f>
        <v>MC6-3927</v>
      </c>
      <c r="C156" s="10" t="str">
        <f>'[6]price list MAN'!C156</f>
        <v>CLA-26-2806X4BB-C-L</v>
      </c>
      <c r="D156" s="16" t="str">
        <f>IFERROR(VLOOKUP(C156&amp;"",'[7]Retail Price List'!$A$3:$B$103,2,FALSE),"Special Order")</f>
        <v>KP000590</v>
      </c>
      <c r="E156" s="494" t="str">
        <f>'[6]price list MAN'!E156</f>
        <v>CKD</v>
      </c>
      <c r="F156" s="11" t="str">
        <f>'[6]price list MAN'!F156</f>
        <v>2018-05-30</v>
      </c>
      <c r="G156" s="32">
        <f>'[6]price list MAN'!G156</f>
        <v>14.7</v>
      </c>
      <c r="H156" s="26">
        <f>'[6]price list MAN'!H156</f>
        <v>42947</v>
      </c>
      <c r="I156" s="51" t="str">
        <f t="shared" si="10"/>
        <v>201707Q3</v>
      </c>
      <c r="J156" s="177">
        <f>'[6]price list MAN'!J156</f>
        <v>1040000</v>
      </c>
      <c r="K156" s="177">
        <f>'[6]price list MAN'!P156</f>
        <v>808500</v>
      </c>
      <c r="L156" s="177">
        <f>'[6]price list MAN'!R156</f>
        <v>770000</v>
      </c>
      <c r="M156" s="174">
        <f>'[6]price list MAN'!S156</f>
        <v>1070000</v>
      </c>
      <c r="N156" s="174">
        <f>'[6]price list MAN'!Y156</f>
        <v>840000</v>
      </c>
      <c r="O156" s="174">
        <f>'[6]price list MAN'!AA156</f>
        <v>800000</v>
      </c>
      <c r="P156" s="68">
        <f t="shared" si="11"/>
        <v>0.25233644859813081</v>
      </c>
      <c r="Q156" s="62" t="e">
        <f>O156-#REF!</f>
        <v>#REF!</v>
      </c>
      <c r="W156" s="210"/>
      <c r="X156" s="210"/>
      <c r="Y156" s="210"/>
      <c r="Z156" s="210"/>
      <c r="AA156" s="210"/>
      <c r="AB156" s="210"/>
      <c r="AC156" s="210"/>
      <c r="AT156" s="425" t="str">
        <f t="shared" si="12"/>
        <v>KP000590201707Q314,7</v>
      </c>
      <c r="AU156" s="64" t="str">
        <f t="shared" si="13"/>
        <v>07-2017</v>
      </c>
      <c r="BA156" s="428" t="str">
        <f t="shared" si="14"/>
        <v>WIP - 30 Days</v>
      </c>
    </row>
    <row r="157" spans="1:245">
      <c r="B157" s="36" t="str">
        <f>'[6]price list MAN'!B157</f>
        <v>MC6-3928</v>
      </c>
      <c r="C157" s="10" t="str">
        <f>'[6]price list MAN'!C157</f>
        <v>CLA-26-2806X4BB-C-L</v>
      </c>
      <c r="D157" s="16" t="str">
        <f>IFERROR(VLOOKUP(C157&amp;"",'[7]Retail Price List'!$A$3:$B$103,2,FALSE),"Special Order")</f>
        <v>KP000590</v>
      </c>
      <c r="E157" s="494" t="str">
        <f>'[6]price list MAN'!E157</f>
        <v>CKD</v>
      </c>
      <c r="F157" s="11" t="str">
        <f>'[6]price list MAN'!F157</f>
        <v>2018-05-30</v>
      </c>
      <c r="G157" s="32">
        <f>'[6]price list MAN'!G157</f>
        <v>14.7</v>
      </c>
      <c r="H157" s="26">
        <f>'[6]price list MAN'!H157</f>
        <v>42947</v>
      </c>
      <c r="I157" s="51" t="str">
        <f t="shared" si="10"/>
        <v>201707Q3</v>
      </c>
      <c r="J157" s="177">
        <f>'[6]price list MAN'!J157</f>
        <v>1040000</v>
      </c>
      <c r="K157" s="177">
        <f>'[6]price list MAN'!P157</f>
        <v>808500</v>
      </c>
      <c r="L157" s="177">
        <f>'[6]price list MAN'!R157</f>
        <v>770000</v>
      </c>
      <c r="M157" s="174">
        <f>'[6]price list MAN'!S157</f>
        <v>1070000</v>
      </c>
      <c r="N157" s="174">
        <f>'[6]price list MAN'!Y157</f>
        <v>840000</v>
      </c>
      <c r="O157" s="174">
        <f>'[6]price list MAN'!AA157</f>
        <v>800000</v>
      </c>
      <c r="P157" s="68">
        <f t="shared" si="11"/>
        <v>0.25233644859813081</v>
      </c>
      <c r="Q157" s="62" t="e">
        <f>O157-#REF!</f>
        <v>#REF!</v>
      </c>
      <c r="W157" s="210"/>
      <c r="X157" s="210"/>
      <c r="Y157" s="210"/>
      <c r="Z157" s="210"/>
      <c r="AA157" s="210"/>
      <c r="AB157" s="210"/>
      <c r="AC157" s="210"/>
      <c r="AT157" s="425" t="str">
        <f t="shared" si="12"/>
        <v>KP000590201707Q314,7</v>
      </c>
      <c r="AU157" s="64" t="str">
        <f t="shared" si="13"/>
        <v>07-2017</v>
      </c>
      <c r="BA157" s="428" t="str">
        <f t="shared" si="14"/>
        <v>WIP - 30 Days</v>
      </c>
    </row>
    <row r="158" spans="1:245">
      <c r="B158" s="36" t="str">
        <f>'[6]price list MAN'!B158</f>
        <v>MC6-3929</v>
      </c>
      <c r="C158" s="10" t="str">
        <f>'[6]price list MAN'!C158</f>
        <v>CLA-26-2806X4BB-C-L</v>
      </c>
      <c r="D158" s="16" t="str">
        <f>IFERROR(VLOOKUP(C158&amp;"",'[7]Retail Price List'!$A$3:$B$103,2,FALSE),"Special Order")</f>
        <v>KP000590</v>
      </c>
      <c r="E158" s="494" t="str">
        <f>'[6]price list MAN'!E158</f>
        <v>CKD</v>
      </c>
      <c r="F158" s="11" t="str">
        <f>'[6]price list MAN'!F158</f>
        <v>2018-05-30</v>
      </c>
      <c r="G158" s="32">
        <f>'[6]price list MAN'!G158</f>
        <v>14.7</v>
      </c>
      <c r="H158" s="26">
        <f>'[6]price list MAN'!H158</f>
        <v>42947</v>
      </c>
      <c r="I158" s="51" t="str">
        <f t="shared" si="10"/>
        <v>201707Q3</v>
      </c>
      <c r="J158" s="177">
        <f>'[6]price list MAN'!J158</f>
        <v>1040000</v>
      </c>
      <c r="K158" s="177">
        <f>'[6]price list MAN'!P158</f>
        <v>808500</v>
      </c>
      <c r="L158" s="177">
        <f>'[6]price list MAN'!R158</f>
        <v>770000</v>
      </c>
      <c r="M158" s="174">
        <f>'[6]price list MAN'!S158</f>
        <v>1070000</v>
      </c>
      <c r="N158" s="174">
        <f>'[6]price list MAN'!Y158</f>
        <v>840000</v>
      </c>
      <c r="O158" s="174">
        <f>'[6]price list MAN'!AA158</f>
        <v>800000</v>
      </c>
      <c r="P158" s="68">
        <f t="shared" si="11"/>
        <v>0.25233644859813081</v>
      </c>
      <c r="Q158" s="62" t="e">
        <f>O158-#REF!</f>
        <v>#REF!</v>
      </c>
      <c r="W158" s="210"/>
      <c r="X158" s="210"/>
      <c r="Y158" s="210"/>
      <c r="Z158" s="210"/>
      <c r="AA158" s="210"/>
      <c r="AB158" s="210"/>
      <c r="AC158" s="210"/>
      <c r="AT158" s="425" t="str">
        <f t="shared" si="12"/>
        <v>KP000590201707Q314,7</v>
      </c>
      <c r="AU158" s="64" t="str">
        <f t="shared" si="13"/>
        <v>07-2017</v>
      </c>
      <c r="BA158" s="428" t="str">
        <f t="shared" si="14"/>
        <v>WIP - 30 Days</v>
      </c>
    </row>
    <row r="159" spans="1:245">
      <c r="B159" s="36" t="str">
        <f>'[6]price list MAN'!B159</f>
        <v>MC6-3930</v>
      </c>
      <c r="C159" s="10" t="str">
        <f>'[6]price list MAN'!C159</f>
        <v>CLA-26-2806X4BB-C-L</v>
      </c>
      <c r="D159" s="16" t="str">
        <f>IFERROR(VLOOKUP(C159&amp;"",'[7]Retail Price List'!$A$3:$B$103,2,FALSE),"Special Order")</f>
        <v>KP000590</v>
      </c>
      <c r="E159" s="494" t="str">
        <f>'[6]price list MAN'!E159</f>
        <v>CKD</v>
      </c>
      <c r="F159" s="11" t="str">
        <f>'[6]price list MAN'!F159</f>
        <v>2018-06-30</v>
      </c>
      <c r="G159" s="32">
        <f>'[6]price list MAN'!G159</f>
        <v>14.7</v>
      </c>
      <c r="H159" s="26">
        <f>'[6]price list MAN'!H159</f>
        <v>42947</v>
      </c>
      <c r="I159" s="51" t="str">
        <f t="shared" si="10"/>
        <v>201707Q3</v>
      </c>
      <c r="J159" s="177">
        <f>'[6]price list MAN'!J159</f>
        <v>1040000</v>
      </c>
      <c r="K159" s="177">
        <f>'[6]price list MAN'!P159</f>
        <v>808500</v>
      </c>
      <c r="L159" s="177">
        <f>'[6]price list MAN'!R159</f>
        <v>770000</v>
      </c>
      <c r="M159" s="174">
        <f>'[6]price list MAN'!S159</f>
        <v>1070000</v>
      </c>
      <c r="N159" s="174">
        <f>'[6]price list MAN'!Y159</f>
        <v>840000</v>
      </c>
      <c r="O159" s="174">
        <f>'[6]price list MAN'!AA159</f>
        <v>800000</v>
      </c>
      <c r="P159" s="68">
        <f t="shared" si="11"/>
        <v>0.25233644859813081</v>
      </c>
      <c r="Q159" s="62" t="e">
        <f>O159-#REF!</f>
        <v>#REF!</v>
      </c>
      <c r="W159" s="210"/>
      <c r="X159" s="210"/>
      <c r="Y159" s="210"/>
      <c r="Z159" s="210"/>
      <c r="AA159" s="210"/>
      <c r="AB159" s="210"/>
      <c r="AC159" s="210"/>
      <c r="AT159" s="425" t="str">
        <f t="shared" si="12"/>
        <v>KP000590201707Q314,7</v>
      </c>
      <c r="AU159" s="64" t="str">
        <f t="shared" si="13"/>
        <v>07-2017</v>
      </c>
      <c r="BA159" s="428" t="str">
        <f t="shared" si="14"/>
        <v>WIP - 30 Days</v>
      </c>
    </row>
    <row r="160" spans="1:245" s="4" customFormat="1">
      <c r="A160" s="41"/>
      <c r="B160" s="36" t="str">
        <f>'[6]price list MAN'!B160</f>
        <v>MC6-3931</v>
      </c>
      <c r="C160" s="10" t="str">
        <f>'[6]price list MAN'!C160</f>
        <v>CLA-26-2806X4BB-C-L</v>
      </c>
      <c r="D160" s="16" t="str">
        <f>IFERROR(VLOOKUP(C160&amp;"",'[7]Retail Price List'!$A$3:$B$103,2,FALSE),"Special Order")</f>
        <v>KP000590</v>
      </c>
      <c r="E160" s="494" t="str">
        <f>'[6]price list MAN'!E160</f>
        <v>CKD</v>
      </c>
      <c r="F160" s="11" t="str">
        <f>'[6]price list MAN'!F160</f>
        <v>2018-05-30</v>
      </c>
      <c r="G160" s="32">
        <f>'[6]price list MAN'!G160</f>
        <v>14.7</v>
      </c>
      <c r="H160" s="26">
        <f>'[6]price list MAN'!H160</f>
        <v>42947</v>
      </c>
      <c r="I160" s="51" t="str">
        <f t="shared" si="10"/>
        <v>201707Q3</v>
      </c>
      <c r="J160" s="177">
        <f>'[6]price list MAN'!J160</f>
        <v>1040000</v>
      </c>
      <c r="K160" s="177">
        <f>'[6]price list MAN'!P160</f>
        <v>808500</v>
      </c>
      <c r="L160" s="177">
        <f>'[6]price list MAN'!R160</f>
        <v>770000</v>
      </c>
      <c r="M160" s="174">
        <f>'[6]price list MAN'!S160</f>
        <v>1070000</v>
      </c>
      <c r="N160" s="174">
        <f>'[6]price list MAN'!Y160</f>
        <v>840000</v>
      </c>
      <c r="O160" s="174">
        <f>'[6]price list MAN'!AA160</f>
        <v>800000</v>
      </c>
      <c r="P160" s="68">
        <f t="shared" si="11"/>
        <v>0.25233644859813081</v>
      </c>
      <c r="Q160" s="62" t="e">
        <f>O160-#REF!</f>
        <v>#REF!</v>
      </c>
      <c r="R160" s="63" t="e">
        <f>SUM(Q147:Q159)/SUM(O147:O159)</f>
        <v>#REF!</v>
      </c>
      <c r="S160" s="64"/>
      <c r="T160" s="64"/>
      <c r="U160" s="64"/>
      <c r="V160" s="64"/>
      <c r="W160" s="210"/>
      <c r="X160" s="210"/>
      <c r="Y160" s="210"/>
      <c r="Z160" s="210"/>
      <c r="AA160" s="210"/>
      <c r="AB160" s="210"/>
      <c r="AC160" s="210"/>
      <c r="AD160" s="54"/>
      <c r="AE160" s="54"/>
      <c r="AF160" s="54"/>
      <c r="AG160" s="5"/>
      <c r="AH160" s="5"/>
      <c r="AI160" s="5"/>
      <c r="AJ160" s="5"/>
      <c r="AK160" s="5"/>
      <c r="AL160" s="5"/>
      <c r="AM160" s="5"/>
      <c r="AN160" s="5"/>
      <c r="AO160" s="5"/>
      <c r="AP160" s="5"/>
      <c r="AQ160" s="5"/>
      <c r="AR160" s="5"/>
      <c r="AS160" s="5"/>
      <c r="AT160" s="425" t="str">
        <f t="shared" si="12"/>
        <v>KP000590201707Q314,7</v>
      </c>
      <c r="AU160" s="64" t="str">
        <f t="shared" si="13"/>
        <v>07-2017</v>
      </c>
      <c r="AV160" s="64"/>
      <c r="AW160" s="64"/>
      <c r="AX160" s="64"/>
      <c r="AY160" s="64"/>
      <c r="AZ160" s="64"/>
      <c r="BA160" s="428" t="str">
        <f t="shared" si="14"/>
        <v>WIP - 30 Days</v>
      </c>
      <c r="BB160" s="169"/>
      <c r="BC160" s="169"/>
      <c r="BD160" s="169"/>
      <c r="BE160" s="41"/>
      <c r="BF160" s="41"/>
      <c r="BG160" s="41"/>
      <c r="BH160" s="41"/>
      <c r="BI160" s="41"/>
      <c r="BJ160" s="41"/>
      <c r="BK160" s="41"/>
      <c r="BL160" s="41"/>
      <c r="BM160" s="41"/>
      <c r="BN160" s="41"/>
      <c r="BO160" s="41"/>
      <c r="BP160" s="41"/>
      <c r="BQ160" s="41"/>
      <c r="BR160" s="41"/>
      <c r="BS160" s="41"/>
      <c r="BT160" s="41"/>
      <c r="BU160" s="41"/>
      <c r="BV160" s="41"/>
      <c r="BW160" s="41"/>
      <c r="BX160" s="41"/>
      <c r="BY160" s="41"/>
      <c r="BZ160" s="41"/>
      <c r="CA160" s="41"/>
      <c r="CB160" s="41"/>
      <c r="CC160" s="41"/>
      <c r="CD160" s="41"/>
      <c r="CE160" s="41"/>
      <c r="CF160" s="41"/>
      <c r="CG160" s="41"/>
      <c r="CH160" s="41"/>
      <c r="CI160" s="41"/>
      <c r="CJ160" s="41"/>
      <c r="CK160" s="41"/>
      <c r="CL160" s="41"/>
      <c r="CM160" s="41"/>
      <c r="CN160" s="41"/>
      <c r="CO160" s="41"/>
      <c r="CP160" s="41"/>
      <c r="CQ160" s="41"/>
      <c r="CR160" s="41"/>
      <c r="CS160" s="41"/>
      <c r="CT160" s="41"/>
      <c r="CU160" s="41"/>
      <c r="CV160" s="41"/>
      <c r="CW160" s="41"/>
      <c r="CX160" s="41"/>
      <c r="CY160" s="41"/>
      <c r="CZ160" s="41"/>
      <c r="DA160" s="41"/>
      <c r="DB160" s="41"/>
      <c r="DC160" s="41"/>
      <c r="DD160" s="41"/>
      <c r="DE160" s="41"/>
      <c r="DF160" s="41"/>
      <c r="DG160" s="41"/>
      <c r="DH160" s="41"/>
      <c r="DI160" s="41"/>
      <c r="DJ160" s="41"/>
      <c r="DK160" s="41"/>
      <c r="DL160" s="41"/>
      <c r="DM160" s="41"/>
      <c r="DN160" s="41"/>
      <c r="DO160" s="41"/>
      <c r="DP160" s="41"/>
      <c r="DQ160" s="41"/>
      <c r="DR160" s="41"/>
      <c r="DS160" s="41"/>
      <c r="DT160" s="41"/>
      <c r="DU160" s="41"/>
      <c r="DV160" s="41"/>
      <c r="DW160" s="41"/>
      <c r="DX160" s="41"/>
      <c r="DY160" s="41"/>
      <c r="DZ160" s="41"/>
      <c r="EA160" s="41"/>
      <c r="EB160" s="41"/>
      <c r="EC160" s="41"/>
      <c r="ED160" s="41"/>
      <c r="EE160" s="41"/>
      <c r="EF160" s="41"/>
      <c r="EG160" s="41"/>
      <c r="EH160" s="41"/>
      <c r="EI160" s="41"/>
      <c r="EJ160" s="41"/>
      <c r="EK160" s="41"/>
      <c r="EL160" s="41"/>
      <c r="EM160" s="41"/>
      <c r="EN160" s="41"/>
      <c r="EO160" s="41"/>
      <c r="EP160" s="41"/>
      <c r="EQ160" s="41"/>
      <c r="ER160" s="41"/>
      <c r="ES160" s="41"/>
      <c r="ET160" s="41"/>
      <c r="EU160" s="41"/>
      <c r="EV160" s="41"/>
      <c r="EW160" s="41"/>
      <c r="EX160" s="41"/>
      <c r="EY160" s="41"/>
      <c r="EZ160" s="41"/>
      <c r="FA160" s="41"/>
      <c r="FB160" s="41"/>
      <c r="FC160" s="41"/>
      <c r="FD160" s="41"/>
      <c r="FE160" s="41"/>
      <c r="FF160" s="41"/>
      <c r="FG160" s="41"/>
      <c r="FH160" s="41"/>
      <c r="FI160" s="41"/>
      <c r="FJ160" s="41"/>
      <c r="FK160" s="41"/>
      <c r="FL160" s="41"/>
      <c r="FM160" s="41"/>
      <c r="FN160" s="41"/>
      <c r="FO160" s="41"/>
      <c r="FP160" s="41"/>
      <c r="FQ160" s="41"/>
      <c r="FR160" s="41"/>
      <c r="FS160" s="41"/>
      <c r="FT160" s="41"/>
      <c r="FU160" s="41"/>
      <c r="FV160" s="41"/>
      <c r="FW160" s="41"/>
      <c r="FX160" s="41"/>
      <c r="FY160" s="41"/>
      <c r="FZ160" s="41"/>
      <c r="GA160" s="41"/>
      <c r="GB160" s="41"/>
      <c r="GC160" s="41"/>
      <c r="GD160" s="41"/>
      <c r="GE160" s="41"/>
      <c r="GF160" s="41"/>
      <c r="GG160" s="41"/>
      <c r="GH160" s="41"/>
      <c r="GI160" s="41"/>
      <c r="GJ160" s="41"/>
      <c r="GK160" s="41"/>
      <c r="GL160" s="41"/>
      <c r="GM160" s="41"/>
      <c r="GN160" s="41"/>
      <c r="GO160" s="41"/>
      <c r="GP160" s="41"/>
      <c r="GQ160" s="41"/>
      <c r="GR160" s="41"/>
      <c r="GS160" s="41"/>
      <c r="GT160" s="41"/>
      <c r="GU160" s="41"/>
      <c r="GV160" s="41"/>
      <c r="GW160" s="41"/>
      <c r="GX160" s="41"/>
      <c r="GY160" s="41"/>
      <c r="GZ160" s="41"/>
      <c r="HA160" s="41"/>
      <c r="HB160" s="41"/>
      <c r="HC160" s="41"/>
      <c r="HD160" s="41"/>
      <c r="HE160" s="41"/>
      <c r="HF160" s="41"/>
      <c r="HG160" s="41"/>
      <c r="HH160" s="41"/>
      <c r="HI160" s="41"/>
      <c r="HJ160" s="41"/>
      <c r="HK160" s="41"/>
      <c r="HL160" s="41"/>
      <c r="HM160" s="41"/>
      <c r="HN160" s="41"/>
      <c r="HO160" s="41"/>
      <c r="HP160" s="41"/>
      <c r="HQ160" s="41"/>
      <c r="HR160" s="41"/>
      <c r="HS160" s="41"/>
      <c r="HT160" s="41"/>
      <c r="HU160" s="41"/>
      <c r="HV160" s="41"/>
      <c r="HW160" s="41"/>
      <c r="HX160" s="41"/>
      <c r="HY160" s="41"/>
      <c r="HZ160" s="41"/>
      <c r="IA160" s="41"/>
      <c r="IB160" s="41"/>
      <c r="IC160" s="41"/>
      <c r="ID160" s="41"/>
      <c r="IE160" s="41"/>
      <c r="IF160" s="41"/>
      <c r="IG160" s="41"/>
      <c r="IH160" s="41"/>
      <c r="II160" s="41"/>
      <c r="IJ160" s="41"/>
      <c r="IK160" s="41"/>
    </row>
    <row r="161" spans="1:245">
      <c r="B161" s="36" t="str">
        <f>'[6]price list MAN'!B161</f>
        <v>MC6-3932</v>
      </c>
      <c r="C161" s="10" t="str">
        <f>'[6]price list MAN'!C161</f>
        <v>CLA-26-2806X4BB-C-L</v>
      </c>
      <c r="D161" s="16" t="str">
        <f>IFERROR(VLOOKUP(C161&amp;"",'[7]Retail Price List'!$A$3:$B$103,2,FALSE),"Special Order")</f>
        <v>KP000590</v>
      </c>
      <c r="E161" s="494" t="str">
        <f>'[6]price list MAN'!E161</f>
        <v>CKD</v>
      </c>
      <c r="F161" s="11" t="str">
        <f>'[6]price list MAN'!F161</f>
        <v>2018-05-30</v>
      </c>
      <c r="G161" s="32">
        <f>'[6]price list MAN'!G161</f>
        <v>14.7</v>
      </c>
      <c r="H161" s="26">
        <f>'[6]price list MAN'!H161</f>
        <v>42947</v>
      </c>
      <c r="I161" s="51" t="str">
        <f t="shared" si="10"/>
        <v>201707Q3</v>
      </c>
      <c r="J161" s="177">
        <f>'[6]price list MAN'!J161</f>
        <v>1040000</v>
      </c>
      <c r="K161" s="177">
        <f>'[6]price list MAN'!P161</f>
        <v>808500</v>
      </c>
      <c r="L161" s="177">
        <f>'[6]price list MAN'!R161</f>
        <v>770000</v>
      </c>
      <c r="M161" s="174">
        <f>'[6]price list MAN'!S161</f>
        <v>1070000</v>
      </c>
      <c r="N161" s="174">
        <f>'[6]price list MAN'!Y161</f>
        <v>840000</v>
      </c>
      <c r="O161" s="174">
        <f>'[6]price list MAN'!AA161</f>
        <v>800000</v>
      </c>
      <c r="P161" s="68">
        <f t="shared" si="11"/>
        <v>0.25233644859813081</v>
      </c>
      <c r="Q161" s="62" t="e">
        <f>O161-#REF!</f>
        <v>#REF!</v>
      </c>
      <c r="S161" s="62" t="e">
        <f>+AVERAGE(#REF!)</f>
        <v>#REF!</v>
      </c>
      <c r="W161" s="210"/>
      <c r="X161" s="210"/>
      <c r="Y161" s="210"/>
      <c r="Z161" s="210"/>
      <c r="AA161" s="210"/>
      <c r="AB161" s="210"/>
      <c r="AC161" s="210"/>
      <c r="AT161" s="425" t="str">
        <f t="shared" si="12"/>
        <v>KP000590201707Q314,7</v>
      </c>
      <c r="AU161" s="64" t="str">
        <f t="shared" si="13"/>
        <v>07-2017</v>
      </c>
      <c r="BA161" s="428" t="str">
        <f t="shared" si="14"/>
        <v>WIP - 30 Days</v>
      </c>
    </row>
    <row r="162" spans="1:245">
      <c r="B162" s="36" t="str">
        <f>'[6]price list MAN'!B162</f>
        <v>MC6-3933</v>
      </c>
      <c r="C162" s="10" t="str">
        <f>'[6]price list MAN'!C162</f>
        <v>CLA-26-2806X4BB-C-L</v>
      </c>
      <c r="D162" s="16" t="str">
        <f>IFERROR(VLOOKUP(C162&amp;"",'[7]Retail Price List'!$A$3:$B$103,2,FALSE),"Special Order")</f>
        <v>KP000590</v>
      </c>
      <c r="E162" s="494" t="str">
        <f>'[6]price list MAN'!E162</f>
        <v>CKD</v>
      </c>
      <c r="F162" s="11" t="str">
        <f>'[6]price list MAN'!F162</f>
        <v>2018-05-30</v>
      </c>
      <c r="G162" s="32">
        <f>'[6]price list MAN'!G162</f>
        <v>14.7</v>
      </c>
      <c r="H162" s="26">
        <f>'[6]price list MAN'!H162</f>
        <v>42947</v>
      </c>
      <c r="I162" s="51" t="str">
        <f t="shared" si="10"/>
        <v>201707Q3</v>
      </c>
      <c r="J162" s="177">
        <f>'[6]price list MAN'!J162</f>
        <v>1040000</v>
      </c>
      <c r="K162" s="177">
        <f>'[6]price list MAN'!P162</f>
        <v>808500</v>
      </c>
      <c r="L162" s="177">
        <f>'[6]price list MAN'!R162</f>
        <v>770000</v>
      </c>
      <c r="M162" s="174">
        <f>'[6]price list MAN'!S162</f>
        <v>1070000</v>
      </c>
      <c r="N162" s="174">
        <f>'[6]price list MAN'!Y162</f>
        <v>840000</v>
      </c>
      <c r="O162" s="174">
        <f>'[6]price list MAN'!AA162</f>
        <v>800000</v>
      </c>
      <c r="P162" s="68">
        <f t="shared" si="11"/>
        <v>0.25233644859813081</v>
      </c>
      <c r="Q162" s="62" t="e">
        <f>O162-#REF!</f>
        <v>#REF!</v>
      </c>
      <c r="W162" s="210"/>
      <c r="X162" s="210"/>
      <c r="Y162" s="210"/>
      <c r="Z162" s="210"/>
      <c r="AA162" s="210"/>
      <c r="AB162" s="210"/>
      <c r="AC162" s="210"/>
      <c r="AT162" s="425" t="str">
        <f t="shared" si="12"/>
        <v>KP000590201707Q314,7</v>
      </c>
      <c r="AU162" s="64" t="str">
        <f t="shared" si="13"/>
        <v>07-2017</v>
      </c>
      <c r="BA162" s="428" t="str">
        <f t="shared" si="14"/>
        <v>WIP - 30 Days</v>
      </c>
    </row>
    <row r="163" spans="1:245">
      <c r="B163" s="36" t="str">
        <f>'[6]price list MAN'!B163</f>
        <v>MC6-3934</v>
      </c>
      <c r="C163" s="10" t="str">
        <f>'[6]price list MAN'!C163</f>
        <v>CLA-26-2806X4BB-C-L</v>
      </c>
      <c r="D163" s="16" t="str">
        <f>IFERROR(VLOOKUP(C163&amp;"",'[7]Retail Price List'!$A$3:$B$103,2,FALSE),"Special Order")</f>
        <v>KP000590</v>
      </c>
      <c r="E163" s="494" t="str">
        <f>'[6]price list MAN'!E163</f>
        <v>CKD</v>
      </c>
      <c r="F163" s="11" t="str">
        <f>'[6]price list MAN'!F163</f>
        <v>2018-06-30</v>
      </c>
      <c r="G163" s="32">
        <f>'[6]price list MAN'!G163</f>
        <v>14.7</v>
      </c>
      <c r="H163" s="26">
        <f>'[6]price list MAN'!H163</f>
        <v>42947</v>
      </c>
      <c r="I163" s="51" t="str">
        <f t="shared" si="10"/>
        <v>201707Q3</v>
      </c>
      <c r="J163" s="177">
        <f>'[6]price list MAN'!J163</f>
        <v>1040000</v>
      </c>
      <c r="K163" s="177">
        <f>'[6]price list MAN'!P163</f>
        <v>808500</v>
      </c>
      <c r="L163" s="177">
        <f>'[6]price list MAN'!R163</f>
        <v>770000</v>
      </c>
      <c r="M163" s="174">
        <f>'[6]price list MAN'!S163</f>
        <v>1070000</v>
      </c>
      <c r="N163" s="174">
        <f>'[6]price list MAN'!Y163</f>
        <v>840000</v>
      </c>
      <c r="O163" s="174">
        <f>'[6]price list MAN'!AA163</f>
        <v>800000</v>
      </c>
      <c r="P163" s="68">
        <f t="shared" si="11"/>
        <v>0.25233644859813081</v>
      </c>
      <c r="Q163" s="62" t="e">
        <f>O163-#REF!</f>
        <v>#REF!</v>
      </c>
      <c r="W163" s="210"/>
      <c r="X163" s="210"/>
      <c r="Y163" s="210"/>
      <c r="Z163" s="210"/>
      <c r="AA163" s="210"/>
      <c r="AB163" s="210"/>
      <c r="AC163" s="210"/>
      <c r="AT163" s="425" t="str">
        <f t="shared" si="12"/>
        <v>KP000590201707Q314,7</v>
      </c>
      <c r="AU163" s="64" t="str">
        <f t="shared" si="13"/>
        <v>07-2017</v>
      </c>
      <c r="BA163" s="428" t="str">
        <f t="shared" si="14"/>
        <v>WIP - 30 Days</v>
      </c>
    </row>
    <row r="164" spans="1:245">
      <c r="B164" s="36" t="str">
        <f>'[6]price list MAN'!B164</f>
        <v>MC6-3935</v>
      </c>
      <c r="C164" s="10" t="str">
        <f>'[6]price list MAN'!C164</f>
        <v>CLA-26-2806X4BB-C-L</v>
      </c>
      <c r="D164" s="16" t="str">
        <f>IFERROR(VLOOKUP(C164&amp;"",'[7]Retail Price List'!$A$3:$B$103,2,FALSE),"Special Order")</f>
        <v>KP000590</v>
      </c>
      <c r="E164" s="494" t="str">
        <f>'[6]price list MAN'!E164</f>
        <v>CKD</v>
      </c>
      <c r="F164" s="11" t="str">
        <f>'[6]price list MAN'!F164</f>
        <v>2018-06-30</v>
      </c>
      <c r="G164" s="32">
        <f>'[6]price list MAN'!G164</f>
        <v>14.7</v>
      </c>
      <c r="H164" s="26">
        <f>'[6]price list MAN'!H164</f>
        <v>42947</v>
      </c>
      <c r="I164" s="51" t="str">
        <f t="shared" si="10"/>
        <v>201707Q3</v>
      </c>
      <c r="J164" s="177">
        <f>'[6]price list MAN'!J164</f>
        <v>1040000</v>
      </c>
      <c r="K164" s="177">
        <f>'[6]price list MAN'!P164</f>
        <v>808500</v>
      </c>
      <c r="L164" s="177">
        <f>'[6]price list MAN'!R164</f>
        <v>770000</v>
      </c>
      <c r="M164" s="174">
        <f>'[6]price list MAN'!S164</f>
        <v>1070000</v>
      </c>
      <c r="N164" s="174">
        <f>'[6]price list MAN'!Y164</f>
        <v>840000</v>
      </c>
      <c r="O164" s="174">
        <f>'[6]price list MAN'!AA164</f>
        <v>800000</v>
      </c>
      <c r="P164" s="68">
        <f t="shared" si="11"/>
        <v>0.25233644859813081</v>
      </c>
      <c r="Q164" s="62" t="e">
        <f>O164-#REF!</f>
        <v>#REF!</v>
      </c>
      <c r="W164" s="210"/>
      <c r="X164" s="210"/>
      <c r="Y164" s="210"/>
      <c r="Z164" s="210"/>
      <c r="AA164" s="210"/>
      <c r="AB164" s="210"/>
      <c r="AC164" s="210"/>
      <c r="AT164" s="425" t="str">
        <f t="shared" si="12"/>
        <v>KP000590201707Q314,7</v>
      </c>
      <c r="AU164" s="64" t="str">
        <f t="shared" si="13"/>
        <v>07-2017</v>
      </c>
      <c r="BA164" s="428" t="str">
        <f t="shared" si="14"/>
        <v>WIP - 30 Days</v>
      </c>
    </row>
    <row r="165" spans="1:245" s="4" customFormat="1">
      <c r="A165" s="41"/>
      <c r="B165" s="36" t="str">
        <f>'[6]price list MAN'!B165</f>
        <v>MC6-3936</v>
      </c>
      <c r="C165" s="10" t="str">
        <f>'[6]price list MAN'!C165</f>
        <v>CLA-26-2806X4BB-C-L</v>
      </c>
      <c r="D165" s="16" t="str">
        <f>IFERROR(VLOOKUP(C165&amp;"",'[7]Retail Price List'!$A$3:$B$103,2,FALSE),"Special Order")</f>
        <v>KP000590</v>
      </c>
      <c r="E165" s="494" t="str">
        <f>'[6]price list MAN'!E165</f>
        <v>CKD</v>
      </c>
      <c r="F165" s="11" t="str">
        <f>'[6]price list MAN'!F165</f>
        <v>2018-06-30</v>
      </c>
      <c r="G165" s="32">
        <f>'[6]price list MAN'!G165</f>
        <v>14.7</v>
      </c>
      <c r="H165" s="26">
        <f>'[6]price list MAN'!H165</f>
        <v>42947</v>
      </c>
      <c r="I165" s="51" t="str">
        <f t="shared" si="10"/>
        <v>201707Q3</v>
      </c>
      <c r="J165" s="177">
        <f>'[6]price list MAN'!J165</f>
        <v>1040000</v>
      </c>
      <c r="K165" s="177">
        <f>'[6]price list MAN'!P165</f>
        <v>808500</v>
      </c>
      <c r="L165" s="177">
        <f>'[6]price list MAN'!R165</f>
        <v>770000</v>
      </c>
      <c r="M165" s="174">
        <f>'[6]price list MAN'!S165</f>
        <v>1070000</v>
      </c>
      <c r="N165" s="174">
        <f>'[6]price list MAN'!Y165</f>
        <v>840000</v>
      </c>
      <c r="O165" s="174">
        <f>'[6]price list MAN'!AA165</f>
        <v>800000</v>
      </c>
      <c r="P165" s="68">
        <f t="shared" si="11"/>
        <v>0.25233644859813081</v>
      </c>
      <c r="Q165" s="62" t="e">
        <f>O165-#REF!</f>
        <v>#REF!</v>
      </c>
      <c r="R165" s="63" t="e">
        <f>SUM(Q161:Q164)/SUM(O161:O164)</f>
        <v>#REF!</v>
      </c>
      <c r="S165" s="64"/>
      <c r="T165" s="64"/>
      <c r="U165" s="64"/>
      <c r="V165" s="64"/>
      <c r="W165" s="210"/>
      <c r="X165" s="210"/>
      <c r="Y165" s="210"/>
      <c r="Z165" s="210"/>
      <c r="AA165" s="210"/>
      <c r="AB165" s="210"/>
      <c r="AC165" s="210"/>
      <c r="AD165" s="54"/>
      <c r="AE165" s="54"/>
      <c r="AF165" s="54"/>
      <c r="AG165" s="5"/>
      <c r="AH165" s="5"/>
      <c r="AI165" s="5"/>
      <c r="AJ165" s="5"/>
      <c r="AK165" s="5"/>
      <c r="AL165" s="5"/>
      <c r="AM165" s="5"/>
      <c r="AN165" s="5"/>
      <c r="AO165" s="5"/>
      <c r="AP165" s="5"/>
      <c r="AQ165" s="5"/>
      <c r="AR165" s="5"/>
      <c r="AS165" s="5"/>
      <c r="AT165" s="425" t="str">
        <f t="shared" si="12"/>
        <v>KP000590201707Q314,7</v>
      </c>
      <c r="AU165" s="64" t="str">
        <f t="shared" si="13"/>
        <v>07-2017</v>
      </c>
      <c r="AV165" s="64"/>
      <c r="AW165" s="64"/>
      <c r="AX165" s="64"/>
      <c r="AY165" s="64"/>
      <c r="AZ165" s="64"/>
      <c r="BA165" s="428" t="str">
        <f t="shared" si="14"/>
        <v>WIP - 30 Days</v>
      </c>
      <c r="BB165" s="169"/>
      <c r="BC165" s="169"/>
      <c r="BD165" s="169"/>
      <c r="BE165" s="41"/>
      <c r="BF165" s="41"/>
      <c r="BG165" s="41"/>
      <c r="BH165" s="41"/>
      <c r="BI165" s="41"/>
      <c r="BJ165" s="41"/>
      <c r="BK165" s="41"/>
      <c r="BL165" s="41"/>
      <c r="BM165" s="41"/>
      <c r="BN165" s="41"/>
      <c r="BO165" s="41"/>
      <c r="BP165" s="41"/>
      <c r="BQ165" s="41"/>
      <c r="BR165" s="41"/>
      <c r="BS165" s="41"/>
      <c r="BT165" s="41"/>
      <c r="BU165" s="41"/>
      <c r="BV165" s="41"/>
      <c r="BW165" s="41"/>
      <c r="BX165" s="41"/>
      <c r="BY165" s="41"/>
      <c r="BZ165" s="41"/>
      <c r="CA165" s="41"/>
      <c r="CB165" s="41"/>
      <c r="CC165" s="41"/>
      <c r="CD165" s="41"/>
      <c r="CE165" s="41"/>
      <c r="CF165" s="41"/>
      <c r="CG165" s="41"/>
      <c r="CH165" s="41"/>
      <c r="CI165" s="41"/>
      <c r="CJ165" s="41"/>
      <c r="CK165" s="41"/>
      <c r="CL165" s="41"/>
      <c r="CM165" s="41"/>
      <c r="CN165" s="41"/>
      <c r="CO165" s="41"/>
      <c r="CP165" s="41"/>
      <c r="CQ165" s="41"/>
      <c r="CR165" s="41"/>
      <c r="CS165" s="41"/>
      <c r="CT165" s="41"/>
      <c r="CU165" s="41"/>
      <c r="CV165" s="41"/>
      <c r="CW165" s="41"/>
      <c r="CX165" s="41"/>
      <c r="CY165" s="41"/>
      <c r="CZ165" s="41"/>
      <c r="DA165" s="41"/>
      <c r="DB165" s="41"/>
      <c r="DC165" s="41"/>
      <c r="DD165" s="41"/>
      <c r="DE165" s="41"/>
      <c r="DF165" s="41"/>
      <c r="DG165" s="41"/>
      <c r="DH165" s="41"/>
      <c r="DI165" s="41"/>
      <c r="DJ165" s="41"/>
      <c r="DK165" s="41"/>
      <c r="DL165" s="41"/>
      <c r="DM165" s="41"/>
      <c r="DN165" s="41"/>
      <c r="DO165" s="41"/>
      <c r="DP165" s="41"/>
      <c r="DQ165" s="41"/>
      <c r="DR165" s="41"/>
      <c r="DS165" s="41"/>
      <c r="DT165" s="41"/>
      <c r="DU165" s="41"/>
      <c r="DV165" s="41"/>
      <c r="DW165" s="41"/>
      <c r="DX165" s="41"/>
      <c r="DY165" s="41"/>
      <c r="DZ165" s="41"/>
      <c r="EA165" s="41"/>
      <c r="EB165" s="41"/>
      <c r="EC165" s="41"/>
      <c r="ED165" s="41"/>
      <c r="EE165" s="41"/>
      <c r="EF165" s="41"/>
      <c r="EG165" s="41"/>
      <c r="EH165" s="41"/>
      <c r="EI165" s="41"/>
      <c r="EJ165" s="41"/>
      <c r="EK165" s="41"/>
      <c r="EL165" s="41"/>
      <c r="EM165" s="41"/>
      <c r="EN165" s="41"/>
      <c r="EO165" s="41"/>
      <c r="EP165" s="41"/>
      <c r="EQ165" s="41"/>
      <c r="ER165" s="41"/>
      <c r="ES165" s="41"/>
      <c r="ET165" s="41"/>
      <c r="EU165" s="41"/>
      <c r="EV165" s="41"/>
      <c r="EW165" s="41"/>
      <c r="EX165" s="41"/>
      <c r="EY165" s="41"/>
      <c r="EZ165" s="41"/>
      <c r="FA165" s="41"/>
      <c r="FB165" s="41"/>
      <c r="FC165" s="41"/>
      <c r="FD165" s="41"/>
      <c r="FE165" s="41"/>
      <c r="FF165" s="41"/>
      <c r="FG165" s="41"/>
      <c r="FH165" s="41"/>
      <c r="FI165" s="41"/>
      <c r="FJ165" s="41"/>
      <c r="FK165" s="41"/>
      <c r="FL165" s="41"/>
      <c r="FM165" s="41"/>
      <c r="FN165" s="41"/>
      <c r="FO165" s="41"/>
      <c r="FP165" s="41"/>
      <c r="FQ165" s="41"/>
      <c r="FR165" s="41"/>
      <c r="FS165" s="41"/>
      <c r="FT165" s="41"/>
      <c r="FU165" s="41"/>
      <c r="FV165" s="41"/>
      <c r="FW165" s="41"/>
      <c r="FX165" s="41"/>
      <c r="FY165" s="41"/>
      <c r="FZ165" s="41"/>
      <c r="GA165" s="41"/>
      <c r="GB165" s="41"/>
      <c r="GC165" s="41"/>
      <c r="GD165" s="41"/>
      <c r="GE165" s="41"/>
      <c r="GF165" s="41"/>
      <c r="GG165" s="41"/>
      <c r="GH165" s="41"/>
      <c r="GI165" s="41"/>
      <c r="GJ165" s="41"/>
      <c r="GK165" s="41"/>
      <c r="GL165" s="41"/>
      <c r="GM165" s="41"/>
      <c r="GN165" s="41"/>
      <c r="GO165" s="41"/>
      <c r="GP165" s="41"/>
      <c r="GQ165" s="41"/>
      <c r="GR165" s="41"/>
      <c r="GS165" s="41"/>
      <c r="GT165" s="41"/>
      <c r="GU165" s="41"/>
      <c r="GV165" s="41"/>
      <c r="GW165" s="41"/>
      <c r="GX165" s="41"/>
      <c r="GY165" s="41"/>
      <c r="GZ165" s="41"/>
      <c r="HA165" s="41"/>
      <c r="HB165" s="41"/>
      <c r="HC165" s="41"/>
      <c r="HD165" s="41"/>
      <c r="HE165" s="41"/>
      <c r="HF165" s="41"/>
      <c r="HG165" s="41"/>
      <c r="HH165" s="41"/>
      <c r="HI165" s="41"/>
      <c r="HJ165" s="41"/>
      <c r="HK165" s="41"/>
      <c r="HL165" s="41"/>
      <c r="HM165" s="41"/>
      <c r="HN165" s="41"/>
      <c r="HO165" s="41"/>
      <c r="HP165" s="41"/>
      <c r="HQ165" s="41"/>
      <c r="HR165" s="41"/>
      <c r="HS165" s="41"/>
      <c r="HT165" s="41"/>
      <c r="HU165" s="41"/>
      <c r="HV165" s="41"/>
      <c r="HW165" s="41"/>
      <c r="HX165" s="41"/>
      <c r="HY165" s="41"/>
      <c r="HZ165" s="41"/>
      <c r="IA165" s="41"/>
      <c r="IB165" s="41"/>
      <c r="IC165" s="41"/>
      <c r="ID165" s="41"/>
      <c r="IE165" s="41"/>
      <c r="IF165" s="41"/>
      <c r="IG165" s="41"/>
      <c r="IH165" s="41"/>
      <c r="II165" s="41"/>
      <c r="IJ165" s="41"/>
      <c r="IK165" s="41"/>
    </row>
    <row r="166" spans="1:245">
      <c r="B166" s="36" t="str">
        <f>'[6]price list MAN'!B166</f>
        <v>MC6-3937</v>
      </c>
      <c r="C166" s="10" t="str">
        <f>'[6]price list MAN'!C166</f>
        <v>CLA-26-2806X4BB-C-L</v>
      </c>
      <c r="D166" s="16" t="str">
        <f>IFERROR(VLOOKUP(C166&amp;"",'[7]Retail Price List'!$A$3:$B$103,2,FALSE),"Special Order")</f>
        <v>KP000590</v>
      </c>
      <c r="E166" s="494" t="str">
        <f>'[6]price list MAN'!E166</f>
        <v>CKD</v>
      </c>
      <c r="F166" s="11" t="str">
        <f>'[6]price list MAN'!F166</f>
        <v>2018-06-30</v>
      </c>
      <c r="G166" s="32">
        <f>'[6]price list MAN'!G166</f>
        <v>14.7</v>
      </c>
      <c r="H166" s="26">
        <f>'[6]price list MAN'!H166</f>
        <v>42947</v>
      </c>
      <c r="I166" s="51" t="str">
        <f t="shared" si="10"/>
        <v>201707Q3</v>
      </c>
      <c r="J166" s="177">
        <f>'[6]price list MAN'!J166</f>
        <v>1040000</v>
      </c>
      <c r="K166" s="177">
        <f>'[6]price list MAN'!P166</f>
        <v>808500</v>
      </c>
      <c r="L166" s="177">
        <f>'[6]price list MAN'!R166</f>
        <v>770000</v>
      </c>
      <c r="M166" s="174">
        <f>'[6]price list MAN'!S166</f>
        <v>1070000</v>
      </c>
      <c r="N166" s="174">
        <f>'[6]price list MAN'!Y166</f>
        <v>840000</v>
      </c>
      <c r="O166" s="174">
        <f>'[6]price list MAN'!AA166</f>
        <v>800000</v>
      </c>
      <c r="P166" s="68">
        <f t="shared" si="11"/>
        <v>0.25233644859813081</v>
      </c>
      <c r="Q166" s="62" t="e">
        <f>O166-#REF!</f>
        <v>#REF!</v>
      </c>
      <c r="W166" s="210"/>
      <c r="X166" s="210"/>
      <c r="Y166" s="210"/>
      <c r="Z166" s="210"/>
      <c r="AA166" s="210"/>
      <c r="AB166" s="210"/>
      <c r="AC166" s="210"/>
      <c r="AT166" s="425" t="str">
        <f t="shared" si="12"/>
        <v>KP000590201707Q314,7</v>
      </c>
      <c r="AU166" s="64" t="str">
        <f t="shared" si="13"/>
        <v>07-2017</v>
      </c>
      <c r="BA166" s="428" t="str">
        <f t="shared" si="14"/>
        <v>WIP - 30 Days</v>
      </c>
    </row>
    <row r="167" spans="1:245" s="4" customFormat="1">
      <c r="A167" s="41"/>
      <c r="B167" s="36" t="str">
        <f>'[6]price list MAN'!B167</f>
        <v>MC6-3938</v>
      </c>
      <c r="C167" s="10" t="str">
        <f>'[6]price list MAN'!C167</f>
        <v>CLA-26-2806X4BB-C-L</v>
      </c>
      <c r="D167" s="16" t="str">
        <f>IFERROR(VLOOKUP(C167&amp;"",'[7]Retail Price List'!$A$3:$B$103,2,FALSE),"Special Order")</f>
        <v>KP000590</v>
      </c>
      <c r="E167" s="494" t="str">
        <f>'[6]price list MAN'!E167</f>
        <v>CKD</v>
      </c>
      <c r="F167" s="11" t="str">
        <f>'[6]price list MAN'!F167</f>
        <v>2018-07-30</v>
      </c>
      <c r="G167" s="32">
        <f>'[6]price list MAN'!G167</f>
        <v>14.7</v>
      </c>
      <c r="H167" s="26">
        <f>'[6]price list MAN'!H167</f>
        <v>42947</v>
      </c>
      <c r="I167" s="51" t="str">
        <f t="shared" si="10"/>
        <v>201707Q3</v>
      </c>
      <c r="J167" s="177">
        <f>'[6]price list MAN'!J167</f>
        <v>1040000</v>
      </c>
      <c r="K167" s="177">
        <f>'[6]price list MAN'!P167</f>
        <v>808500</v>
      </c>
      <c r="L167" s="177">
        <f>'[6]price list MAN'!R167</f>
        <v>770000</v>
      </c>
      <c r="M167" s="174">
        <f>'[6]price list MAN'!S167</f>
        <v>1070000</v>
      </c>
      <c r="N167" s="174">
        <f>'[6]price list MAN'!Y167</f>
        <v>840000</v>
      </c>
      <c r="O167" s="174">
        <f>'[6]price list MAN'!AA167</f>
        <v>800000</v>
      </c>
      <c r="P167" s="68">
        <f t="shared" si="11"/>
        <v>0.25233644859813081</v>
      </c>
      <c r="Q167" s="62" t="e">
        <f>O167-#REF!</f>
        <v>#REF!</v>
      </c>
      <c r="R167" s="63" t="e">
        <f>Q166/O166</f>
        <v>#REF!</v>
      </c>
      <c r="S167" s="64"/>
      <c r="T167" s="64"/>
      <c r="U167" s="64"/>
      <c r="V167" s="64"/>
      <c r="W167" s="210"/>
      <c r="X167" s="210"/>
      <c r="Y167" s="210"/>
      <c r="Z167" s="210"/>
      <c r="AA167" s="210"/>
      <c r="AB167" s="210"/>
      <c r="AC167" s="210"/>
      <c r="AD167" s="54"/>
      <c r="AE167" s="54"/>
      <c r="AF167" s="54"/>
      <c r="AG167" s="5"/>
      <c r="AH167" s="5"/>
      <c r="AI167" s="5"/>
      <c r="AJ167" s="5"/>
      <c r="AK167" s="5"/>
      <c r="AL167" s="5"/>
      <c r="AM167" s="5"/>
      <c r="AN167" s="5"/>
      <c r="AO167" s="5"/>
      <c r="AP167" s="5"/>
      <c r="AQ167" s="5"/>
      <c r="AR167" s="5"/>
      <c r="AS167" s="5"/>
      <c r="AT167" s="425" t="str">
        <f t="shared" si="12"/>
        <v>KP000590201707Q314,7</v>
      </c>
      <c r="AU167" s="64" t="str">
        <f t="shared" si="13"/>
        <v>07-2017</v>
      </c>
      <c r="AV167" s="64"/>
      <c r="AW167" s="64"/>
      <c r="AX167" s="64"/>
      <c r="AY167" s="64"/>
      <c r="AZ167" s="64"/>
      <c r="BA167" s="428" t="str">
        <f t="shared" si="14"/>
        <v>WIP - 30 Days</v>
      </c>
      <c r="BB167" s="169"/>
      <c r="BC167" s="169"/>
      <c r="BD167" s="169"/>
      <c r="BE167" s="41"/>
      <c r="BF167" s="41"/>
      <c r="BG167" s="41"/>
      <c r="BH167" s="41"/>
      <c r="BI167" s="41"/>
      <c r="BJ167" s="41"/>
      <c r="BK167" s="41"/>
      <c r="BL167" s="41"/>
      <c r="BM167" s="41"/>
      <c r="BN167" s="41"/>
      <c r="BO167" s="41"/>
      <c r="BP167" s="41"/>
      <c r="BQ167" s="41"/>
      <c r="BR167" s="41"/>
      <c r="BS167" s="41"/>
      <c r="BT167" s="41"/>
      <c r="BU167" s="41"/>
      <c r="BV167" s="41"/>
      <c r="BW167" s="41"/>
      <c r="BX167" s="41"/>
      <c r="BY167" s="41"/>
      <c r="BZ167" s="41"/>
      <c r="CA167" s="41"/>
      <c r="CB167" s="41"/>
      <c r="CC167" s="41"/>
      <c r="CD167" s="41"/>
      <c r="CE167" s="41"/>
      <c r="CF167" s="41"/>
      <c r="CG167" s="41"/>
      <c r="CH167" s="41"/>
      <c r="CI167" s="41"/>
      <c r="CJ167" s="41"/>
      <c r="CK167" s="41"/>
      <c r="CL167" s="41"/>
      <c r="CM167" s="41"/>
      <c r="CN167" s="41"/>
      <c r="CO167" s="41"/>
      <c r="CP167" s="41"/>
      <c r="CQ167" s="41"/>
      <c r="CR167" s="41"/>
      <c r="CS167" s="41"/>
      <c r="CT167" s="41"/>
      <c r="CU167" s="41"/>
      <c r="CV167" s="41"/>
      <c r="CW167" s="41"/>
      <c r="CX167" s="41"/>
      <c r="CY167" s="41"/>
      <c r="CZ167" s="41"/>
      <c r="DA167" s="41"/>
      <c r="DB167" s="41"/>
      <c r="DC167" s="41"/>
      <c r="DD167" s="41"/>
      <c r="DE167" s="41"/>
      <c r="DF167" s="41"/>
      <c r="DG167" s="41"/>
      <c r="DH167" s="41"/>
      <c r="DI167" s="41"/>
      <c r="DJ167" s="41"/>
      <c r="DK167" s="41"/>
      <c r="DL167" s="41"/>
      <c r="DM167" s="41"/>
      <c r="DN167" s="41"/>
      <c r="DO167" s="41"/>
      <c r="DP167" s="41"/>
      <c r="DQ167" s="41"/>
      <c r="DR167" s="41"/>
      <c r="DS167" s="41"/>
      <c r="DT167" s="41"/>
      <c r="DU167" s="41"/>
      <c r="DV167" s="41"/>
      <c r="DW167" s="41"/>
      <c r="DX167" s="41"/>
      <c r="DY167" s="41"/>
      <c r="DZ167" s="41"/>
      <c r="EA167" s="41"/>
      <c r="EB167" s="41"/>
      <c r="EC167" s="41"/>
      <c r="ED167" s="41"/>
      <c r="EE167" s="41"/>
      <c r="EF167" s="41"/>
      <c r="EG167" s="41"/>
      <c r="EH167" s="41"/>
      <c r="EI167" s="41"/>
      <c r="EJ167" s="41"/>
      <c r="EK167" s="41"/>
      <c r="EL167" s="41"/>
      <c r="EM167" s="41"/>
      <c r="EN167" s="41"/>
      <c r="EO167" s="41"/>
      <c r="EP167" s="41"/>
      <c r="EQ167" s="41"/>
      <c r="ER167" s="41"/>
      <c r="ES167" s="41"/>
      <c r="ET167" s="41"/>
      <c r="EU167" s="41"/>
      <c r="EV167" s="41"/>
      <c r="EW167" s="41"/>
      <c r="EX167" s="41"/>
      <c r="EY167" s="41"/>
      <c r="EZ167" s="41"/>
      <c r="FA167" s="41"/>
      <c r="FB167" s="41"/>
      <c r="FC167" s="41"/>
      <c r="FD167" s="41"/>
      <c r="FE167" s="41"/>
      <c r="FF167" s="41"/>
      <c r="FG167" s="41"/>
      <c r="FH167" s="41"/>
      <c r="FI167" s="41"/>
      <c r="FJ167" s="41"/>
      <c r="FK167" s="41"/>
      <c r="FL167" s="41"/>
      <c r="FM167" s="41"/>
      <c r="FN167" s="41"/>
      <c r="FO167" s="41"/>
      <c r="FP167" s="41"/>
      <c r="FQ167" s="41"/>
      <c r="FR167" s="41"/>
      <c r="FS167" s="41"/>
      <c r="FT167" s="41"/>
      <c r="FU167" s="41"/>
      <c r="FV167" s="41"/>
      <c r="FW167" s="41"/>
      <c r="FX167" s="41"/>
      <c r="FY167" s="41"/>
      <c r="FZ167" s="41"/>
      <c r="GA167" s="41"/>
      <c r="GB167" s="41"/>
      <c r="GC167" s="41"/>
      <c r="GD167" s="41"/>
      <c r="GE167" s="41"/>
      <c r="GF167" s="41"/>
      <c r="GG167" s="41"/>
      <c r="GH167" s="41"/>
      <c r="GI167" s="41"/>
      <c r="GJ167" s="41"/>
      <c r="GK167" s="41"/>
      <c r="GL167" s="41"/>
      <c r="GM167" s="41"/>
      <c r="GN167" s="41"/>
      <c r="GO167" s="41"/>
      <c r="GP167" s="41"/>
      <c r="GQ167" s="41"/>
      <c r="GR167" s="41"/>
      <c r="GS167" s="41"/>
      <c r="GT167" s="41"/>
      <c r="GU167" s="41"/>
      <c r="GV167" s="41"/>
      <c r="GW167" s="41"/>
      <c r="GX167" s="41"/>
      <c r="GY167" s="41"/>
      <c r="GZ167" s="41"/>
      <c r="HA167" s="41"/>
      <c r="HB167" s="41"/>
      <c r="HC167" s="41"/>
      <c r="HD167" s="41"/>
      <c r="HE167" s="41"/>
      <c r="HF167" s="41"/>
      <c r="HG167" s="41"/>
      <c r="HH167" s="41"/>
      <c r="HI167" s="41"/>
      <c r="HJ167" s="41"/>
      <c r="HK167" s="41"/>
      <c r="HL167" s="41"/>
      <c r="HM167" s="41"/>
      <c r="HN167" s="41"/>
      <c r="HO167" s="41"/>
      <c r="HP167" s="41"/>
      <c r="HQ167" s="41"/>
      <c r="HR167" s="41"/>
      <c r="HS167" s="41"/>
      <c r="HT167" s="41"/>
      <c r="HU167" s="41"/>
      <c r="HV167" s="41"/>
      <c r="HW167" s="41"/>
      <c r="HX167" s="41"/>
      <c r="HY167" s="41"/>
      <c r="HZ167" s="41"/>
      <c r="IA167" s="41"/>
      <c r="IB167" s="41"/>
      <c r="IC167" s="41"/>
      <c r="ID167" s="41"/>
      <c r="IE167" s="41"/>
      <c r="IF167" s="41"/>
      <c r="IG167" s="41"/>
      <c r="IH167" s="41"/>
      <c r="II167" s="41"/>
      <c r="IJ167" s="41"/>
      <c r="IK167" s="41"/>
    </row>
    <row r="168" spans="1:245">
      <c r="B168" s="36" t="str">
        <f>'[6]price list MAN'!B168</f>
        <v>MC6-3939</v>
      </c>
      <c r="C168" s="10" t="str">
        <f>'[6]price list MAN'!C168</f>
        <v>CLA-26-2806X4BB-C-L</v>
      </c>
      <c r="D168" s="16" t="str">
        <f>IFERROR(VLOOKUP(C168&amp;"",'[7]Retail Price List'!$A$3:$B$103,2,FALSE),"Special Order")</f>
        <v>KP000590</v>
      </c>
      <c r="E168" s="494" t="str">
        <f>'[6]price list MAN'!E168</f>
        <v>CKD</v>
      </c>
      <c r="F168" s="11" t="str">
        <f>'[6]price list MAN'!F168</f>
        <v>2018-07-30</v>
      </c>
      <c r="G168" s="32">
        <f>'[6]price list MAN'!G168</f>
        <v>14.7</v>
      </c>
      <c r="H168" s="26">
        <f>'[6]price list MAN'!H168</f>
        <v>42947</v>
      </c>
      <c r="I168" s="51" t="str">
        <f t="shared" si="10"/>
        <v>201707Q3</v>
      </c>
      <c r="J168" s="177">
        <f>'[6]price list MAN'!J168</f>
        <v>1040000</v>
      </c>
      <c r="K168" s="177">
        <f>'[6]price list MAN'!P168</f>
        <v>808500</v>
      </c>
      <c r="L168" s="177">
        <f>'[6]price list MAN'!R168</f>
        <v>770000</v>
      </c>
      <c r="M168" s="174">
        <f>'[6]price list MAN'!S168</f>
        <v>1070000</v>
      </c>
      <c r="N168" s="174">
        <f>'[6]price list MAN'!Y168</f>
        <v>840000</v>
      </c>
      <c r="O168" s="174">
        <f>'[6]price list MAN'!AA168</f>
        <v>800000</v>
      </c>
      <c r="P168" s="68">
        <f t="shared" si="11"/>
        <v>0.25233644859813081</v>
      </c>
      <c r="Q168" s="62" t="e">
        <f>O168-#REF!</f>
        <v>#REF!</v>
      </c>
      <c r="W168" s="210"/>
      <c r="X168" s="210"/>
      <c r="Y168" s="210"/>
      <c r="Z168" s="210"/>
      <c r="AA168" s="210"/>
      <c r="AB168" s="210"/>
      <c r="AC168" s="210"/>
      <c r="AT168" s="425" t="str">
        <f t="shared" si="12"/>
        <v>KP000590201707Q314,7</v>
      </c>
      <c r="AU168" s="64" t="str">
        <f t="shared" si="13"/>
        <v>07-2017</v>
      </c>
      <c r="BA168" s="428" t="str">
        <f t="shared" si="14"/>
        <v>WIP - 30 Days</v>
      </c>
    </row>
    <row r="169" spans="1:245">
      <c r="B169" s="36" t="str">
        <f>'[6]price list MAN'!B169</f>
        <v>MC6-3940</v>
      </c>
      <c r="C169" s="10" t="str">
        <f>'[6]price list MAN'!C169</f>
        <v>CLA-26-2806X4BB-C-L</v>
      </c>
      <c r="D169" s="16" t="str">
        <f>IFERROR(VLOOKUP(C169&amp;"",'[7]Retail Price List'!$A$3:$B$103,2,FALSE),"Special Order")</f>
        <v>KP000590</v>
      </c>
      <c r="E169" s="494" t="str">
        <f>'[6]price list MAN'!E169</f>
        <v>CKD</v>
      </c>
      <c r="F169" s="11" t="str">
        <f>'[6]price list MAN'!F169</f>
        <v>2018-07-30</v>
      </c>
      <c r="G169" s="32">
        <f>'[6]price list MAN'!G169</f>
        <v>14.7</v>
      </c>
      <c r="H169" s="26">
        <f>'[6]price list MAN'!H169</f>
        <v>42947</v>
      </c>
      <c r="I169" s="51" t="str">
        <f t="shared" si="10"/>
        <v>201707Q3</v>
      </c>
      <c r="J169" s="177">
        <f>'[6]price list MAN'!J169</f>
        <v>1040000</v>
      </c>
      <c r="K169" s="177">
        <f>'[6]price list MAN'!P169</f>
        <v>808500</v>
      </c>
      <c r="L169" s="177">
        <f>'[6]price list MAN'!R169</f>
        <v>770000</v>
      </c>
      <c r="M169" s="174">
        <f>'[6]price list MAN'!S169</f>
        <v>1070000</v>
      </c>
      <c r="N169" s="174">
        <f>'[6]price list MAN'!Y169</f>
        <v>840000</v>
      </c>
      <c r="O169" s="174">
        <f>'[6]price list MAN'!AA169</f>
        <v>800000</v>
      </c>
      <c r="P169" s="68">
        <f t="shared" si="11"/>
        <v>0.25233644859813081</v>
      </c>
      <c r="Q169" s="62" t="e">
        <f>O169-#REF!</f>
        <v>#REF!</v>
      </c>
      <c r="W169" s="210"/>
      <c r="X169" s="210"/>
      <c r="Y169" s="210"/>
      <c r="Z169" s="210"/>
      <c r="AA169" s="210"/>
      <c r="AB169" s="210"/>
      <c r="AC169" s="210"/>
      <c r="AT169" s="425" t="str">
        <f t="shared" si="12"/>
        <v>KP000590201707Q314,7</v>
      </c>
      <c r="AU169" s="64" t="str">
        <f t="shared" si="13"/>
        <v>07-2017</v>
      </c>
      <c r="BA169" s="428" t="str">
        <f t="shared" si="14"/>
        <v>WIP - 30 Days</v>
      </c>
    </row>
    <row r="170" spans="1:245" s="4" customFormat="1">
      <c r="A170" s="41"/>
      <c r="B170" s="36" t="str">
        <f>'[6]price list MAN'!B170</f>
        <v>MC6-3941</v>
      </c>
      <c r="C170" s="10" t="str">
        <f>'[6]price list MAN'!C170</f>
        <v>CLA-26-2806X4BB-C-L</v>
      </c>
      <c r="D170" s="16" t="str">
        <f>IFERROR(VLOOKUP(C170&amp;"",'[7]Retail Price List'!$A$3:$B$103,2,FALSE),"Special Order")</f>
        <v>KP000590</v>
      </c>
      <c r="E170" s="494" t="str">
        <f>'[6]price list MAN'!E170</f>
        <v>CKD</v>
      </c>
      <c r="F170" s="11" t="str">
        <f>'[6]price list MAN'!F170</f>
        <v>2018-07-30</v>
      </c>
      <c r="G170" s="32">
        <f>'[6]price list MAN'!G170</f>
        <v>14.7</v>
      </c>
      <c r="H170" s="26">
        <f>'[6]price list MAN'!H170</f>
        <v>42947</v>
      </c>
      <c r="I170" s="51" t="str">
        <f t="shared" si="10"/>
        <v>201707Q3</v>
      </c>
      <c r="J170" s="177">
        <f>'[6]price list MAN'!J170</f>
        <v>1040000</v>
      </c>
      <c r="K170" s="177">
        <f>'[6]price list MAN'!P170</f>
        <v>808500</v>
      </c>
      <c r="L170" s="177">
        <f>'[6]price list MAN'!R170</f>
        <v>770000</v>
      </c>
      <c r="M170" s="174">
        <f>'[6]price list MAN'!S170</f>
        <v>1070000</v>
      </c>
      <c r="N170" s="174">
        <f>'[6]price list MAN'!Y170</f>
        <v>840000</v>
      </c>
      <c r="O170" s="174">
        <f>'[6]price list MAN'!AA170</f>
        <v>800000</v>
      </c>
      <c r="P170" s="68">
        <f t="shared" si="11"/>
        <v>0.25233644859813081</v>
      </c>
      <c r="Q170" s="62" t="e">
        <f>O170-#REF!</f>
        <v>#REF!</v>
      </c>
      <c r="R170" s="63" t="e">
        <f>SUM(Q168:Q169)/SUM(O168:O169)</f>
        <v>#REF!</v>
      </c>
      <c r="S170" s="64"/>
      <c r="T170" s="64"/>
      <c r="U170" s="64"/>
      <c r="V170" s="64"/>
      <c r="W170" s="210"/>
      <c r="X170" s="210"/>
      <c r="Y170" s="210"/>
      <c r="Z170" s="210"/>
      <c r="AA170" s="210"/>
      <c r="AB170" s="210"/>
      <c r="AC170" s="210"/>
      <c r="AD170" s="54"/>
      <c r="AE170" s="54"/>
      <c r="AF170" s="54"/>
      <c r="AG170" s="5"/>
      <c r="AH170" s="5"/>
      <c r="AI170" s="5"/>
      <c r="AJ170" s="5"/>
      <c r="AK170" s="5"/>
      <c r="AL170" s="5"/>
      <c r="AM170" s="5"/>
      <c r="AN170" s="5"/>
      <c r="AO170" s="5"/>
      <c r="AP170" s="5"/>
      <c r="AQ170" s="5"/>
      <c r="AR170" s="5"/>
      <c r="AS170" s="5"/>
      <c r="AT170" s="425" t="str">
        <f t="shared" si="12"/>
        <v>KP000590201707Q314,7</v>
      </c>
      <c r="AU170" s="64" t="str">
        <f t="shared" si="13"/>
        <v>07-2017</v>
      </c>
      <c r="AV170" s="64"/>
      <c r="AW170" s="64"/>
      <c r="AX170" s="64"/>
      <c r="AY170" s="64"/>
      <c r="AZ170" s="64"/>
      <c r="BA170" s="428" t="str">
        <f t="shared" si="14"/>
        <v>WIP - 30 Days</v>
      </c>
      <c r="BB170" s="169"/>
      <c r="BC170" s="169"/>
      <c r="BD170" s="169"/>
      <c r="BE170" s="41"/>
      <c r="BF170" s="41"/>
      <c r="BG170" s="41"/>
      <c r="BH170" s="41"/>
      <c r="BI170" s="41"/>
      <c r="BJ170" s="41"/>
      <c r="BK170" s="41"/>
      <c r="BL170" s="41"/>
      <c r="BM170" s="41"/>
      <c r="BN170" s="41"/>
      <c r="BO170" s="41"/>
      <c r="BP170" s="41"/>
      <c r="BQ170" s="41"/>
      <c r="BR170" s="41"/>
      <c r="BS170" s="41"/>
      <c r="BT170" s="41"/>
      <c r="BU170" s="41"/>
      <c r="BV170" s="41"/>
      <c r="BW170" s="41"/>
      <c r="BX170" s="41"/>
      <c r="BY170" s="41"/>
      <c r="BZ170" s="41"/>
      <c r="CA170" s="41"/>
      <c r="CB170" s="41"/>
      <c r="CC170" s="41"/>
      <c r="CD170" s="41"/>
      <c r="CE170" s="41"/>
      <c r="CF170" s="41"/>
      <c r="CG170" s="41"/>
      <c r="CH170" s="41"/>
      <c r="CI170" s="41"/>
      <c r="CJ170" s="41"/>
      <c r="CK170" s="41"/>
      <c r="CL170" s="41"/>
      <c r="CM170" s="41"/>
      <c r="CN170" s="41"/>
      <c r="CO170" s="41"/>
      <c r="CP170" s="41"/>
      <c r="CQ170" s="41"/>
      <c r="CR170" s="41"/>
      <c r="CS170" s="41"/>
      <c r="CT170" s="41"/>
      <c r="CU170" s="41"/>
      <c r="CV170" s="41"/>
      <c r="CW170" s="41"/>
      <c r="CX170" s="41"/>
      <c r="CY170" s="41"/>
      <c r="CZ170" s="41"/>
      <c r="DA170" s="41"/>
      <c r="DB170" s="41"/>
      <c r="DC170" s="41"/>
      <c r="DD170" s="41"/>
      <c r="DE170" s="41"/>
      <c r="DF170" s="41"/>
      <c r="DG170" s="41"/>
      <c r="DH170" s="41"/>
      <c r="DI170" s="41"/>
      <c r="DJ170" s="41"/>
      <c r="DK170" s="41"/>
      <c r="DL170" s="41"/>
      <c r="DM170" s="41"/>
      <c r="DN170" s="41"/>
      <c r="DO170" s="41"/>
      <c r="DP170" s="41"/>
      <c r="DQ170" s="41"/>
      <c r="DR170" s="41"/>
      <c r="DS170" s="41"/>
      <c r="DT170" s="41"/>
      <c r="DU170" s="41"/>
      <c r="DV170" s="41"/>
      <c r="DW170" s="41"/>
      <c r="DX170" s="41"/>
      <c r="DY170" s="41"/>
      <c r="DZ170" s="41"/>
      <c r="EA170" s="41"/>
      <c r="EB170" s="41"/>
      <c r="EC170" s="41"/>
      <c r="ED170" s="41"/>
      <c r="EE170" s="41"/>
      <c r="EF170" s="41"/>
      <c r="EG170" s="41"/>
      <c r="EH170" s="41"/>
      <c r="EI170" s="41"/>
      <c r="EJ170" s="41"/>
      <c r="EK170" s="41"/>
      <c r="EL170" s="41"/>
      <c r="EM170" s="41"/>
      <c r="EN170" s="41"/>
      <c r="EO170" s="41"/>
      <c r="EP170" s="41"/>
      <c r="EQ170" s="41"/>
      <c r="ER170" s="41"/>
      <c r="ES170" s="41"/>
      <c r="ET170" s="41"/>
      <c r="EU170" s="41"/>
      <c r="EV170" s="41"/>
      <c r="EW170" s="41"/>
      <c r="EX170" s="41"/>
      <c r="EY170" s="41"/>
      <c r="EZ170" s="41"/>
      <c r="FA170" s="41"/>
      <c r="FB170" s="41"/>
      <c r="FC170" s="41"/>
      <c r="FD170" s="41"/>
      <c r="FE170" s="41"/>
      <c r="FF170" s="41"/>
      <c r="FG170" s="41"/>
      <c r="FH170" s="41"/>
      <c r="FI170" s="41"/>
      <c r="FJ170" s="41"/>
      <c r="FK170" s="41"/>
      <c r="FL170" s="41"/>
      <c r="FM170" s="41"/>
      <c r="FN170" s="41"/>
      <c r="FO170" s="41"/>
      <c r="FP170" s="41"/>
      <c r="FQ170" s="41"/>
      <c r="FR170" s="41"/>
      <c r="FS170" s="41"/>
      <c r="FT170" s="41"/>
      <c r="FU170" s="41"/>
      <c r="FV170" s="41"/>
      <c r="FW170" s="41"/>
      <c r="FX170" s="41"/>
      <c r="FY170" s="41"/>
      <c r="FZ170" s="41"/>
      <c r="GA170" s="41"/>
      <c r="GB170" s="41"/>
      <c r="GC170" s="41"/>
      <c r="GD170" s="41"/>
      <c r="GE170" s="41"/>
      <c r="GF170" s="41"/>
      <c r="GG170" s="41"/>
      <c r="GH170" s="41"/>
      <c r="GI170" s="41"/>
      <c r="GJ170" s="41"/>
      <c r="GK170" s="41"/>
      <c r="GL170" s="41"/>
      <c r="GM170" s="41"/>
      <c r="GN170" s="41"/>
      <c r="GO170" s="41"/>
      <c r="GP170" s="41"/>
      <c r="GQ170" s="41"/>
      <c r="GR170" s="41"/>
      <c r="GS170" s="41"/>
      <c r="GT170" s="41"/>
      <c r="GU170" s="41"/>
      <c r="GV170" s="41"/>
      <c r="GW170" s="41"/>
      <c r="GX170" s="41"/>
      <c r="GY170" s="41"/>
      <c r="GZ170" s="41"/>
      <c r="HA170" s="41"/>
      <c r="HB170" s="41"/>
      <c r="HC170" s="41"/>
      <c r="HD170" s="41"/>
      <c r="HE170" s="41"/>
      <c r="HF170" s="41"/>
      <c r="HG170" s="41"/>
      <c r="HH170" s="41"/>
      <c r="HI170" s="41"/>
      <c r="HJ170" s="41"/>
      <c r="HK170" s="41"/>
      <c r="HL170" s="41"/>
      <c r="HM170" s="41"/>
      <c r="HN170" s="41"/>
      <c r="HO170" s="41"/>
      <c r="HP170" s="41"/>
      <c r="HQ170" s="41"/>
      <c r="HR170" s="41"/>
      <c r="HS170" s="41"/>
      <c r="HT170" s="41"/>
      <c r="HU170" s="41"/>
      <c r="HV170" s="41"/>
      <c r="HW170" s="41"/>
      <c r="HX170" s="41"/>
      <c r="HY170" s="41"/>
      <c r="HZ170" s="41"/>
      <c r="IA170" s="41"/>
      <c r="IB170" s="41"/>
      <c r="IC170" s="41"/>
      <c r="ID170" s="41"/>
      <c r="IE170" s="41"/>
      <c r="IF170" s="41"/>
      <c r="IG170" s="41"/>
      <c r="IH170" s="41"/>
      <c r="II170" s="41"/>
      <c r="IJ170" s="41"/>
      <c r="IK170" s="41"/>
    </row>
    <row r="171" spans="1:245">
      <c r="B171" s="36" t="str">
        <f>'[6]price list MAN'!B171</f>
        <v>MC6-3942</v>
      </c>
      <c r="C171" s="10" t="str">
        <f>'[6]price list MAN'!C171</f>
        <v>CLA-26-2806X4BB-C-L</v>
      </c>
      <c r="D171" s="16" t="str">
        <f>IFERROR(VLOOKUP(C171&amp;"",'[7]Retail Price List'!$A$3:$B$103,2,FALSE),"Special Order")</f>
        <v>KP000590</v>
      </c>
      <c r="E171" s="494" t="str">
        <f>'[6]price list MAN'!E171</f>
        <v>CKD</v>
      </c>
      <c r="F171" s="11" t="str">
        <f>'[6]price list MAN'!F171</f>
        <v>2018-07-30</v>
      </c>
      <c r="G171" s="32">
        <f>'[6]price list MAN'!G171</f>
        <v>14.7</v>
      </c>
      <c r="H171" s="26">
        <f>'[6]price list MAN'!H171</f>
        <v>42947</v>
      </c>
      <c r="I171" s="51" t="str">
        <f t="shared" si="10"/>
        <v>201707Q3</v>
      </c>
      <c r="J171" s="177">
        <f>'[6]price list MAN'!J171</f>
        <v>1040000</v>
      </c>
      <c r="K171" s="177">
        <f>'[6]price list MAN'!P171</f>
        <v>808500</v>
      </c>
      <c r="L171" s="177">
        <f>'[6]price list MAN'!R171</f>
        <v>770000</v>
      </c>
      <c r="M171" s="174">
        <f>'[6]price list MAN'!S171</f>
        <v>1070000</v>
      </c>
      <c r="N171" s="174">
        <f>'[6]price list MAN'!Y171</f>
        <v>840000</v>
      </c>
      <c r="O171" s="174">
        <f>'[6]price list MAN'!AA171</f>
        <v>800000</v>
      </c>
      <c r="P171" s="68">
        <f t="shared" si="11"/>
        <v>0.25233644859813081</v>
      </c>
      <c r="Q171" s="62" t="e">
        <f>O171-#REF!</f>
        <v>#REF!</v>
      </c>
      <c r="W171" s="210"/>
      <c r="X171" s="210"/>
      <c r="Y171" s="210"/>
      <c r="Z171" s="210"/>
      <c r="AA171" s="210"/>
      <c r="AB171" s="210"/>
      <c r="AC171" s="210"/>
      <c r="AT171" s="425" t="str">
        <f t="shared" si="12"/>
        <v>KP000590201707Q314,7</v>
      </c>
      <c r="AU171" s="64" t="str">
        <f t="shared" si="13"/>
        <v>07-2017</v>
      </c>
      <c r="BA171" s="428" t="str">
        <f t="shared" si="14"/>
        <v>WIP - 30 Days</v>
      </c>
    </row>
    <row r="172" spans="1:245">
      <c r="B172" s="36" t="str">
        <f>'[6]price list MAN'!B172</f>
        <v>MC6-3955</v>
      </c>
      <c r="C172" s="10" t="str">
        <f>'[6]price list MAN'!C172</f>
        <v>CLA-26-2806X4BB-C-L</v>
      </c>
      <c r="D172" s="16" t="str">
        <f>IFERROR(VLOOKUP(C172&amp;"",'[7]Retail Price List'!$A$3:$B$103,2,FALSE),"Special Order")</f>
        <v>KP000590</v>
      </c>
      <c r="E172" s="494" t="str">
        <f>'[6]price list MAN'!E172</f>
        <v>CKD</v>
      </c>
      <c r="F172" s="11" t="str">
        <f>'[6]price list MAN'!F172</f>
        <v>2018-02-16</v>
      </c>
      <c r="G172" s="32">
        <f>'[6]price list MAN'!G172</f>
        <v>15.3</v>
      </c>
      <c r="H172" s="26">
        <f>'[6]price list MAN'!H172</f>
        <v>42955</v>
      </c>
      <c r="I172" s="51" t="str">
        <f t="shared" si="10"/>
        <v>2017Q3</v>
      </c>
      <c r="J172" s="177">
        <f>'[6]price list MAN'!J172</f>
        <v>1040000</v>
      </c>
      <c r="K172" s="177">
        <f>'[6]price list MAN'!P172</f>
        <v>808500</v>
      </c>
      <c r="L172" s="177">
        <f>'[6]price list MAN'!R172</f>
        <v>770000</v>
      </c>
      <c r="M172" s="174">
        <f>'[6]price list MAN'!S172</f>
        <v>1070000</v>
      </c>
      <c r="N172" s="174">
        <f>'[6]price list MAN'!Y172</f>
        <v>840000</v>
      </c>
      <c r="O172" s="174">
        <f>'[6]price list MAN'!AA172</f>
        <v>800000</v>
      </c>
      <c r="P172" s="68">
        <f t="shared" si="11"/>
        <v>0.25233644859813081</v>
      </c>
      <c r="Q172" s="62" t="e">
        <f>O172-#REF!</f>
        <v>#REF!</v>
      </c>
      <c r="W172" s="210"/>
      <c r="X172" s="210"/>
      <c r="Y172" s="210"/>
      <c r="Z172" s="210"/>
      <c r="AA172" s="210"/>
      <c r="AB172" s="210"/>
      <c r="AC172" s="210"/>
      <c r="AT172" s="425" t="str">
        <f t="shared" si="12"/>
        <v>KP0005902017Q315,3</v>
      </c>
      <c r="AU172" s="64" t="str">
        <f t="shared" si="13"/>
        <v>08-2017</v>
      </c>
      <c r="BA172" s="428" t="str">
        <f t="shared" si="14"/>
        <v>WIP - 30 Days</v>
      </c>
    </row>
    <row r="173" spans="1:245" s="4" customFormat="1">
      <c r="A173" s="41"/>
      <c r="B173" s="36" t="str">
        <f>'[6]price list MAN'!B173</f>
        <v>MC6-3956</v>
      </c>
      <c r="C173" s="10" t="str">
        <f>'[6]price list MAN'!C173</f>
        <v>CLA-26-2806X4BB-C-L</v>
      </c>
      <c r="D173" s="16" t="str">
        <f>IFERROR(VLOOKUP(C173&amp;"",'[7]Retail Price List'!$A$3:$B$103,2,FALSE),"Special Order")</f>
        <v>KP000590</v>
      </c>
      <c r="E173" s="494" t="str">
        <f>'[6]price list MAN'!E173</f>
        <v>CKD</v>
      </c>
      <c r="F173" s="11" t="str">
        <f>'[6]price list MAN'!F173</f>
        <v>2018-02-16</v>
      </c>
      <c r="G173" s="32">
        <f>'[6]price list MAN'!G173</f>
        <v>15.3</v>
      </c>
      <c r="H173" s="26">
        <f>'[6]price list MAN'!H173</f>
        <v>42955</v>
      </c>
      <c r="I173" s="51" t="str">
        <f t="shared" si="10"/>
        <v>2017Q3</v>
      </c>
      <c r="J173" s="177">
        <f>'[6]price list MAN'!J173</f>
        <v>1040000</v>
      </c>
      <c r="K173" s="177">
        <f>'[6]price list MAN'!P173</f>
        <v>808500</v>
      </c>
      <c r="L173" s="177">
        <f>'[6]price list MAN'!R173</f>
        <v>770000</v>
      </c>
      <c r="M173" s="174">
        <f>'[6]price list MAN'!S173</f>
        <v>1070000</v>
      </c>
      <c r="N173" s="174">
        <f>'[6]price list MAN'!Y173</f>
        <v>840000</v>
      </c>
      <c r="O173" s="174">
        <f>'[6]price list MAN'!AA173</f>
        <v>800000</v>
      </c>
      <c r="P173" s="68">
        <f t="shared" si="11"/>
        <v>0.25233644859813081</v>
      </c>
      <c r="Q173" s="62" t="e">
        <f>O173-#REF!</f>
        <v>#REF!</v>
      </c>
      <c r="R173" s="63" t="e">
        <f>SUM(Q171:Q172)/SUM(O171:O172)</f>
        <v>#REF!</v>
      </c>
      <c r="S173" s="64"/>
      <c r="T173" s="64"/>
      <c r="U173" s="64"/>
      <c r="V173" s="64"/>
      <c r="W173" s="210"/>
      <c r="X173" s="210"/>
      <c r="Y173" s="210"/>
      <c r="Z173" s="210"/>
      <c r="AA173" s="210"/>
      <c r="AB173" s="210"/>
      <c r="AC173" s="210"/>
      <c r="AD173" s="54"/>
      <c r="AE173" s="54"/>
      <c r="AF173" s="54"/>
      <c r="AG173" s="5"/>
      <c r="AH173" s="5"/>
      <c r="AI173" s="5"/>
      <c r="AJ173" s="5"/>
      <c r="AK173" s="5"/>
      <c r="AL173" s="5"/>
      <c r="AM173" s="5"/>
      <c r="AN173" s="5"/>
      <c r="AO173" s="5"/>
      <c r="AP173" s="5"/>
      <c r="AQ173" s="5"/>
      <c r="AR173" s="5"/>
      <c r="AS173" s="5"/>
      <c r="AT173" s="425" t="str">
        <f t="shared" si="12"/>
        <v>KP0005902017Q315,3</v>
      </c>
      <c r="AU173" s="64" t="str">
        <f t="shared" si="13"/>
        <v>08-2017</v>
      </c>
      <c r="AV173" s="64"/>
      <c r="AW173" s="64"/>
      <c r="AX173" s="64"/>
      <c r="AY173" s="64"/>
      <c r="AZ173" s="64"/>
      <c r="BA173" s="428" t="str">
        <f t="shared" si="14"/>
        <v>WIP - 30 Days</v>
      </c>
      <c r="BB173" s="169"/>
      <c r="BC173" s="169"/>
      <c r="BD173" s="169"/>
      <c r="BE173" s="41"/>
      <c r="BF173" s="41"/>
      <c r="BG173" s="41"/>
      <c r="BH173" s="41"/>
      <c r="BI173" s="41"/>
      <c r="BJ173" s="41"/>
      <c r="BK173" s="41"/>
      <c r="BL173" s="41"/>
      <c r="BM173" s="41"/>
      <c r="BN173" s="41"/>
      <c r="BO173" s="41"/>
      <c r="BP173" s="41"/>
      <c r="BQ173" s="41"/>
      <c r="BR173" s="41"/>
      <c r="BS173" s="41"/>
      <c r="BT173" s="41"/>
      <c r="BU173" s="41"/>
      <c r="BV173" s="41"/>
      <c r="BW173" s="41"/>
      <c r="BX173" s="41"/>
      <c r="BY173" s="41"/>
      <c r="BZ173" s="41"/>
      <c r="CA173" s="41"/>
      <c r="CB173" s="41"/>
      <c r="CC173" s="41"/>
      <c r="CD173" s="41"/>
      <c r="CE173" s="41"/>
      <c r="CF173" s="41"/>
      <c r="CG173" s="41"/>
      <c r="CH173" s="41"/>
      <c r="CI173" s="41"/>
      <c r="CJ173" s="41"/>
      <c r="CK173" s="41"/>
      <c r="CL173" s="41"/>
      <c r="CM173" s="41"/>
      <c r="CN173" s="41"/>
      <c r="CO173" s="41"/>
      <c r="CP173" s="41"/>
      <c r="CQ173" s="41"/>
      <c r="CR173" s="41"/>
      <c r="CS173" s="41"/>
      <c r="CT173" s="41"/>
      <c r="CU173" s="41"/>
      <c r="CV173" s="41"/>
      <c r="CW173" s="41"/>
      <c r="CX173" s="41"/>
      <c r="CY173" s="41"/>
      <c r="CZ173" s="41"/>
      <c r="DA173" s="41"/>
      <c r="DB173" s="41"/>
      <c r="DC173" s="41"/>
      <c r="DD173" s="41"/>
      <c r="DE173" s="41"/>
      <c r="DF173" s="41"/>
      <c r="DG173" s="41"/>
      <c r="DH173" s="41"/>
      <c r="DI173" s="41"/>
      <c r="DJ173" s="41"/>
      <c r="DK173" s="41"/>
      <c r="DL173" s="41"/>
      <c r="DM173" s="41"/>
      <c r="DN173" s="41"/>
      <c r="DO173" s="41"/>
      <c r="DP173" s="41"/>
      <c r="DQ173" s="41"/>
      <c r="DR173" s="41"/>
      <c r="DS173" s="41"/>
      <c r="DT173" s="41"/>
      <c r="DU173" s="41"/>
      <c r="DV173" s="41"/>
      <c r="DW173" s="41"/>
      <c r="DX173" s="41"/>
      <c r="DY173" s="41"/>
      <c r="DZ173" s="41"/>
      <c r="EA173" s="41"/>
      <c r="EB173" s="41"/>
      <c r="EC173" s="41"/>
      <c r="ED173" s="41"/>
      <c r="EE173" s="41"/>
      <c r="EF173" s="41"/>
      <c r="EG173" s="41"/>
      <c r="EH173" s="41"/>
      <c r="EI173" s="41"/>
      <c r="EJ173" s="41"/>
      <c r="EK173" s="41"/>
      <c r="EL173" s="41"/>
      <c r="EM173" s="41"/>
      <c r="EN173" s="41"/>
      <c r="EO173" s="41"/>
      <c r="EP173" s="41"/>
      <c r="EQ173" s="41"/>
      <c r="ER173" s="41"/>
      <c r="ES173" s="41"/>
      <c r="ET173" s="41"/>
      <c r="EU173" s="41"/>
      <c r="EV173" s="41"/>
      <c r="EW173" s="41"/>
      <c r="EX173" s="41"/>
      <c r="EY173" s="41"/>
      <c r="EZ173" s="41"/>
      <c r="FA173" s="41"/>
      <c r="FB173" s="41"/>
      <c r="FC173" s="41"/>
      <c r="FD173" s="41"/>
      <c r="FE173" s="41"/>
      <c r="FF173" s="41"/>
      <c r="FG173" s="41"/>
      <c r="FH173" s="41"/>
      <c r="FI173" s="41"/>
      <c r="FJ173" s="41"/>
      <c r="FK173" s="41"/>
      <c r="FL173" s="41"/>
      <c r="FM173" s="41"/>
      <c r="FN173" s="41"/>
      <c r="FO173" s="41"/>
      <c r="FP173" s="41"/>
      <c r="FQ173" s="41"/>
      <c r="FR173" s="41"/>
      <c r="FS173" s="41"/>
      <c r="FT173" s="41"/>
      <c r="FU173" s="41"/>
      <c r="FV173" s="41"/>
      <c r="FW173" s="41"/>
      <c r="FX173" s="41"/>
      <c r="FY173" s="41"/>
      <c r="FZ173" s="41"/>
      <c r="GA173" s="41"/>
      <c r="GB173" s="41"/>
      <c r="GC173" s="41"/>
      <c r="GD173" s="41"/>
      <c r="GE173" s="41"/>
      <c r="GF173" s="41"/>
      <c r="GG173" s="41"/>
      <c r="GH173" s="41"/>
      <c r="GI173" s="41"/>
      <c r="GJ173" s="41"/>
      <c r="GK173" s="41"/>
      <c r="GL173" s="41"/>
      <c r="GM173" s="41"/>
      <c r="GN173" s="41"/>
      <c r="GO173" s="41"/>
      <c r="GP173" s="41"/>
      <c r="GQ173" s="41"/>
      <c r="GR173" s="41"/>
      <c r="GS173" s="41"/>
      <c r="GT173" s="41"/>
      <c r="GU173" s="41"/>
      <c r="GV173" s="41"/>
      <c r="GW173" s="41"/>
      <c r="GX173" s="41"/>
      <c r="GY173" s="41"/>
      <c r="GZ173" s="41"/>
      <c r="HA173" s="41"/>
      <c r="HB173" s="41"/>
      <c r="HC173" s="41"/>
      <c r="HD173" s="41"/>
      <c r="HE173" s="41"/>
      <c r="HF173" s="41"/>
      <c r="HG173" s="41"/>
      <c r="HH173" s="41"/>
      <c r="HI173" s="41"/>
      <c r="HJ173" s="41"/>
      <c r="HK173" s="41"/>
      <c r="HL173" s="41"/>
      <c r="HM173" s="41"/>
      <c r="HN173" s="41"/>
      <c r="HO173" s="41"/>
      <c r="HP173" s="41"/>
      <c r="HQ173" s="41"/>
      <c r="HR173" s="41"/>
      <c r="HS173" s="41"/>
      <c r="HT173" s="41"/>
      <c r="HU173" s="41"/>
      <c r="HV173" s="41"/>
      <c r="HW173" s="41"/>
      <c r="HX173" s="41"/>
      <c r="HY173" s="41"/>
      <c r="HZ173" s="41"/>
      <c r="IA173" s="41"/>
      <c r="IB173" s="41"/>
      <c r="IC173" s="41"/>
      <c r="ID173" s="41"/>
      <c r="IE173" s="41"/>
      <c r="IF173" s="41"/>
      <c r="IG173" s="41"/>
      <c r="IH173" s="41"/>
      <c r="II173" s="41"/>
      <c r="IJ173" s="41"/>
      <c r="IK173" s="41"/>
    </row>
    <row r="174" spans="1:245">
      <c r="B174" s="36" t="str">
        <f>'[6]price list MAN'!B174</f>
        <v>MC6-3957</v>
      </c>
      <c r="C174" s="10" t="str">
        <f>'[6]price list MAN'!C174</f>
        <v>CLA-26-2806X4BB-C-L</v>
      </c>
      <c r="D174" s="16" t="str">
        <f>IFERROR(VLOOKUP(C174&amp;"",'[7]Retail Price List'!$A$3:$B$103,2,FALSE),"Special Order")</f>
        <v>KP000590</v>
      </c>
      <c r="E174" s="494" t="str">
        <f>'[6]price list MAN'!E174</f>
        <v>CKD</v>
      </c>
      <c r="F174" s="11" t="str">
        <f>'[6]price list MAN'!F174</f>
        <v>2018-02-16</v>
      </c>
      <c r="G174" s="32">
        <f>'[6]price list MAN'!G174</f>
        <v>15.3</v>
      </c>
      <c r="H174" s="26">
        <f>'[6]price list MAN'!H174</f>
        <v>42955</v>
      </c>
      <c r="I174" s="51" t="str">
        <f t="shared" si="10"/>
        <v>2017Q3</v>
      </c>
      <c r="J174" s="177">
        <f>'[6]price list MAN'!J174</f>
        <v>1040000</v>
      </c>
      <c r="K174" s="177">
        <f>'[6]price list MAN'!P174</f>
        <v>808500</v>
      </c>
      <c r="L174" s="177">
        <f>'[6]price list MAN'!R174</f>
        <v>770000</v>
      </c>
      <c r="M174" s="174">
        <f>'[6]price list MAN'!S174</f>
        <v>1070000</v>
      </c>
      <c r="N174" s="174">
        <f>'[6]price list MAN'!Y174</f>
        <v>840000</v>
      </c>
      <c r="O174" s="174">
        <f>'[6]price list MAN'!AA174</f>
        <v>800000</v>
      </c>
      <c r="P174" s="68">
        <f t="shared" si="11"/>
        <v>0.25233644859813081</v>
      </c>
      <c r="Q174" s="62" t="e">
        <f>O174-#REF!</f>
        <v>#REF!</v>
      </c>
      <c r="W174" s="210"/>
      <c r="X174" s="210"/>
      <c r="Y174" s="210"/>
      <c r="Z174" s="210"/>
      <c r="AA174" s="210"/>
      <c r="AB174" s="210"/>
      <c r="AC174" s="210"/>
      <c r="AT174" s="425" t="str">
        <f t="shared" si="12"/>
        <v>KP0005902017Q315,3</v>
      </c>
      <c r="AU174" s="64" t="str">
        <f t="shared" si="13"/>
        <v>08-2017</v>
      </c>
      <c r="BA174" s="428" t="str">
        <f t="shared" si="14"/>
        <v>WIP - 30 Days</v>
      </c>
    </row>
    <row r="175" spans="1:245" s="4" customFormat="1">
      <c r="A175" s="41"/>
      <c r="B175" s="36" t="str">
        <f>'[6]price list MAN'!B175</f>
        <v>MC6-3958</v>
      </c>
      <c r="C175" s="10" t="str">
        <f>'[6]price list MAN'!C175</f>
        <v>CLA-26-2806X4BB-C-L</v>
      </c>
      <c r="D175" s="16" t="str">
        <f>IFERROR(VLOOKUP(C175&amp;"",'[7]Retail Price List'!$A$3:$B$103,2,FALSE),"Special Order")</f>
        <v>KP000590</v>
      </c>
      <c r="E175" s="494" t="str">
        <f>'[6]price list MAN'!E175</f>
        <v>CKD</v>
      </c>
      <c r="F175" s="11" t="str">
        <f>'[6]price list MAN'!F175</f>
        <v>2018-02-23</v>
      </c>
      <c r="G175" s="32">
        <f>'[6]price list MAN'!G175</f>
        <v>15.3</v>
      </c>
      <c r="H175" s="26">
        <f>'[6]price list MAN'!H175</f>
        <v>42955</v>
      </c>
      <c r="I175" s="51" t="str">
        <f t="shared" si="10"/>
        <v>2017Q3</v>
      </c>
      <c r="J175" s="177">
        <f>'[6]price list MAN'!J175</f>
        <v>1040000</v>
      </c>
      <c r="K175" s="177">
        <f>'[6]price list MAN'!P175</f>
        <v>808500</v>
      </c>
      <c r="L175" s="177">
        <f>'[6]price list MAN'!R175</f>
        <v>770000</v>
      </c>
      <c r="M175" s="174">
        <f>'[6]price list MAN'!S175</f>
        <v>1070000</v>
      </c>
      <c r="N175" s="174">
        <f>'[6]price list MAN'!Y175</f>
        <v>840000</v>
      </c>
      <c r="O175" s="174">
        <f>'[6]price list MAN'!AA175</f>
        <v>800000</v>
      </c>
      <c r="P175" s="68">
        <f t="shared" si="11"/>
        <v>0.25233644859813081</v>
      </c>
      <c r="Q175" s="62" t="e">
        <f>O175-#REF!</f>
        <v>#REF!</v>
      </c>
      <c r="R175" s="63" t="e">
        <f>Q174/O174</f>
        <v>#REF!</v>
      </c>
      <c r="S175" s="64"/>
      <c r="T175" s="64"/>
      <c r="U175" s="64"/>
      <c r="V175" s="64"/>
      <c r="W175" s="210"/>
      <c r="X175" s="210"/>
      <c r="Y175" s="210"/>
      <c r="Z175" s="210"/>
      <c r="AA175" s="210"/>
      <c r="AB175" s="210"/>
      <c r="AC175" s="210"/>
      <c r="AD175" s="54"/>
      <c r="AE175" s="54"/>
      <c r="AF175" s="54"/>
      <c r="AG175" s="5"/>
      <c r="AH175" s="5"/>
      <c r="AI175" s="5"/>
      <c r="AJ175" s="5"/>
      <c r="AK175" s="5"/>
      <c r="AL175" s="5"/>
      <c r="AM175" s="5"/>
      <c r="AN175" s="5"/>
      <c r="AO175" s="5"/>
      <c r="AP175" s="5"/>
      <c r="AQ175" s="5"/>
      <c r="AR175" s="5"/>
      <c r="AS175" s="5"/>
      <c r="AT175" s="425" t="str">
        <f t="shared" si="12"/>
        <v>KP0005902017Q315,3</v>
      </c>
      <c r="AU175" s="64" t="str">
        <f t="shared" si="13"/>
        <v>08-2017</v>
      </c>
      <c r="AV175" s="64"/>
      <c r="AW175" s="64"/>
      <c r="AX175" s="64"/>
      <c r="AY175" s="64"/>
      <c r="AZ175" s="64"/>
      <c r="BA175" s="428" t="str">
        <f t="shared" si="14"/>
        <v>WIP - 30 Days</v>
      </c>
      <c r="BB175" s="169"/>
      <c r="BC175" s="169"/>
      <c r="BD175" s="169"/>
      <c r="BE175" s="41"/>
      <c r="BF175" s="41"/>
      <c r="BG175" s="41"/>
      <c r="BH175" s="41"/>
      <c r="BI175" s="41"/>
      <c r="BJ175" s="41"/>
      <c r="BK175" s="41"/>
      <c r="BL175" s="41"/>
      <c r="BM175" s="41"/>
      <c r="BN175" s="41"/>
      <c r="BO175" s="41"/>
      <c r="BP175" s="41"/>
      <c r="BQ175" s="41"/>
      <c r="BR175" s="41"/>
      <c r="BS175" s="41"/>
      <c r="BT175" s="41"/>
      <c r="BU175" s="41"/>
      <c r="BV175" s="41"/>
      <c r="BW175" s="41"/>
      <c r="BX175" s="41"/>
      <c r="BY175" s="41"/>
      <c r="BZ175" s="41"/>
      <c r="CA175" s="41"/>
      <c r="CB175" s="41"/>
      <c r="CC175" s="41"/>
      <c r="CD175" s="41"/>
      <c r="CE175" s="41"/>
      <c r="CF175" s="41"/>
      <c r="CG175" s="41"/>
      <c r="CH175" s="41"/>
      <c r="CI175" s="41"/>
      <c r="CJ175" s="41"/>
      <c r="CK175" s="41"/>
      <c r="CL175" s="41"/>
      <c r="CM175" s="41"/>
      <c r="CN175" s="41"/>
      <c r="CO175" s="41"/>
      <c r="CP175" s="41"/>
      <c r="CQ175" s="41"/>
      <c r="CR175" s="41"/>
      <c r="CS175" s="41"/>
      <c r="CT175" s="41"/>
      <c r="CU175" s="41"/>
      <c r="CV175" s="41"/>
      <c r="CW175" s="41"/>
      <c r="CX175" s="41"/>
      <c r="CY175" s="41"/>
      <c r="CZ175" s="41"/>
      <c r="DA175" s="41"/>
      <c r="DB175" s="41"/>
      <c r="DC175" s="41"/>
      <c r="DD175" s="41"/>
      <c r="DE175" s="41"/>
      <c r="DF175" s="41"/>
      <c r="DG175" s="41"/>
      <c r="DH175" s="41"/>
      <c r="DI175" s="41"/>
      <c r="DJ175" s="41"/>
      <c r="DK175" s="41"/>
      <c r="DL175" s="41"/>
      <c r="DM175" s="41"/>
      <c r="DN175" s="41"/>
      <c r="DO175" s="41"/>
      <c r="DP175" s="41"/>
      <c r="DQ175" s="41"/>
      <c r="DR175" s="41"/>
      <c r="DS175" s="41"/>
      <c r="DT175" s="41"/>
      <c r="DU175" s="41"/>
      <c r="DV175" s="41"/>
      <c r="DW175" s="41"/>
      <c r="DX175" s="41"/>
      <c r="DY175" s="41"/>
      <c r="DZ175" s="41"/>
      <c r="EA175" s="41"/>
      <c r="EB175" s="41"/>
      <c r="EC175" s="41"/>
      <c r="ED175" s="41"/>
      <c r="EE175" s="41"/>
      <c r="EF175" s="41"/>
      <c r="EG175" s="41"/>
      <c r="EH175" s="41"/>
      <c r="EI175" s="41"/>
      <c r="EJ175" s="41"/>
      <c r="EK175" s="41"/>
      <c r="EL175" s="41"/>
      <c r="EM175" s="41"/>
      <c r="EN175" s="41"/>
      <c r="EO175" s="41"/>
      <c r="EP175" s="41"/>
      <c r="EQ175" s="41"/>
      <c r="ER175" s="41"/>
      <c r="ES175" s="41"/>
      <c r="ET175" s="41"/>
      <c r="EU175" s="41"/>
      <c r="EV175" s="41"/>
      <c r="EW175" s="41"/>
      <c r="EX175" s="41"/>
      <c r="EY175" s="41"/>
      <c r="EZ175" s="41"/>
      <c r="FA175" s="41"/>
      <c r="FB175" s="41"/>
      <c r="FC175" s="41"/>
      <c r="FD175" s="41"/>
      <c r="FE175" s="41"/>
      <c r="FF175" s="41"/>
      <c r="FG175" s="41"/>
      <c r="FH175" s="41"/>
      <c r="FI175" s="41"/>
      <c r="FJ175" s="41"/>
      <c r="FK175" s="41"/>
      <c r="FL175" s="41"/>
      <c r="FM175" s="41"/>
      <c r="FN175" s="41"/>
      <c r="FO175" s="41"/>
      <c r="FP175" s="41"/>
      <c r="FQ175" s="41"/>
      <c r="FR175" s="41"/>
      <c r="FS175" s="41"/>
      <c r="FT175" s="41"/>
      <c r="FU175" s="41"/>
      <c r="FV175" s="41"/>
      <c r="FW175" s="41"/>
      <c r="FX175" s="41"/>
      <c r="FY175" s="41"/>
      <c r="FZ175" s="41"/>
      <c r="GA175" s="41"/>
      <c r="GB175" s="41"/>
      <c r="GC175" s="41"/>
      <c r="GD175" s="41"/>
      <c r="GE175" s="41"/>
      <c r="GF175" s="41"/>
      <c r="GG175" s="41"/>
      <c r="GH175" s="41"/>
      <c r="GI175" s="41"/>
      <c r="GJ175" s="41"/>
      <c r="GK175" s="41"/>
      <c r="GL175" s="41"/>
      <c r="GM175" s="41"/>
      <c r="GN175" s="41"/>
      <c r="GO175" s="41"/>
      <c r="GP175" s="41"/>
      <c r="GQ175" s="41"/>
      <c r="GR175" s="41"/>
      <c r="GS175" s="41"/>
      <c r="GT175" s="41"/>
      <c r="GU175" s="41"/>
      <c r="GV175" s="41"/>
      <c r="GW175" s="41"/>
      <c r="GX175" s="41"/>
      <c r="GY175" s="41"/>
      <c r="GZ175" s="41"/>
      <c r="HA175" s="41"/>
      <c r="HB175" s="41"/>
      <c r="HC175" s="41"/>
      <c r="HD175" s="41"/>
      <c r="HE175" s="41"/>
      <c r="HF175" s="41"/>
      <c r="HG175" s="41"/>
      <c r="HH175" s="41"/>
      <c r="HI175" s="41"/>
      <c r="HJ175" s="41"/>
      <c r="HK175" s="41"/>
      <c r="HL175" s="41"/>
      <c r="HM175" s="41"/>
      <c r="HN175" s="41"/>
      <c r="HO175" s="41"/>
      <c r="HP175" s="41"/>
      <c r="HQ175" s="41"/>
      <c r="HR175" s="41"/>
      <c r="HS175" s="41"/>
      <c r="HT175" s="41"/>
      <c r="HU175" s="41"/>
      <c r="HV175" s="41"/>
      <c r="HW175" s="41"/>
      <c r="HX175" s="41"/>
      <c r="HY175" s="41"/>
      <c r="HZ175" s="41"/>
      <c r="IA175" s="41"/>
      <c r="IB175" s="41"/>
      <c r="IC175" s="41"/>
      <c r="ID175" s="41"/>
      <c r="IE175" s="41"/>
      <c r="IF175" s="41"/>
      <c r="IG175" s="41"/>
      <c r="IH175" s="41"/>
      <c r="II175" s="41"/>
      <c r="IJ175" s="41"/>
      <c r="IK175" s="41"/>
    </row>
    <row r="176" spans="1:245">
      <c r="B176" s="36" t="str">
        <f>'[6]price list MAN'!B176</f>
        <v>MC6-3959</v>
      </c>
      <c r="C176" s="10" t="str">
        <f>'[6]price list MAN'!C176</f>
        <v>CLA-26-2806X4BB-C-L</v>
      </c>
      <c r="D176" s="16" t="str">
        <f>IFERROR(VLOOKUP(C176&amp;"",'[7]Retail Price List'!$A$3:$B$103,2,FALSE),"Special Order")</f>
        <v>KP000590</v>
      </c>
      <c r="E176" s="494" t="str">
        <f>'[6]price list MAN'!E176</f>
        <v>CKD</v>
      </c>
      <c r="F176" s="11" t="str">
        <f>'[6]price list MAN'!F176</f>
        <v>2018-03-30</v>
      </c>
      <c r="G176" s="32">
        <f>'[6]price list MAN'!G176</f>
        <v>15.3</v>
      </c>
      <c r="H176" s="26">
        <f>'[6]price list MAN'!H176</f>
        <v>42955</v>
      </c>
      <c r="I176" s="51" t="str">
        <f t="shared" si="10"/>
        <v>2017Q3</v>
      </c>
      <c r="J176" s="177">
        <f>'[6]price list MAN'!J176</f>
        <v>1040000</v>
      </c>
      <c r="K176" s="177">
        <f>'[6]price list MAN'!P176</f>
        <v>808500</v>
      </c>
      <c r="L176" s="177">
        <f>'[6]price list MAN'!R176</f>
        <v>770000</v>
      </c>
      <c r="M176" s="174">
        <f>'[6]price list MAN'!S176</f>
        <v>1070000</v>
      </c>
      <c r="N176" s="174">
        <f>'[6]price list MAN'!Y176</f>
        <v>840000</v>
      </c>
      <c r="O176" s="174">
        <f>'[6]price list MAN'!AA176</f>
        <v>800000</v>
      </c>
      <c r="P176" s="68">
        <f t="shared" si="11"/>
        <v>0.25233644859813081</v>
      </c>
      <c r="Q176" s="62" t="e">
        <f>O176-#REF!</f>
        <v>#REF!</v>
      </c>
      <c r="S176" s="64" t="s">
        <v>9</v>
      </c>
      <c r="T176" s="64" t="s">
        <v>10</v>
      </c>
      <c r="U176" s="64" t="s">
        <v>11</v>
      </c>
      <c r="W176" s="210"/>
      <c r="X176" s="210"/>
      <c r="Y176" s="210"/>
      <c r="Z176" s="210"/>
      <c r="AA176" s="210"/>
      <c r="AB176" s="210"/>
      <c r="AC176" s="210"/>
      <c r="AT176" s="425" t="str">
        <f t="shared" si="12"/>
        <v>KP0005902017Q315,3</v>
      </c>
      <c r="AU176" s="64" t="str">
        <f t="shared" si="13"/>
        <v>08-2017</v>
      </c>
      <c r="BA176" s="428" t="str">
        <f t="shared" si="14"/>
        <v>WIP - 30 Days</v>
      </c>
    </row>
    <row r="177" spans="2:53">
      <c r="B177" s="36" t="str">
        <f>'[6]price list MAN'!B177</f>
        <v>MC6-3960</v>
      </c>
      <c r="C177" s="10" t="str">
        <f>'[6]price list MAN'!C177</f>
        <v>CLA-26-2806X4BB-C-L</v>
      </c>
      <c r="D177" s="16" t="str">
        <f>IFERROR(VLOOKUP(C177&amp;"",'[7]Retail Price List'!$A$3:$B$103,2,FALSE),"Special Order")</f>
        <v>KP000590</v>
      </c>
      <c r="E177" s="494" t="str">
        <f>'[6]price list MAN'!E177</f>
        <v>CKD</v>
      </c>
      <c r="F177" s="11" t="str">
        <f>'[6]price list MAN'!F177</f>
        <v>2018-03-30</v>
      </c>
      <c r="G177" s="32">
        <f>'[6]price list MAN'!G177</f>
        <v>15.3</v>
      </c>
      <c r="H177" s="26">
        <f>'[6]price list MAN'!H177</f>
        <v>42955</v>
      </c>
      <c r="I177" s="51" t="str">
        <f t="shared" si="10"/>
        <v>2017Q3</v>
      </c>
      <c r="J177" s="177">
        <f>'[6]price list MAN'!J177</f>
        <v>1040000</v>
      </c>
      <c r="K177" s="177">
        <f>'[6]price list MAN'!P177</f>
        <v>808500</v>
      </c>
      <c r="L177" s="177">
        <f>'[6]price list MAN'!R177</f>
        <v>770000</v>
      </c>
      <c r="M177" s="174">
        <f>'[6]price list MAN'!S177</f>
        <v>1070000</v>
      </c>
      <c r="N177" s="174">
        <f>'[6]price list MAN'!Y177</f>
        <v>840000</v>
      </c>
      <c r="O177" s="174">
        <f>'[6]price list MAN'!AA177</f>
        <v>800000</v>
      </c>
      <c r="P177" s="68">
        <f t="shared" si="11"/>
        <v>0.25233644859813081</v>
      </c>
      <c r="Q177" s="62" t="e">
        <f>O177-#REF!</f>
        <v>#REF!</v>
      </c>
      <c r="S177" s="64">
        <v>14.3</v>
      </c>
      <c r="T177" s="64">
        <v>-13.7</v>
      </c>
      <c r="U177" s="64">
        <v>0.9</v>
      </c>
      <c r="W177" s="210"/>
      <c r="X177" s="210"/>
      <c r="Y177" s="210"/>
      <c r="Z177" s="210"/>
      <c r="AA177" s="210"/>
      <c r="AB177" s="210"/>
      <c r="AC177" s="210"/>
      <c r="AT177" s="425" t="str">
        <f t="shared" si="12"/>
        <v>KP0005902017Q315,3</v>
      </c>
      <c r="AU177" s="64" t="str">
        <f t="shared" si="13"/>
        <v>08-2017</v>
      </c>
      <c r="BA177" s="428" t="str">
        <f t="shared" si="14"/>
        <v>WIP - 30 Days</v>
      </c>
    </row>
    <row r="178" spans="2:53">
      <c r="B178" s="36" t="str">
        <f>'[6]price list MAN'!B178</f>
        <v>MC6-3961</v>
      </c>
      <c r="C178" s="10" t="str">
        <f>'[6]price list MAN'!C178</f>
        <v>CLA-26-2806X4BB-C-L</v>
      </c>
      <c r="D178" s="16" t="str">
        <f>IFERROR(VLOOKUP(C178&amp;"",'[7]Retail Price List'!$A$3:$B$103,2,FALSE),"Special Order")</f>
        <v>KP000590</v>
      </c>
      <c r="E178" s="494" t="str">
        <f>'[6]price list MAN'!E178</f>
        <v>CKD</v>
      </c>
      <c r="F178" s="11" t="str">
        <f>'[6]price list MAN'!F178</f>
        <v>2018-04-30</v>
      </c>
      <c r="G178" s="32">
        <f>'[6]price list MAN'!G178</f>
        <v>15.3</v>
      </c>
      <c r="H178" s="26">
        <f>'[6]price list MAN'!H178</f>
        <v>42955</v>
      </c>
      <c r="I178" s="51" t="str">
        <f t="shared" si="10"/>
        <v>2017Q3</v>
      </c>
      <c r="J178" s="177">
        <f>'[6]price list MAN'!J178</f>
        <v>1040000</v>
      </c>
      <c r="K178" s="177">
        <f>'[6]price list MAN'!P178</f>
        <v>808500</v>
      </c>
      <c r="L178" s="177">
        <f>'[6]price list MAN'!R178</f>
        <v>770000</v>
      </c>
      <c r="M178" s="174">
        <f>'[6]price list MAN'!S178</f>
        <v>1070000</v>
      </c>
      <c r="N178" s="174">
        <f>'[6]price list MAN'!Y178</f>
        <v>840000</v>
      </c>
      <c r="O178" s="174">
        <f>'[6]price list MAN'!AA178</f>
        <v>800000</v>
      </c>
      <c r="P178" s="68">
        <f t="shared" si="11"/>
        <v>0.25233644859813081</v>
      </c>
      <c r="Q178" s="62" t="e">
        <f>O178-#REF!</f>
        <v>#REF!</v>
      </c>
      <c r="S178" s="64">
        <v>6.3</v>
      </c>
      <c r="T178" s="64">
        <v>6.3</v>
      </c>
      <c r="U178" s="64">
        <v>6.3</v>
      </c>
      <c r="W178" s="210"/>
      <c r="X178" s="210"/>
      <c r="Y178" s="210"/>
      <c r="Z178" s="210"/>
      <c r="AA178" s="210"/>
      <c r="AB178" s="210"/>
      <c r="AC178" s="210"/>
      <c r="AT178" s="425" t="str">
        <f t="shared" si="12"/>
        <v>KP0005902017Q315,3</v>
      </c>
      <c r="AU178" s="64" t="str">
        <f t="shared" si="13"/>
        <v>08-2017</v>
      </c>
      <c r="BA178" s="428" t="str">
        <f t="shared" si="14"/>
        <v>WIP - 30 Days</v>
      </c>
    </row>
    <row r="179" spans="2:53">
      <c r="B179" s="36" t="str">
        <f>'[6]price list MAN'!B179</f>
        <v>MC6-3962</v>
      </c>
      <c r="C179" s="10" t="str">
        <f>'[6]price list MAN'!C179</f>
        <v>CLA-26-2806X4BB-C-L</v>
      </c>
      <c r="D179" s="16" t="str">
        <f>IFERROR(VLOOKUP(C179&amp;"",'[7]Retail Price List'!$A$3:$B$103,2,FALSE),"Special Order")</f>
        <v>KP000590</v>
      </c>
      <c r="E179" s="494" t="str">
        <f>'[6]price list MAN'!E179</f>
        <v>CKD</v>
      </c>
      <c r="F179" s="11" t="str">
        <f>'[6]price list MAN'!F179</f>
        <v>2018-04-30</v>
      </c>
      <c r="G179" s="32">
        <f>'[6]price list MAN'!G179</f>
        <v>15.3</v>
      </c>
      <c r="H179" s="26">
        <f>'[6]price list MAN'!H179</f>
        <v>42955</v>
      </c>
      <c r="I179" s="51" t="str">
        <f t="shared" si="10"/>
        <v>2017Q3</v>
      </c>
      <c r="J179" s="177">
        <f>'[6]price list MAN'!J179</f>
        <v>1040000</v>
      </c>
      <c r="K179" s="177">
        <f>'[6]price list MAN'!P179</f>
        <v>808500</v>
      </c>
      <c r="L179" s="177">
        <f>'[6]price list MAN'!R179</f>
        <v>770000</v>
      </c>
      <c r="M179" s="174">
        <f>'[6]price list MAN'!S179</f>
        <v>1070000</v>
      </c>
      <c r="N179" s="174">
        <f>'[6]price list MAN'!Y179</f>
        <v>840000</v>
      </c>
      <c r="O179" s="174">
        <f>'[6]price list MAN'!AA179</f>
        <v>800000</v>
      </c>
      <c r="P179" s="68">
        <f t="shared" si="11"/>
        <v>0.25233644859813081</v>
      </c>
      <c r="Q179" s="62" t="e">
        <f>O179-#REF!</f>
        <v>#REF!</v>
      </c>
      <c r="S179" s="64">
        <f>COUNT(#REF!)</f>
        <v>0</v>
      </c>
      <c r="W179" s="210"/>
      <c r="X179" s="210"/>
      <c r="Y179" s="210"/>
      <c r="Z179" s="210"/>
      <c r="AA179" s="210"/>
      <c r="AB179" s="210"/>
      <c r="AC179" s="210"/>
      <c r="AT179" s="425" t="str">
        <f t="shared" si="12"/>
        <v>KP0005902017Q315,3</v>
      </c>
      <c r="AU179" s="64" t="str">
        <f t="shared" si="13"/>
        <v>08-2017</v>
      </c>
      <c r="BA179" s="428" t="str">
        <f t="shared" si="14"/>
        <v>WIP - 30 Days</v>
      </c>
    </row>
    <row r="180" spans="2:53">
      <c r="B180" s="36" t="str">
        <f>'[6]price list MAN'!B180</f>
        <v>MC6-3963</v>
      </c>
      <c r="C180" s="10" t="str">
        <f>'[6]price list MAN'!C180</f>
        <v>CLA-26-2806X4BB-C-L</v>
      </c>
      <c r="D180" s="16" t="str">
        <f>IFERROR(VLOOKUP(C180&amp;"",'[7]Retail Price List'!$A$3:$B$103,2,FALSE),"Special Order")</f>
        <v>KP000590</v>
      </c>
      <c r="E180" s="494" t="str">
        <f>'[6]price list MAN'!E180</f>
        <v>CKD</v>
      </c>
      <c r="F180" s="11" t="str">
        <f>'[6]price list MAN'!F180</f>
        <v>2018-04-30</v>
      </c>
      <c r="G180" s="32">
        <f>'[6]price list MAN'!G180</f>
        <v>15.3</v>
      </c>
      <c r="H180" s="26">
        <f>'[6]price list MAN'!H180</f>
        <v>42955</v>
      </c>
      <c r="I180" s="51" t="str">
        <f t="shared" si="10"/>
        <v>2017Q3</v>
      </c>
      <c r="J180" s="177">
        <f>'[6]price list MAN'!J180</f>
        <v>1040000</v>
      </c>
      <c r="K180" s="177">
        <f>'[6]price list MAN'!P180</f>
        <v>808500</v>
      </c>
      <c r="L180" s="177">
        <f>'[6]price list MAN'!R180</f>
        <v>770000</v>
      </c>
      <c r="M180" s="174">
        <f>'[6]price list MAN'!S180</f>
        <v>1070000</v>
      </c>
      <c r="N180" s="174">
        <f>'[6]price list MAN'!Y180</f>
        <v>840000</v>
      </c>
      <c r="O180" s="174">
        <f>'[6]price list MAN'!AA180</f>
        <v>800000</v>
      </c>
      <c r="P180" s="68">
        <f t="shared" si="11"/>
        <v>0.25233644859813081</v>
      </c>
      <c r="Q180" s="62" t="e">
        <f>O180-#REF!</f>
        <v>#REF!</v>
      </c>
      <c r="S180" s="62" t="e">
        <f>+AVERAGE(#REF!)</f>
        <v>#REF!</v>
      </c>
      <c r="W180" s="210"/>
      <c r="X180" s="210"/>
      <c r="Y180" s="210"/>
      <c r="Z180" s="210"/>
      <c r="AA180" s="210"/>
      <c r="AB180" s="210"/>
      <c r="AC180" s="210"/>
      <c r="AT180" s="425" t="str">
        <f t="shared" si="12"/>
        <v>KP0005902017Q315,3</v>
      </c>
      <c r="AU180" s="64" t="str">
        <f t="shared" si="13"/>
        <v>08-2017</v>
      </c>
      <c r="BA180" s="428" t="str">
        <f t="shared" si="14"/>
        <v>WIP - 30 Days</v>
      </c>
    </row>
    <row r="181" spans="2:53">
      <c r="B181" s="36" t="str">
        <f>'[6]price list MAN'!B181</f>
        <v>MC6-3964</v>
      </c>
      <c r="C181" s="10" t="str">
        <f>'[6]price list MAN'!C181</f>
        <v>CLA-26-2806X4BB-C-L</v>
      </c>
      <c r="D181" s="16" t="str">
        <f>IFERROR(VLOOKUP(C181&amp;"",'[7]Retail Price List'!$A$3:$B$103,2,FALSE),"Special Order")</f>
        <v>KP000590</v>
      </c>
      <c r="E181" s="494" t="str">
        <f>'[6]price list MAN'!E181</f>
        <v>CKD</v>
      </c>
      <c r="F181" s="11" t="str">
        <f>'[6]price list MAN'!F181</f>
        <v>2018-04-30</v>
      </c>
      <c r="G181" s="32">
        <f>'[6]price list MAN'!G181</f>
        <v>15.3</v>
      </c>
      <c r="H181" s="26">
        <f>'[6]price list MAN'!H181</f>
        <v>42955</v>
      </c>
      <c r="I181" s="51" t="str">
        <f t="shared" si="10"/>
        <v>2017Q3</v>
      </c>
      <c r="J181" s="177">
        <f>'[6]price list MAN'!J181</f>
        <v>1040000</v>
      </c>
      <c r="K181" s="177">
        <f>'[6]price list MAN'!P181</f>
        <v>808500</v>
      </c>
      <c r="L181" s="177">
        <f>'[6]price list MAN'!R181</f>
        <v>770000</v>
      </c>
      <c r="M181" s="174">
        <f>'[6]price list MAN'!S181</f>
        <v>1070000</v>
      </c>
      <c r="N181" s="174">
        <f>'[6]price list MAN'!Y181</f>
        <v>840000</v>
      </c>
      <c r="O181" s="174">
        <f>'[6]price list MAN'!AA181</f>
        <v>800000</v>
      </c>
      <c r="P181" s="68">
        <f t="shared" si="11"/>
        <v>0.25233644859813081</v>
      </c>
      <c r="Q181" s="62" t="e">
        <f>O181-#REF!</f>
        <v>#REF!</v>
      </c>
      <c r="W181" s="210"/>
      <c r="X181" s="210"/>
      <c r="Y181" s="210"/>
      <c r="Z181" s="210"/>
      <c r="AA181" s="210"/>
      <c r="AB181" s="210"/>
      <c r="AC181" s="210"/>
      <c r="AT181" s="425" t="str">
        <f t="shared" si="12"/>
        <v>KP0005902017Q315,3</v>
      </c>
      <c r="AU181" s="64" t="str">
        <f t="shared" si="13"/>
        <v>08-2017</v>
      </c>
      <c r="BA181" s="428" t="str">
        <f t="shared" si="14"/>
        <v>WIP - 30 Days</v>
      </c>
    </row>
    <row r="182" spans="2:53">
      <c r="B182" s="36" t="str">
        <f>'[6]price list MAN'!B182</f>
        <v>MC6-3965</v>
      </c>
      <c r="C182" s="10" t="str">
        <f>'[6]price list MAN'!C182</f>
        <v>CLA-26-2806X4BB-C-L</v>
      </c>
      <c r="D182" s="16" t="str">
        <f>IFERROR(VLOOKUP(C182&amp;"",'[7]Retail Price List'!$A$3:$B$103,2,FALSE),"Special Order")</f>
        <v>KP000590</v>
      </c>
      <c r="E182" s="494" t="str">
        <f>'[6]price list MAN'!E182</f>
        <v>CKD</v>
      </c>
      <c r="F182" s="11" t="str">
        <f>'[6]price list MAN'!F182</f>
        <v>2018-04-30</v>
      </c>
      <c r="G182" s="32">
        <f>'[6]price list MAN'!G182</f>
        <v>15.3</v>
      </c>
      <c r="H182" s="26">
        <f>'[6]price list MAN'!H182</f>
        <v>42955</v>
      </c>
      <c r="I182" s="51" t="str">
        <f t="shared" si="10"/>
        <v>2017Q3</v>
      </c>
      <c r="J182" s="177">
        <f>'[6]price list MAN'!J182</f>
        <v>1040000</v>
      </c>
      <c r="K182" s="177">
        <f>'[6]price list MAN'!P182</f>
        <v>808500</v>
      </c>
      <c r="L182" s="177">
        <f>'[6]price list MAN'!R182</f>
        <v>770000</v>
      </c>
      <c r="M182" s="174">
        <f>'[6]price list MAN'!S182</f>
        <v>1070000</v>
      </c>
      <c r="N182" s="174">
        <f>'[6]price list MAN'!Y182</f>
        <v>840000</v>
      </c>
      <c r="O182" s="174">
        <f>'[6]price list MAN'!AA182</f>
        <v>800000</v>
      </c>
      <c r="P182" s="68">
        <f t="shared" si="11"/>
        <v>0.25233644859813081</v>
      </c>
      <c r="Q182" s="62" t="e">
        <f>O182-#REF!</f>
        <v>#REF!</v>
      </c>
      <c r="W182" s="210"/>
      <c r="X182" s="210"/>
      <c r="Y182" s="210"/>
      <c r="Z182" s="210"/>
      <c r="AA182" s="210"/>
      <c r="AB182" s="210"/>
      <c r="AC182" s="210"/>
      <c r="AT182" s="425" t="str">
        <f t="shared" si="12"/>
        <v>KP0005902017Q315,3</v>
      </c>
      <c r="AU182" s="64" t="str">
        <f t="shared" si="13"/>
        <v>08-2017</v>
      </c>
      <c r="BA182" s="428" t="str">
        <f t="shared" si="14"/>
        <v>WIP - 30 Days</v>
      </c>
    </row>
    <row r="183" spans="2:53">
      <c r="B183" s="36" t="str">
        <f>'[6]price list MAN'!B183</f>
        <v>MC6-3966</v>
      </c>
      <c r="C183" s="10" t="str">
        <f>'[6]price list MAN'!C183</f>
        <v>CLA-26-2806X4BB-C-L</v>
      </c>
      <c r="D183" s="16" t="str">
        <f>IFERROR(VLOOKUP(C183&amp;"",'[7]Retail Price List'!$A$3:$B$103,2,FALSE),"Special Order")</f>
        <v>KP000590</v>
      </c>
      <c r="E183" s="494" t="str">
        <f>'[6]price list MAN'!E183</f>
        <v>CKD</v>
      </c>
      <c r="F183" s="11" t="str">
        <f>'[6]price list MAN'!F183</f>
        <v>2018-05-30</v>
      </c>
      <c r="G183" s="32">
        <f>'[6]price list MAN'!G183</f>
        <v>15.3</v>
      </c>
      <c r="H183" s="26">
        <f>'[6]price list MAN'!H183</f>
        <v>42955</v>
      </c>
      <c r="I183" s="51" t="str">
        <f t="shared" si="10"/>
        <v>2017Q3</v>
      </c>
      <c r="J183" s="177">
        <f>'[6]price list MAN'!J183</f>
        <v>1040000</v>
      </c>
      <c r="K183" s="177">
        <f>'[6]price list MAN'!P183</f>
        <v>808500</v>
      </c>
      <c r="L183" s="177">
        <f>'[6]price list MAN'!R183</f>
        <v>770000</v>
      </c>
      <c r="M183" s="174">
        <f>'[6]price list MAN'!S183</f>
        <v>1070000</v>
      </c>
      <c r="N183" s="174">
        <f>'[6]price list MAN'!Y183</f>
        <v>840000</v>
      </c>
      <c r="O183" s="174">
        <f>'[6]price list MAN'!AA183</f>
        <v>800000</v>
      </c>
      <c r="P183" s="68">
        <f t="shared" si="11"/>
        <v>0.25233644859813081</v>
      </c>
      <c r="Q183" s="62" t="e">
        <f>O183-#REF!</f>
        <v>#REF!</v>
      </c>
      <c r="W183" s="210"/>
      <c r="X183" s="210"/>
      <c r="Y183" s="210"/>
      <c r="Z183" s="210"/>
      <c r="AA183" s="210"/>
      <c r="AB183" s="210"/>
      <c r="AC183" s="210"/>
      <c r="AT183" s="425" t="str">
        <f t="shared" si="12"/>
        <v>KP0005902017Q315,3</v>
      </c>
      <c r="AU183" s="64" t="str">
        <f t="shared" si="13"/>
        <v>08-2017</v>
      </c>
      <c r="BA183" s="428" t="str">
        <f t="shared" si="14"/>
        <v>WIP - 30 Days</v>
      </c>
    </row>
    <row r="184" spans="2:53">
      <c r="B184" s="36" t="str">
        <f>'[6]price list MAN'!B184</f>
        <v>MC6-3967</v>
      </c>
      <c r="C184" s="10" t="str">
        <f>'[6]price list MAN'!C184</f>
        <v>CLA-26-2806X4BB-C-L</v>
      </c>
      <c r="D184" s="16" t="str">
        <f>IFERROR(VLOOKUP(C184&amp;"",'[7]Retail Price List'!$A$3:$B$103,2,FALSE),"Special Order")</f>
        <v>KP000590</v>
      </c>
      <c r="E184" s="494" t="str">
        <f>'[6]price list MAN'!E184</f>
        <v>CKD</v>
      </c>
      <c r="F184" s="11" t="str">
        <f>'[6]price list MAN'!F184</f>
        <v>2018-05-30</v>
      </c>
      <c r="G184" s="32">
        <f>'[6]price list MAN'!G184</f>
        <v>15.3</v>
      </c>
      <c r="H184" s="26">
        <f>'[6]price list MAN'!H184</f>
        <v>42955</v>
      </c>
      <c r="I184" s="51" t="str">
        <f t="shared" si="10"/>
        <v>2017Q3</v>
      </c>
      <c r="J184" s="177">
        <f>'[6]price list MAN'!J184</f>
        <v>1040000</v>
      </c>
      <c r="K184" s="177">
        <f>'[6]price list MAN'!P184</f>
        <v>808500</v>
      </c>
      <c r="L184" s="177">
        <f>'[6]price list MAN'!R184</f>
        <v>770000</v>
      </c>
      <c r="M184" s="174">
        <f>'[6]price list MAN'!S184</f>
        <v>1070000</v>
      </c>
      <c r="N184" s="174">
        <f>'[6]price list MAN'!Y184</f>
        <v>840000</v>
      </c>
      <c r="O184" s="174">
        <f>'[6]price list MAN'!AA184</f>
        <v>800000</v>
      </c>
      <c r="P184" s="68">
        <f t="shared" si="11"/>
        <v>0.25233644859813081</v>
      </c>
      <c r="Q184" s="62" t="e">
        <f>O184-#REF!</f>
        <v>#REF!</v>
      </c>
      <c r="W184" s="210"/>
      <c r="X184" s="210"/>
      <c r="Y184" s="210"/>
      <c r="Z184" s="210"/>
      <c r="AA184" s="210"/>
      <c r="AB184" s="210"/>
      <c r="AC184" s="210"/>
      <c r="AT184" s="425" t="str">
        <f t="shared" si="12"/>
        <v>KP0005902017Q315,3</v>
      </c>
      <c r="AU184" s="64" t="str">
        <f t="shared" si="13"/>
        <v>08-2017</v>
      </c>
      <c r="BA184" s="428" t="str">
        <f t="shared" si="14"/>
        <v>WIP - 30 Days</v>
      </c>
    </row>
    <row r="185" spans="2:53">
      <c r="B185" s="36" t="str">
        <f>'[6]price list MAN'!B185</f>
        <v>MC6-3968</v>
      </c>
      <c r="C185" s="10" t="str">
        <f>'[6]price list MAN'!C185</f>
        <v>CLA-26-2806X4BB-C-L</v>
      </c>
      <c r="D185" s="16" t="str">
        <f>IFERROR(VLOOKUP(C185&amp;"",'[7]Retail Price List'!$A$3:$B$103,2,FALSE),"Special Order")</f>
        <v>KP000590</v>
      </c>
      <c r="E185" s="494" t="str">
        <f>'[6]price list MAN'!E185</f>
        <v>CKD</v>
      </c>
      <c r="F185" s="11" t="str">
        <f>'[6]price list MAN'!F185</f>
        <v>2018-05-30</v>
      </c>
      <c r="G185" s="32">
        <f>'[6]price list MAN'!G185</f>
        <v>15.3</v>
      </c>
      <c r="H185" s="26">
        <f>'[6]price list MAN'!H185</f>
        <v>42955</v>
      </c>
      <c r="I185" s="51" t="str">
        <f t="shared" si="10"/>
        <v>2017Q3</v>
      </c>
      <c r="J185" s="177">
        <f>'[6]price list MAN'!J185</f>
        <v>1040000</v>
      </c>
      <c r="K185" s="177">
        <f>'[6]price list MAN'!P185</f>
        <v>808500</v>
      </c>
      <c r="L185" s="177">
        <f>'[6]price list MAN'!R185</f>
        <v>770000</v>
      </c>
      <c r="M185" s="174">
        <f>'[6]price list MAN'!S185</f>
        <v>1070000</v>
      </c>
      <c r="N185" s="174">
        <f>'[6]price list MAN'!Y185</f>
        <v>840000</v>
      </c>
      <c r="O185" s="174">
        <f>'[6]price list MAN'!AA185</f>
        <v>800000</v>
      </c>
      <c r="P185" s="68">
        <f t="shared" si="11"/>
        <v>0.25233644859813081</v>
      </c>
      <c r="Q185" s="62" t="e">
        <f>O185-#REF!</f>
        <v>#REF!</v>
      </c>
      <c r="W185" s="210"/>
      <c r="X185" s="210"/>
      <c r="Y185" s="210"/>
      <c r="Z185" s="210"/>
      <c r="AA185" s="210"/>
      <c r="AB185" s="210"/>
      <c r="AC185" s="210"/>
      <c r="AT185" s="425" t="str">
        <f t="shared" si="12"/>
        <v>KP0005902017Q315,3</v>
      </c>
      <c r="AU185" s="64" t="str">
        <f t="shared" si="13"/>
        <v>08-2017</v>
      </c>
      <c r="BA185" s="428" t="str">
        <f t="shared" si="14"/>
        <v>WIP - 30 Days</v>
      </c>
    </row>
    <row r="186" spans="2:53">
      <c r="B186" s="36" t="str">
        <f>'[6]price list MAN'!B186</f>
        <v>MC6-3969</v>
      </c>
      <c r="C186" s="10" t="str">
        <f>'[6]price list MAN'!C186</f>
        <v>CLA-26-2806X4BB-C-L</v>
      </c>
      <c r="D186" s="16" t="str">
        <f>IFERROR(VLOOKUP(C186&amp;"",'[7]Retail Price List'!$A$3:$B$103,2,FALSE),"Special Order")</f>
        <v>KP000590</v>
      </c>
      <c r="E186" s="494" t="str">
        <f>'[6]price list MAN'!E186</f>
        <v>CKD</v>
      </c>
      <c r="F186" s="11" t="str">
        <f>'[6]price list MAN'!F186</f>
        <v>2018-05-30</v>
      </c>
      <c r="G186" s="32">
        <f>'[6]price list MAN'!G186</f>
        <v>15.3</v>
      </c>
      <c r="H186" s="26">
        <f>'[6]price list MAN'!H186</f>
        <v>42955</v>
      </c>
      <c r="I186" s="51" t="str">
        <f t="shared" si="10"/>
        <v>2017Q3</v>
      </c>
      <c r="J186" s="177">
        <f>'[6]price list MAN'!J186</f>
        <v>1040000</v>
      </c>
      <c r="K186" s="177">
        <f>'[6]price list MAN'!P186</f>
        <v>808500</v>
      </c>
      <c r="L186" s="177">
        <f>'[6]price list MAN'!R186</f>
        <v>770000</v>
      </c>
      <c r="M186" s="174">
        <f>'[6]price list MAN'!S186</f>
        <v>1070000</v>
      </c>
      <c r="N186" s="174">
        <f>'[6]price list MAN'!Y186</f>
        <v>840000</v>
      </c>
      <c r="O186" s="174">
        <f>'[6]price list MAN'!AA186</f>
        <v>800000</v>
      </c>
      <c r="P186" s="68">
        <f t="shared" si="11"/>
        <v>0.25233644859813081</v>
      </c>
      <c r="Q186" s="62" t="e">
        <f>O186-#REF!</f>
        <v>#REF!</v>
      </c>
      <c r="W186" s="210"/>
      <c r="X186" s="210"/>
      <c r="Y186" s="210"/>
      <c r="Z186" s="210"/>
      <c r="AA186" s="210"/>
      <c r="AB186" s="210"/>
      <c r="AC186" s="210"/>
      <c r="AT186" s="425" t="str">
        <f t="shared" si="12"/>
        <v>KP0005902017Q315,3</v>
      </c>
      <c r="AU186" s="64" t="str">
        <f t="shared" si="13"/>
        <v>08-2017</v>
      </c>
      <c r="BA186" s="428" t="str">
        <f t="shared" si="14"/>
        <v>WIP - 30 Days</v>
      </c>
    </row>
    <row r="187" spans="2:53">
      <c r="B187" s="36" t="str">
        <f>'[6]price list MAN'!B187</f>
        <v>MC6-3970</v>
      </c>
      <c r="C187" s="10" t="str">
        <f>'[6]price list MAN'!C187</f>
        <v>CLA-26-2806X4BB-C-L</v>
      </c>
      <c r="D187" s="16" t="str">
        <f>IFERROR(VLOOKUP(C187&amp;"",'[7]Retail Price List'!$A$3:$B$103,2,FALSE),"Special Order")</f>
        <v>KP000590</v>
      </c>
      <c r="E187" s="494" t="str">
        <f>'[6]price list MAN'!E187</f>
        <v>CKD</v>
      </c>
      <c r="F187" s="11" t="str">
        <f>'[6]price list MAN'!F187</f>
        <v>2018-05-30</v>
      </c>
      <c r="G187" s="32">
        <f>'[6]price list MAN'!G187</f>
        <v>15.3</v>
      </c>
      <c r="H187" s="26">
        <f>'[6]price list MAN'!H187</f>
        <v>42955</v>
      </c>
      <c r="I187" s="51" t="str">
        <f t="shared" si="10"/>
        <v>2017Q3</v>
      </c>
      <c r="J187" s="177">
        <f>'[6]price list MAN'!J187</f>
        <v>1040000</v>
      </c>
      <c r="K187" s="177">
        <f>'[6]price list MAN'!P187</f>
        <v>808500</v>
      </c>
      <c r="L187" s="177">
        <f>'[6]price list MAN'!R187</f>
        <v>770000</v>
      </c>
      <c r="M187" s="174">
        <f>'[6]price list MAN'!S187</f>
        <v>1070000</v>
      </c>
      <c r="N187" s="174">
        <f>'[6]price list MAN'!Y187</f>
        <v>840000</v>
      </c>
      <c r="O187" s="174">
        <f>'[6]price list MAN'!AA187</f>
        <v>800000</v>
      </c>
      <c r="P187" s="68">
        <f t="shared" si="11"/>
        <v>0.25233644859813081</v>
      </c>
      <c r="Q187" s="62" t="e">
        <f>O187-#REF!</f>
        <v>#REF!</v>
      </c>
      <c r="W187" s="210"/>
      <c r="X187" s="210"/>
      <c r="Y187" s="210"/>
      <c r="Z187" s="210"/>
      <c r="AA187" s="210"/>
      <c r="AB187" s="210"/>
      <c r="AC187" s="210"/>
      <c r="AT187" s="425" t="str">
        <f t="shared" si="12"/>
        <v>KP0005902017Q315,3</v>
      </c>
      <c r="AU187" s="64" t="str">
        <f t="shared" si="13"/>
        <v>08-2017</v>
      </c>
      <c r="BA187" s="428" t="str">
        <f t="shared" si="14"/>
        <v>WIP - 30 Days</v>
      </c>
    </row>
    <row r="188" spans="2:53">
      <c r="B188" s="36" t="str">
        <f>'[6]price list MAN'!B188</f>
        <v>MC6-3971</v>
      </c>
      <c r="C188" s="10" t="str">
        <f>'[6]price list MAN'!C188</f>
        <v>CLA-26-2806X4BB-C-L</v>
      </c>
      <c r="D188" s="16" t="str">
        <f>IFERROR(VLOOKUP(C188&amp;"",'[7]Retail Price List'!$A$3:$B$103,2,FALSE),"Special Order")</f>
        <v>KP000590</v>
      </c>
      <c r="E188" s="494" t="str">
        <f>'[6]price list MAN'!E188</f>
        <v>CKD</v>
      </c>
      <c r="F188" s="11" t="str">
        <f>'[6]price list MAN'!F188</f>
        <v>2018-05-30</v>
      </c>
      <c r="G188" s="32">
        <f>'[6]price list MAN'!G188</f>
        <v>15.3</v>
      </c>
      <c r="H188" s="26">
        <f>'[6]price list MAN'!H188</f>
        <v>42955</v>
      </c>
      <c r="I188" s="51" t="str">
        <f t="shared" si="10"/>
        <v>2017Q3</v>
      </c>
      <c r="J188" s="177">
        <f>'[6]price list MAN'!J188</f>
        <v>1040000</v>
      </c>
      <c r="K188" s="177">
        <f>'[6]price list MAN'!P188</f>
        <v>808500</v>
      </c>
      <c r="L188" s="177">
        <f>'[6]price list MAN'!R188</f>
        <v>770000</v>
      </c>
      <c r="M188" s="174">
        <f>'[6]price list MAN'!S188</f>
        <v>1070000</v>
      </c>
      <c r="N188" s="174">
        <f>'[6]price list MAN'!Y188</f>
        <v>840000</v>
      </c>
      <c r="O188" s="174">
        <f>'[6]price list MAN'!AA188</f>
        <v>800000</v>
      </c>
      <c r="P188" s="68">
        <f t="shared" si="11"/>
        <v>0.25233644859813081</v>
      </c>
      <c r="Q188" s="62" t="e">
        <f>O188-#REF!</f>
        <v>#REF!</v>
      </c>
      <c r="W188" s="210"/>
      <c r="X188" s="210"/>
      <c r="Y188" s="210"/>
      <c r="Z188" s="210"/>
      <c r="AA188" s="210"/>
      <c r="AB188" s="210"/>
      <c r="AC188" s="210"/>
      <c r="AT188" s="425" t="str">
        <f t="shared" si="12"/>
        <v>KP0005902017Q315,3</v>
      </c>
      <c r="AU188" s="64" t="str">
        <f t="shared" si="13"/>
        <v>08-2017</v>
      </c>
      <c r="BA188" s="428" t="str">
        <f t="shared" si="14"/>
        <v>WIP - 30 Days</v>
      </c>
    </row>
    <row r="189" spans="2:53">
      <c r="B189" s="36" t="str">
        <f>'[6]price list MAN'!B189</f>
        <v>MC6-3972</v>
      </c>
      <c r="C189" s="10" t="str">
        <f>'[6]price list MAN'!C189</f>
        <v>CLA-26-2806X4BB-C-L</v>
      </c>
      <c r="D189" s="16" t="str">
        <f>IFERROR(VLOOKUP(C189&amp;"",'[7]Retail Price List'!$A$3:$B$103,2,FALSE),"Special Order")</f>
        <v>KP000590</v>
      </c>
      <c r="E189" s="494" t="str">
        <f>'[6]price list MAN'!E189</f>
        <v>CKD</v>
      </c>
      <c r="F189" s="11" t="str">
        <f>'[6]price list MAN'!F189</f>
        <v>2018-05-30</v>
      </c>
      <c r="G189" s="32">
        <f>'[6]price list MAN'!G189</f>
        <v>15.3</v>
      </c>
      <c r="H189" s="26">
        <f>'[6]price list MAN'!H189</f>
        <v>42955</v>
      </c>
      <c r="I189" s="51" t="str">
        <f t="shared" si="10"/>
        <v>2017Q3</v>
      </c>
      <c r="J189" s="177">
        <f>'[6]price list MAN'!J189</f>
        <v>1040000</v>
      </c>
      <c r="K189" s="177">
        <f>'[6]price list MAN'!P189</f>
        <v>808500</v>
      </c>
      <c r="L189" s="177">
        <f>'[6]price list MAN'!R189</f>
        <v>770000</v>
      </c>
      <c r="M189" s="174">
        <f>'[6]price list MAN'!S189</f>
        <v>1070000</v>
      </c>
      <c r="N189" s="174">
        <f>'[6]price list MAN'!Y189</f>
        <v>840000</v>
      </c>
      <c r="O189" s="174">
        <f>'[6]price list MAN'!AA189</f>
        <v>800000</v>
      </c>
      <c r="P189" s="68">
        <f t="shared" si="11"/>
        <v>0.25233644859813081</v>
      </c>
      <c r="Q189" s="62" t="e">
        <f>O189-#REF!</f>
        <v>#REF!</v>
      </c>
      <c r="W189" s="210"/>
      <c r="X189" s="210"/>
      <c r="Y189" s="210"/>
      <c r="Z189" s="210"/>
      <c r="AA189" s="210"/>
      <c r="AB189" s="210"/>
      <c r="AC189" s="210"/>
      <c r="AT189" s="425" t="str">
        <f t="shared" si="12"/>
        <v>KP0005902017Q315,3</v>
      </c>
      <c r="AU189" s="64" t="str">
        <f t="shared" si="13"/>
        <v>08-2017</v>
      </c>
      <c r="BA189" s="428" t="str">
        <f t="shared" si="14"/>
        <v>WIP - 30 Days</v>
      </c>
    </row>
    <row r="190" spans="2:53">
      <c r="B190" s="36" t="str">
        <f>'[6]price list MAN'!B190</f>
        <v>MC6-3991</v>
      </c>
      <c r="C190" s="10" t="str">
        <f>'[6]price list MAN'!C190</f>
        <v>CLA-26-2806X4BB-C-L</v>
      </c>
      <c r="D190" s="16" t="str">
        <f>IFERROR(VLOOKUP(C190&amp;"",'[7]Retail Price List'!$A$3:$B$103,2,FALSE),"Special Order")</f>
        <v>KP000590</v>
      </c>
      <c r="E190" s="494" t="str">
        <f>'[6]price list MAN'!E190</f>
        <v>CKD</v>
      </c>
      <c r="F190" s="11" t="str">
        <f>'[6]price list MAN'!F190</f>
        <v>2018-07-30</v>
      </c>
      <c r="G190" s="32">
        <f>'[6]price list MAN'!G190</f>
        <v>15.3</v>
      </c>
      <c r="H190" s="26">
        <f>'[6]price list MAN'!H190</f>
        <v>42978</v>
      </c>
      <c r="I190" s="51" t="str">
        <f t="shared" si="10"/>
        <v>2017Q3</v>
      </c>
      <c r="J190" s="177">
        <f>'[6]price list MAN'!J190</f>
        <v>1040000</v>
      </c>
      <c r="K190" s="177">
        <f>'[6]price list MAN'!P190</f>
        <v>808500</v>
      </c>
      <c r="L190" s="177">
        <f>'[6]price list MAN'!R190</f>
        <v>770000</v>
      </c>
      <c r="M190" s="174">
        <f>'[6]price list MAN'!S190</f>
        <v>1070000</v>
      </c>
      <c r="N190" s="174">
        <f>'[6]price list MAN'!Y190</f>
        <v>840000</v>
      </c>
      <c r="O190" s="174">
        <f>'[6]price list MAN'!AA190</f>
        <v>800000</v>
      </c>
      <c r="P190" s="68">
        <f t="shared" si="11"/>
        <v>0.25233644859813081</v>
      </c>
      <c r="Q190" s="62" t="e">
        <f>O190-#REF!</f>
        <v>#REF!</v>
      </c>
      <c r="W190" s="210"/>
      <c r="X190" s="210"/>
      <c r="Y190" s="210"/>
      <c r="Z190" s="210"/>
      <c r="AA190" s="210"/>
      <c r="AB190" s="210"/>
      <c r="AC190" s="210"/>
      <c r="AT190" s="425" t="str">
        <f t="shared" si="12"/>
        <v>KP0005902017Q315,3</v>
      </c>
      <c r="AU190" s="64" t="str">
        <f t="shared" si="13"/>
        <v>08-2017</v>
      </c>
      <c r="BA190" s="428" t="str">
        <f t="shared" si="14"/>
        <v>WIP - 30 Days</v>
      </c>
    </row>
    <row r="191" spans="2:53">
      <c r="B191" s="36" t="str">
        <f>'[6]price list MAN'!B191</f>
        <v>MC6-3992</v>
      </c>
      <c r="C191" s="10" t="str">
        <f>'[6]price list MAN'!C191</f>
        <v>CLA-26-2806X4BB-C-L</v>
      </c>
      <c r="D191" s="16" t="str">
        <f>IFERROR(VLOOKUP(C191&amp;"",'[7]Retail Price List'!$A$3:$B$103,2,FALSE),"Special Order")</f>
        <v>KP000590</v>
      </c>
      <c r="E191" s="494" t="str">
        <f>'[6]price list MAN'!E191</f>
        <v>CKD</v>
      </c>
      <c r="F191" s="11" t="str">
        <f>'[6]price list MAN'!F191</f>
        <v>2018-07-30</v>
      </c>
      <c r="G191" s="32">
        <f>'[6]price list MAN'!G191</f>
        <v>15.3</v>
      </c>
      <c r="H191" s="26">
        <f>'[6]price list MAN'!H191</f>
        <v>42978</v>
      </c>
      <c r="I191" s="51" t="str">
        <f t="shared" si="10"/>
        <v>2017Q3</v>
      </c>
      <c r="J191" s="177">
        <f>'[6]price list MAN'!J191</f>
        <v>1040000</v>
      </c>
      <c r="K191" s="177">
        <f>'[6]price list MAN'!P191</f>
        <v>808500</v>
      </c>
      <c r="L191" s="177">
        <f>'[6]price list MAN'!R191</f>
        <v>770000</v>
      </c>
      <c r="M191" s="174">
        <f>'[6]price list MAN'!S191</f>
        <v>1070000</v>
      </c>
      <c r="N191" s="174">
        <f>'[6]price list MAN'!Y191</f>
        <v>840000</v>
      </c>
      <c r="O191" s="174">
        <f>'[6]price list MAN'!AA191</f>
        <v>800000</v>
      </c>
      <c r="P191" s="68">
        <f t="shared" si="11"/>
        <v>0.25233644859813081</v>
      </c>
      <c r="Q191" s="62" t="e">
        <f>O191-#REF!</f>
        <v>#REF!</v>
      </c>
      <c r="W191" s="210"/>
      <c r="X191" s="210"/>
      <c r="Y191" s="210"/>
      <c r="Z191" s="210"/>
      <c r="AA191" s="210"/>
      <c r="AB191" s="210"/>
      <c r="AC191" s="210"/>
      <c r="AT191" s="425" t="str">
        <f t="shared" si="12"/>
        <v>KP0005902017Q315,3</v>
      </c>
      <c r="AU191" s="64" t="str">
        <f t="shared" si="13"/>
        <v>08-2017</v>
      </c>
      <c r="BA191" s="428" t="str">
        <f t="shared" si="14"/>
        <v>WIP - 30 Days</v>
      </c>
    </row>
    <row r="192" spans="2:53">
      <c r="B192" s="36" t="str">
        <f>'[6]price list MAN'!B192</f>
        <v>MC6-3993</v>
      </c>
      <c r="C192" s="10" t="str">
        <f>'[6]price list MAN'!C192</f>
        <v>CLA-26-2806X4BB-C-L</v>
      </c>
      <c r="D192" s="16" t="str">
        <f>IFERROR(VLOOKUP(C192&amp;"",'[7]Retail Price List'!$A$3:$B$103,2,FALSE),"Special Order")</f>
        <v>KP000590</v>
      </c>
      <c r="E192" s="494" t="str">
        <f>'[6]price list MAN'!E192</f>
        <v>CKD</v>
      </c>
      <c r="F192" s="11" t="str">
        <f>'[6]price list MAN'!F192</f>
        <v>2018-07-30</v>
      </c>
      <c r="G192" s="32">
        <f>'[6]price list MAN'!G192</f>
        <v>15.3</v>
      </c>
      <c r="H192" s="26">
        <f>'[6]price list MAN'!H192</f>
        <v>42978</v>
      </c>
      <c r="I192" s="51" t="str">
        <f t="shared" si="10"/>
        <v>2017Q3</v>
      </c>
      <c r="J192" s="177">
        <f>'[6]price list MAN'!J192</f>
        <v>1040000</v>
      </c>
      <c r="K192" s="177">
        <f>'[6]price list MAN'!P192</f>
        <v>808500</v>
      </c>
      <c r="L192" s="177">
        <f>'[6]price list MAN'!R192</f>
        <v>770000</v>
      </c>
      <c r="M192" s="174">
        <f>'[6]price list MAN'!S192</f>
        <v>1070000</v>
      </c>
      <c r="N192" s="174">
        <f>'[6]price list MAN'!Y192</f>
        <v>840000</v>
      </c>
      <c r="O192" s="174">
        <f>'[6]price list MAN'!AA192</f>
        <v>800000</v>
      </c>
      <c r="P192" s="68">
        <f t="shared" si="11"/>
        <v>0.25233644859813081</v>
      </c>
      <c r="Q192" s="62" t="e">
        <f>O192-#REF!</f>
        <v>#REF!</v>
      </c>
      <c r="W192" s="210"/>
      <c r="X192" s="210"/>
      <c r="Y192" s="210"/>
      <c r="Z192" s="210"/>
      <c r="AA192" s="210"/>
      <c r="AB192" s="210"/>
      <c r="AC192" s="210"/>
      <c r="AT192" s="425" t="str">
        <f t="shared" si="12"/>
        <v>KP0005902017Q315,3</v>
      </c>
      <c r="AU192" s="64" t="str">
        <f t="shared" si="13"/>
        <v>08-2017</v>
      </c>
      <c r="BA192" s="428" t="str">
        <f t="shared" si="14"/>
        <v>WIP - 30 Days</v>
      </c>
    </row>
    <row r="193" spans="1:245">
      <c r="B193" s="36" t="str">
        <f>'[6]price list MAN'!B193</f>
        <v>MC6-3994</v>
      </c>
      <c r="C193" s="10" t="str">
        <f>'[6]price list MAN'!C193</f>
        <v>CLA-26-2806X4BB-C-L</v>
      </c>
      <c r="D193" s="16" t="str">
        <f>IFERROR(VLOOKUP(C193&amp;"",'[7]Retail Price List'!$A$3:$B$103,2,FALSE),"Special Order")</f>
        <v>KP000590</v>
      </c>
      <c r="E193" s="494" t="str">
        <f>'[6]price list MAN'!E193</f>
        <v>CKD</v>
      </c>
      <c r="F193" s="11" t="str">
        <f>'[6]price list MAN'!F193</f>
        <v>2018-07-30</v>
      </c>
      <c r="G193" s="32">
        <f>'[6]price list MAN'!G193</f>
        <v>15.3</v>
      </c>
      <c r="H193" s="26">
        <f>'[6]price list MAN'!H193</f>
        <v>42978</v>
      </c>
      <c r="I193" s="51" t="str">
        <f t="shared" si="10"/>
        <v>2017Q3</v>
      </c>
      <c r="J193" s="177">
        <f>'[6]price list MAN'!J193</f>
        <v>1040000</v>
      </c>
      <c r="K193" s="177">
        <f>'[6]price list MAN'!P193</f>
        <v>808500</v>
      </c>
      <c r="L193" s="177">
        <f>'[6]price list MAN'!R193</f>
        <v>770000</v>
      </c>
      <c r="M193" s="174">
        <f>'[6]price list MAN'!S193</f>
        <v>1070000</v>
      </c>
      <c r="N193" s="174">
        <f>'[6]price list MAN'!Y193</f>
        <v>840000</v>
      </c>
      <c r="O193" s="174">
        <f>'[6]price list MAN'!AA193</f>
        <v>800000</v>
      </c>
      <c r="P193" s="68">
        <f t="shared" si="11"/>
        <v>0.25233644859813081</v>
      </c>
      <c r="Q193" s="62" t="e">
        <f>O193-#REF!</f>
        <v>#REF!</v>
      </c>
      <c r="W193" s="210"/>
      <c r="X193" s="210"/>
      <c r="Y193" s="210"/>
      <c r="Z193" s="210"/>
      <c r="AA193" s="210"/>
      <c r="AB193" s="210"/>
      <c r="AC193" s="210"/>
      <c r="AT193" s="425" t="str">
        <f t="shared" si="12"/>
        <v>KP0005902017Q315,3</v>
      </c>
      <c r="AU193" s="64" t="str">
        <f t="shared" si="13"/>
        <v>08-2017</v>
      </c>
      <c r="BA193" s="428" t="str">
        <f t="shared" si="14"/>
        <v>WIP - 30 Days</v>
      </c>
    </row>
    <row r="194" spans="1:245">
      <c r="B194" s="36" t="str">
        <f>'[6]price list MAN'!B194</f>
        <v>MC6-3995</v>
      </c>
      <c r="C194" s="10" t="str">
        <f>'[6]price list MAN'!C194</f>
        <v>CLA-26-2806X4BB-C-L</v>
      </c>
      <c r="D194" s="16" t="str">
        <f>IFERROR(VLOOKUP(C194&amp;"",'[7]Retail Price List'!$A$3:$B$103,2,FALSE),"Special Order")</f>
        <v>KP000590</v>
      </c>
      <c r="E194" s="494" t="str">
        <f>'[6]price list MAN'!E194</f>
        <v>CKD</v>
      </c>
      <c r="F194" s="11" t="str">
        <f>'[6]price list MAN'!F194</f>
        <v>2018-07-30</v>
      </c>
      <c r="G194" s="32">
        <f>'[6]price list MAN'!G194</f>
        <v>15.3</v>
      </c>
      <c r="H194" s="26">
        <f>'[6]price list MAN'!H194</f>
        <v>42978</v>
      </c>
      <c r="I194" s="51" t="str">
        <f t="shared" si="10"/>
        <v>2017Q3</v>
      </c>
      <c r="J194" s="177">
        <f>'[6]price list MAN'!J194</f>
        <v>1040000</v>
      </c>
      <c r="K194" s="177">
        <f>'[6]price list MAN'!P194</f>
        <v>808500</v>
      </c>
      <c r="L194" s="177">
        <f>'[6]price list MAN'!R194</f>
        <v>770000</v>
      </c>
      <c r="M194" s="174">
        <f>'[6]price list MAN'!S194</f>
        <v>1070000</v>
      </c>
      <c r="N194" s="174">
        <f>'[6]price list MAN'!Y194</f>
        <v>840000</v>
      </c>
      <c r="O194" s="174">
        <f>'[6]price list MAN'!AA194</f>
        <v>800000</v>
      </c>
      <c r="P194" s="68">
        <f t="shared" si="11"/>
        <v>0.25233644859813081</v>
      </c>
      <c r="Q194" s="62" t="e">
        <f>O194-#REF!</f>
        <v>#REF!</v>
      </c>
      <c r="W194" s="210"/>
      <c r="X194" s="210"/>
      <c r="Y194" s="210"/>
      <c r="Z194" s="210"/>
      <c r="AA194" s="210"/>
      <c r="AB194" s="210"/>
      <c r="AC194" s="210"/>
      <c r="AT194" s="425" t="str">
        <f t="shared" si="12"/>
        <v>KP0005902017Q315,3</v>
      </c>
      <c r="AU194" s="64" t="str">
        <f t="shared" si="13"/>
        <v>08-2017</v>
      </c>
      <c r="BA194" s="428" t="str">
        <f t="shared" si="14"/>
        <v>WIP - 30 Days</v>
      </c>
    </row>
    <row r="195" spans="1:245">
      <c r="B195" s="36" t="str">
        <f>'[6]price list MAN'!B195</f>
        <v>MC6-3996</v>
      </c>
      <c r="C195" s="10" t="str">
        <f>'[6]price list MAN'!C195</f>
        <v>CLA-26-2806X4BB-C-L</v>
      </c>
      <c r="D195" s="16" t="str">
        <f>IFERROR(VLOOKUP(C195&amp;"",'[7]Retail Price List'!$A$3:$B$103,2,FALSE),"Special Order")</f>
        <v>KP000590</v>
      </c>
      <c r="E195" s="494" t="str">
        <f>'[6]price list MAN'!E195</f>
        <v>CKD</v>
      </c>
      <c r="F195" s="11" t="str">
        <f>'[6]price list MAN'!F195</f>
        <v>2018-07-30</v>
      </c>
      <c r="G195" s="32">
        <f>'[6]price list MAN'!G195</f>
        <v>15.3</v>
      </c>
      <c r="H195" s="26">
        <f>'[6]price list MAN'!H195</f>
        <v>42978</v>
      </c>
      <c r="I195" s="51" t="str">
        <f t="shared" si="10"/>
        <v>2017Q3</v>
      </c>
      <c r="J195" s="177">
        <f>'[6]price list MAN'!J195</f>
        <v>1040000</v>
      </c>
      <c r="K195" s="177">
        <f>'[6]price list MAN'!P195</f>
        <v>808500</v>
      </c>
      <c r="L195" s="177">
        <f>'[6]price list MAN'!R195</f>
        <v>770000</v>
      </c>
      <c r="M195" s="174">
        <f>'[6]price list MAN'!S195</f>
        <v>1070000</v>
      </c>
      <c r="N195" s="174">
        <f>'[6]price list MAN'!Y195</f>
        <v>840000</v>
      </c>
      <c r="O195" s="174">
        <f>'[6]price list MAN'!AA195</f>
        <v>800000</v>
      </c>
      <c r="P195" s="68">
        <f t="shared" si="11"/>
        <v>0.25233644859813081</v>
      </c>
      <c r="Q195" s="62" t="e">
        <f>O195-#REF!</f>
        <v>#REF!</v>
      </c>
      <c r="W195" s="210"/>
      <c r="X195" s="210"/>
      <c r="Y195" s="210"/>
      <c r="Z195" s="210"/>
      <c r="AA195" s="210"/>
      <c r="AB195" s="210"/>
      <c r="AC195" s="210"/>
      <c r="AT195" s="425" t="str">
        <f t="shared" si="12"/>
        <v>KP0005902017Q315,3</v>
      </c>
      <c r="AU195" s="64" t="str">
        <f t="shared" si="13"/>
        <v>08-2017</v>
      </c>
      <c r="BA195" s="428" t="str">
        <f t="shared" si="14"/>
        <v>WIP - 30 Days</v>
      </c>
    </row>
    <row r="196" spans="1:245">
      <c r="B196" s="36" t="str">
        <f>'[6]price list MAN'!B196</f>
        <v>MC6-3997</v>
      </c>
      <c r="C196" s="10" t="str">
        <f>'[6]price list MAN'!C196</f>
        <v>CLA-26-2806X4BB-C-L</v>
      </c>
      <c r="D196" s="16" t="str">
        <f>IFERROR(VLOOKUP(C196&amp;"",'[7]Retail Price List'!$A$3:$B$103,2,FALSE),"Special Order")</f>
        <v>KP000590</v>
      </c>
      <c r="E196" s="494" t="str">
        <f>'[6]price list MAN'!E196</f>
        <v>CKD</v>
      </c>
      <c r="F196" s="11" t="str">
        <f>'[6]price list MAN'!F196</f>
        <v>2018-08-30</v>
      </c>
      <c r="G196" s="32">
        <f>'[6]price list MAN'!G196</f>
        <v>15.3</v>
      </c>
      <c r="H196" s="26">
        <f>'[6]price list MAN'!H196</f>
        <v>42978</v>
      </c>
      <c r="I196" s="51" t="str">
        <f t="shared" si="10"/>
        <v>2017Q3</v>
      </c>
      <c r="J196" s="177">
        <f>'[6]price list MAN'!J196</f>
        <v>1040000</v>
      </c>
      <c r="K196" s="177">
        <f>'[6]price list MAN'!P196</f>
        <v>808500</v>
      </c>
      <c r="L196" s="177">
        <f>'[6]price list MAN'!R196</f>
        <v>770000</v>
      </c>
      <c r="M196" s="174">
        <f>'[6]price list MAN'!S196</f>
        <v>1070000</v>
      </c>
      <c r="N196" s="174">
        <f>'[6]price list MAN'!Y196</f>
        <v>840000</v>
      </c>
      <c r="O196" s="174">
        <f>'[6]price list MAN'!AA196</f>
        <v>800000</v>
      </c>
      <c r="P196" s="68">
        <f t="shared" si="11"/>
        <v>0.25233644859813081</v>
      </c>
      <c r="Q196" s="62" t="e">
        <f>O196-#REF!</f>
        <v>#REF!</v>
      </c>
      <c r="W196" s="210"/>
      <c r="X196" s="210"/>
      <c r="Y196" s="210"/>
      <c r="Z196" s="210"/>
      <c r="AA196" s="210"/>
      <c r="AB196" s="210"/>
      <c r="AC196" s="210"/>
      <c r="AT196" s="425" t="str">
        <f t="shared" si="12"/>
        <v>KP0005902017Q315,3</v>
      </c>
      <c r="AU196" s="64" t="str">
        <f t="shared" si="13"/>
        <v>08-2017</v>
      </c>
      <c r="BA196" s="428" t="str">
        <f t="shared" si="14"/>
        <v>WIP - 30 Days</v>
      </c>
    </row>
    <row r="197" spans="1:245">
      <c r="B197" s="36" t="str">
        <f>'[6]price list MAN'!B197</f>
        <v>MC6-3998</v>
      </c>
      <c r="C197" s="10" t="str">
        <f>'[6]price list MAN'!C197</f>
        <v>CLA-26-2806X4BB-C-L</v>
      </c>
      <c r="D197" s="16" t="str">
        <f>IFERROR(VLOOKUP(C197&amp;"",'[7]Retail Price List'!$A$3:$B$103,2,FALSE),"Special Order")</f>
        <v>KP000590</v>
      </c>
      <c r="E197" s="494" t="str">
        <f>'[6]price list MAN'!E197</f>
        <v>CKD</v>
      </c>
      <c r="F197" s="11" t="str">
        <f>'[6]price list MAN'!F197</f>
        <v>2018-08-30</v>
      </c>
      <c r="G197" s="32">
        <f>'[6]price list MAN'!G197</f>
        <v>15.3</v>
      </c>
      <c r="H197" s="26">
        <f>'[6]price list MAN'!H197</f>
        <v>42978</v>
      </c>
      <c r="I197" s="51" t="str">
        <f t="shared" ref="I197:I260" si="15">IFERROR(VLOOKUP(AU197,$AW$5:$AY$40,3,FALSE),"")</f>
        <v>2017Q3</v>
      </c>
      <c r="J197" s="177">
        <f>'[6]price list MAN'!J197</f>
        <v>1040000</v>
      </c>
      <c r="K197" s="177">
        <f>'[6]price list MAN'!P197</f>
        <v>808500</v>
      </c>
      <c r="L197" s="177">
        <f>'[6]price list MAN'!R197</f>
        <v>770000</v>
      </c>
      <c r="M197" s="174">
        <f>'[6]price list MAN'!S197</f>
        <v>1070000</v>
      </c>
      <c r="N197" s="174">
        <f>'[6]price list MAN'!Y197</f>
        <v>840000</v>
      </c>
      <c r="O197" s="174">
        <f>'[6]price list MAN'!AA197</f>
        <v>800000</v>
      </c>
      <c r="P197" s="68">
        <f t="shared" ref="P197:P260" si="16">(M197-O197)/M197</f>
        <v>0.25233644859813081</v>
      </c>
      <c r="Q197" s="62" t="e">
        <f>O197-#REF!</f>
        <v>#REF!</v>
      </c>
      <c r="W197" s="210"/>
      <c r="X197" s="210"/>
      <c r="Y197" s="210"/>
      <c r="Z197" s="210"/>
      <c r="AA197" s="210"/>
      <c r="AB197" s="210"/>
      <c r="AC197" s="210"/>
      <c r="AT197" s="425" t="str">
        <f t="shared" ref="AT197:AT260" si="17">D197&amp;I197&amp;G197</f>
        <v>KP0005902017Q315,3</v>
      </c>
      <c r="AU197" s="64" t="str">
        <f t="shared" ref="AU197:AU260" si="18">IF(MONTH(H197)&lt;10,0&amp;MONTH(H197)&amp;"-"&amp;YEAR(H197),MONTH(H197)&amp;"-"&amp;YEAR(H197))</f>
        <v>08-2017</v>
      </c>
      <c r="BA197" s="428" t="str">
        <f t="shared" ref="BA197:BA260" si="19">IF(B197=0,"",IF(AND(F197&gt;=31,F197&lt;=120),"31-120 Days",IF(AND(F197&gt;=121,F197&lt;=365),"121-365 Days",IF(OR(E197="CKD",F197&lt;=30),"WIP - 30 Days","&gt;365 Days"))))</f>
        <v>WIP - 30 Days</v>
      </c>
    </row>
    <row r="198" spans="1:245">
      <c r="B198" s="36" t="str">
        <f>'[6]price list MAN'!B198</f>
        <v>MC6-3999</v>
      </c>
      <c r="C198" s="10" t="str">
        <f>'[6]price list MAN'!C198</f>
        <v>CLA-26-2806X4BB-C-L</v>
      </c>
      <c r="D198" s="16" t="str">
        <f>IFERROR(VLOOKUP(C198&amp;"",'[7]Retail Price List'!$A$3:$B$103,2,FALSE),"Special Order")</f>
        <v>KP000590</v>
      </c>
      <c r="E198" s="494" t="str">
        <f>'[6]price list MAN'!E198</f>
        <v>CKD</v>
      </c>
      <c r="F198" s="11" t="str">
        <f>'[6]price list MAN'!F198</f>
        <v>2018-08-30</v>
      </c>
      <c r="G198" s="32">
        <f>'[6]price list MAN'!G198</f>
        <v>15.3</v>
      </c>
      <c r="H198" s="26">
        <f>'[6]price list MAN'!H198</f>
        <v>42978</v>
      </c>
      <c r="I198" s="51" t="str">
        <f t="shared" si="15"/>
        <v>2017Q3</v>
      </c>
      <c r="J198" s="177">
        <f>'[6]price list MAN'!J198</f>
        <v>1040000</v>
      </c>
      <c r="K198" s="177">
        <f>'[6]price list MAN'!P198</f>
        <v>808500</v>
      </c>
      <c r="L198" s="177">
        <f>'[6]price list MAN'!R198</f>
        <v>770000</v>
      </c>
      <c r="M198" s="174">
        <f>'[6]price list MAN'!S198</f>
        <v>1070000</v>
      </c>
      <c r="N198" s="174">
        <f>'[6]price list MAN'!Y198</f>
        <v>840000</v>
      </c>
      <c r="O198" s="174">
        <f>'[6]price list MAN'!AA198</f>
        <v>800000</v>
      </c>
      <c r="P198" s="68">
        <f t="shared" si="16"/>
        <v>0.25233644859813081</v>
      </c>
      <c r="Q198" s="62" t="e">
        <f>O198-#REF!</f>
        <v>#REF!</v>
      </c>
      <c r="W198" s="210"/>
      <c r="X198" s="210"/>
      <c r="Y198" s="210"/>
      <c r="Z198" s="210"/>
      <c r="AA198" s="210"/>
      <c r="AB198" s="210"/>
      <c r="AC198" s="210"/>
      <c r="AT198" s="425" t="str">
        <f t="shared" si="17"/>
        <v>KP0005902017Q315,3</v>
      </c>
      <c r="AU198" s="64" t="str">
        <f t="shared" si="18"/>
        <v>08-2017</v>
      </c>
      <c r="BA198" s="428" t="str">
        <f t="shared" si="19"/>
        <v>WIP - 30 Days</v>
      </c>
    </row>
    <row r="199" spans="1:245" s="4" customFormat="1">
      <c r="A199" s="41"/>
      <c r="B199" s="36" t="str">
        <f>'[6]price list MAN'!B199</f>
        <v>MC6-4000</v>
      </c>
      <c r="C199" s="10" t="str">
        <f>'[6]price list MAN'!C199</f>
        <v>CLA-26-2806X4BB-C-L</v>
      </c>
      <c r="D199" s="16" t="str">
        <f>IFERROR(VLOOKUP(C199&amp;"",'[7]Retail Price List'!$A$3:$B$103,2,FALSE),"Special Order")</f>
        <v>KP000590</v>
      </c>
      <c r="E199" s="494" t="str">
        <f>'[6]price list MAN'!E199</f>
        <v>CKD</v>
      </c>
      <c r="F199" s="11" t="str">
        <f>'[6]price list MAN'!F199</f>
        <v>2018-06-30</v>
      </c>
      <c r="G199" s="32">
        <f>'[6]price list MAN'!G199</f>
        <v>15.3</v>
      </c>
      <c r="H199" s="26">
        <f>'[6]price list MAN'!H199</f>
        <v>42978</v>
      </c>
      <c r="I199" s="51" t="str">
        <f t="shared" si="15"/>
        <v>2017Q3</v>
      </c>
      <c r="J199" s="177">
        <f>'[6]price list MAN'!J199</f>
        <v>1040000</v>
      </c>
      <c r="K199" s="177">
        <f>'[6]price list MAN'!P199</f>
        <v>808500</v>
      </c>
      <c r="L199" s="177">
        <f>'[6]price list MAN'!R199</f>
        <v>770000</v>
      </c>
      <c r="M199" s="174">
        <f>'[6]price list MAN'!S199</f>
        <v>1070000</v>
      </c>
      <c r="N199" s="174">
        <f>'[6]price list MAN'!Y199</f>
        <v>840000</v>
      </c>
      <c r="O199" s="174">
        <f>'[6]price list MAN'!AA199</f>
        <v>800000</v>
      </c>
      <c r="P199" s="68">
        <f t="shared" si="16"/>
        <v>0.25233644859813081</v>
      </c>
      <c r="Q199" s="62" t="e">
        <f>O199-#REF!</f>
        <v>#REF!</v>
      </c>
      <c r="R199" s="63" t="e">
        <f>SUM(Q176:Q198)/SUM(O176:O198)</f>
        <v>#REF!</v>
      </c>
      <c r="S199" s="64"/>
      <c r="T199" s="64"/>
      <c r="U199" s="64"/>
      <c r="V199" s="64"/>
      <c r="W199" s="210"/>
      <c r="X199" s="210"/>
      <c r="Y199" s="210"/>
      <c r="Z199" s="210"/>
      <c r="AA199" s="210"/>
      <c r="AB199" s="210"/>
      <c r="AC199" s="210"/>
      <c r="AD199" s="54"/>
      <c r="AE199" s="54"/>
      <c r="AF199" s="54"/>
      <c r="AG199" s="5"/>
      <c r="AH199" s="5"/>
      <c r="AI199" s="5"/>
      <c r="AJ199" s="5"/>
      <c r="AK199" s="5"/>
      <c r="AL199" s="5"/>
      <c r="AM199" s="5"/>
      <c r="AN199" s="5"/>
      <c r="AO199" s="5"/>
      <c r="AP199" s="5"/>
      <c r="AQ199" s="5"/>
      <c r="AR199" s="5"/>
      <c r="AS199" s="5"/>
      <c r="AT199" s="425" t="str">
        <f t="shared" si="17"/>
        <v>KP0005902017Q315,3</v>
      </c>
      <c r="AU199" s="64" t="str">
        <f t="shared" si="18"/>
        <v>08-2017</v>
      </c>
      <c r="AV199" s="64"/>
      <c r="AW199" s="64"/>
      <c r="AX199" s="64"/>
      <c r="AY199" s="64"/>
      <c r="AZ199" s="64"/>
      <c r="BA199" s="428" t="str">
        <f t="shared" si="19"/>
        <v>WIP - 30 Days</v>
      </c>
      <c r="BB199" s="169"/>
      <c r="BC199" s="169"/>
      <c r="BD199" s="169"/>
      <c r="BE199" s="41"/>
      <c r="BF199" s="41"/>
      <c r="BG199" s="41"/>
      <c r="BH199" s="41"/>
      <c r="BI199" s="41"/>
      <c r="BJ199" s="41"/>
      <c r="BK199" s="41"/>
      <c r="BL199" s="41"/>
      <c r="BM199" s="41"/>
      <c r="BN199" s="41"/>
      <c r="BO199" s="41"/>
      <c r="BP199" s="41"/>
      <c r="BQ199" s="41"/>
      <c r="BR199" s="41"/>
      <c r="BS199" s="41"/>
      <c r="BT199" s="41"/>
      <c r="BU199" s="41"/>
      <c r="BV199" s="41"/>
      <c r="BW199" s="41"/>
      <c r="BX199" s="41"/>
      <c r="BY199" s="41"/>
      <c r="BZ199" s="41"/>
      <c r="CA199" s="41"/>
      <c r="CB199" s="41"/>
      <c r="CC199" s="41"/>
      <c r="CD199" s="41"/>
      <c r="CE199" s="41"/>
      <c r="CF199" s="41"/>
      <c r="CG199" s="41"/>
      <c r="CH199" s="41"/>
      <c r="CI199" s="41"/>
      <c r="CJ199" s="41"/>
      <c r="CK199" s="41"/>
      <c r="CL199" s="41"/>
      <c r="CM199" s="41"/>
      <c r="CN199" s="41"/>
      <c r="CO199" s="41"/>
      <c r="CP199" s="41"/>
      <c r="CQ199" s="41"/>
      <c r="CR199" s="41"/>
      <c r="CS199" s="41"/>
      <c r="CT199" s="41"/>
      <c r="CU199" s="41"/>
      <c r="CV199" s="41"/>
      <c r="CW199" s="41"/>
      <c r="CX199" s="41"/>
      <c r="CY199" s="41"/>
      <c r="CZ199" s="41"/>
      <c r="DA199" s="41"/>
      <c r="DB199" s="41"/>
      <c r="DC199" s="41"/>
      <c r="DD199" s="41"/>
      <c r="DE199" s="41"/>
      <c r="DF199" s="41"/>
      <c r="DG199" s="41"/>
      <c r="DH199" s="41"/>
      <c r="DI199" s="41"/>
      <c r="DJ199" s="41"/>
      <c r="DK199" s="41"/>
      <c r="DL199" s="41"/>
      <c r="DM199" s="41"/>
      <c r="DN199" s="41"/>
      <c r="DO199" s="41"/>
      <c r="DP199" s="41"/>
      <c r="DQ199" s="41"/>
      <c r="DR199" s="41"/>
      <c r="DS199" s="41"/>
      <c r="DT199" s="41"/>
      <c r="DU199" s="41"/>
      <c r="DV199" s="41"/>
      <c r="DW199" s="41"/>
      <c r="DX199" s="41"/>
      <c r="DY199" s="41"/>
      <c r="DZ199" s="41"/>
      <c r="EA199" s="41"/>
      <c r="EB199" s="41"/>
      <c r="EC199" s="41"/>
      <c r="ED199" s="41"/>
      <c r="EE199" s="41"/>
      <c r="EF199" s="41"/>
      <c r="EG199" s="41"/>
      <c r="EH199" s="41"/>
      <c r="EI199" s="41"/>
      <c r="EJ199" s="41"/>
      <c r="EK199" s="41"/>
      <c r="EL199" s="41"/>
      <c r="EM199" s="41"/>
      <c r="EN199" s="41"/>
      <c r="EO199" s="41"/>
      <c r="EP199" s="41"/>
      <c r="EQ199" s="41"/>
      <c r="ER199" s="41"/>
      <c r="ES199" s="41"/>
      <c r="ET199" s="41"/>
      <c r="EU199" s="41"/>
      <c r="EV199" s="41"/>
      <c r="EW199" s="41"/>
      <c r="EX199" s="41"/>
      <c r="EY199" s="41"/>
      <c r="EZ199" s="41"/>
      <c r="FA199" s="41"/>
      <c r="FB199" s="41"/>
      <c r="FC199" s="41"/>
      <c r="FD199" s="41"/>
      <c r="FE199" s="41"/>
      <c r="FF199" s="41"/>
      <c r="FG199" s="41"/>
      <c r="FH199" s="41"/>
      <c r="FI199" s="41"/>
      <c r="FJ199" s="41"/>
      <c r="FK199" s="41"/>
      <c r="FL199" s="41"/>
      <c r="FM199" s="41"/>
      <c r="FN199" s="41"/>
      <c r="FO199" s="41"/>
      <c r="FP199" s="41"/>
      <c r="FQ199" s="41"/>
      <c r="FR199" s="41"/>
      <c r="FS199" s="41"/>
      <c r="FT199" s="41"/>
      <c r="FU199" s="41"/>
      <c r="FV199" s="41"/>
      <c r="FW199" s="41"/>
      <c r="FX199" s="41"/>
      <c r="FY199" s="41"/>
      <c r="FZ199" s="41"/>
      <c r="GA199" s="41"/>
      <c r="GB199" s="41"/>
      <c r="GC199" s="41"/>
      <c r="GD199" s="41"/>
      <c r="GE199" s="41"/>
      <c r="GF199" s="41"/>
      <c r="GG199" s="41"/>
      <c r="GH199" s="41"/>
      <c r="GI199" s="41"/>
      <c r="GJ199" s="41"/>
      <c r="GK199" s="41"/>
      <c r="GL199" s="41"/>
      <c r="GM199" s="41"/>
      <c r="GN199" s="41"/>
      <c r="GO199" s="41"/>
      <c r="GP199" s="41"/>
      <c r="GQ199" s="41"/>
      <c r="GR199" s="41"/>
      <c r="GS199" s="41"/>
      <c r="GT199" s="41"/>
      <c r="GU199" s="41"/>
      <c r="GV199" s="41"/>
      <c r="GW199" s="41"/>
      <c r="GX199" s="41"/>
      <c r="GY199" s="41"/>
      <c r="GZ199" s="41"/>
      <c r="HA199" s="41"/>
      <c r="HB199" s="41"/>
      <c r="HC199" s="41"/>
      <c r="HD199" s="41"/>
      <c r="HE199" s="41"/>
      <c r="HF199" s="41"/>
      <c r="HG199" s="41"/>
      <c r="HH199" s="41"/>
      <c r="HI199" s="41"/>
      <c r="HJ199" s="41"/>
      <c r="HK199" s="41"/>
      <c r="HL199" s="41"/>
      <c r="HM199" s="41"/>
      <c r="HN199" s="41"/>
      <c r="HO199" s="41"/>
      <c r="HP199" s="41"/>
      <c r="HQ199" s="41"/>
      <c r="HR199" s="41"/>
      <c r="HS199" s="41"/>
      <c r="HT199" s="41"/>
      <c r="HU199" s="41"/>
      <c r="HV199" s="41"/>
      <c r="HW199" s="41"/>
      <c r="HX199" s="41"/>
      <c r="HY199" s="41"/>
      <c r="HZ199" s="41"/>
      <c r="IA199" s="41"/>
      <c r="IB199" s="41"/>
      <c r="IC199" s="41"/>
      <c r="ID199" s="41"/>
      <c r="IE199" s="41"/>
      <c r="IF199" s="41"/>
      <c r="IG199" s="41"/>
      <c r="IH199" s="41"/>
      <c r="II199" s="41"/>
      <c r="IJ199" s="41"/>
      <c r="IK199" s="41"/>
    </row>
    <row r="200" spans="1:245">
      <c r="B200" s="36" t="str">
        <f>'[6]price list MAN'!B200</f>
        <v>MC6-4001</v>
      </c>
      <c r="C200" s="10" t="str">
        <f>'[6]price list MAN'!C200</f>
        <v>CLA-26-2806X4BB-C-L</v>
      </c>
      <c r="D200" s="16" t="str">
        <f>IFERROR(VLOOKUP(C200&amp;"",'[7]Retail Price List'!$A$3:$B$103,2,FALSE),"Special Order")</f>
        <v>KP000590</v>
      </c>
      <c r="E200" s="494" t="str">
        <f>'[6]price list MAN'!E200</f>
        <v>CKD</v>
      </c>
      <c r="F200" s="11" t="str">
        <f>'[6]price list MAN'!F200</f>
        <v>2018-06-30</v>
      </c>
      <c r="G200" s="32">
        <f>'[6]price list MAN'!G200</f>
        <v>15.3</v>
      </c>
      <c r="H200" s="26">
        <f>'[6]price list MAN'!H200</f>
        <v>42978</v>
      </c>
      <c r="I200" s="51" t="str">
        <f t="shared" si="15"/>
        <v>2017Q3</v>
      </c>
      <c r="J200" s="177">
        <f>'[6]price list MAN'!J200</f>
        <v>1040000</v>
      </c>
      <c r="K200" s="177">
        <f>'[6]price list MAN'!P200</f>
        <v>808500</v>
      </c>
      <c r="L200" s="177">
        <f>'[6]price list MAN'!R200</f>
        <v>770000</v>
      </c>
      <c r="M200" s="174">
        <f>'[6]price list MAN'!S200</f>
        <v>1070000</v>
      </c>
      <c r="N200" s="174">
        <f>'[6]price list MAN'!Y200</f>
        <v>840000</v>
      </c>
      <c r="O200" s="174">
        <f>'[6]price list MAN'!AA200</f>
        <v>800000</v>
      </c>
      <c r="P200" s="68">
        <f t="shared" si="16"/>
        <v>0.25233644859813081</v>
      </c>
      <c r="Q200" s="62" t="e">
        <f>O200-#REF!</f>
        <v>#REF!</v>
      </c>
      <c r="S200" s="64">
        <v>13</v>
      </c>
      <c r="T200" s="64">
        <v>8.5</v>
      </c>
      <c r="U200" s="64">
        <v>10.4</v>
      </c>
      <c r="W200" s="210"/>
      <c r="X200" s="210"/>
      <c r="Y200" s="210"/>
      <c r="Z200" s="210"/>
      <c r="AA200" s="210"/>
      <c r="AB200" s="210"/>
      <c r="AC200" s="210"/>
      <c r="AT200" s="425" t="str">
        <f t="shared" si="17"/>
        <v>KP0005902017Q315,3</v>
      </c>
      <c r="AU200" s="64" t="str">
        <f t="shared" si="18"/>
        <v>08-2017</v>
      </c>
      <c r="BA200" s="428" t="str">
        <f t="shared" si="19"/>
        <v>WIP - 30 Days</v>
      </c>
    </row>
    <row r="201" spans="1:245">
      <c r="B201" s="36" t="str">
        <f>'[6]price list MAN'!B201</f>
        <v>MC6-4002</v>
      </c>
      <c r="C201" s="10" t="str">
        <f>'[6]price list MAN'!C201</f>
        <v>CLA-26-2806X4BB-C-L</v>
      </c>
      <c r="D201" s="16" t="str">
        <f>IFERROR(VLOOKUP(C201&amp;"",'[7]Retail Price List'!$A$3:$B$103,2,FALSE),"Special Order")</f>
        <v>KP000590</v>
      </c>
      <c r="E201" s="494" t="str">
        <f>'[6]price list MAN'!E201</f>
        <v>CKD</v>
      </c>
      <c r="F201" s="11" t="str">
        <f>'[6]price list MAN'!F201</f>
        <v>2018-06-30</v>
      </c>
      <c r="G201" s="32">
        <f>'[6]price list MAN'!G201</f>
        <v>15.3</v>
      </c>
      <c r="H201" s="26">
        <f>'[6]price list MAN'!H201</f>
        <v>42978</v>
      </c>
      <c r="I201" s="51" t="str">
        <f t="shared" si="15"/>
        <v>2017Q3</v>
      </c>
      <c r="J201" s="177">
        <f>'[6]price list MAN'!J201</f>
        <v>1040000</v>
      </c>
      <c r="K201" s="177">
        <f>'[6]price list MAN'!P201</f>
        <v>808500</v>
      </c>
      <c r="L201" s="177">
        <f>'[6]price list MAN'!R201</f>
        <v>770000</v>
      </c>
      <c r="M201" s="174">
        <f>'[6]price list MAN'!S201</f>
        <v>1070000</v>
      </c>
      <c r="N201" s="174">
        <f>'[6]price list MAN'!Y201</f>
        <v>840000</v>
      </c>
      <c r="O201" s="174">
        <f>'[6]price list MAN'!AA201</f>
        <v>800000</v>
      </c>
      <c r="P201" s="68">
        <f t="shared" si="16"/>
        <v>0.25233644859813081</v>
      </c>
      <c r="Q201" s="62" t="e">
        <f>O201-#REF!</f>
        <v>#REF!</v>
      </c>
      <c r="S201" s="64">
        <v>0</v>
      </c>
      <c r="T201" s="64">
        <v>0</v>
      </c>
      <c r="U201" s="64">
        <v>0</v>
      </c>
      <c r="W201" s="210"/>
      <c r="X201" s="210"/>
      <c r="Y201" s="210"/>
      <c r="Z201" s="210"/>
      <c r="AA201" s="210"/>
      <c r="AB201" s="210"/>
      <c r="AC201" s="210"/>
      <c r="AT201" s="425" t="str">
        <f t="shared" si="17"/>
        <v>KP0005902017Q315,3</v>
      </c>
      <c r="AU201" s="64" t="str">
        <f t="shared" si="18"/>
        <v>08-2017</v>
      </c>
      <c r="BA201" s="428" t="str">
        <f t="shared" si="19"/>
        <v>WIP - 30 Days</v>
      </c>
    </row>
    <row r="202" spans="1:245">
      <c r="B202" s="36" t="str">
        <f>'[6]price list MAN'!B202</f>
        <v>MC6-4003</v>
      </c>
      <c r="C202" s="10" t="str">
        <f>'[6]price list MAN'!C202</f>
        <v>CLA-26-2806X4BB-C-L</v>
      </c>
      <c r="D202" s="16" t="str">
        <f>IFERROR(VLOOKUP(C202&amp;"",'[7]Retail Price List'!$A$3:$B$103,2,FALSE),"Special Order")</f>
        <v>KP000590</v>
      </c>
      <c r="E202" s="494" t="str">
        <f>'[6]price list MAN'!E202</f>
        <v>CKD</v>
      </c>
      <c r="F202" s="11" t="str">
        <f>'[6]price list MAN'!F202</f>
        <v>2018-06-30</v>
      </c>
      <c r="G202" s="32">
        <f>'[6]price list MAN'!G202</f>
        <v>15.3</v>
      </c>
      <c r="H202" s="26">
        <f>'[6]price list MAN'!H202</f>
        <v>42978</v>
      </c>
      <c r="I202" s="51" t="str">
        <f t="shared" si="15"/>
        <v>2017Q3</v>
      </c>
      <c r="J202" s="177">
        <f>'[6]price list MAN'!J202</f>
        <v>1040000</v>
      </c>
      <c r="K202" s="177">
        <f>'[6]price list MAN'!P202</f>
        <v>808500</v>
      </c>
      <c r="L202" s="177">
        <f>'[6]price list MAN'!R202</f>
        <v>770000</v>
      </c>
      <c r="M202" s="174">
        <f>'[6]price list MAN'!S202</f>
        <v>1070000</v>
      </c>
      <c r="N202" s="174">
        <f>'[6]price list MAN'!Y202</f>
        <v>840000</v>
      </c>
      <c r="O202" s="174">
        <f>'[6]price list MAN'!AA202</f>
        <v>800000</v>
      </c>
      <c r="P202" s="68">
        <f t="shared" si="16"/>
        <v>0.25233644859813081</v>
      </c>
      <c r="Q202" s="62" t="e">
        <f>O202-#REF!</f>
        <v>#REF!</v>
      </c>
      <c r="S202" s="64">
        <f>COUNT(#REF!)</f>
        <v>0</v>
      </c>
      <c r="W202" s="210"/>
      <c r="X202" s="210"/>
      <c r="Y202" s="210"/>
      <c r="Z202" s="210"/>
      <c r="AA202" s="210"/>
      <c r="AB202" s="210"/>
      <c r="AC202" s="210"/>
      <c r="AT202" s="425" t="str">
        <f t="shared" si="17"/>
        <v>KP0005902017Q315,3</v>
      </c>
      <c r="AU202" s="64" t="str">
        <f t="shared" si="18"/>
        <v>08-2017</v>
      </c>
      <c r="BA202" s="428" t="str">
        <f t="shared" si="19"/>
        <v>WIP - 30 Days</v>
      </c>
    </row>
    <row r="203" spans="1:245">
      <c r="B203" s="36" t="str">
        <f>'[6]price list MAN'!B203</f>
        <v>MC6-4004</v>
      </c>
      <c r="C203" s="10" t="str">
        <f>'[6]price list MAN'!C203</f>
        <v>CLA-26-2806X4BB-C-L</v>
      </c>
      <c r="D203" s="16" t="str">
        <f>IFERROR(VLOOKUP(C203&amp;"",'[7]Retail Price List'!$A$3:$B$103,2,FALSE),"Special Order")</f>
        <v>KP000590</v>
      </c>
      <c r="E203" s="494" t="str">
        <f>'[6]price list MAN'!E203</f>
        <v>CKD</v>
      </c>
      <c r="F203" s="11" t="str">
        <f>'[6]price list MAN'!F203</f>
        <v>2018-06-30</v>
      </c>
      <c r="G203" s="32">
        <f>'[6]price list MAN'!G203</f>
        <v>15.3</v>
      </c>
      <c r="H203" s="26">
        <f>'[6]price list MAN'!H203</f>
        <v>42978</v>
      </c>
      <c r="I203" s="51" t="str">
        <f t="shared" si="15"/>
        <v>2017Q3</v>
      </c>
      <c r="J203" s="177">
        <f>'[6]price list MAN'!J203</f>
        <v>1040000</v>
      </c>
      <c r="K203" s="177">
        <f>'[6]price list MAN'!P203</f>
        <v>808500</v>
      </c>
      <c r="L203" s="177">
        <f>'[6]price list MAN'!R203</f>
        <v>770000</v>
      </c>
      <c r="M203" s="174">
        <f>'[6]price list MAN'!S203</f>
        <v>1070000</v>
      </c>
      <c r="N203" s="174">
        <f>'[6]price list MAN'!Y203</f>
        <v>840000</v>
      </c>
      <c r="O203" s="174">
        <f>'[6]price list MAN'!AA203</f>
        <v>800000</v>
      </c>
      <c r="P203" s="68">
        <f t="shared" si="16"/>
        <v>0.25233644859813081</v>
      </c>
      <c r="Q203" s="62" t="e">
        <f>O203-#REF!</f>
        <v>#REF!</v>
      </c>
      <c r="S203" s="62" t="e">
        <f>+AVERAGE(#REF!)</f>
        <v>#REF!</v>
      </c>
      <c r="W203" s="210"/>
      <c r="X203" s="210"/>
      <c r="Y203" s="210"/>
      <c r="Z203" s="210"/>
      <c r="AA203" s="210"/>
      <c r="AB203" s="210"/>
      <c r="AC203" s="210"/>
      <c r="AT203" s="425" t="str">
        <f t="shared" si="17"/>
        <v>KP0005902017Q315,3</v>
      </c>
      <c r="AU203" s="64" t="str">
        <f t="shared" si="18"/>
        <v>08-2017</v>
      </c>
      <c r="BA203" s="428" t="str">
        <f t="shared" si="19"/>
        <v>WIP - 30 Days</v>
      </c>
    </row>
    <row r="204" spans="1:245">
      <c r="B204" s="36" t="str">
        <f>'[6]price list MAN'!B204</f>
        <v>MC6-4005</v>
      </c>
      <c r="C204" s="10" t="str">
        <f>'[6]price list MAN'!C204</f>
        <v>CLA-26-2806X4BB-C-L</v>
      </c>
      <c r="D204" s="16" t="str">
        <f>IFERROR(VLOOKUP(C204&amp;"",'[7]Retail Price List'!$A$3:$B$103,2,FALSE),"Special Order")</f>
        <v>KP000590</v>
      </c>
      <c r="E204" s="494" t="str">
        <f>'[6]price list MAN'!E204</f>
        <v>CKD</v>
      </c>
      <c r="F204" s="11" t="str">
        <f>'[6]price list MAN'!F204</f>
        <v>2018-07-30</v>
      </c>
      <c r="G204" s="32">
        <f>'[6]price list MAN'!G204</f>
        <v>15.3</v>
      </c>
      <c r="H204" s="26">
        <f>'[6]price list MAN'!H204</f>
        <v>42978</v>
      </c>
      <c r="I204" s="51" t="str">
        <f t="shared" si="15"/>
        <v>2017Q3</v>
      </c>
      <c r="J204" s="177">
        <f>'[6]price list MAN'!J204</f>
        <v>1040000</v>
      </c>
      <c r="K204" s="177">
        <f>'[6]price list MAN'!P204</f>
        <v>808500</v>
      </c>
      <c r="L204" s="177">
        <f>'[6]price list MAN'!R204</f>
        <v>770000</v>
      </c>
      <c r="M204" s="174">
        <f>'[6]price list MAN'!S204</f>
        <v>1070000</v>
      </c>
      <c r="N204" s="174">
        <f>'[6]price list MAN'!Y204</f>
        <v>840000</v>
      </c>
      <c r="O204" s="174">
        <f>'[6]price list MAN'!AA204</f>
        <v>800000</v>
      </c>
      <c r="P204" s="68">
        <f t="shared" si="16"/>
        <v>0.25233644859813081</v>
      </c>
      <c r="Q204" s="62" t="e">
        <f>O204-#REF!</f>
        <v>#REF!</v>
      </c>
      <c r="W204" s="210"/>
      <c r="X204" s="210"/>
      <c r="Y204" s="210"/>
      <c r="Z204" s="210"/>
      <c r="AA204" s="210"/>
      <c r="AB204" s="210"/>
      <c r="AC204" s="210"/>
      <c r="AT204" s="425" t="str">
        <f t="shared" si="17"/>
        <v>KP0005902017Q315,3</v>
      </c>
      <c r="AU204" s="64" t="str">
        <f t="shared" si="18"/>
        <v>08-2017</v>
      </c>
      <c r="BA204" s="428" t="str">
        <f t="shared" si="19"/>
        <v>WIP - 30 Days</v>
      </c>
    </row>
    <row r="205" spans="1:245">
      <c r="B205" s="36" t="str">
        <f>'[6]price list MAN'!B205</f>
        <v>MC6-4006</v>
      </c>
      <c r="C205" s="10" t="str">
        <f>'[6]price list MAN'!C205</f>
        <v>CLA-26-2806X4BB-C-L</v>
      </c>
      <c r="D205" s="16" t="str">
        <f>IFERROR(VLOOKUP(C205&amp;"",'[7]Retail Price List'!$A$3:$B$103,2,FALSE),"Special Order")</f>
        <v>KP000590</v>
      </c>
      <c r="E205" s="494" t="str">
        <f>'[6]price list MAN'!E205</f>
        <v>CKD</v>
      </c>
      <c r="F205" s="11" t="str">
        <f>'[6]price list MAN'!F205</f>
        <v>2018-07-30</v>
      </c>
      <c r="G205" s="32">
        <f>'[6]price list MAN'!G205</f>
        <v>15.3</v>
      </c>
      <c r="H205" s="26">
        <f>'[6]price list MAN'!H205</f>
        <v>42978</v>
      </c>
      <c r="I205" s="51" t="str">
        <f t="shared" si="15"/>
        <v>2017Q3</v>
      </c>
      <c r="J205" s="177">
        <f>'[6]price list MAN'!J205</f>
        <v>1040000</v>
      </c>
      <c r="K205" s="177">
        <f>'[6]price list MAN'!P205</f>
        <v>808500</v>
      </c>
      <c r="L205" s="177">
        <f>'[6]price list MAN'!R205</f>
        <v>770000</v>
      </c>
      <c r="M205" s="174">
        <f>'[6]price list MAN'!S205</f>
        <v>1070000</v>
      </c>
      <c r="N205" s="174">
        <f>'[6]price list MAN'!Y205</f>
        <v>840000</v>
      </c>
      <c r="O205" s="174">
        <f>'[6]price list MAN'!AA205</f>
        <v>800000</v>
      </c>
      <c r="P205" s="68">
        <f t="shared" si="16"/>
        <v>0.25233644859813081</v>
      </c>
      <c r="Q205" s="62" t="e">
        <f>O205-#REF!</f>
        <v>#REF!</v>
      </c>
      <c r="W205" s="210"/>
      <c r="X205" s="210"/>
      <c r="Y205" s="210"/>
      <c r="Z205" s="210"/>
      <c r="AA205" s="210"/>
      <c r="AB205" s="210"/>
      <c r="AC205" s="210"/>
      <c r="AT205" s="425" t="str">
        <f t="shared" si="17"/>
        <v>KP0005902017Q315,3</v>
      </c>
      <c r="AU205" s="64" t="str">
        <f t="shared" si="18"/>
        <v>08-2017</v>
      </c>
      <c r="BA205" s="428" t="str">
        <f t="shared" si="19"/>
        <v>WIP - 30 Days</v>
      </c>
    </row>
    <row r="206" spans="1:245">
      <c r="B206" s="36" t="str">
        <f>'[6]price list MAN'!B206</f>
        <v>MC6-4007</v>
      </c>
      <c r="C206" s="10" t="str">
        <f>'[6]price list MAN'!C206</f>
        <v>CLA-26-2806X4BB-C-L</v>
      </c>
      <c r="D206" s="16" t="str">
        <f>IFERROR(VLOOKUP(C206&amp;"",'[7]Retail Price List'!$A$3:$B$103,2,FALSE),"Special Order")</f>
        <v>KP000590</v>
      </c>
      <c r="E206" s="494" t="str">
        <f>'[6]price list MAN'!E206</f>
        <v>CKD</v>
      </c>
      <c r="F206" s="11" t="str">
        <f>'[6]price list MAN'!F206</f>
        <v>2018-07-30</v>
      </c>
      <c r="G206" s="32">
        <f>'[6]price list MAN'!G206</f>
        <v>15.3</v>
      </c>
      <c r="H206" s="26">
        <f>'[6]price list MAN'!H206</f>
        <v>42978</v>
      </c>
      <c r="I206" s="51" t="str">
        <f t="shared" si="15"/>
        <v>2017Q3</v>
      </c>
      <c r="J206" s="177">
        <f>'[6]price list MAN'!J206</f>
        <v>1040000</v>
      </c>
      <c r="K206" s="177">
        <f>'[6]price list MAN'!P206</f>
        <v>808500</v>
      </c>
      <c r="L206" s="177">
        <f>'[6]price list MAN'!R206</f>
        <v>770000</v>
      </c>
      <c r="M206" s="174">
        <f>'[6]price list MAN'!S206</f>
        <v>1070000</v>
      </c>
      <c r="N206" s="174">
        <f>'[6]price list MAN'!Y206</f>
        <v>840000</v>
      </c>
      <c r="O206" s="174">
        <f>'[6]price list MAN'!AA206</f>
        <v>800000</v>
      </c>
      <c r="P206" s="68">
        <f t="shared" si="16"/>
        <v>0.25233644859813081</v>
      </c>
      <c r="Q206" s="62" t="e">
        <f>O206-#REF!</f>
        <v>#REF!</v>
      </c>
      <c r="W206" s="210"/>
      <c r="X206" s="210"/>
      <c r="Y206" s="210"/>
      <c r="Z206" s="210"/>
      <c r="AA206" s="210"/>
      <c r="AB206" s="210"/>
      <c r="AC206" s="210"/>
      <c r="AT206" s="425" t="str">
        <f t="shared" si="17"/>
        <v>KP0005902017Q315,3</v>
      </c>
      <c r="AU206" s="64" t="str">
        <f t="shared" si="18"/>
        <v>08-2017</v>
      </c>
      <c r="BA206" s="428" t="str">
        <f t="shared" si="19"/>
        <v>WIP - 30 Days</v>
      </c>
    </row>
    <row r="207" spans="1:245">
      <c r="B207" s="36" t="str">
        <f>'[6]price list MAN'!B207</f>
        <v>MC6-4008</v>
      </c>
      <c r="C207" s="10" t="str">
        <f>'[6]price list MAN'!C207</f>
        <v>CLA-26-2806X4BB-C-L</v>
      </c>
      <c r="D207" s="16" t="str">
        <f>IFERROR(VLOOKUP(C207&amp;"",'[7]Retail Price List'!$A$3:$B$103,2,FALSE),"Special Order")</f>
        <v>KP000590</v>
      </c>
      <c r="E207" s="494" t="str">
        <f>'[6]price list MAN'!E207</f>
        <v>CKD</v>
      </c>
      <c r="F207" s="11" t="str">
        <f>'[6]price list MAN'!F207</f>
        <v>2018-07-30</v>
      </c>
      <c r="G207" s="32">
        <f>'[6]price list MAN'!G207</f>
        <v>15.3</v>
      </c>
      <c r="H207" s="26">
        <f>'[6]price list MAN'!H207</f>
        <v>42978</v>
      </c>
      <c r="I207" s="51" t="str">
        <f t="shared" si="15"/>
        <v>2017Q3</v>
      </c>
      <c r="J207" s="177">
        <f>'[6]price list MAN'!J207</f>
        <v>1040000</v>
      </c>
      <c r="K207" s="177">
        <f>'[6]price list MAN'!P207</f>
        <v>808500</v>
      </c>
      <c r="L207" s="177">
        <f>'[6]price list MAN'!R207</f>
        <v>770000</v>
      </c>
      <c r="M207" s="174">
        <f>'[6]price list MAN'!S207</f>
        <v>1070000</v>
      </c>
      <c r="N207" s="174">
        <f>'[6]price list MAN'!Y207</f>
        <v>840000</v>
      </c>
      <c r="O207" s="174">
        <f>'[6]price list MAN'!AA207</f>
        <v>800000</v>
      </c>
      <c r="P207" s="68">
        <f t="shared" si="16"/>
        <v>0.25233644859813081</v>
      </c>
      <c r="Q207" s="62" t="e">
        <f>O207-#REF!</f>
        <v>#REF!</v>
      </c>
      <c r="W207" s="210"/>
      <c r="X207" s="210"/>
      <c r="Y207" s="210"/>
      <c r="Z207" s="210"/>
      <c r="AA207" s="210"/>
      <c r="AB207" s="210"/>
      <c r="AC207" s="210"/>
      <c r="AT207" s="425" t="str">
        <f t="shared" si="17"/>
        <v>KP0005902017Q315,3</v>
      </c>
      <c r="AU207" s="64" t="str">
        <f t="shared" si="18"/>
        <v>08-2017</v>
      </c>
      <c r="BA207" s="428" t="str">
        <f t="shared" si="19"/>
        <v>WIP - 30 Days</v>
      </c>
    </row>
    <row r="208" spans="1:245">
      <c r="B208" s="36" t="str">
        <f>'[6]price list MAN'!B208</f>
        <v>TBAKP590</v>
      </c>
      <c r="C208" s="10" t="str">
        <f>'[6]price list MAN'!C208</f>
        <v>CLA-26-2806X4BB-C-L</v>
      </c>
      <c r="D208" s="16" t="str">
        <f>IFERROR(VLOOKUP(C208&amp;"",'[7]Retail Price List'!$A$3:$B$103,2,FALSE),"Special Order")</f>
        <v>KP000590</v>
      </c>
      <c r="E208" s="494" t="str">
        <f>'[6]price list MAN'!E208</f>
        <v>CKD</v>
      </c>
      <c r="F208" s="11" t="str">
        <f>'[6]price list MAN'!F208</f>
        <v>2018-08-19</v>
      </c>
      <c r="G208" s="32">
        <f>'[6]price list MAN'!G208</f>
        <v>15.8</v>
      </c>
      <c r="H208" s="26">
        <f>'[6]price list MAN'!H208</f>
        <v>43159</v>
      </c>
      <c r="I208" s="51" t="str">
        <f t="shared" si="15"/>
        <v>2018Q1</v>
      </c>
      <c r="J208" s="177">
        <f>'[6]price list MAN'!J208</f>
        <v>1040000</v>
      </c>
      <c r="K208" s="177">
        <f>'[6]price list MAN'!P208</f>
        <v>829500</v>
      </c>
      <c r="L208" s="177">
        <f>'[6]price list MAN'!R208</f>
        <v>790000</v>
      </c>
      <c r="M208" s="174">
        <f>'[6]price list MAN'!S208</f>
        <v>1070000</v>
      </c>
      <c r="N208" s="174">
        <f>'[6]price list MAN'!Y208</f>
        <v>861000</v>
      </c>
      <c r="O208" s="174">
        <f>'[6]price list MAN'!AA208</f>
        <v>820000</v>
      </c>
      <c r="P208" s="68">
        <f t="shared" si="16"/>
        <v>0.23364485981308411</v>
      </c>
      <c r="Q208" s="62" t="e">
        <f>O208-#REF!</f>
        <v>#REF!</v>
      </c>
      <c r="W208" s="210"/>
      <c r="X208" s="210"/>
      <c r="Y208" s="210"/>
      <c r="Z208" s="210"/>
      <c r="AA208" s="210"/>
      <c r="AB208" s="210"/>
      <c r="AC208" s="210"/>
      <c r="AT208" s="425" t="str">
        <f t="shared" si="17"/>
        <v>KP0005902018Q115,8</v>
      </c>
      <c r="AU208" s="64" t="str">
        <f t="shared" si="18"/>
        <v>02-2018</v>
      </c>
      <c r="BA208" s="428" t="str">
        <f t="shared" si="19"/>
        <v>WIP - 30 Days</v>
      </c>
    </row>
    <row r="209" spans="2:53">
      <c r="B209" s="36" t="str">
        <f>'[6]price list MAN'!B209</f>
        <v>MC6-2258</v>
      </c>
      <c r="C209" s="10" t="str">
        <f>'[6]price list MAN'!C209</f>
        <v>CLA-26-2806X4BB-C-M</v>
      </c>
      <c r="D209" s="16" t="str">
        <f>IFERROR(VLOOKUP(C209&amp;"",'[7]Retail Price List'!$A$3:$B$103,2,FALSE),"Special Order")</f>
        <v>KP000564</v>
      </c>
      <c r="E209" s="494" t="str">
        <f>'[6]price list MAN'!E209</f>
        <v>SOLD</v>
      </c>
      <c r="F209" s="11">
        <f>'[6]price list MAN'!F209</f>
        <v>20</v>
      </c>
      <c r="G209" s="32">
        <f>'[6]price list MAN'!G209</f>
        <v>14.7</v>
      </c>
      <c r="H209" s="26">
        <f>'[6]price list MAN'!H209</f>
        <v>42937</v>
      </c>
      <c r="I209" s="51" t="str">
        <f t="shared" si="15"/>
        <v>201707Q3</v>
      </c>
      <c r="J209" s="177">
        <f>'[6]price list MAN'!J209</f>
        <v>1090000</v>
      </c>
      <c r="K209" s="177">
        <f>'[6]price list MAN'!P209</f>
        <v>838950</v>
      </c>
      <c r="L209" s="177">
        <f>'[6]price list MAN'!R209</f>
        <v>799000</v>
      </c>
      <c r="M209" s="174">
        <f>'[6]price list MAN'!S209</f>
        <v>1120000</v>
      </c>
      <c r="N209" s="174">
        <f>'[6]price list MAN'!Y209</f>
        <v>870450</v>
      </c>
      <c r="O209" s="174">
        <f>'[6]price list MAN'!AA209</f>
        <v>829000</v>
      </c>
      <c r="P209" s="68">
        <f t="shared" si="16"/>
        <v>0.25982142857142859</v>
      </c>
      <c r="Q209" s="62" t="e">
        <f>O209-#REF!</f>
        <v>#REF!</v>
      </c>
      <c r="W209" s="210"/>
      <c r="X209" s="210"/>
      <c r="Y209" s="210"/>
      <c r="Z209" s="210"/>
      <c r="AA209" s="210"/>
      <c r="AB209" s="210"/>
      <c r="AC209" s="210"/>
      <c r="AT209" s="425" t="str">
        <f t="shared" si="17"/>
        <v>KP000564201707Q314,7</v>
      </c>
      <c r="AU209" s="64" t="str">
        <f t="shared" si="18"/>
        <v>07-2017</v>
      </c>
      <c r="BA209" s="428" t="str">
        <f t="shared" si="19"/>
        <v>WIP - 30 Days</v>
      </c>
    </row>
    <row r="210" spans="2:53">
      <c r="B210" s="36" t="str">
        <f>'[6]price list MAN'!B210</f>
        <v>MC6-2259</v>
      </c>
      <c r="C210" s="10" t="str">
        <f>'[6]price list MAN'!C210</f>
        <v>CLA-26-2806X4BB-C-M</v>
      </c>
      <c r="D210" s="16" t="str">
        <f>IFERROR(VLOOKUP(C210&amp;"",'[7]Retail Price List'!$A$3:$B$103,2,FALSE),"Special Order")</f>
        <v>KP000564</v>
      </c>
      <c r="E210" s="494" t="str">
        <f>'[6]price list MAN'!E210</f>
        <v>SOLD</v>
      </c>
      <c r="F210" s="11">
        <f>'[6]price list MAN'!F210</f>
        <v>13</v>
      </c>
      <c r="G210" s="32">
        <f>'[6]price list MAN'!G210</f>
        <v>14.7</v>
      </c>
      <c r="H210" s="26">
        <f>'[6]price list MAN'!H210</f>
        <v>42937</v>
      </c>
      <c r="I210" s="51" t="str">
        <f t="shared" si="15"/>
        <v>201707Q3</v>
      </c>
      <c r="J210" s="177">
        <f>'[6]price list MAN'!J210</f>
        <v>1090000</v>
      </c>
      <c r="K210" s="177">
        <f>'[6]price list MAN'!P210</f>
        <v>838950</v>
      </c>
      <c r="L210" s="177">
        <f>'[6]price list MAN'!R210</f>
        <v>799000</v>
      </c>
      <c r="M210" s="174">
        <f>'[6]price list MAN'!S210</f>
        <v>1120000</v>
      </c>
      <c r="N210" s="174">
        <f>'[6]price list MAN'!Y210</f>
        <v>870450</v>
      </c>
      <c r="O210" s="174">
        <f>'[6]price list MAN'!AA210</f>
        <v>829000</v>
      </c>
      <c r="P210" s="68">
        <f t="shared" si="16"/>
        <v>0.25982142857142859</v>
      </c>
      <c r="Q210" s="62" t="e">
        <f>O210-#REF!</f>
        <v>#REF!</v>
      </c>
      <c r="W210" s="210"/>
      <c r="X210" s="210"/>
      <c r="Y210" s="210"/>
      <c r="Z210" s="210"/>
      <c r="AA210" s="210"/>
      <c r="AB210" s="210"/>
      <c r="AC210" s="210"/>
      <c r="AT210" s="425" t="str">
        <f t="shared" si="17"/>
        <v>KP000564201707Q314,7</v>
      </c>
      <c r="AU210" s="64" t="str">
        <f t="shared" si="18"/>
        <v>07-2017</v>
      </c>
      <c r="BA210" s="428" t="str">
        <f t="shared" si="19"/>
        <v>WIP - 30 Days</v>
      </c>
    </row>
    <row r="211" spans="2:53">
      <c r="B211" s="36" t="str">
        <f>'[6]price list MAN'!B211</f>
        <v>MC6-2262</v>
      </c>
      <c r="C211" s="10" t="str">
        <f>'[6]price list MAN'!C211</f>
        <v>CLA-26-2806X4BB-C-M</v>
      </c>
      <c r="D211" s="16" t="str">
        <f>IFERROR(VLOOKUP(C211&amp;"",'[7]Retail Price List'!$A$3:$B$103,2,FALSE),"Special Order")</f>
        <v>KP000564</v>
      </c>
      <c r="E211" s="494" t="str">
        <f>'[6]price list MAN'!E211</f>
        <v>BODY</v>
      </c>
      <c r="F211" s="11">
        <f>'[6]price list MAN'!F211</f>
        <v>22</v>
      </c>
      <c r="G211" s="32">
        <f>'[6]price list MAN'!G211</f>
        <v>14.7</v>
      </c>
      <c r="H211" s="26">
        <f>'[6]price list MAN'!H211</f>
        <v>42937</v>
      </c>
      <c r="I211" s="51" t="str">
        <f t="shared" si="15"/>
        <v>201707Q3</v>
      </c>
      <c r="J211" s="177">
        <f>'[6]price list MAN'!J211</f>
        <v>1492840</v>
      </c>
      <c r="K211" s="177">
        <f>'[6]price list MAN'!P211</f>
        <v>1228500</v>
      </c>
      <c r="L211" s="177">
        <f>'[6]price list MAN'!R211</f>
        <v>1170000</v>
      </c>
      <c r="M211" s="174">
        <f>'[6]price list MAN'!S211</f>
        <v>1522840</v>
      </c>
      <c r="N211" s="174">
        <f>'[6]price list MAN'!Y211</f>
        <v>1260000</v>
      </c>
      <c r="O211" s="174">
        <f>'[6]price list MAN'!AA211</f>
        <v>1200000</v>
      </c>
      <c r="P211" s="68">
        <f t="shared" si="16"/>
        <v>0.21199863413096584</v>
      </c>
      <c r="Q211" s="62" t="e">
        <f>O211-#REF!</f>
        <v>#REF!</v>
      </c>
      <c r="W211" s="210"/>
      <c r="X211" s="210"/>
      <c r="Y211" s="210"/>
      <c r="Z211" s="210"/>
      <c r="AA211" s="210"/>
      <c r="AB211" s="210"/>
      <c r="AC211" s="210"/>
      <c r="AT211" s="425" t="str">
        <f t="shared" si="17"/>
        <v>KP000564201707Q314,7</v>
      </c>
      <c r="AU211" s="64" t="str">
        <f t="shared" si="18"/>
        <v>07-2017</v>
      </c>
      <c r="BA211" s="428" t="str">
        <f t="shared" si="19"/>
        <v>WIP - 30 Days</v>
      </c>
    </row>
    <row r="212" spans="2:53">
      <c r="B212" s="36" t="str">
        <f>'[6]price list MAN'!B212</f>
        <v>MC6-3737</v>
      </c>
      <c r="C212" s="10" t="str">
        <f>'[6]price list MAN'!C212</f>
        <v>CLA-26-2806X4BB-C-M</v>
      </c>
      <c r="D212" s="16" t="str">
        <f>IFERROR(VLOOKUP(C212&amp;"",'[7]Retail Price List'!$A$3:$B$103,2,FALSE),"Special Order")</f>
        <v>KP000564</v>
      </c>
      <c r="E212" s="494" t="str">
        <f>'[6]price list MAN'!E212</f>
        <v>BODY</v>
      </c>
      <c r="F212" s="11">
        <f>'[6]price list MAN'!F212</f>
        <v>188</v>
      </c>
      <c r="G212" s="32">
        <f>'[6]price list MAN'!G212</f>
        <v>15.4</v>
      </c>
      <c r="H212" s="26">
        <f>'[6]price list MAN'!H212</f>
        <v>42784</v>
      </c>
      <c r="I212" s="51" t="str">
        <f t="shared" si="15"/>
        <v>2017Q1</v>
      </c>
      <c r="J212" s="177">
        <f>'[6]price list MAN'!J212</f>
        <v>1877720</v>
      </c>
      <c r="K212" s="177">
        <f>'[6]price list MAN'!P212</f>
        <v>1228500</v>
      </c>
      <c r="L212" s="177">
        <f>'[6]price list MAN'!R212</f>
        <v>1170000</v>
      </c>
      <c r="M212" s="174">
        <f>'[6]price list MAN'!S212</f>
        <v>1907720</v>
      </c>
      <c r="N212" s="174">
        <f>'[6]price list MAN'!Y212</f>
        <v>1260000</v>
      </c>
      <c r="O212" s="174">
        <f>'[6]price list MAN'!AA212</f>
        <v>1200000</v>
      </c>
      <c r="P212" s="68">
        <f t="shared" si="16"/>
        <v>0.37097687291636089</v>
      </c>
      <c r="Q212" s="62" t="e">
        <f>O212-#REF!</f>
        <v>#REF!</v>
      </c>
      <c r="W212" s="210"/>
      <c r="X212" s="210"/>
      <c r="Y212" s="210"/>
      <c r="Z212" s="210"/>
      <c r="AA212" s="210"/>
      <c r="AB212" s="210"/>
      <c r="AC212" s="210"/>
      <c r="AT212" s="425" t="str">
        <f t="shared" si="17"/>
        <v>KP0005642017Q115,4</v>
      </c>
      <c r="AU212" s="64" t="str">
        <f t="shared" si="18"/>
        <v>02-2017</v>
      </c>
      <c r="BA212" s="428" t="str">
        <f t="shared" si="19"/>
        <v>121-365 Days</v>
      </c>
    </row>
    <row r="213" spans="2:53">
      <c r="B213" s="36" t="str">
        <f>'[6]price list MAN'!B213</f>
        <v>MC6-3913</v>
      </c>
      <c r="C213" s="10" t="str">
        <f>'[6]price list MAN'!C213</f>
        <v>CLA-26-2806X4BB-C-M</v>
      </c>
      <c r="D213" s="16" t="str">
        <f>IFERROR(VLOOKUP(C213&amp;"",'[7]Retail Price List'!$A$3:$B$103,2,FALSE),"Special Order")</f>
        <v>KP000564</v>
      </c>
      <c r="E213" s="494" t="str">
        <f>'[6]price list MAN'!E213</f>
        <v>CKD</v>
      </c>
      <c r="F213" s="11" t="str">
        <f>'[6]price list MAN'!F213</f>
        <v>2018-09-30</v>
      </c>
      <c r="G213" s="32">
        <f>'[6]price list MAN'!G213</f>
        <v>14.7</v>
      </c>
      <c r="H213" s="26">
        <f>'[6]price list MAN'!H213</f>
        <v>42947</v>
      </c>
      <c r="I213" s="51" t="str">
        <f t="shared" si="15"/>
        <v>201707Q3</v>
      </c>
      <c r="J213" s="177">
        <f>'[6]price list MAN'!J213</f>
        <v>1090000</v>
      </c>
      <c r="K213" s="177">
        <f>'[6]price list MAN'!P213</f>
        <v>838950</v>
      </c>
      <c r="L213" s="177">
        <f>'[6]price list MAN'!R213</f>
        <v>799000</v>
      </c>
      <c r="M213" s="174">
        <f>'[6]price list MAN'!S213</f>
        <v>1120000</v>
      </c>
      <c r="N213" s="174">
        <f>'[6]price list MAN'!Y213</f>
        <v>870450</v>
      </c>
      <c r="O213" s="174">
        <f>'[6]price list MAN'!AA213</f>
        <v>829000</v>
      </c>
      <c r="P213" s="68">
        <f t="shared" si="16"/>
        <v>0.25982142857142859</v>
      </c>
      <c r="Q213" s="62" t="e">
        <f>O213-#REF!</f>
        <v>#REF!</v>
      </c>
      <c r="W213" s="210"/>
      <c r="X213" s="210"/>
      <c r="Y213" s="210"/>
      <c r="Z213" s="210"/>
      <c r="AA213" s="210"/>
      <c r="AB213" s="210"/>
      <c r="AC213" s="210"/>
      <c r="AT213" s="425" t="str">
        <f t="shared" si="17"/>
        <v>KP000564201707Q314,7</v>
      </c>
      <c r="AU213" s="64" t="str">
        <f t="shared" si="18"/>
        <v>07-2017</v>
      </c>
      <c r="BA213" s="428" t="str">
        <f t="shared" si="19"/>
        <v>WIP - 30 Days</v>
      </c>
    </row>
    <row r="214" spans="2:53">
      <c r="B214" s="36" t="str">
        <f>'[6]price list MAN'!B214</f>
        <v>MC6-3914</v>
      </c>
      <c r="C214" s="10" t="str">
        <f>'[6]price list MAN'!C214</f>
        <v>CLA-26-2806X4BB-C-M</v>
      </c>
      <c r="D214" s="16" t="str">
        <f>IFERROR(VLOOKUP(C214&amp;"",'[7]Retail Price List'!$A$3:$B$103,2,FALSE),"Special Order")</f>
        <v>KP000564</v>
      </c>
      <c r="E214" s="494" t="str">
        <f>'[6]price list MAN'!E214</f>
        <v>CKD</v>
      </c>
      <c r="F214" s="11" t="str">
        <f>'[6]price list MAN'!F214</f>
        <v>2018-05-30</v>
      </c>
      <c r="G214" s="32">
        <f>'[6]price list MAN'!G214</f>
        <v>14.7</v>
      </c>
      <c r="H214" s="26">
        <f>'[6]price list MAN'!H214</f>
        <v>42947</v>
      </c>
      <c r="I214" s="51" t="str">
        <f t="shared" si="15"/>
        <v>201707Q3</v>
      </c>
      <c r="J214" s="177">
        <f>'[6]price list MAN'!J214</f>
        <v>1477720</v>
      </c>
      <c r="K214" s="177">
        <f>'[6]price list MAN'!P214</f>
        <v>1228500</v>
      </c>
      <c r="L214" s="177">
        <f>'[6]price list MAN'!R214</f>
        <v>1170000</v>
      </c>
      <c r="M214" s="174">
        <f>'[6]price list MAN'!S214</f>
        <v>1507720</v>
      </c>
      <c r="N214" s="174">
        <f>'[6]price list MAN'!Y214</f>
        <v>1260000</v>
      </c>
      <c r="O214" s="174">
        <f>'[6]price list MAN'!AA214</f>
        <v>1200000</v>
      </c>
      <c r="P214" s="68">
        <f t="shared" si="16"/>
        <v>0.20409625129334358</v>
      </c>
      <c r="Q214" s="62" t="e">
        <f>O214-#REF!</f>
        <v>#REF!</v>
      </c>
      <c r="W214" s="210"/>
      <c r="X214" s="210"/>
      <c r="Y214" s="210"/>
      <c r="Z214" s="210"/>
      <c r="AA214" s="210"/>
      <c r="AB214" s="210"/>
      <c r="AC214" s="210"/>
      <c r="AT214" s="425" t="str">
        <f t="shared" si="17"/>
        <v>KP000564201707Q314,7</v>
      </c>
      <c r="AU214" s="64" t="str">
        <f t="shared" si="18"/>
        <v>07-2017</v>
      </c>
      <c r="BA214" s="428" t="str">
        <f t="shared" si="19"/>
        <v>WIP - 30 Days</v>
      </c>
    </row>
    <row r="215" spans="2:53">
      <c r="B215" s="36" t="str">
        <f>'[6]price list MAN'!B215</f>
        <v>MC6-3915</v>
      </c>
      <c r="C215" s="10" t="str">
        <f>'[6]price list MAN'!C215</f>
        <v>CLA-26-2806X4BB-C-M</v>
      </c>
      <c r="D215" s="16" t="str">
        <f>IFERROR(VLOOKUP(C215&amp;"",'[7]Retail Price List'!$A$3:$B$103,2,FALSE),"Special Order")</f>
        <v>KP000564</v>
      </c>
      <c r="E215" s="494" t="str">
        <f>'[6]price list MAN'!E215</f>
        <v>CKD</v>
      </c>
      <c r="F215" s="11" t="str">
        <f>'[6]price list MAN'!F215</f>
        <v>2018-05-30</v>
      </c>
      <c r="G215" s="32">
        <f>'[6]price list MAN'!G215</f>
        <v>14.7</v>
      </c>
      <c r="H215" s="26">
        <f>'[6]price list MAN'!H215</f>
        <v>42947</v>
      </c>
      <c r="I215" s="51" t="str">
        <f t="shared" si="15"/>
        <v>201707Q3</v>
      </c>
      <c r="J215" s="177">
        <f>'[6]price list MAN'!J215</f>
        <v>1477720</v>
      </c>
      <c r="K215" s="177">
        <f>'[6]price list MAN'!P215</f>
        <v>1228500</v>
      </c>
      <c r="L215" s="177">
        <f>'[6]price list MAN'!R215</f>
        <v>1170000</v>
      </c>
      <c r="M215" s="174">
        <f>'[6]price list MAN'!S215</f>
        <v>1507720</v>
      </c>
      <c r="N215" s="174">
        <f>'[6]price list MAN'!Y215</f>
        <v>1260000</v>
      </c>
      <c r="O215" s="174">
        <f>'[6]price list MAN'!AA215</f>
        <v>1200000</v>
      </c>
      <c r="P215" s="68">
        <f t="shared" si="16"/>
        <v>0.20409625129334358</v>
      </c>
      <c r="Q215" s="62" t="e">
        <f>O215-#REF!</f>
        <v>#REF!</v>
      </c>
      <c r="W215" s="210"/>
      <c r="X215" s="210"/>
      <c r="Y215" s="210"/>
      <c r="Z215" s="210"/>
      <c r="AA215" s="210"/>
      <c r="AB215" s="210"/>
      <c r="AC215" s="210"/>
      <c r="AT215" s="425" t="str">
        <f t="shared" si="17"/>
        <v>KP000564201707Q314,7</v>
      </c>
      <c r="AU215" s="64" t="str">
        <f t="shared" si="18"/>
        <v>07-2017</v>
      </c>
      <c r="BA215" s="428" t="str">
        <f t="shared" si="19"/>
        <v>WIP - 30 Days</v>
      </c>
    </row>
    <row r="216" spans="2:53">
      <c r="B216" s="36" t="str">
        <f>'[6]price list MAN'!B216</f>
        <v>MC6-3916</v>
      </c>
      <c r="C216" s="10" t="str">
        <f>'[6]price list MAN'!C216</f>
        <v>CLA-26-2806X4BB-C-M</v>
      </c>
      <c r="D216" s="16" t="str">
        <f>IFERROR(VLOOKUP(C216&amp;"",'[7]Retail Price List'!$A$3:$B$103,2,FALSE),"Special Order")</f>
        <v>KP000564</v>
      </c>
      <c r="E216" s="494" t="str">
        <f>'[6]price list MAN'!E216</f>
        <v>CKD</v>
      </c>
      <c r="F216" s="11" t="str">
        <f>'[6]price list MAN'!F216</f>
        <v>2018-09-30</v>
      </c>
      <c r="G216" s="32">
        <f>'[6]price list MAN'!G216</f>
        <v>14.7</v>
      </c>
      <c r="H216" s="26">
        <f>'[6]price list MAN'!H216</f>
        <v>42947</v>
      </c>
      <c r="I216" s="51" t="str">
        <f t="shared" si="15"/>
        <v>201707Q3</v>
      </c>
      <c r="J216" s="177">
        <f>'[6]price list MAN'!J216</f>
        <v>1477720</v>
      </c>
      <c r="K216" s="177">
        <f>'[6]price list MAN'!P216</f>
        <v>1228500</v>
      </c>
      <c r="L216" s="177">
        <f>'[6]price list MAN'!R216</f>
        <v>1170000</v>
      </c>
      <c r="M216" s="174">
        <f>'[6]price list MAN'!S216</f>
        <v>1507720</v>
      </c>
      <c r="N216" s="174">
        <f>'[6]price list MAN'!Y216</f>
        <v>1260000</v>
      </c>
      <c r="O216" s="174">
        <f>'[6]price list MAN'!AA216</f>
        <v>1200000</v>
      </c>
      <c r="P216" s="68">
        <f t="shared" si="16"/>
        <v>0.20409625129334358</v>
      </c>
      <c r="Q216" s="62" t="e">
        <f>O216-#REF!</f>
        <v>#REF!</v>
      </c>
      <c r="W216" s="210"/>
      <c r="X216" s="210"/>
      <c r="Y216" s="210"/>
      <c r="Z216" s="210"/>
      <c r="AA216" s="210"/>
      <c r="AB216" s="210"/>
      <c r="AC216" s="210"/>
      <c r="AT216" s="425" t="str">
        <f t="shared" si="17"/>
        <v>KP000564201707Q314,7</v>
      </c>
      <c r="AU216" s="64" t="str">
        <f t="shared" si="18"/>
        <v>07-2017</v>
      </c>
      <c r="BA216" s="428" t="str">
        <f t="shared" si="19"/>
        <v>WIP - 30 Days</v>
      </c>
    </row>
    <row r="217" spans="2:53">
      <c r="B217" s="36" t="str">
        <f>'[6]price list MAN'!B217</f>
        <v>MC6-3917</v>
      </c>
      <c r="C217" s="10" t="str">
        <f>'[6]price list MAN'!C217</f>
        <v>CLA-26-2806X4BB-C-M</v>
      </c>
      <c r="D217" s="16" t="str">
        <f>IFERROR(VLOOKUP(C217&amp;"",'[7]Retail Price List'!$A$3:$B$103,2,FALSE),"Special Order")</f>
        <v>KP000564</v>
      </c>
      <c r="E217" s="494" t="str">
        <f>'[6]price list MAN'!E217</f>
        <v>CKD</v>
      </c>
      <c r="F217" s="11" t="str">
        <f>'[6]price list MAN'!F217</f>
        <v>2018-09-30</v>
      </c>
      <c r="G217" s="32">
        <f>'[6]price list MAN'!G217</f>
        <v>14.7</v>
      </c>
      <c r="H217" s="26">
        <f>'[6]price list MAN'!H217</f>
        <v>42947</v>
      </c>
      <c r="I217" s="51" t="str">
        <f t="shared" si="15"/>
        <v>201707Q3</v>
      </c>
      <c r="J217" s="177">
        <f>'[6]price list MAN'!J217</f>
        <v>1090000</v>
      </c>
      <c r="K217" s="177">
        <f>'[6]price list MAN'!P217</f>
        <v>838950</v>
      </c>
      <c r="L217" s="177">
        <f>'[6]price list MAN'!R217</f>
        <v>799000</v>
      </c>
      <c r="M217" s="174">
        <f>'[6]price list MAN'!S217</f>
        <v>1120000</v>
      </c>
      <c r="N217" s="174">
        <f>'[6]price list MAN'!Y217</f>
        <v>870450</v>
      </c>
      <c r="O217" s="174">
        <f>'[6]price list MAN'!AA217</f>
        <v>829000</v>
      </c>
      <c r="P217" s="68">
        <f t="shared" si="16"/>
        <v>0.25982142857142859</v>
      </c>
      <c r="Q217" s="62" t="e">
        <f>O217-#REF!</f>
        <v>#REF!</v>
      </c>
      <c r="W217" s="210"/>
      <c r="X217" s="210"/>
      <c r="Y217" s="210"/>
      <c r="Z217" s="210"/>
      <c r="AA217" s="210"/>
      <c r="AB217" s="210"/>
      <c r="AC217" s="210"/>
      <c r="AT217" s="425" t="str">
        <f t="shared" si="17"/>
        <v>KP000564201707Q314,7</v>
      </c>
      <c r="AU217" s="64" t="str">
        <f t="shared" si="18"/>
        <v>07-2017</v>
      </c>
      <c r="BA217" s="428" t="str">
        <f t="shared" si="19"/>
        <v>WIP - 30 Days</v>
      </c>
    </row>
    <row r="218" spans="2:53">
      <c r="B218" s="36" t="str">
        <f>'[6]price list MAN'!B218</f>
        <v>MC6-3918</v>
      </c>
      <c r="C218" s="10" t="str">
        <f>'[6]price list MAN'!C218</f>
        <v>CLA-26-2806X4BB-C-M</v>
      </c>
      <c r="D218" s="16" t="str">
        <f>IFERROR(VLOOKUP(C218&amp;"",'[7]Retail Price List'!$A$3:$B$103,2,FALSE),"Special Order")</f>
        <v>KP000564</v>
      </c>
      <c r="E218" s="494" t="str">
        <f>'[6]price list MAN'!E218</f>
        <v>CKD</v>
      </c>
      <c r="F218" s="11" t="str">
        <f>'[6]price list MAN'!F218</f>
        <v>2018-06-30</v>
      </c>
      <c r="G218" s="32">
        <f>'[6]price list MAN'!G218</f>
        <v>14.7</v>
      </c>
      <c r="H218" s="26">
        <f>'[6]price list MAN'!H218</f>
        <v>42947</v>
      </c>
      <c r="I218" s="51" t="str">
        <f t="shared" si="15"/>
        <v>201707Q3</v>
      </c>
      <c r="J218" s="177">
        <f>'[6]price list MAN'!J218</f>
        <v>1090000</v>
      </c>
      <c r="K218" s="177">
        <f>'[6]price list MAN'!P218</f>
        <v>838950</v>
      </c>
      <c r="L218" s="177">
        <f>'[6]price list MAN'!R218</f>
        <v>799000</v>
      </c>
      <c r="M218" s="174">
        <f>'[6]price list MAN'!S218</f>
        <v>1120000</v>
      </c>
      <c r="N218" s="174">
        <f>'[6]price list MAN'!Y218</f>
        <v>870450</v>
      </c>
      <c r="O218" s="174">
        <f>'[6]price list MAN'!AA218</f>
        <v>829000</v>
      </c>
      <c r="P218" s="68">
        <f t="shared" si="16"/>
        <v>0.25982142857142859</v>
      </c>
      <c r="Q218" s="62" t="e">
        <f>O218-#REF!</f>
        <v>#REF!</v>
      </c>
      <c r="W218" s="210"/>
      <c r="X218" s="210"/>
      <c r="Y218" s="210"/>
      <c r="Z218" s="210"/>
      <c r="AA218" s="210"/>
      <c r="AB218" s="210"/>
      <c r="AC218" s="210"/>
      <c r="AT218" s="425" t="str">
        <f t="shared" si="17"/>
        <v>KP000564201707Q314,7</v>
      </c>
      <c r="AU218" s="64" t="str">
        <f t="shared" si="18"/>
        <v>07-2017</v>
      </c>
      <c r="BA218" s="428" t="str">
        <f t="shared" si="19"/>
        <v>WIP - 30 Days</v>
      </c>
    </row>
    <row r="219" spans="2:53">
      <c r="B219" s="36" t="str">
        <f>'[6]price list MAN'!B219</f>
        <v>MC6-3919</v>
      </c>
      <c r="C219" s="10" t="str">
        <f>'[6]price list MAN'!C219</f>
        <v>CLA-26-2806X4BB-C-M</v>
      </c>
      <c r="D219" s="16" t="str">
        <f>IFERROR(VLOOKUP(C219&amp;"",'[7]Retail Price List'!$A$3:$B$103,2,FALSE),"Special Order")</f>
        <v>KP000564</v>
      </c>
      <c r="E219" s="494" t="str">
        <f>'[6]price list MAN'!E219</f>
        <v>CKD</v>
      </c>
      <c r="F219" s="11" t="str">
        <f>'[6]price list MAN'!F219</f>
        <v>2018-06-30</v>
      </c>
      <c r="G219" s="32">
        <f>'[6]price list MAN'!G219</f>
        <v>14.7</v>
      </c>
      <c r="H219" s="26">
        <f>'[6]price list MAN'!H219</f>
        <v>42947</v>
      </c>
      <c r="I219" s="51" t="str">
        <f t="shared" si="15"/>
        <v>201707Q3</v>
      </c>
      <c r="J219" s="177">
        <f>'[6]price list MAN'!J219</f>
        <v>1090000</v>
      </c>
      <c r="K219" s="177">
        <f>'[6]price list MAN'!P219</f>
        <v>838950</v>
      </c>
      <c r="L219" s="177">
        <f>'[6]price list MAN'!R219</f>
        <v>799000</v>
      </c>
      <c r="M219" s="174">
        <f>'[6]price list MAN'!S219</f>
        <v>1120000</v>
      </c>
      <c r="N219" s="174">
        <f>'[6]price list MAN'!Y219</f>
        <v>870450</v>
      </c>
      <c r="O219" s="174">
        <f>'[6]price list MAN'!AA219</f>
        <v>829000</v>
      </c>
      <c r="P219" s="68">
        <f t="shared" si="16"/>
        <v>0.25982142857142859</v>
      </c>
      <c r="Q219" s="62" t="e">
        <f>O219-#REF!</f>
        <v>#REF!</v>
      </c>
      <c r="W219" s="210"/>
      <c r="X219" s="210"/>
      <c r="Y219" s="210"/>
      <c r="Z219" s="210"/>
      <c r="AA219" s="210"/>
      <c r="AB219" s="210"/>
      <c r="AC219" s="210"/>
      <c r="AT219" s="425" t="str">
        <f t="shared" si="17"/>
        <v>KP000564201707Q314,7</v>
      </c>
      <c r="AU219" s="64" t="str">
        <f t="shared" si="18"/>
        <v>07-2017</v>
      </c>
      <c r="BA219" s="428" t="str">
        <f t="shared" si="19"/>
        <v>WIP - 30 Days</v>
      </c>
    </row>
    <row r="220" spans="2:53">
      <c r="B220" s="36" t="str">
        <f>'[6]price list MAN'!B220</f>
        <v>MC6-3920</v>
      </c>
      <c r="C220" s="10" t="str">
        <f>'[6]price list MAN'!C220</f>
        <v>CLA-26-2806X4BB-C-M</v>
      </c>
      <c r="D220" s="16" t="str">
        <f>IFERROR(VLOOKUP(C220&amp;"",'[7]Retail Price List'!$A$3:$B$103,2,FALSE),"Special Order")</f>
        <v>KP000564</v>
      </c>
      <c r="E220" s="494" t="str">
        <f>'[6]price list MAN'!E220</f>
        <v>CKD</v>
      </c>
      <c r="F220" s="11" t="str">
        <f>'[6]price list MAN'!F220</f>
        <v>2018-06-30</v>
      </c>
      <c r="G220" s="32">
        <f>'[6]price list MAN'!G220</f>
        <v>14.7</v>
      </c>
      <c r="H220" s="26">
        <f>'[6]price list MAN'!H220</f>
        <v>42947</v>
      </c>
      <c r="I220" s="51" t="str">
        <f t="shared" si="15"/>
        <v>201707Q3</v>
      </c>
      <c r="J220" s="177">
        <f>'[6]price list MAN'!J220</f>
        <v>1090000</v>
      </c>
      <c r="K220" s="177">
        <f>'[6]price list MAN'!P220</f>
        <v>838950</v>
      </c>
      <c r="L220" s="177">
        <f>'[6]price list MAN'!R220</f>
        <v>799000</v>
      </c>
      <c r="M220" s="174">
        <f>'[6]price list MAN'!S220</f>
        <v>1120000</v>
      </c>
      <c r="N220" s="174">
        <f>'[6]price list MAN'!Y220</f>
        <v>870450</v>
      </c>
      <c r="O220" s="174">
        <f>'[6]price list MAN'!AA220</f>
        <v>829000</v>
      </c>
      <c r="P220" s="68">
        <f t="shared" si="16"/>
        <v>0.25982142857142859</v>
      </c>
      <c r="Q220" s="62" t="e">
        <f>O220-#REF!</f>
        <v>#REF!</v>
      </c>
      <c r="W220" s="210"/>
      <c r="X220" s="210"/>
      <c r="Y220" s="210"/>
      <c r="Z220" s="210"/>
      <c r="AA220" s="210"/>
      <c r="AB220" s="210"/>
      <c r="AC220" s="210"/>
      <c r="AT220" s="425" t="str">
        <f t="shared" si="17"/>
        <v>KP000564201707Q314,7</v>
      </c>
      <c r="AU220" s="64" t="str">
        <f t="shared" si="18"/>
        <v>07-2017</v>
      </c>
      <c r="BA220" s="428" t="str">
        <f t="shared" si="19"/>
        <v>WIP - 30 Days</v>
      </c>
    </row>
    <row r="221" spans="2:53">
      <c r="B221" s="36" t="str">
        <f>'[6]price list MAN'!B221</f>
        <v>MC6-3921</v>
      </c>
      <c r="C221" s="10" t="str">
        <f>'[6]price list MAN'!C221</f>
        <v>CLA-26-2806X4BB-C-M</v>
      </c>
      <c r="D221" s="16" t="str">
        <f>IFERROR(VLOOKUP(C221&amp;"",'[7]Retail Price List'!$A$3:$B$103,2,FALSE),"Special Order")</f>
        <v>KP000564</v>
      </c>
      <c r="E221" s="494" t="str">
        <f>'[6]price list MAN'!E221</f>
        <v>CKD</v>
      </c>
      <c r="F221" s="11" t="str">
        <f>'[6]price list MAN'!F221</f>
        <v>2018-06-30</v>
      </c>
      <c r="G221" s="32">
        <f>'[6]price list MAN'!G221</f>
        <v>14.7</v>
      </c>
      <c r="H221" s="26">
        <f>'[6]price list MAN'!H221</f>
        <v>42947</v>
      </c>
      <c r="I221" s="51" t="str">
        <f t="shared" si="15"/>
        <v>201707Q3</v>
      </c>
      <c r="J221" s="177">
        <f>'[6]price list MAN'!J221</f>
        <v>1090000</v>
      </c>
      <c r="K221" s="177">
        <f>'[6]price list MAN'!P221</f>
        <v>838950</v>
      </c>
      <c r="L221" s="177">
        <f>'[6]price list MAN'!R221</f>
        <v>799000</v>
      </c>
      <c r="M221" s="174">
        <f>'[6]price list MAN'!S221</f>
        <v>1120000</v>
      </c>
      <c r="N221" s="174">
        <f>'[6]price list MAN'!Y221</f>
        <v>870450</v>
      </c>
      <c r="O221" s="174">
        <f>'[6]price list MAN'!AA221</f>
        <v>829000</v>
      </c>
      <c r="P221" s="68">
        <f t="shared" si="16"/>
        <v>0.25982142857142859</v>
      </c>
      <c r="Q221" s="62" t="e">
        <f>O221-#REF!</f>
        <v>#REF!</v>
      </c>
      <c r="W221" s="210"/>
      <c r="X221" s="210"/>
      <c r="Y221" s="210"/>
      <c r="Z221" s="210"/>
      <c r="AA221" s="210"/>
      <c r="AB221" s="210"/>
      <c r="AC221" s="210"/>
      <c r="AT221" s="425" t="str">
        <f t="shared" si="17"/>
        <v>KP000564201707Q314,7</v>
      </c>
      <c r="AU221" s="64" t="str">
        <f t="shared" si="18"/>
        <v>07-2017</v>
      </c>
      <c r="BA221" s="428" t="str">
        <f t="shared" si="19"/>
        <v>WIP - 30 Days</v>
      </c>
    </row>
    <row r="222" spans="2:53">
      <c r="B222" s="36" t="str">
        <f>'[6]price list MAN'!B222</f>
        <v>MC6-3922</v>
      </c>
      <c r="C222" s="10" t="str">
        <f>'[6]price list MAN'!C222</f>
        <v>CLA-26-2806X4BB-C-M</v>
      </c>
      <c r="D222" s="16" t="str">
        <f>IFERROR(VLOOKUP(C222&amp;"",'[7]Retail Price List'!$A$3:$B$103,2,FALSE),"Special Order")</f>
        <v>KP000564</v>
      </c>
      <c r="E222" s="494" t="str">
        <f>'[6]price list MAN'!E222</f>
        <v>CKD</v>
      </c>
      <c r="F222" s="11" t="str">
        <f>'[6]price list MAN'!F222</f>
        <v>2018-11-30</v>
      </c>
      <c r="G222" s="32">
        <f>'[6]price list MAN'!G222</f>
        <v>14.7</v>
      </c>
      <c r="H222" s="26">
        <f>'[6]price list MAN'!H222</f>
        <v>42947</v>
      </c>
      <c r="I222" s="51" t="str">
        <f t="shared" si="15"/>
        <v>201707Q3</v>
      </c>
      <c r="J222" s="177">
        <f>'[6]price list MAN'!J222</f>
        <v>1090000</v>
      </c>
      <c r="K222" s="177">
        <f>'[6]price list MAN'!P222</f>
        <v>838950</v>
      </c>
      <c r="L222" s="177">
        <f>'[6]price list MAN'!R222</f>
        <v>799000</v>
      </c>
      <c r="M222" s="174">
        <f>'[6]price list MAN'!S222</f>
        <v>1120000</v>
      </c>
      <c r="N222" s="174">
        <f>'[6]price list MAN'!Y222</f>
        <v>870450</v>
      </c>
      <c r="O222" s="174">
        <f>'[6]price list MAN'!AA222</f>
        <v>829000</v>
      </c>
      <c r="P222" s="68">
        <f t="shared" si="16"/>
        <v>0.25982142857142859</v>
      </c>
      <c r="Q222" s="62" t="e">
        <f>O222-#REF!</f>
        <v>#REF!</v>
      </c>
      <c r="W222" s="210"/>
      <c r="X222" s="210"/>
      <c r="Y222" s="210"/>
      <c r="Z222" s="210"/>
      <c r="AA222" s="210"/>
      <c r="AB222" s="210"/>
      <c r="AC222" s="210"/>
      <c r="AT222" s="425" t="str">
        <f t="shared" si="17"/>
        <v>KP000564201707Q314,7</v>
      </c>
      <c r="AU222" s="64" t="str">
        <f t="shared" si="18"/>
        <v>07-2017</v>
      </c>
      <c r="BA222" s="428" t="str">
        <f t="shared" si="19"/>
        <v>WIP - 30 Days</v>
      </c>
    </row>
    <row r="223" spans="2:53">
      <c r="B223" s="36" t="str">
        <f>'[6]price list MAN'!B223</f>
        <v>MC6-3923</v>
      </c>
      <c r="C223" s="10" t="str">
        <f>'[6]price list MAN'!C223</f>
        <v>CLA-26-2806X4BB-C-M</v>
      </c>
      <c r="D223" s="16" t="str">
        <f>IFERROR(VLOOKUP(C223&amp;"",'[7]Retail Price List'!$A$3:$B$103,2,FALSE),"Special Order")</f>
        <v>KP000564</v>
      </c>
      <c r="E223" s="494" t="str">
        <f>'[6]price list MAN'!E223</f>
        <v>CKD</v>
      </c>
      <c r="F223" s="11" t="str">
        <f>'[6]price list MAN'!F223</f>
        <v>2018-11-30</v>
      </c>
      <c r="G223" s="32">
        <f>'[6]price list MAN'!G223</f>
        <v>14.7</v>
      </c>
      <c r="H223" s="26">
        <f>'[6]price list MAN'!H223</f>
        <v>42947</v>
      </c>
      <c r="I223" s="51" t="str">
        <f t="shared" si="15"/>
        <v>201707Q3</v>
      </c>
      <c r="J223" s="177">
        <f>'[6]price list MAN'!J223</f>
        <v>1090000</v>
      </c>
      <c r="K223" s="177">
        <f>'[6]price list MAN'!P223</f>
        <v>838950</v>
      </c>
      <c r="L223" s="177">
        <f>'[6]price list MAN'!R223</f>
        <v>799000</v>
      </c>
      <c r="M223" s="174">
        <f>'[6]price list MAN'!S223</f>
        <v>1120000</v>
      </c>
      <c r="N223" s="174">
        <f>'[6]price list MAN'!Y223</f>
        <v>870450</v>
      </c>
      <c r="O223" s="174">
        <f>'[6]price list MAN'!AA223</f>
        <v>829000</v>
      </c>
      <c r="P223" s="68">
        <f t="shared" si="16"/>
        <v>0.25982142857142859</v>
      </c>
      <c r="Q223" s="62" t="e">
        <f>O223-#REF!</f>
        <v>#REF!</v>
      </c>
      <c r="W223" s="210"/>
      <c r="X223" s="210"/>
      <c r="Y223" s="210"/>
      <c r="Z223" s="210"/>
      <c r="AA223" s="210"/>
      <c r="AB223" s="210"/>
      <c r="AC223" s="210"/>
      <c r="AT223" s="425" t="str">
        <f t="shared" si="17"/>
        <v>KP000564201707Q314,7</v>
      </c>
      <c r="AU223" s="64" t="str">
        <f t="shared" si="18"/>
        <v>07-2017</v>
      </c>
      <c r="BA223" s="428" t="str">
        <f t="shared" si="19"/>
        <v>WIP - 30 Days</v>
      </c>
    </row>
    <row r="224" spans="2:53">
      <c r="B224" s="36" t="str">
        <f>'[6]price list MAN'!B224</f>
        <v>MC6-3924</v>
      </c>
      <c r="C224" s="10" t="str">
        <f>'[6]price list MAN'!C224</f>
        <v>CLA-26-2806X4BB-C-M</v>
      </c>
      <c r="D224" s="16" t="str">
        <f>IFERROR(VLOOKUP(C224&amp;"",'[7]Retail Price List'!$A$3:$B$103,2,FALSE),"Special Order")</f>
        <v>KP000564</v>
      </c>
      <c r="E224" s="494" t="str">
        <f>'[6]price list MAN'!E224</f>
        <v>CKD</v>
      </c>
      <c r="F224" s="11" t="str">
        <f>'[6]price list MAN'!F224</f>
        <v>2018-11-30</v>
      </c>
      <c r="G224" s="32">
        <f>'[6]price list MAN'!G224</f>
        <v>14.7</v>
      </c>
      <c r="H224" s="26">
        <f>'[6]price list MAN'!H224</f>
        <v>42947</v>
      </c>
      <c r="I224" s="51" t="str">
        <f t="shared" si="15"/>
        <v>201707Q3</v>
      </c>
      <c r="J224" s="177">
        <f>'[6]price list MAN'!J224</f>
        <v>1090000</v>
      </c>
      <c r="K224" s="177">
        <f>'[6]price list MAN'!P224</f>
        <v>838950</v>
      </c>
      <c r="L224" s="177">
        <f>'[6]price list MAN'!R224</f>
        <v>799000</v>
      </c>
      <c r="M224" s="174">
        <f>'[6]price list MAN'!S224</f>
        <v>1120000</v>
      </c>
      <c r="N224" s="174">
        <f>'[6]price list MAN'!Y224</f>
        <v>870450</v>
      </c>
      <c r="O224" s="174">
        <f>'[6]price list MAN'!AA224</f>
        <v>829000</v>
      </c>
      <c r="P224" s="68">
        <f t="shared" si="16"/>
        <v>0.25982142857142859</v>
      </c>
      <c r="Q224" s="62" t="e">
        <f>O224-#REF!</f>
        <v>#REF!</v>
      </c>
      <c r="W224" s="210"/>
      <c r="X224" s="210"/>
      <c r="Y224" s="210"/>
      <c r="Z224" s="210"/>
      <c r="AA224" s="210"/>
      <c r="AB224" s="210"/>
      <c r="AC224" s="210"/>
      <c r="AT224" s="425" t="str">
        <f t="shared" si="17"/>
        <v>KP000564201707Q314,7</v>
      </c>
      <c r="AU224" s="64" t="str">
        <f t="shared" si="18"/>
        <v>07-2017</v>
      </c>
      <c r="BA224" s="428" t="str">
        <f t="shared" si="19"/>
        <v>WIP - 30 Days</v>
      </c>
    </row>
    <row r="225" spans="1:245">
      <c r="B225" s="36" t="str">
        <f>'[6]price list MAN'!B225</f>
        <v>TBAKP564</v>
      </c>
      <c r="C225" s="10" t="str">
        <f>'[6]price list MAN'!C225</f>
        <v>CLA-26-2806X4BB-C-M</v>
      </c>
      <c r="D225" s="16" t="str">
        <f>IFERROR(VLOOKUP(C225&amp;"",'[7]Retail Price List'!$A$3:$B$103,2,FALSE),"Special Order")</f>
        <v>KP000564</v>
      </c>
      <c r="E225" s="494" t="str">
        <f>'[6]price list MAN'!E225</f>
        <v>CKD</v>
      </c>
      <c r="F225" s="11" t="str">
        <f>'[6]price list MAN'!F225</f>
        <v>2018-08-19</v>
      </c>
      <c r="G225" s="32">
        <f>'[6]price list MAN'!G225</f>
        <v>15.8</v>
      </c>
      <c r="H225" s="26">
        <f>'[6]price list MAN'!H225</f>
        <v>43159</v>
      </c>
      <c r="I225" s="51" t="str">
        <f t="shared" si="15"/>
        <v>2018Q1</v>
      </c>
      <c r="J225" s="177">
        <f>'[6]price list MAN'!J225</f>
        <v>1090000</v>
      </c>
      <c r="K225" s="177">
        <f>'[6]price list MAN'!P225</f>
        <v>871500</v>
      </c>
      <c r="L225" s="177">
        <f>'[6]price list MAN'!R225</f>
        <v>830000</v>
      </c>
      <c r="M225" s="174">
        <f>'[6]price list MAN'!S225</f>
        <v>1120000</v>
      </c>
      <c r="N225" s="174">
        <f>'[6]price list MAN'!Y225</f>
        <v>903000</v>
      </c>
      <c r="O225" s="174">
        <f>'[6]price list MAN'!AA225</f>
        <v>860000</v>
      </c>
      <c r="P225" s="68">
        <f t="shared" si="16"/>
        <v>0.23214285714285715</v>
      </c>
      <c r="Q225" s="62" t="e">
        <f>O225-#REF!</f>
        <v>#REF!</v>
      </c>
      <c r="W225" s="210"/>
      <c r="X225" s="210"/>
      <c r="Y225" s="210"/>
      <c r="Z225" s="210"/>
      <c r="AA225" s="210"/>
      <c r="AB225" s="210"/>
      <c r="AC225" s="210"/>
      <c r="AT225" s="425" t="str">
        <f t="shared" si="17"/>
        <v>KP0005642018Q115,8</v>
      </c>
      <c r="AU225" s="64" t="str">
        <f t="shared" si="18"/>
        <v>02-2018</v>
      </c>
      <c r="BA225" s="428" t="str">
        <f t="shared" si="19"/>
        <v>WIP - 30 Days</v>
      </c>
    </row>
    <row r="226" spans="1:245" s="4" customFormat="1">
      <c r="A226" s="41"/>
      <c r="B226" s="36">
        <f>'[6]price list MAN'!B226</f>
        <v>49059</v>
      </c>
      <c r="C226" s="10" t="str">
        <f>'[6]price list MAN'!C226</f>
        <v>TGM-15-2404X2BL-C</v>
      </c>
      <c r="D226" s="16" t="str">
        <f>IFERROR(VLOOKUP(C226&amp;"",'[7]Retail Price List'!$A$3:$B$103,2,FALSE),"Special Order")</f>
        <v>KP000758</v>
      </c>
      <c r="E226" s="494" t="str">
        <f>'[6]price list MAN'!E226</f>
        <v>CKD</v>
      </c>
      <c r="F226" s="11" t="str">
        <f>'[6]price list MAN'!F226</f>
        <v>2018-04-30</v>
      </c>
      <c r="G226" s="32">
        <f>'[6]price list MAN'!G226</f>
        <v>15.9</v>
      </c>
      <c r="H226" s="26">
        <f>'[6]price list MAN'!H226</f>
        <v>43069</v>
      </c>
      <c r="I226" s="51" t="str">
        <f t="shared" si="15"/>
        <v>2017Q4</v>
      </c>
      <c r="J226" s="177">
        <f>'[6]price list MAN'!J226</f>
        <v>985000</v>
      </c>
      <c r="K226" s="177">
        <f>'[6]price list MAN'!P226</f>
        <v>829500</v>
      </c>
      <c r="L226" s="177">
        <f>'[6]price list MAN'!R226</f>
        <v>790000</v>
      </c>
      <c r="M226" s="174">
        <f>'[6]price list MAN'!S226</f>
        <v>1005000</v>
      </c>
      <c r="N226" s="174">
        <f>'[6]price list MAN'!Y226</f>
        <v>850500</v>
      </c>
      <c r="O226" s="174">
        <f>'[6]price list MAN'!AA226</f>
        <v>810000</v>
      </c>
      <c r="P226" s="68">
        <f t="shared" si="16"/>
        <v>0.19402985074626866</v>
      </c>
      <c r="Q226" s="62" t="e">
        <f>O226-#REF!</f>
        <v>#REF!</v>
      </c>
      <c r="R226" s="63" t="e">
        <f>SUM(Q200:Q225)/SUM(O200:O225)</f>
        <v>#REF!</v>
      </c>
      <c r="S226" s="64"/>
      <c r="T226" s="64"/>
      <c r="U226" s="64"/>
      <c r="V226" s="64"/>
      <c r="W226" s="210"/>
      <c r="X226" s="210"/>
      <c r="Y226" s="210"/>
      <c r="Z226" s="210"/>
      <c r="AA226" s="210"/>
      <c r="AB226" s="210"/>
      <c r="AC226" s="210"/>
      <c r="AD226" s="54"/>
      <c r="AE226" s="54"/>
      <c r="AF226" s="54"/>
      <c r="AG226" s="5"/>
      <c r="AH226" s="5"/>
      <c r="AI226" s="5"/>
      <c r="AJ226" s="5"/>
      <c r="AK226" s="5"/>
      <c r="AL226" s="5"/>
      <c r="AM226" s="5"/>
      <c r="AN226" s="5"/>
      <c r="AO226" s="5"/>
      <c r="AP226" s="5"/>
      <c r="AQ226" s="5"/>
      <c r="AR226" s="5"/>
      <c r="AS226" s="5"/>
      <c r="AT226" s="425" t="str">
        <f t="shared" si="17"/>
        <v>KP0007582017Q415,9</v>
      </c>
      <c r="AU226" s="64" t="str">
        <f t="shared" si="18"/>
        <v>11-2017</v>
      </c>
      <c r="AV226" s="64"/>
      <c r="AW226" s="64"/>
      <c r="AX226" s="64"/>
      <c r="AY226" s="64"/>
      <c r="AZ226" s="64"/>
      <c r="BA226" s="428" t="str">
        <f t="shared" si="19"/>
        <v>WIP - 30 Days</v>
      </c>
      <c r="BB226" s="169"/>
      <c r="BC226" s="169"/>
      <c r="BD226" s="169"/>
      <c r="BE226" s="41"/>
      <c r="BF226" s="41"/>
      <c r="BG226" s="41"/>
      <c r="BH226" s="41"/>
      <c r="BI226" s="41"/>
      <c r="BJ226" s="41"/>
      <c r="BK226" s="41"/>
      <c r="BL226" s="41"/>
      <c r="BM226" s="41"/>
      <c r="BN226" s="41"/>
      <c r="BO226" s="41"/>
      <c r="BP226" s="41"/>
      <c r="BQ226" s="41"/>
      <c r="BR226" s="41"/>
      <c r="BS226" s="41"/>
      <c r="BT226" s="41"/>
      <c r="BU226" s="41"/>
      <c r="BV226" s="41"/>
      <c r="BW226" s="41"/>
      <c r="BX226" s="41"/>
      <c r="BY226" s="41"/>
      <c r="BZ226" s="41"/>
      <c r="CA226" s="41"/>
      <c r="CB226" s="41"/>
      <c r="CC226" s="41"/>
      <c r="CD226" s="41"/>
      <c r="CE226" s="41"/>
      <c r="CF226" s="41"/>
      <c r="CG226" s="41"/>
      <c r="CH226" s="41"/>
      <c r="CI226" s="41"/>
      <c r="CJ226" s="41"/>
      <c r="CK226" s="41"/>
      <c r="CL226" s="41"/>
      <c r="CM226" s="41"/>
      <c r="CN226" s="41"/>
      <c r="CO226" s="41"/>
      <c r="CP226" s="41"/>
      <c r="CQ226" s="41"/>
      <c r="CR226" s="41"/>
      <c r="CS226" s="41"/>
      <c r="CT226" s="41"/>
      <c r="CU226" s="41"/>
      <c r="CV226" s="41"/>
      <c r="CW226" s="41"/>
      <c r="CX226" s="41"/>
      <c r="CY226" s="41"/>
      <c r="CZ226" s="41"/>
      <c r="DA226" s="41"/>
      <c r="DB226" s="41"/>
      <c r="DC226" s="41"/>
      <c r="DD226" s="41"/>
      <c r="DE226" s="41"/>
      <c r="DF226" s="41"/>
      <c r="DG226" s="41"/>
      <c r="DH226" s="41"/>
      <c r="DI226" s="41"/>
      <c r="DJ226" s="41"/>
      <c r="DK226" s="41"/>
      <c r="DL226" s="41"/>
      <c r="DM226" s="41"/>
      <c r="DN226" s="41"/>
      <c r="DO226" s="41"/>
      <c r="DP226" s="41"/>
      <c r="DQ226" s="41"/>
      <c r="DR226" s="41"/>
      <c r="DS226" s="41"/>
      <c r="DT226" s="41"/>
      <c r="DU226" s="41"/>
      <c r="DV226" s="41"/>
      <c r="DW226" s="41"/>
      <c r="DX226" s="41"/>
      <c r="DY226" s="41"/>
      <c r="DZ226" s="41"/>
      <c r="EA226" s="41"/>
      <c r="EB226" s="41"/>
      <c r="EC226" s="41"/>
      <c r="ED226" s="41"/>
      <c r="EE226" s="41"/>
      <c r="EF226" s="41"/>
      <c r="EG226" s="41"/>
      <c r="EH226" s="41"/>
      <c r="EI226" s="41"/>
      <c r="EJ226" s="41"/>
      <c r="EK226" s="41"/>
      <c r="EL226" s="41"/>
      <c r="EM226" s="41"/>
      <c r="EN226" s="41"/>
      <c r="EO226" s="41"/>
      <c r="EP226" s="41"/>
      <c r="EQ226" s="41"/>
      <c r="ER226" s="41"/>
      <c r="ES226" s="41"/>
      <c r="ET226" s="41"/>
      <c r="EU226" s="41"/>
      <c r="EV226" s="41"/>
      <c r="EW226" s="41"/>
      <c r="EX226" s="41"/>
      <c r="EY226" s="41"/>
      <c r="EZ226" s="41"/>
      <c r="FA226" s="41"/>
      <c r="FB226" s="41"/>
      <c r="FC226" s="41"/>
      <c r="FD226" s="41"/>
      <c r="FE226" s="41"/>
      <c r="FF226" s="41"/>
      <c r="FG226" s="41"/>
      <c r="FH226" s="41"/>
      <c r="FI226" s="41"/>
      <c r="FJ226" s="41"/>
      <c r="FK226" s="41"/>
      <c r="FL226" s="41"/>
      <c r="FM226" s="41"/>
      <c r="FN226" s="41"/>
      <c r="FO226" s="41"/>
      <c r="FP226" s="41"/>
      <c r="FQ226" s="41"/>
      <c r="FR226" s="41"/>
      <c r="FS226" s="41"/>
      <c r="FT226" s="41"/>
      <c r="FU226" s="41"/>
      <c r="FV226" s="41"/>
      <c r="FW226" s="41"/>
      <c r="FX226" s="41"/>
      <c r="FY226" s="41"/>
      <c r="FZ226" s="41"/>
      <c r="GA226" s="41"/>
      <c r="GB226" s="41"/>
      <c r="GC226" s="41"/>
      <c r="GD226" s="41"/>
      <c r="GE226" s="41"/>
      <c r="GF226" s="41"/>
      <c r="GG226" s="41"/>
      <c r="GH226" s="41"/>
      <c r="GI226" s="41"/>
      <c r="GJ226" s="41"/>
      <c r="GK226" s="41"/>
      <c r="GL226" s="41"/>
      <c r="GM226" s="41"/>
      <c r="GN226" s="41"/>
      <c r="GO226" s="41"/>
      <c r="GP226" s="41"/>
      <c r="GQ226" s="41"/>
      <c r="GR226" s="41"/>
      <c r="GS226" s="41"/>
      <c r="GT226" s="41"/>
      <c r="GU226" s="41"/>
      <c r="GV226" s="41"/>
      <c r="GW226" s="41"/>
      <c r="GX226" s="41"/>
      <c r="GY226" s="41"/>
      <c r="GZ226" s="41"/>
      <c r="HA226" s="41"/>
      <c r="HB226" s="41"/>
      <c r="HC226" s="41"/>
      <c r="HD226" s="41"/>
      <c r="HE226" s="41"/>
      <c r="HF226" s="41"/>
      <c r="HG226" s="41"/>
      <c r="HH226" s="41"/>
      <c r="HI226" s="41"/>
      <c r="HJ226" s="41"/>
      <c r="HK226" s="41"/>
      <c r="HL226" s="41"/>
      <c r="HM226" s="41"/>
      <c r="HN226" s="41"/>
      <c r="HO226" s="41"/>
      <c r="HP226" s="41"/>
      <c r="HQ226" s="41"/>
      <c r="HR226" s="41"/>
      <c r="HS226" s="41"/>
      <c r="HT226" s="41"/>
      <c r="HU226" s="41"/>
      <c r="HV226" s="41"/>
      <c r="HW226" s="41"/>
      <c r="HX226" s="41"/>
      <c r="HY226" s="41"/>
      <c r="HZ226" s="41"/>
      <c r="IA226" s="41"/>
      <c r="IB226" s="41"/>
      <c r="IC226" s="41"/>
      <c r="ID226" s="41"/>
      <c r="IE226" s="41"/>
      <c r="IF226" s="41"/>
      <c r="IG226" s="41"/>
      <c r="IH226" s="41"/>
      <c r="II226" s="41"/>
      <c r="IJ226" s="41"/>
      <c r="IK226" s="41"/>
    </row>
    <row r="227" spans="1:245">
      <c r="B227" s="36" t="str">
        <f>'[6]price list MAN'!B227</f>
        <v>TBAKP758</v>
      </c>
      <c r="C227" s="10" t="str">
        <f>'[6]price list MAN'!C227</f>
        <v>TGM-15-2404X2BL-C</v>
      </c>
      <c r="D227" s="16" t="str">
        <f>IFERROR(VLOOKUP(C227&amp;"",'[7]Retail Price List'!$A$3:$B$103,2,FALSE),"Special Order")</f>
        <v>KP000758</v>
      </c>
      <c r="E227" s="494" t="str">
        <f>'[6]price list MAN'!E227</f>
        <v>CKD</v>
      </c>
      <c r="F227" s="11" t="str">
        <f>'[6]price list MAN'!F227</f>
        <v>2018-08-19</v>
      </c>
      <c r="G227" s="32">
        <f>'[6]price list MAN'!G227</f>
        <v>15.8</v>
      </c>
      <c r="H227" s="26">
        <f>'[6]price list MAN'!H227</f>
        <v>43159</v>
      </c>
      <c r="I227" s="51" t="str">
        <f t="shared" si="15"/>
        <v>2018Q1</v>
      </c>
      <c r="J227" s="177">
        <f>'[6]price list MAN'!J227</f>
        <v>985000</v>
      </c>
      <c r="K227" s="177">
        <f>'[6]price list MAN'!P227</f>
        <v>829500</v>
      </c>
      <c r="L227" s="177">
        <f>'[6]price list MAN'!R227</f>
        <v>790000</v>
      </c>
      <c r="M227" s="174">
        <f>'[6]price list MAN'!S227</f>
        <v>1005000</v>
      </c>
      <c r="N227" s="174">
        <f>'[6]price list MAN'!Y227</f>
        <v>850500</v>
      </c>
      <c r="O227" s="174">
        <f>'[6]price list MAN'!AA227</f>
        <v>810000</v>
      </c>
      <c r="P227" s="68">
        <f t="shared" si="16"/>
        <v>0.19402985074626866</v>
      </c>
      <c r="Q227" s="62" t="e">
        <f>O227-#REF!</f>
        <v>#REF!</v>
      </c>
      <c r="W227" s="210"/>
      <c r="X227" s="210"/>
      <c r="Y227" s="210"/>
      <c r="Z227" s="210"/>
      <c r="AA227" s="210"/>
      <c r="AB227" s="210"/>
      <c r="AC227" s="210"/>
      <c r="AT227" s="425" t="str">
        <f t="shared" si="17"/>
        <v>KP0007582018Q115,8</v>
      </c>
      <c r="AU227" s="64" t="str">
        <f t="shared" si="18"/>
        <v>02-2018</v>
      </c>
      <c r="BA227" s="428" t="str">
        <f t="shared" si="19"/>
        <v>WIP - 30 Days</v>
      </c>
    </row>
    <row r="228" spans="1:245">
      <c r="B228" s="36" t="str">
        <f>'[6]price list MAN'!B228</f>
        <v>N62-0445</v>
      </c>
      <c r="C228" s="10" t="str">
        <f>'[6]price list MAN'!C228</f>
        <v>TGM-18-2404X2BB-C-K</v>
      </c>
      <c r="D228" s="16" t="str">
        <f>IFERROR(VLOOKUP(C228&amp;"",'[7]Retail Price List'!$A$3:$B$103,2,FALSE),"Special Order")</f>
        <v>KP000405</v>
      </c>
      <c r="E228" s="494" t="str">
        <f>'[6]price list MAN'!E228</f>
        <v>SOLD</v>
      </c>
      <c r="F228" s="11">
        <f>'[6]price list MAN'!F228</f>
        <v>174</v>
      </c>
      <c r="G228" s="32">
        <f>'[6]price list MAN'!G228</f>
        <v>14.7</v>
      </c>
      <c r="H228" s="26">
        <f>'[6]price list MAN'!H228</f>
        <v>42859</v>
      </c>
      <c r="I228" s="51" t="str">
        <f t="shared" si="15"/>
        <v>2017Q2</v>
      </c>
      <c r="J228" s="177">
        <f>'[6]price list MAN'!J228</f>
        <v>1010000</v>
      </c>
      <c r="K228" s="177">
        <f>'[6]price list MAN'!P228</f>
        <v>866250</v>
      </c>
      <c r="L228" s="177">
        <f>'[6]price list MAN'!R228</f>
        <v>825000</v>
      </c>
      <c r="M228" s="174">
        <f>'[6]price list MAN'!S228</f>
        <v>1030000</v>
      </c>
      <c r="N228" s="174">
        <f>'[6]price list MAN'!Y228</f>
        <v>887250</v>
      </c>
      <c r="O228" s="174">
        <f>'[6]price list MAN'!AA228</f>
        <v>845000</v>
      </c>
      <c r="P228" s="68">
        <f t="shared" si="16"/>
        <v>0.1796116504854369</v>
      </c>
      <c r="Q228" s="62" t="e">
        <f>O228-#REF!</f>
        <v>#REF!</v>
      </c>
      <c r="W228" s="210"/>
      <c r="X228" s="210"/>
      <c r="Y228" s="210"/>
      <c r="Z228" s="210"/>
      <c r="AA228" s="210"/>
      <c r="AB228" s="210"/>
      <c r="AC228" s="210"/>
      <c r="AT228" s="425" t="str">
        <f t="shared" si="17"/>
        <v>KP0004052017Q214,7</v>
      </c>
      <c r="AU228" s="64" t="str">
        <f t="shared" si="18"/>
        <v>05-2017</v>
      </c>
      <c r="BA228" s="428" t="str">
        <f t="shared" si="19"/>
        <v>121-365 Days</v>
      </c>
    </row>
    <row r="229" spans="1:245" s="4" customFormat="1">
      <c r="A229" s="41"/>
      <c r="B229" s="36" t="str">
        <f>'[6]price list MAN'!B229</f>
        <v>TBAKP405</v>
      </c>
      <c r="C229" s="10" t="str">
        <f>'[6]price list MAN'!C229</f>
        <v>TGM-18-2404X2BB-C-K</v>
      </c>
      <c r="D229" s="16" t="str">
        <f>IFERROR(VLOOKUP(C229&amp;"",'[7]Retail Price List'!$A$3:$B$103,2,FALSE),"Special Order")</f>
        <v>KP000405</v>
      </c>
      <c r="E229" s="494" t="str">
        <f>'[6]price list MAN'!E229</f>
        <v>CKD</v>
      </c>
      <c r="F229" s="11" t="str">
        <f>'[6]price list MAN'!F229</f>
        <v>2018-08-19</v>
      </c>
      <c r="G229" s="32">
        <f>'[6]price list MAN'!G229</f>
        <v>15.8</v>
      </c>
      <c r="H229" s="26">
        <f>'[6]price list MAN'!H229</f>
        <v>43159</v>
      </c>
      <c r="I229" s="51" t="str">
        <f t="shared" si="15"/>
        <v>2018Q1</v>
      </c>
      <c r="J229" s="177">
        <f>'[6]price list MAN'!J229</f>
        <v>1010000</v>
      </c>
      <c r="K229" s="177">
        <f>'[6]price list MAN'!P229</f>
        <v>866250</v>
      </c>
      <c r="L229" s="177">
        <f>'[6]price list MAN'!R229</f>
        <v>825000</v>
      </c>
      <c r="M229" s="174">
        <f>'[6]price list MAN'!S229</f>
        <v>1030000</v>
      </c>
      <c r="N229" s="174">
        <f>'[6]price list MAN'!Y229</f>
        <v>887250</v>
      </c>
      <c r="O229" s="174">
        <f>'[6]price list MAN'!AA229</f>
        <v>845000</v>
      </c>
      <c r="P229" s="68">
        <f t="shared" si="16"/>
        <v>0.1796116504854369</v>
      </c>
      <c r="Q229" s="62" t="e">
        <f>O229-#REF!</f>
        <v>#REF!</v>
      </c>
      <c r="R229" s="63" t="e">
        <f>SUM(Q227:Q228)/SUM(O227:O228)</f>
        <v>#REF!</v>
      </c>
      <c r="S229" s="64"/>
      <c r="T229" s="64"/>
      <c r="U229" s="64"/>
      <c r="V229" s="64"/>
      <c r="W229" s="210"/>
      <c r="X229" s="210"/>
      <c r="Y229" s="210"/>
      <c r="Z229" s="210"/>
      <c r="AA229" s="210"/>
      <c r="AB229" s="210"/>
      <c r="AC229" s="210"/>
      <c r="AD229" s="54"/>
      <c r="AE229" s="54"/>
      <c r="AF229" s="54"/>
      <c r="AG229" s="5"/>
      <c r="AH229" s="5"/>
      <c r="AI229" s="5"/>
      <c r="AJ229" s="5"/>
      <c r="AK229" s="5"/>
      <c r="AL229" s="5"/>
      <c r="AM229" s="5"/>
      <c r="AN229" s="5"/>
      <c r="AO229" s="5"/>
      <c r="AP229" s="5"/>
      <c r="AQ229" s="5"/>
      <c r="AR229" s="5"/>
      <c r="AS229" s="5"/>
      <c r="AT229" s="425" t="str">
        <f t="shared" si="17"/>
        <v>KP0004052018Q115,8</v>
      </c>
      <c r="AU229" s="64" t="str">
        <f t="shared" si="18"/>
        <v>02-2018</v>
      </c>
      <c r="AV229" s="64"/>
      <c r="AW229" s="64"/>
      <c r="AX229" s="64"/>
      <c r="AY229" s="64"/>
      <c r="AZ229" s="64"/>
      <c r="BA229" s="428" t="str">
        <f t="shared" si="19"/>
        <v>WIP - 30 Days</v>
      </c>
      <c r="BB229" s="169"/>
      <c r="BC229" s="169"/>
      <c r="BD229" s="169"/>
      <c r="BE229" s="41"/>
      <c r="BF229" s="41"/>
      <c r="BG229" s="41"/>
      <c r="BH229" s="41"/>
      <c r="BI229" s="41"/>
      <c r="BJ229" s="41"/>
      <c r="BK229" s="41"/>
      <c r="BL229" s="41"/>
      <c r="BM229" s="41"/>
      <c r="BN229" s="41"/>
      <c r="BO229" s="41"/>
      <c r="BP229" s="41"/>
      <c r="BQ229" s="41"/>
      <c r="BR229" s="41"/>
      <c r="BS229" s="41"/>
      <c r="BT229" s="41"/>
      <c r="BU229" s="41"/>
      <c r="BV229" s="41"/>
      <c r="BW229" s="41"/>
      <c r="BX229" s="41"/>
      <c r="BY229" s="41"/>
      <c r="BZ229" s="41"/>
      <c r="CA229" s="41"/>
      <c r="CB229" s="41"/>
      <c r="CC229" s="41"/>
      <c r="CD229" s="41"/>
      <c r="CE229" s="41"/>
      <c r="CF229" s="41"/>
      <c r="CG229" s="41"/>
      <c r="CH229" s="41"/>
      <c r="CI229" s="41"/>
      <c r="CJ229" s="41"/>
      <c r="CK229" s="41"/>
      <c r="CL229" s="41"/>
      <c r="CM229" s="41"/>
      <c r="CN229" s="41"/>
      <c r="CO229" s="41"/>
      <c r="CP229" s="41"/>
      <c r="CQ229" s="41"/>
      <c r="CR229" s="41"/>
      <c r="CS229" s="41"/>
      <c r="CT229" s="41"/>
      <c r="CU229" s="41"/>
      <c r="CV229" s="41"/>
      <c r="CW229" s="41"/>
      <c r="CX229" s="41"/>
      <c r="CY229" s="41"/>
      <c r="CZ229" s="41"/>
      <c r="DA229" s="41"/>
      <c r="DB229" s="41"/>
      <c r="DC229" s="41"/>
      <c r="DD229" s="41"/>
      <c r="DE229" s="41"/>
      <c r="DF229" s="41"/>
      <c r="DG229" s="41"/>
      <c r="DH229" s="41"/>
      <c r="DI229" s="41"/>
      <c r="DJ229" s="41"/>
      <c r="DK229" s="41"/>
      <c r="DL229" s="41"/>
      <c r="DM229" s="41"/>
      <c r="DN229" s="41"/>
      <c r="DO229" s="41"/>
      <c r="DP229" s="41"/>
      <c r="DQ229" s="41"/>
      <c r="DR229" s="41"/>
      <c r="DS229" s="41"/>
      <c r="DT229" s="41"/>
      <c r="DU229" s="41"/>
      <c r="DV229" s="41"/>
      <c r="DW229" s="41"/>
      <c r="DX229" s="41"/>
      <c r="DY229" s="41"/>
      <c r="DZ229" s="41"/>
      <c r="EA229" s="41"/>
      <c r="EB229" s="41"/>
      <c r="EC229" s="41"/>
      <c r="ED229" s="41"/>
      <c r="EE229" s="41"/>
      <c r="EF229" s="41"/>
      <c r="EG229" s="41"/>
      <c r="EH229" s="41"/>
      <c r="EI229" s="41"/>
      <c r="EJ229" s="41"/>
      <c r="EK229" s="41"/>
      <c r="EL229" s="41"/>
      <c r="EM229" s="41"/>
      <c r="EN229" s="41"/>
      <c r="EO229" s="41"/>
      <c r="EP229" s="41"/>
      <c r="EQ229" s="41"/>
      <c r="ER229" s="41"/>
      <c r="ES229" s="41"/>
      <c r="ET229" s="41"/>
      <c r="EU229" s="41"/>
      <c r="EV229" s="41"/>
      <c r="EW229" s="41"/>
      <c r="EX229" s="41"/>
      <c r="EY229" s="41"/>
      <c r="EZ229" s="41"/>
      <c r="FA229" s="41"/>
      <c r="FB229" s="41"/>
      <c r="FC229" s="41"/>
      <c r="FD229" s="41"/>
      <c r="FE229" s="41"/>
      <c r="FF229" s="41"/>
      <c r="FG229" s="41"/>
      <c r="FH229" s="41"/>
      <c r="FI229" s="41"/>
      <c r="FJ229" s="41"/>
      <c r="FK229" s="41"/>
      <c r="FL229" s="41"/>
      <c r="FM229" s="41"/>
      <c r="FN229" s="41"/>
      <c r="FO229" s="41"/>
      <c r="FP229" s="41"/>
      <c r="FQ229" s="41"/>
      <c r="FR229" s="41"/>
      <c r="FS229" s="41"/>
      <c r="FT229" s="41"/>
      <c r="FU229" s="41"/>
      <c r="FV229" s="41"/>
      <c r="FW229" s="41"/>
      <c r="FX229" s="41"/>
      <c r="FY229" s="41"/>
      <c r="FZ229" s="41"/>
      <c r="GA229" s="41"/>
      <c r="GB229" s="41"/>
      <c r="GC229" s="41"/>
      <c r="GD229" s="41"/>
      <c r="GE229" s="41"/>
      <c r="GF229" s="41"/>
      <c r="GG229" s="41"/>
      <c r="GH229" s="41"/>
      <c r="GI229" s="41"/>
      <c r="GJ229" s="41"/>
      <c r="GK229" s="41"/>
      <c r="GL229" s="41"/>
      <c r="GM229" s="41"/>
      <c r="GN229" s="41"/>
      <c r="GO229" s="41"/>
      <c r="GP229" s="41"/>
      <c r="GQ229" s="41"/>
      <c r="GR229" s="41"/>
      <c r="GS229" s="41"/>
      <c r="GT229" s="41"/>
      <c r="GU229" s="41"/>
      <c r="GV229" s="41"/>
      <c r="GW229" s="41"/>
      <c r="GX229" s="41"/>
      <c r="GY229" s="41"/>
      <c r="GZ229" s="41"/>
      <c r="HA229" s="41"/>
      <c r="HB229" s="41"/>
      <c r="HC229" s="41"/>
      <c r="HD229" s="41"/>
      <c r="HE229" s="41"/>
      <c r="HF229" s="41"/>
      <c r="HG229" s="41"/>
      <c r="HH229" s="41"/>
      <c r="HI229" s="41"/>
      <c r="HJ229" s="41"/>
      <c r="HK229" s="41"/>
      <c r="HL229" s="41"/>
      <c r="HM229" s="41"/>
      <c r="HN229" s="41"/>
      <c r="HO229" s="41"/>
      <c r="HP229" s="41"/>
      <c r="HQ229" s="41"/>
      <c r="HR229" s="41"/>
      <c r="HS229" s="41"/>
      <c r="HT229" s="41"/>
      <c r="HU229" s="41"/>
      <c r="HV229" s="41"/>
      <c r="HW229" s="41"/>
      <c r="HX229" s="41"/>
      <c r="HY229" s="41"/>
      <c r="HZ229" s="41"/>
      <c r="IA229" s="41"/>
      <c r="IB229" s="41"/>
      <c r="IC229" s="41"/>
      <c r="ID229" s="41"/>
      <c r="IE229" s="41"/>
      <c r="IF229" s="41"/>
      <c r="IG229" s="41"/>
      <c r="IH229" s="41"/>
      <c r="II229" s="41"/>
      <c r="IJ229" s="41"/>
      <c r="IK229" s="41"/>
    </row>
    <row r="230" spans="1:245">
      <c r="B230" s="36">
        <f>'[6]price list MAN'!B230</f>
        <v>49061</v>
      </c>
      <c r="C230" s="10" t="str">
        <f>'[6]price list MAN'!C230</f>
        <v>TGM-18-2404X4BB-C-DWA</v>
      </c>
      <c r="D230" s="16" t="str">
        <f>IFERROR(VLOOKUP(C230&amp;"",'[7]Retail Price List'!$A$3:$B$103,2,FALSE),"Special Order")</f>
        <v>KP000471</v>
      </c>
      <c r="E230" s="494" t="str">
        <f>'[6]price list MAN'!E230</f>
        <v>CKD</v>
      </c>
      <c r="F230" s="11" t="str">
        <f>'[6]price list MAN'!F230</f>
        <v>2018-04-30</v>
      </c>
      <c r="G230" s="32">
        <f>'[6]price list MAN'!G230</f>
        <v>15.9</v>
      </c>
      <c r="H230" s="26">
        <f>'[6]price list MAN'!H230</f>
        <v>43069</v>
      </c>
      <c r="I230" s="51" t="str">
        <f t="shared" si="15"/>
        <v>2017Q4</v>
      </c>
      <c r="J230" s="177">
        <f>'[6]price list MAN'!J230</f>
        <v>1290000</v>
      </c>
      <c r="K230" s="177">
        <f>'[6]price list MAN'!P230</f>
        <v>997500</v>
      </c>
      <c r="L230" s="177">
        <f>'[6]price list MAN'!R230</f>
        <v>950000</v>
      </c>
      <c r="M230" s="174">
        <f>'[6]price list MAN'!S230</f>
        <v>1315000</v>
      </c>
      <c r="N230" s="174">
        <f>'[6]price list MAN'!Y230</f>
        <v>1023750</v>
      </c>
      <c r="O230" s="174">
        <f>'[6]price list MAN'!AA230</f>
        <v>975000</v>
      </c>
      <c r="P230" s="68">
        <f t="shared" si="16"/>
        <v>0.2585551330798479</v>
      </c>
      <c r="Q230" s="62" t="e">
        <f>O230-#REF!</f>
        <v>#REF!</v>
      </c>
      <c r="W230" s="210"/>
      <c r="X230" s="210"/>
      <c r="Y230" s="210"/>
      <c r="Z230" s="210"/>
      <c r="AA230" s="210"/>
      <c r="AB230" s="210"/>
      <c r="AC230" s="210"/>
      <c r="AT230" s="425" t="str">
        <f t="shared" si="17"/>
        <v>KP0004712017Q415,9</v>
      </c>
      <c r="AU230" s="64" t="str">
        <f t="shared" si="18"/>
        <v>11-2017</v>
      </c>
      <c r="BA230" s="428" t="str">
        <f t="shared" si="19"/>
        <v>WIP - 30 Days</v>
      </c>
    </row>
    <row r="231" spans="1:245">
      <c r="B231" s="36">
        <f>'[6]price list MAN'!B231</f>
        <v>49062</v>
      </c>
      <c r="C231" s="10" t="str">
        <f>'[6]price list MAN'!C231</f>
        <v>TGM-18-2404X4BB-C-DWA</v>
      </c>
      <c r="D231" s="16" t="str">
        <f>IFERROR(VLOOKUP(C231&amp;"",'[7]Retail Price List'!$A$3:$B$103,2,FALSE),"Special Order")</f>
        <v>KP000471</v>
      </c>
      <c r="E231" s="494" t="str">
        <f>'[6]price list MAN'!E231</f>
        <v>CKD</v>
      </c>
      <c r="F231" s="11" t="str">
        <f>'[6]price list MAN'!F231</f>
        <v>2018-04-30</v>
      </c>
      <c r="G231" s="32">
        <f>'[6]price list MAN'!G231</f>
        <v>15.9</v>
      </c>
      <c r="H231" s="26">
        <f>'[6]price list MAN'!H231</f>
        <v>43069</v>
      </c>
      <c r="I231" s="51" t="str">
        <f t="shared" si="15"/>
        <v>2017Q4</v>
      </c>
      <c r="J231" s="177">
        <f>'[6]price list MAN'!J231</f>
        <v>1290000</v>
      </c>
      <c r="K231" s="177">
        <f>'[6]price list MAN'!P231</f>
        <v>997500</v>
      </c>
      <c r="L231" s="177">
        <f>'[6]price list MAN'!R231</f>
        <v>950000</v>
      </c>
      <c r="M231" s="174">
        <f>'[6]price list MAN'!S231</f>
        <v>1315000</v>
      </c>
      <c r="N231" s="174">
        <f>'[6]price list MAN'!Y231</f>
        <v>1023750</v>
      </c>
      <c r="O231" s="174">
        <f>'[6]price list MAN'!AA231</f>
        <v>975000</v>
      </c>
      <c r="P231" s="68">
        <f t="shared" si="16"/>
        <v>0.2585551330798479</v>
      </c>
      <c r="Q231" s="62" t="e">
        <f>O231-#REF!</f>
        <v>#REF!</v>
      </c>
      <c r="W231" s="210"/>
      <c r="X231" s="210"/>
      <c r="Y231" s="210"/>
      <c r="Z231" s="210"/>
      <c r="AA231" s="210"/>
      <c r="AB231" s="210"/>
      <c r="AC231" s="210"/>
      <c r="AT231" s="425" t="str">
        <f t="shared" si="17"/>
        <v>KP0004712017Q415,9</v>
      </c>
      <c r="AU231" s="64" t="str">
        <f t="shared" si="18"/>
        <v>11-2017</v>
      </c>
      <c r="BA231" s="428" t="str">
        <f t="shared" si="19"/>
        <v>WIP - 30 Days</v>
      </c>
    </row>
    <row r="232" spans="1:245" s="4" customFormat="1">
      <c r="A232" s="41"/>
      <c r="B232" s="36">
        <f>'[6]price list MAN'!B232</f>
        <v>49063</v>
      </c>
      <c r="C232" s="10" t="str">
        <f>'[6]price list MAN'!C232</f>
        <v>TGM-18-2404X4BB-C-DWA</v>
      </c>
      <c r="D232" s="16" t="str">
        <f>IFERROR(VLOOKUP(C232&amp;"",'[7]Retail Price List'!$A$3:$B$103,2,FALSE),"Special Order")</f>
        <v>KP000471</v>
      </c>
      <c r="E232" s="494" t="str">
        <f>'[6]price list MAN'!E232</f>
        <v>CKD</v>
      </c>
      <c r="F232" s="11" t="str">
        <f>'[6]price list MAN'!F232</f>
        <v>2018-04-30</v>
      </c>
      <c r="G232" s="32">
        <f>'[6]price list MAN'!G232</f>
        <v>15.9</v>
      </c>
      <c r="H232" s="26">
        <f>'[6]price list MAN'!H232</f>
        <v>43069</v>
      </c>
      <c r="I232" s="51" t="str">
        <f t="shared" si="15"/>
        <v>2017Q4</v>
      </c>
      <c r="J232" s="177">
        <f>'[6]price list MAN'!J232</f>
        <v>1290000</v>
      </c>
      <c r="K232" s="177">
        <f>'[6]price list MAN'!P232</f>
        <v>997500</v>
      </c>
      <c r="L232" s="177">
        <f>'[6]price list MAN'!R232</f>
        <v>950000</v>
      </c>
      <c r="M232" s="174">
        <f>'[6]price list MAN'!S232</f>
        <v>1315000</v>
      </c>
      <c r="N232" s="174">
        <f>'[6]price list MAN'!Y232</f>
        <v>1023750</v>
      </c>
      <c r="O232" s="174">
        <f>'[6]price list MAN'!AA232</f>
        <v>975000</v>
      </c>
      <c r="P232" s="68">
        <f t="shared" si="16"/>
        <v>0.2585551330798479</v>
      </c>
      <c r="Q232" s="62" t="e">
        <f>O232-#REF!</f>
        <v>#REF!</v>
      </c>
      <c r="R232" s="63" t="e">
        <f>SUM(Q230:Q231)/SUM(O230:O231)</f>
        <v>#REF!</v>
      </c>
      <c r="S232" s="64"/>
      <c r="T232" s="64"/>
      <c r="U232" s="64"/>
      <c r="V232" s="64"/>
      <c r="W232" s="210"/>
      <c r="X232" s="210"/>
      <c r="Y232" s="210"/>
      <c r="Z232" s="210"/>
      <c r="AA232" s="210"/>
      <c r="AB232" s="210"/>
      <c r="AC232" s="210"/>
      <c r="AD232" s="54"/>
      <c r="AE232" s="54"/>
      <c r="AF232" s="54"/>
      <c r="AG232" s="5"/>
      <c r="AH232" s="5"/>
      <c r="AI232" s="5"/>
      <c r="AJ232" s="5"/>
      <c r="AK232" s="5"/>
      <c r="AL232" s="5"/>
      <c r="AM232" s="5"/>
      <c r="AN232" s="5"/>
      <c r="AO232" s="5"/>
      <c r="AP232" s="5"/>
      <c r="AQ232" s="5"/>
      <c r="AR232" s="5"/>
      <c r="AS232" s="5"/>
      <c r="AT232" s="425" t="str">
        <f t="shared" si="17"/>
        <v>KP0004712017Q415,9</v>
      </c>
      <c r="AU232" s="64" t="str">
        <f t="shared" si="18"/>
        <v>11-2017</v>
      </c>
      <c r="AV232" s="64"/>
      <c r="AW232" s="64"/>
      <c r="AX232" s="64"/>
      <c r="AY232" s="64"/>
      <c r="AZ232" s="64"/>
      <c r="BA232" s="428" t="str">
        <f t="shared" si="19"/>
        <v>WIP - 30 Days</v>
      </c>
      <c r="BB232" s="169"/>
      <c r="BC232" s="169"/>
      <c r="BD232" s="169"/>
      <c r="BE232" s="41"/>
      <c r="BF232" s="41"/>
      <c r="BG232" s="41"/>
      <c r="BH232" s="41"/>
      <c r="BI232" s="41"/>
      <c r="BJ232" s="41"/>
      <c r="BK232" s="41"/>
      <c r="BL232" s="41"/>
      <c r="BM232" s="41"/>
      <c r="BN232" s="41"/>
      <c r="BO232" s="41"/>
      <c r="BP232" s="41"/>
      <c r="BQ232" s="41"/>
      <c r="BR232" s="41"/>
      <c r="BS232" s="41"/>
      <c r="BT232" s="41"/>
      <c r="BU232" s="41"/>
      <c r="BV232" s="41"/>
      <c r="BW232" s="41"/>
      <c r="BX232" s="41"/>
      <c r="BY232" s="41"/>
      <c r="BZ232" s="41"/>
      <c r="CA232" s="41"/>
      <c r="CB232" s="41"/>
      <c r="CC232" s="41"/>
      <c r="CD232" s="41"/>
      <c r="CE232" s="41"/>
      <c r="CF232" s="41"/>
      <c r="CG232" s="41"/>
      <c r="CH232" s="41"/>
      <c r="CI232" s="41"/>
      <c r="CJ232" s="41"/>
      <c r="CK232" s="41"/>
      <c r="CL232" s="41"/>
      <c r="CM232" s="41"/>
      <c r="CN232" s="41"/>
      <c r="CO232" s="41"/>
      <c r="CP232" s="41"/>
      <c r="CQ232" s="41"/>
      <c r="CR232" s="41"/>
      <c r="CS232" s="41"/>
      <c r="CT232" s="41"/>
      <c r="CU232" s="41"/>
      <c r="CV232" s="41"/>
      <c r="CW232" s="41"/>
      <c r="CX232" s="41"/>
      <c r="CY232" s="41"/>
      <c r="CZ232" s="41"/>
      <c r="DA232" s="41"/>
      <c r="DB232" s="41"/>
      <c r="DC232" s="41"/>
      <c r="DD232" s="41"/>
      <c r="DE232" s="41"/>
      <c r="DF232" s="41"/>
      <c r="DG232" s="41"/>
      <c r="DH232" s="41"/>
      <c r="DI232" s="41"/>
      <c r="DJ232" s="41"/>
      <c r="DK232" s="41"/>
      <c r="DL232" s="41"/>
      <c r="DM232" s="41"/>
      <c r="DN232" s="41"/>
      <c r="DO232" s="41"/>
      <c r="DP232" s="41"/>
      <c r="DQ232" s="41"/>
      <c r="DR232" s="41"/>
      <c r="DS232" s="41"/>
      <c r="DT232" s="41"/>
      <c r="DU232" s="41"/>
      <c r="DV232" s="41"/>
      <c r="DW232" s="41"/>
      <c r="DX232" s="41"/>
      <c r="DY232" s="41"/>
      <c r="DZ232" s="41"/>
      <c r="EA232" s="41"/>
      <c r="EB232" s="41"/>
      <c r="EC232" s="41"/>
      <c r="ED232" s="41"/>
      <c r="EE232" s="41"/>
      <c r="EF232" s="41"/>
      <c r="EG232" s="41"/>
      <c r="EH232" s="41"/>
      <c r="EI232" s="41"/>
      <c r="EJ232" s="41"/>
      <c r="EK232" s="41"/>
      <c r="EL232" s="41"/>
      <c r="EM232" s="41"/>
      <c r="EN232" s="41"/>
      <c r="EO232" s="41"/>
      <c r="EP232" s="41"/>
      <c r="EQ232" s="41"/>
      <c r="ER232" s="41"/>
      <c r="ES232" s="41"/>
      <c r="ET232" s="41"/>
      <c r="EU232" s="41"/>
      <c r="EV232" s="41"/>
      <c r="EW232" s="41"/>
      <c r="EX232" s="41"/>
      <c r="EY232" s="41"/>
      <c r="EZ232" s="41"/>
      <c r="FA232" s="41"/>
      <c r="FB232" s="41"/>
      <c r="FC232" s="41"/>
      <c r="FD232" s="41"/>
      <c r="FE232" s="41"/>
      <c r="FF232" s="41"/>
      <c r="FG232" s="41"/>
      <c r="FH232" s="41"/>
      <c r="FI232" s="41"/>
      <c r="FJ232" s="41"/>
      <c r="FK232" s="41"/>
      <c r="FL232" s="41"/>
      <c r="FM232" s="41"/>
      <c r="FN232" s="41"/>
      <c r="FO232" s="41"/>
      <c r="FP232" s="41"/>
      <c r="FQ232" s="41"/>
      <c r="FR232" s="41"/>
      <c r="FS232" s="41"/>
      <c r="FT232" s="41"/>
      <c r="FU232" s="41"/>
      <c r="FV232" s="41"/>
      <c r="FW232" s="41"/>
      <c r="FX232" s="41"/>
      <c r="FY232" s="41"/>
      <c r="FZ232" s="41"/>
      <c r="GA232" s="41"/>
      <c r="GB232" s="41"/>
      <c r="GC232" s="41"/>
      <c r="GD232" s="41"/>
      <c r="GE232" s="41"/>
      <c r="GF232" s="41"/>
      <c r="GG232" s="41"/>
      <c r="GH232" s="41"/>
      <c r="GI232" s="41"/>
      <c r="GJ232" s="41"/>
      <c r="GK232" s="41"/>
      <c r="GL232" s="41"/>
      <c r="GM232" s="41"/>
      <c r="GN232" s="41"/>
      <c r="GO232" s="41"/>
      <c r="GP232" s="41"/>
      <c r="GQ232" s="41"/>
      <c r="GR232" s="41"/>
      <c r="GS232" s="41"/>
      <c r="GT232" s="41"/>
      <c r="GU232" s="41"/>
      <c r="GV232" s="41"/>
      <c r="GW232" s="41"/>
      <c r="GX232" s="41"/>
      <c r="GY232" s="41"/>
      <c r="GZ232" s="41"/>
      <c r="HA232" s="41"/>
      <c r="HB232" s="41"/>
      <c r="HC232" s="41"/>
      <c r="HD232" s="41"/>
      <c r="HE232" s="41"/>
      <c r="HF232" s="41"/>
      <c r="HG232" s="41"/>
      <c r="HH232" s="41"/>
      <c r="HI232" s="41"/>
      <c r="HJ232" s="41"/>
      <c r="HK232" s="41"/>
      <c r="HL232" s="41"/>
      <c r="HM232" s="41"/>
      <c r="HN232" s="41"/>
      <c r="HO232" s="41"/>
      <c r="HP232" s="41"/>
      <c r="HQ232" s="41"/>
      <c r="HR232" s="41"/>
      <c r="HS232" s="41"/>
      <c r="HT232" s="41"/>
      <c r="HU232" s="41"/>
      <c r="HV232" s="41"/>
      <c r="HW232" s="41"/>
      <c r="HX232" s="41"/>
      <c r="HY232" s="41"/>
      <c r="HZ232" s="41"/>
      <c r="IA232" s="41"/>
      <c r="IB232" s="41"/>
      <c r="IC232" s="41"/>
      <c r="ID232" s="41"/>
      <c r="IE232" s="41"/>
      <c r="IF232" s="41"/>
      <c r="IG232" s="41"/>
      <c r="IH232" s="41"/>
      <c r="II232" s="41"/>
      <c r="IJ232" s="41"/>
      <c r="IK232" s="41"/>
    </row>
    <row r="233" spans="1:245">
      <c r="B233" s="36" t="str">
        <f>'[6]price list MAN'!B233</f>
        <v>TBAKP471</v>
      </c>
      <c r="C233" s="10" t="str">
        <f>'[6]price list MAN'!C233</f>
        <v>TGM-18-2404X4BB-C-DWA</v>
      </c>
      <c r="D233" s="16" t="str">
        <f>IFERROR(VLOOKUP(C233&amp;"",'[7]Retail Price List'!$A$3:$B$103,2,FALSE),"Special Order")</f>
        <v>KP000471</v>
      </c>
      <c r="E233" s="494" t="str">
        <f>'[6]price list MAN'!E233</f>
        <v>CKD</v>
      </c>
      <c r="F233" s="11" t="str">
        <f>'[6]price list MAN'!F233</f>
        <v>2018-08-19</v>
      </c>
      <c r="G233" s="32">
        <f>'[6]price list MAN'!G233</f>
        <v>15.8</v>
      </c>
      <c r="H233" s="26">
        <f>'[6]price list MAN'!H233</f>
        <v>43159</v>
      </c>
      <c r="I233" s="51" t="str">
        <f t="shared" si="15"/>
        <v>2018Q1</v>
      </c>
      <c r="J233" s="177">
        <f>'[6]price list MAN'!J233</f>
        <v>1290000</v>
      </c>
      <c r="K233" s="177">
        <f>'[6]price list MAN'!P233</f>
        <v>997500</v>
      </c>
      <c r="L233" s="177">
        <f>'[6]price list MAN'!R233</f>
        <v>950000</v>
      </c>
      <c r="M233" s="174">
        <f>'[6]price list MAN'!S233</f>
        <v>1315000</v>
      </c>
      <c r="N233" s="174">
        <f>'[6]price list MAN'!Y233</f>
        <v>1023750</v>
      </c>
      <c r="O233" s="174">
        <f>'[6]price list MAN'!AA233</f>
        <v>975000</v>
      </c>
      <c r="P233" s="68">
        <f t="shared" si="16"/>
        <v>0.2585551330798479</v>
      </c>
      <c r="Q233" s="62" t="e">
        <f>O233-#REF!</f>
        <v>#REF!</v>
      </c>
      <c r="W233" s="210"/>
      <c r="X233" s="210"/>
      <c r="Y233" s="210"/>
      <c r="Z233" s="210"/>
      <c r="AA233" s="210"/>
      <c r="AB233" s="210"/>
      <c r="AC233" s="210"/>
      <c r="AT233" s="425" t="str">
        <f t="shared" si="17"/>
        <v>KP0004712018Q115,8</v>
      </c>
      <c r="AU233" s="64" t="str">
        <f t="shared" si="18"/>
        <v>02-2018</v>
      </c>
      <c r="BA233" s="428" t="str">
        <f t="shared" si="19"/>
        <v>WIP - 30 Days</v>
      </c>
    </row>
    <row r="234" spans="1:245">
      <c r="B234" s="36">
        <f>'[6]price list MAN'!B234</f>
        <v>48884</v>
      </c>
      <c r="C234" s="10" t="str">
        <f>'[6]price list MAN'!C234</f>
        <v>TGM-18-2404X4BB-C-SWA</v>
      </c>
      <c r="D234" s="16" t="str">
        <f>IFERROR(VLOOKUP(C234&amp;"",'[7]Retail Price List'!$A$3:$B$103,2,FALSE),"Special Order")</f>
        <v>KP000481</v>
      </c>
      <c r="E234" s="494" t="str">
        <f>'[6]price list MAN'!E234</f>
        <v>CKD</v>
      </c>
      <c r="F234" s="11" t="str">
        <f>'[6]price list MAN'!F234</f>
        <v>2018-04-30</v>
      </c>
      <c r="G234" s="32">
        <f>'[6]price list MAN'!G234</f>
        <v>15.9</v>
      </c>
      <c r="H234" s="26">
        <f>'[6]price list MAN'!H234</f>
        <v>43069</v>
      </c>
      <c r="I234" s="51" t="str">
        <f t="shared" si="15"/>
        <v>2017Q4</v>
      </c>
      <c r="J234" s="177">
        <f>'[6]price list MAN'!J234</f>
        <v>1400000</v>
      </c>
      <c r="K234" s="177">
        <f>'[6]price list MAN'!P234</f>
        <v>1048950</v>
      </c>
      <c r="L234" s="177">
        <f>'[6]price list MAN'!R234</f>
        <v>999000</v>
      </c>
      <c r="M234" s="174">
        <f>'[6]price list MAN'!S234</f>
        <v>1425000</v>
      </c>
      <c r="N234" s="174">
        <f>'[6]price list MAN'!Y234</f>
        <v>1075200</v>
      </c>
      <c r="O234" s="174">
        <f>'[6]price list MAN'!AA234</f>
        <v>1024000</v>
      </c>
      <c r="P234" s="68">
        <f t="shared" si="16"/>
        <v>0.28140350877192982</v>
      </c>
      <c r="Q234" s="62" t="e">
        <f>O234-#REF!</f>
        <v>#REF!</v>
      </c>
      <c r="W234" s="210"/>
      <c r="X234" s="210"/>
      <c r="Y234" s="210"/>
      <c r="Z234" s="210"/>
      <c r="AA234" s="210"/>
      <c r="AB234" s="210"/>
      <c r="AC234" s="210"/>
      <c r="AT234" s="425" t="str">
        <f t="shared" si="17"/>
        <v>KP0004812017Q415,9</v>
      </c>
      <c r="AU234" s="64" t="str">
        <f t="shared" si="18"/>
        <v>11-2017</v>
      </c>
      <c r="BA234" s="428" t="str">
        <f t="shared" si="19"/>
        <v>WIP - 30 Days</v>
      </c>
    </row>
    <row r="235" spans="1:245">
      <c r="B235" s="36">
        <f>'[6]price list MAN'!B235</f>
        <v>48885</v>
      </c>
      <c r="C235" s="10" t="str">
        <f>'[6]price list MAN'!C235</f>
        <v>TGM-18-2404X4BB-C-SWA</v>
      </c>
      <c r="D235" s="16" t="str">
        <f>IFERROR(VLOOKUP(C235&amp;"",'[7]Retail Price List'!$A$3:$B$103,2,FALSE),"Special Order")</f>
        <v>KP000481</v>
      </c>
      <c r="E235" s="494" t="str">
        <f>'[6]price list MAN'!E235</f>
        <v>CKD</v>
      </c>
      <c r="F235" s="11" t="str">
        <f>'[6]price list MAN'!F235</f>
        <v>2018-04-30</v>
      </c>
      <c r="G235" s="32">
        <f>'[6]price list MAN'!G235</f>
        <v>15.9</v>
      </c>
      <c r="H235" s="26">
        <f>'[6]price list MAN'!H235</f>
        <v>43069</v>
      </c>
      <c r="I235" s="51" t="str">
        <f t="shared" si="15"/>
        <v>2017Q4</v>
      </c>
      <c r="J235" s="177">
        <f>'[6]price list MAN'!J235</f>
        <v>1400000</v>
      </c>
      <c r="K235" s="177">
        <f>'[6]price list MAN'!P235</f>
        <v>1048950</v>
      </c>
      <c r="L235" s="177">
        <f>'[6]price list MAN'!R235</f>
        <v>999000</v>
      </c>
      <c r="M235" s="174">
        <f>'[6]price list MAN'!S235</f>
        <v>1425000</v>
      </c>
      <c r="N235" s="174">
        <f>'[6]price list MAN'!Y235</f>
        <v>1075200</v>
      </c>
      <c r="O235" s="174">
        <f>'[6]price list MAN'!AA235</f>
        <v>1024000</v>
      </c>
      <c r="P235" s="68">
        <f t="shared" si="16"/>
        <v>0.28140350877192982</v>
      </c>
      <c r="Q235" s="62" t="e">
        <f>O235-#REF!</f>
        <v>#REF!</v>
      </c>
      <c r="W235" s="210"/>
      <c r="X235" s="210"/>
      <c r="Y235" s="210"/>
      <c r="Z235" s="210"/>
      <c r="AA235" s="210"/>
      <c r="AB235" s="210"/>
      <c r="AC235" s="210"/>
      <c r="AT235" s="425" t="str">
        <f t="shared" si="17"/>
        <v>KP0004812017Q415,9</v>
      </c>
      <c r="AU235" s="64" t="str">
        <f t="shared" si="18"/>
        <v>11-2017</v>
      </c>
      <c r="BA235" s="428" t="str">
        <f t="shared" si="19"/>
        <v>WIP - 30 Days</v>
      </c>
    </row>
    <row r="236" spans="1:245">
      <c r="B236" s="36">
        <f>'[6]price list MAN'!B236</f>
        <v>48886</v>
      </c>
      <c r="C236" s="10" t="str">
        <f>'[6]price list MAN'!C236</f>
        <v>TGM-18-2404X4BB-C-SWA</v>
      </c>
      <c r="D236" s="16" t="str">
        <f>IFERROR(VLOOKUP(C236&amp;"",'[7]Retail Price List'!$A$3:$B$103,2,FALSE),"Special Order")</f>
        <v>KP000481</v>
      </c>
      <c r="E236" s="494" t="str">
        <f>'[6]price list MAN'!E236</f>
        <v>CKD</v>
      </c>
      <c r="F236" s="11" t="str">
        <f>'[6]price list MAN'!F236</f>
        <v>2018-04-30</v>
      </c>
      <c r="G236" s="32">
        <f>'[6]price list MAN'!G236</f>
        <v>15.9</v>
      </c>
      <c r="H236" s="26">
        <f>'[6]price list MAN'!H236</f>
        <v>43069</v>
      </c>
      <c r="I236" s="51" t="str">
        <f t="shared" si="15"/>
        <v>2017Q4</v>
      </c>
      <c r="J236" s="177">
        <f>'[6]price list MAN'!J236</f>
        <v>1400000</v>
      </c>
      <c r="K236" s="177">
        <f>'[6]price list MAN'!P236</f>
        <v>1048950</v>
      </c>
      <c r="L236" s="177">
        <f>'[6]price list MAN'!R236</f>
        <v>999000</v>
      </c>
      <c r="M236" s="174">
        <f>'[6]price list MAN'!S236</f>
        <v>1425000</v>
      </c>
      <c r="N236" s="174">
        <f>'[6]price list MAN'!Y236</f>
        <v>1075200</v>
      </c>
      <c r="O236" s="174">
        <f>'[6]price list MAN'!AA236</f>
        <v>1024000</v>
      </c>
      <c r="P236" s="68">
        <f t="shared" si="16"/>
        <v>0.28140350877192982</v>
      </c>
      <c r="Q236" s="62" t="e">
        <f>O236-#REF!</f>
        <v>#REF!</v>
      </c>
      <c r="W236" s="210"/>
      <c r="X236" s="210"/>
      <c r="Y236" s="210"/>
      <c r="Z236" s="210"/>
      <c r="AA236" s="210"/>
      <c r="AB236" s="210"/>
      <c r="AC236" s="210"/>
      <c r="AT236" s="425" t="str">
        <f t="shared" si="17"/>
        <v>KP0004812017Q415,9</v>
      </c>
      <c r="AU236" s="64" t="str">
        <f t="shared" si="18"/>
        <v>11-2017</v>
      </c>
      <c r="BA236" s="428" t="str">
        <f t="shared" si="19"/>
        <v>WIP - 30 Days</v>
      </c>
    </row>
    <row r="237" spans="1:245" s="4" customFormat="1">
      <c r="A237" s="41"/>
      <c r="B237" s="36">
        <f>'[6]price list MAN'!B237</f>
        <v>48887</v>
      </c>
      <c r="C237" s="10" t="str">
        <f>'[6]price list MAN'!C237</f>
        <v>TGM-18-2404X4BB-C-SWA</v>
      </c>
      <c r="D237" s="16" t="str">
        <f>IFERROR(VLOOKUP(C237&amp;"",'[7]Retail Price List'!$A$3:$B$103,2,FALSE),"Special Order")</f>
        <v>KP000481</v>
      </c>
      <c r="E237" s="494" t="str">
        <f>'[6]price list MAN'!E237</f>
        <v>CKD</v>
      </c>
      <c r="F237" s="11" t="str">
        <f>'[6]price list MAN'!F237</f>
        <v>2018-04-30</v>
      </c>
      <c r="G237" s="32">
        <f>'[6]price list MAN'!G237</f>
        <v>15.9</v>
      </c>
      <c r="H237" s="26">
        <f>'[6]price list MAN'!H237</f>
        <v>43069</v>
      </c>
      <c r="I237" s="51" t="str">
        <f t="shared" si="15"/>
        <v>2017Q4</v>
      </c>
      <c r="J237" s="177">
        <f>'[6]price list MAN'!J237</f>
        <v>1400000</v>
      </c>
      <c r="K237" s="177">
        <f>'[6]price list MAN'!P237</f>
        <v>1048950</v>
      </c>
      <c r="L237" s="177">
        <f>'[6]price list MAN'!R237</f>
        <v>999000</v>
      </c>
      <c r="M237" s="174">
        <f>'[6]price list MAN'!S237</f>
        <v>1425000</v>
      </c>
      <c r="N237" s="174">
        <f>'[6]price list MAN'!Y237</f>
        <v>1075200</v>
      </c>
      <c r="O237" s="174">
        <f>'[6]price list MAN'!AA237</f>
        <v>1024000</v>
      </c>
      <c r="P237" s="68">
        <f t="shared" si="16"/>
        <v>0.28140350877192982</v>
      </c>
      <c r="Q237" s="62" t="e">
        <f>O237-#REF!</f>
        <v>#REF!</v>
      </c>
      <c r="R237" s="63" t="e">
        <f>SUM(Q233:Q236)/SUM(O233:O236)</f>
        <v>#REF!</v>
      </c>
      <c r="S237" s="64"/>
      <c r="T237" s="64"/>
      <c r="U237" s="64"/>
      <c r="V237" s="64"/>
      <c r="W237" s="210"/>
      <c r="X237" s="210"/>
      <c r="Y237" s="210"/>
      <c r="Z237" s="210"/>
      <c r="AA237" s="210"/>
      <c r="AB237" s="210"/>
      <c r="AC237" s="210"/>
      <c r="AD237" s="54"/>
      <c r="AE237" s="54"/>
      <c r="AF237" s="54"/>
      <c r="AG237" s="5"/>
      <c r="AH237" s="5"/>
      <c r="AI237" s="5"/>
      <c r="AJ237" s="5"/>
      <c r="AK237" s="5"/>
      <c r="AL237" s="5"/>
      <c r="AM237" s="5"/>
      <c r="AN237" s="5"/>
      <c r="AO237" s="5"/>
      <c r="AP237" s="5"/>
      <c r="AQ237" s="5"/>
      <c r="AR237" s="5"/>
      <c r="AS237" s="5"/>
      <c r="AT237" s="425" t="str">
        <f t="shared" si="17"/>
        <v>KP0004812017Q415,9</v>
      </c>
      <c r="AU237" s="64" t="str">
        <f t="shared" si="18"/>
        <v>11-2017</v>
      </c>
      <c r="AV237" s="64"/>
      <c r="AW237" s="64"/>
      <c r="AX237" s="64"/>
      <c r="AY237" s="64"/>
      <c r="AZ237" s="64"/>
      <c r="BA237" s="428" t="str">
        <f t="shared" si="19"/>
        <v>WIP - 30 Days</v>
      </c>
      <c r="BB237" s="169"/>
      <c r="BC237" s="169"/>
      <c r="BD237" s="169"/>
      <c r="BE237" s="41"/>
      <c r="BF237" s="41"/>
      <c r="BG237" s="41"/>
      <c r="BH237" s="41"/>
      <c r="BI237" s="41"/>
      <c r="BJ237" s="41"/>
      <c r="BK237" s="41"/>
      <c r="BL237" s="41"/>
      <c r="BM237" s="41"/>
      <c r="BN237" s="41"/>
      <c r="BO237" s="41"/>
      <c r="BP237" s="41"/>
      <c r="BQ237" s="41"/>
      <c r="BR237" s="41"/>
      <c r="BS237" s="41"/>
      <c r="BT237" s="41"/>
      <c r="BU237" s="41"/>
      <c r="BV237" s="41"/>
      <c r="BW237" s="41"/>
      <c r="BX237" s="41"/>
      <c r="BY237" s="41"/>
      <c r="BZ237" s="41"/>
      <c r="CA237" s="41"/>
      <c r="CB237" s="41"/>
      <c r="CC237" s="41"/>
      <c r="CD237" s="41"/>
      <c r="CE237" s="41"/>
      <c r="CF237" s="41"/>
      <c r="CG237" s="41"/>
      <c r="CH237" s="41"/>
      <c r="CI237" s="41"/>
      <c r="CJ237" s="41"/>
      <c r="CK237" s="41"/>
      <c r="CL237" s="41"/>
      <c r="CM237" s="41"/>
      <c r="CN237" s="41"/>
      <c r="CO237" s="41"/>
      <c r="CP237" s="41"/>
      <c r="CQ237" s="41"/>
      <c r="CR237" s="41"/>
      <c r="CS237" s="41"/>
      <c r="CT237" s="41"/>
      <c r="CU237" s="41"/>
      <c r="CV237" s="41"/>
      <c r="CW237" s="41"/>
      <c r="CX237" s="41"/>
      <c r="CY237" s="41"/>
      <c r="CZ237" s="41"/>
      <c r="DA237" s="41"/>
      <c r="DB237" s="41"/>
      <c r="DC237" s="41"/>
      <c r="DD237" s="41"/>
      <c r="DE237" s="41"/>
      <c r="DF237" s="41"/>
      <c r="DG237" s="41"/>
      <c r="DH237" s="41"/>
      <c r="DI237" s="41"/>
      <c r="DJ237" s="41"/>
      <c r="DK237" s="41"/>
      <c r="DL237" s="41"/>
      <c r="DM237" s="41"/>
      <c r="DN237" s="41"/>
      <c r="DO237" s="41"/>
      <c r="DP237" s="41"/>
      <c r="DQ237" s="41"/>
      <c r="DR237" s="41"/>
      <c r="DS237" s="41"/>
      <c r="DT237" s="41"/>
      <c r="DU237" s="41"/>
      <c r="DV237" s="41"/>
      <c r="DW237" s="41"/>
      <c r="DX237" s="41"/>
      <c r="DY237" s="41"/>
      <c r="DZ237" s="41"/>
      <c r="EA237" s="41"/>
      <c r="EB237" s="41"/>
      <c r="EC237" s="41"/>
      <c r="ED237" s="41"/>
      <c r="EE237" s="41"/>
      <c r="EF237" s="41"/>
      <c r="EG237" s="41"/>
      <c r="EH237" s="41"/>
      <c r="EI237" s="41"/>
      <c r="EJ237" s="41"/>
      <c r="EK237" s="41"/>
      <c r="EL237" s="41"/>
      <c r="EM237" s="41"/>
      <c r="EN237" s="41"/>
      <c r="EO237" s="41"/>
      <c r="EP237" s="41"/>
      <c r="EQ237" s="41"/>
      <c r="ER237" s="41"/>
      <c r="ES237" s="41"/>
      <c r="ET237" s="41"/>
      <c r="EU237" s="41"/>
      <c r="EV237" s="41"/>
      <c r="EW237" s="41"/>
      <c r="EX237" s="41"/>
      <c r="EY237" s="41"/>
      <c r="EZ237" s="41"/>
      <c r="FA237" s="41"/>
      <c r="FB237" s="41"/>
      <c r="FC237" s="41"/>
      <c r="FD237" s="41"/>
      <c r="FE237" s="41"/>
      <c r="FF237" s="41"/>
      <c r="FG237" s="41"/>
      <c r="FH237" s="41"/>
      <c r="FI237" s="41"/>
      <c r="FJ237" s="41"/>
      <c r="FK237" s="41"/>
      <c r="FL237" s="41"/>
      <c r="FM237" s="41"/>
      <c r="FN237" s="41"/>
      <c r="FO237" s="41"/>
      <c r="FP237" s="41"/>
      <c r="FQ237" s="41"/>
      <c r="FR237" s="41"/>
      <c r="FS237" s="41"/>
      <c r="FT237" s="41"/>
      <c r="FU237" s="41"/>
      <c r="FV237" s="41"/>
      <c r="FW237" s="41"/>
      <c r="FX237" s="41"/>
      <c r="FY237" s="41"/>
      <c r="FZ237" s="41"/>
      <c r="GA237" s="41"/>
      <c r="GB237" s="41"/>
      <c r="GC237" s="41"/>
      <c r="GD237" s="41"/>
      <c r="GE237" s="41"/>
      <c r="GF237" s="41"/>
      <c r="GG237" s="41"/>
      <c r="GH237" s="41"/>
      <c r="GI237" s="41"/>
      <c r="GJ237" s="41"/>
      <c r="GK237" s="41"/>
      <c r="GL237" s="41"/>
      <c r="GM237" s="41"/>
      <c r="GN237" s="41"/>
      <c r="GO237" s="41"/>
      <c r="GP237" s="41"/>
      <c r="GQ237" s="41"/>
      <c r="GR237" s="41"/>
      <c r="GS237" s="41"/>
      <c r="GT237" s="41"/>
      <c r="GU237" s="41"/>
      <c r="GV237" s="41"/>
      <c r="GW237" s="41"/>
      <c r="GX237" s="41"/>
      <c r="GY237" s="41"/>
      <c r="GZ237" s="41"/>
      <c r="HA237" s="41"/>
      <c r="HB237" s="41"/>
      <c r="HC237" s="41"/>
      <c r="HD237" s="41"/>
      <c r="HE237" s="41"/>
      <c r="HF237" s="41"/>
      <c r="HG237" s="41"/>
      <c r="HH237" s="41"/>
      <c r="HI237" s="41"/>
      <c r="HJ237" s="41"/>
      <c r="HK237" s="41"/>
      <c r="HL237" s="41"/>
      <c r="HM237" s="41"/>
      <c r="HN237" s="41"/>
      <c r="HO237" s="41"/>
      <c r="HP237" s="41"/>
      <c r="HQ237" s="41"/>
      <c r="HR237" s="41"/>
      <c r="HS237" s="41"/>
      <c r="HT237" s="41"/>
      <c r="HU237" s="41"/>
      <c r="HV237" s="41"/>
      <c r="HW237" s="41"/>
      <c r="HX237" s="41"/>
      <c r="HY237" s="41"/>
      <c r="HZ237" s="41"/>
      <c r="IA237" s="41"/>
      <c r="IB237" s="41"/>
      <c r="IC237" s="41"/>
      <c r="ID237" s="41"/>
      <c r="IE237" s="41"/>
      <c r="IF237" s="41"/>
      <c r="IG237" s="41"/>
      <c r="IH237" s="41"/>
      <c r="II237" s="41"/>
      <c r="IJ237" s="41"/>
      <c r="IK237" s="41"/>
    </row>
    <row r="238" spans="1:245">
      <c r="B238" s="36">
        <f>'[6]price list MAN'!B238</f>
        <v>48888</v>
      </c>
      <c r="C238" s="10" t="str">
        <f>'[6]price list MAN'!C238</f>
        <v>TGM-18-2404X4BB-C-SWA</v>
      </c>
      <c r="D238" s="16" t="str">
        <f>IFERROR(VLOOKUP(C238&amp;"",'[7]Retail Price List'!$A$3:$B$103,2,FALSE),"Special Order")</f>
        <v>KP000481</v>
      </c>
      <c r="E238" s="494" t="str">
        <f>'[6]price list MAN'!E238</f>
        <v>CKD</v>
      </c>
      <c r="F238" s="11" t="str">
        <f>'[6]price list MAN'!F238</f>
        <v>2018-04-30</v>
      </c>
      <c r="G238" s="32">
        <f>'[6]price list MAN'!G238</f>
        <v>15.9</v>
      </c>
      <c r="H238" s="26">
        <f>'[6]price list MAN'!H238</f>
        <v>43069</v>
      </c>
      <c r="I238" s="51" t="str">
        <f t="shared" si="15"/>
        <v>2017Q4</v>
      </c>
      <c r="J238" s="177">
        <f>'[6]price list MAN'!J238</f>
        <v>1400000</v>
      </c>
      <c r="K238" s="177">
        <f>'[6]price list MAN'!P238</f>
        <v>1048950</v>
      </c>
      <c r="L238" s="177">
        <f>'[6]price list MAN'!R238</f>
        <v>999000</v>
      </c>
      <c r="M238" s="174">
        <f>'[6]price list MAN'!S238</f>
        <v>1425000</v>
      </c>
      <c r="N238" s="174">
        <f>'[6]price list MAN'!Y238</f>
        <v>1075200</v>
      </c>
      <c r="O238" s="174">
        <f>'[6]price list MAN'!AA238</f>
        <v>1024000</v>
      </c>
      <c r="P238" s="68">
        <f t="shared" si="16"/>
        <v>0.28140350877192982</v>
      </c>
      <c r="Q238" s="62" t="e">
        <f>O238-#REF!</f>
        <v>#REF!</v>
      </c>
      <c r="S238" s="64" t="s">
        <v>9</v>
      </c>
      <c r="T238" s="64" t="s">
        <v>10</v>
      </c>
      <c r="U238" s="64" t="s">
        <v>11</v>
      </c>
      <c r="W238" s="210"/>
      <c r="X238" s="210"/>
      <c r="Y238" s="210"/>
      <c r="Z238" s="210"/>
      <c r="AA238" s="210"/>
      <c r="AB238" s="210"/>
      <c r="AC238" s="210"/>
      <c r="AT238" s="425" t="str">
        <f t="shared" si="17"/>
        <v>KP0004812017Q415,9</v>
      </c>
      <c r="AU238" s="64" t="str">
        <f t="shared" si="18"/>
        <v>11-2017</v>
      </c>
      <c r="BA238" s="428" t="str">
        <f t="shared" si="19"/>
        <v>WIP - 30 Days</v>
      </c>
    </row>
    <row r="239" spans="1:245">
      <c r="B239" s="36">
        <f>'[6]price list MAN'!B239</f>
        <v>48889</v>
      </c>
      <c r="C239" s="10" t="str">
        <f>'[6]price list MAN'!C239</f>
        <v>TGM-18-2404X4BB-C-SWA</v>
      </c>
      <c r="D239" s="16" t="str">
        <f>IFERROR(VLOOKUP(C239&amp;"",'[7]Retail Price List'!$A$3:$B$103,2,FALSE),"Special Order")</f>
        <v>KP000481</v>
      </c>
      <c r="E239" s="494" t="str">
        <f>'[6]price list MAN'!E239</f>
        <v>CKD</v>
      </c>
      <c r="F239" s="11" t="str">
        <f>'[6]price list MAN'!F239</f>
        <v>2018-04-30</v>
      </c>
      <c r="G239" s="32">
        <f>'[6]price list MAN'!G239</f>
        <v>15.9</v>
      </c>
      <c r="H239" s="26">
        <f>'[6]price list MAN'!H239</f>
        <v>43069</v>
      </c>
      <c r="I239" s="51" t="str">
        <f t="shared" si="15"/>
        <v>2017Q4</v>
      </c>
      <c r="J239" s="177">
        <f>'[6]price list MAN'!J239</f>
        <v>1400000</v>
      </c>
      <c r="K239" s="177">
        <f>'[6]price list MAN'!P239</f>
        <v>1048950</v>
      </c>
      <c r="L239" s="177">
        <f>'[6]price list MAN'!R239</f>
        <v>999000</v>
      </c>
      <c r="M239" s="174">
        <f>'[6]price list MAN'!S239</f>
        <v>1425000</v>
      </c>
      <c r="N239" s="174">
        <f>'[6]price list MAN'!Y239</f>
        <v>1075200</v>
      </c>
      <c r="O239" s="174">
        <f>'[6]price list MAN'!AA239</f>
        <v>1024000</v>
      </c>
      <c r="P239" s="68">
        <f t="shared" si="16"/>
        <v>0.28140350877192982</v>
      </c>
      <c r="Q239" s="62" t="e">
        <f>O239-#REF!</f>
        <v>#REF!</v>
      </c>
      <c r="S239" s="64">
        <v>10</v>
      </c>
      <c r="T239" s="64">
        <v>-4.8</v>
      </c>
      <c r="U239" s="64">
        <v>2.4</v>
      </c>
      <c r="W239" s="210"/>
      <c r="X239" s="210"/>
      <c r="Y239" s="210"/>
      <c r="Z239" s="210"/>
      <c r="AA239" s="210"/>
      <c r="AB239" s="210"/>
      <c r="AC239" s="210"/>
      <c r="AT239" s="425" t="str">
        <f t="shared" si="17"/>
        <v>KP0004812017Q415,9</v>
      </c>
      <c r="AU239" s="64" t="str">
        <f t="shared" si="18"/>
        <v>11-2017</v>
      </c>
      <c r="BA239" s="428" t="str">
        <f t="shared" si="19"/>
        <v>WIP - 30 Days</v>
      </c>
    </row>
    <row r="240" spans="1:245">
      <c r="B240" s="36">
        <f>'[6]price list MAN'!B240</f>
        <v>48892</v>
      </c>
      <c r="C240" s="10" t="str">
        <f>'[6]price list MAN'!C240</f>
        <v>TGM-18-2404X4BB-C-SWA</v>
      </c>
      <c r="D240" s="16" t="str">
        <f>IFERROR(VLOOKUP(C240&amp;"",'[7]Retail Price List'!$A$3:$B$103,2,FALSE),"Special Order")</f>
        <v>KP000481</v>
      </c>
      <c r="E240" s="494" t="str">
        <f>'[6]price list MAN'!E240</f>
        <v>CKD</v>
      </c>
      <c r="F240" s="11" t="str">
        <f>'[6]price list MAN'!F240</f>
        <v>2018-04-30</v>
      </c>
      <c r="G240" s="32">
        <f>'[6]price list MAN'!G240</f>
        <v>15.9</v>
      </c>
      <c r="H240" s="26">
        <f>'[6]price list MAN'!H240</f>
        <v>43069</v>
      </c>
      <c r="I240" s="51" t="str">
        <f t="shared" si="15"/>
        <v>2017Q4</v>
      </c>
      <c r="J240" s="177">
        <f>'[6]price list MAN'!J240</f>
        <v>1400000</v>
      </c>
      <c r="K240" s="177">
        <f>'[6]price list MAN'!P240</f>
        <v>1048950</v>
      </c>
      <c r="L240" s="177">
        <f>'[6]price list MAN'!R240</f>
        <v>999000</v>
      </c>
      <c r="M240" s="174">
        <f>'[6]price list MAN'!S240</f>
        <v>1425000</v>
      </c>
      <c r="N240" s="174">
        <f>'[6]price list MAN'!Y240</f>
        <v>1075200</v>
      </c>
      <c r="O240" s="174">
        <f>'[6]price list MAN'!AA240</f>
        <v>1024000</v>
      </c>
      <c r="P240" s="68">
        <f t="shared" si="16"/>
        <v>0.28140350877192982</v>
      </c>
      <c r="Q240" s="62" t="e">
        <f>O240-#REF!</f>
        <v>#REF!</v>
      </c>
      <c r="S240" s="64">
        <v>6.3</v>
      </c>
      <c r="T240" s="64">
        <v>6.3</v>
      </c>
      <c r="U240" s="64">
        <v>6.3</v>
      </c>
      <c r="W240" s="210"/>
      <c r="X240" s="210"/>
      <c r="Y240" s="210"/>
      <c r="Z240" s="210"/>
      <c r="AA240" s="210"/>
      <c r="AB240" s="210"/>
      <c r="AC240" s="210"/>
      <c r="AT240" s="425" t="str">
        <f t="shared" si="17"/>
        <v>KP0004812017Q415,9</v>
      </c>
      <c r="AU240" s="64" t="str">
        <f t="shared" si="18"/>
        <v>11-2017</v>
      </c>
      <c r="BA240" s="428" t="str">
        <f t="shared" si="19"/>
        <v>WIP - 30 Days</v>
      </c>
    </row>
    <row r="241" spans="1:245">
      <c r="B241" s="36">
        <f>'[6]price list MAN'!B241</f>
        <v>48893</v>
      </c>
      <c r="C241" s="10" t="str">
        <f>'[6]price list MAN'!C241</f>
        <v>TGM-18-2404X4BB-C-SWA</v>
      </c>
      <c r="D241" s="16" t="str">
        <f>IFERROR(VLOOKUP(C241&amp;"",'[7]Retail Price List'!$A$3:$B$103,2,FALSE),"Special Order")</f>
        <v>KP000481</v>
      </c>
      <c r="E241" s="494" t="str">
        <f>'[6]price list MAN'!E241</f>
        <v>CKD</v>
      </c>
      <c r="F241" s="11" t="str">
        <f>'[6]price list MAN'!F241</f>
        <v>2018-04-30</v>
      </c>
      <c r="G241" s="32">
        <f>'[6]price list MAN'!G241</f>
        <v>15.9</v>
      </c>
      <c r="H241" s="26">
        <f>'[6]price list MAN'!H241</f>
        <v>43069</v>
      </c>
      <c r="I241" s="51" t="str">
        <f t="shared" si="15"/>
        <v>2017Q4</v>
      </c>
      <c r="J241" s="177">
        <f>'[6]price list MAN'!J241</f>
        <v>1400000</v>
      </c>
      <c r="K241" s="177">
        <f>'[6]price list MAN'!P241</f>
        <v>1048950</v>
      </c>
      <c r="L241" s="177">
        <f>'[6]price list MAN'!R241</f>
        <v>999000</v>
      </c>
      <c r="M241" s="174">
        <f>'[6]price list MAN'!S241</f>
        <v>1425000</v>
      </c>
      <c r="N241" s="174">
        <f>'[6]price list MAN'!Y241</f>
        <v>1075200</v>
      </c>
      <c r="O241" s="174">
        <f>'[6]price list MAN'!AA241</f>
        <v>1024000</v>
      </c>
      <c r="P241" s="68">
        <f t="shared" si="16"/>
        <v>0.28140350877192982</v>
      </c>
      <c r="Q241" s="62" t="e">
        <f>O241-#REF!</f>
        <v>#REF!</v>
      </c>
      <c r="S241" s="64">
        <f>COUNT(#REF!)</f>
        <v>0</v>
      </c>
      <c r="W241" s="210"/>
      <c r="X241" s="210"/>
      <c r="Y241" s="210"/>
      <c r="Z241" s="210"/>
      <c r="AA241" s="210"/>
      <c r="AB241" s="210"/>
      <c r="AC241" s="210"/>
      <c r="AT241" s="425" t="str">
        <f t="shared" si="17"/>
        <v>KP0004812017Q415,9</v>
      </c>
      <c r="AU241" s="64" t="str">
        <f t="shared" si="18"/>
        <v>11-2017</v>
      </c>
      <c r="BA241" s="428" t="str">
        <f t="shared" si="19"/>
        <v>WIP - 30 Days</v>
      </c>
    </row>
    <row r="242" spans="1:245">
      <c r="B242" s="36">
        <f>'[6]price list MAN'!B242</f>
        <v>48894</v>
      </c>
      <c r="C242" s="10" t="str">
        <f>'[6]price list MAN'!C242</f>
        <v>TGM-18-2404X4BB-C-SWA</v>
      </c>
      <c r="D242" s="16" t="str">
        <f>IFERROR(VLOOKUP(C242&amp;"",'[7]Retail Price List'!$A$3:$B$103,2,FALSE),"Special Order")</f>
        <v>KP000481</v>
      </c>
      <c r="E242" s="494" t="str">
        <f>'[6]price list MAN'!E242</f>
        <v>CKD</v>
      </c>
      <c r="F242" s="11" t="str">
        <f>'[6]price list MAN'!F242</f>
        <v>2018-05-30</v>
      </c>
      <c r="G242" s="32">
        <f>'[6]price list MAN'!G242</f>
        <v>15.9</v>
      </c>
      <c r="H242" s="26">
        <f>'[6]price list MAN'!H242</f>
        <v>43069</v>
      </c>
      <c r="I242" s="51" t="str">
        <f t="shared" si="15"/>
        <v>2017Q4</v>
      </c>
      <c r="J242" s="177">
        <f>'[6]price list MAN'!J242</f>
        <v>1400000</v>
      </c>
      <c r="K242" s="177">
        <f>'[6]price list MAN'!P242</f>
        <v>1039500</v>
      </c>
      <c r="L242" s="177">
        <f>'[6]price list MAN'!R242</f>
        <v>990000</v>
      </c>
      <c r="M242" s="174">
        <f>'[6]price list MAN'!S242</f>
        <v>1425000</v>
      </c>
      <c r="N242" s="174">
        <f>'[6]price list MAN'!Y242</f>
        <v>1065750</v>
      </c>
      <c r="O242" s="174">
        <f>'[6]price list MAN'!AA242</f>
        <v>1015000</v>
      </c>
      <c r="P242" s="68">
        <f t="shared" si="16"/>
        <v>0.28771929824561404</v>
      </c>
      <c r="Q242" s="62" t="e">
        <f>O242-#REF!</f>
        <v>#REF!</v>
      </c>
      <c r="S242" s="62" t="e">
        <f>+AVERAGE(#REF!)</f>
        <v>#REF!</v>
      </c>
      <c r="W242" s="210"/>
      <c r="X242" s="210"/>
      <c r="Y242" s="210"/>
      <c r="Z242" s="210"/>
      <c r="AA242" s="210"/>
      <c r="AB242" s="210"/>
      <c r="AC242" s="210"/>
      <c r="AT242" s="425" t="str">
        <f t="shared" si="17"/>
        <v>KP0004812017Q415,9</v>
      </c>
      <c r="AU242" s="64" t="str">
        <f t="shared" si="18"/>
        <v>11-2017</v>
      </c>
      <c r="BA242" s="428" t="str">
        <f t="shared" si="19"/>
        <v>WIP - 30 Days</v>
      </c>
    </row>
    <row r="243" spans="1:245">
      <c r="B243" s="36">
        <f>'[6]price list MAN'!B243</f>
        <v>49065</v>
      </c>
      <c r="C243" s="10" t="str">
        <f>'[6]price list MAN'!C243</f>
        <v>TGM-18-2404X4BB-C-SWA</v>
      </c>
      <c r="D243" s="16" t="str">
        <f>IFERROR(VLOOKUP(C243&amp;"",'[7]Retail Price List'!$A$3:$B$103,2,FALSE),"Special Order")</f>
        <v>KP000481</v>
      </c>
      <c r="E243" s="494" t="str">
        <f>'[6]price list MAN'!E243</f>
        <v>CKD</v>
      </c>
      <c r="F243" s="11" t="str">
        <f>'[6]price list MAN'!F243</f>
        <v>2018-04-30</v>
      </c>
      <c r="G243" s="32">
        <f>'[6]price list MAN'!G243</f>
        <v>15.9</v>
      </c>
      <c r="H243" s="26">
        <f>'[6]price list MAN'!H243</f>
        <v>43069</v>
      </c>
      <c r="I243" s="51" t="str">
        <f t="shared" si="15"/>
        <v>2017Q4</v>
      </c>
      <c r="J243" s="177">
        <f>'[6]price list MAN'!J243</f>
        <v>1400000</v>
      </c>
      <c r="K243" s="177">
        <f>'[6]price list MAN'!P243</f>
        <v>1039500</v>
      </c>
      <c r="L243" s="177">
        <f>'[6]price list MAN'!R243</f>
        <v>990000</v>
      </c>
      <c r="M243" s="174">
        <f>'[6]price list MAN'!S243</f>
        <v>1425000</v>
      </c>
      <c r="N243" s="174">
        <f>'[6]price list MAN'!Y243</f>
        <v>1065750</v>
      </c>
      <c r="O243" s="174">
        <f>'[6]price list MAN'!AA243</f>
        <v>1015000</v>
      </c>
      <c r="P243" s="68">
        <f t="shared" si="16"/>
        <v>0.28771929824561404</v>
      </c>
      <c r="Q243" s="62" t="e">
        <f>O243-#REF!</f>
        <v>#REF!</v>
      </c>
      <c r="W243" s="210"/>
      <c r="X243" s="210"/>
      <c r="Y243" s="210"/>
      <c r="Z243" s="210"/>
      <c r="AA243" s="210"/>
      <c r="AB243" s="210"/>
      <c r="AC243" s="210"/>
      <c r="AT243" s="425" t="str">
        <f t="shared" si="17"/>
        <v>KP0004812017Q415,9</v>
      </c>
      <c r="AU243" s="64" t="str">
        <f t="shared" si="18"/>
        <v>11-2017</v>
      </c>
      <c r="BA243" s="428" t="str">
        <f t="shared" si="19"/>
        <v>WIP - 30 Days</v>
      </c>
    </row>
    <row r="244" spans="1:245">
      <c r="B244" s="36">
        <f>'[6]price list MAN'!B244</f>
        <v>49066</v>
      </c>
      <c r="C244" s="10" t="str">
        <f>'[6]price list MAN'!C244</f>
        <v>TGM-18-2404X4BB-C-SWA</v>
      </c>
      <c r="D244" s="16" t="str">
        <f>IFERROR(VLOOKUP(C244&amp;"",'[7]Retail Price List'!$A$3:$B$103,2,FALSE),"Special Order")</f>
        <v>KP000481</v>
      </c>
      <c r="E244" s="494" t="str">
        <f>'[6]price list MAN'!E244</f>
        <v>CKD</v>
      </c>
      <c r="F244" s="11" t="str">
        <f>'[6]price list MAN'!F244</f>
        <v>2018-05-30</v>
      </c>
      <c r="G244" s="32">
        <f>'[6]price list MAN'!G244</f>
        <v>15.9</v>
      </c>
      <c r="H244" s="26">
        <f>'[6]price list MAN'!H244</f>
        <v>43069</v>
      </c>
      <c r="I244" s="51" t="str">
        <f t="shared" si="15"/>
        <v>2017Q4</v>
      </c>
      <c r="J244" s="177">
        <f>'[6]price list MAN'!J244</f>
        <v>1400000</v>
      </c>
      <c r="K244" s="177">
        <f>'[6]price list MAN'!P244</f>
        <v>1039500</v>
      </c>
      <c r="L244" s="177">
        <f>'[6]price list MAN'!R244</f>
        <v>990000</v>
      </c>
      <c r="M244" s="174">
        <f>'[6]price list MAN'!S244</f>
        <v>1425000</v>
      </c>
      <c r="N244" s="174">
        <f>'[6]price list MAN'!Y244</f>
        <v>1065750</v>
      </c>
      <c r="O244" s="174">
        <f>'[6]price list MAN'!AA244</f>
        <v>1015000</v>
      </c>
      <c r="P244" s="68">
        <f t="shared" si="16"/>
        <v>0.28771929824561404</v>
      </c>
      <c r="Q244" s="62" t="e">
        <f>O244-#REF!</f>
        <v>#REF!</v>
      </c>
      <c r="W244" s="210"/>
      <c r="X244" s="210"/>
      <c r="Y244" s="210"/>
      <c r="Z244" s="210"/>
      <c r="AA244" s="210"/>
      <c r="AB244" s="210"/>
      <c r="AC244" s="210"/>
      <c r="AT244" s="425" t="str">
        <f t="shared" si="17"/>
        <v>KP0004812017Q415,9</v>
      </c>
      <c r="AU244" s="64" t="str">
        <f t="shared" si="18"/>
        <v>11-2017</v>
      </c>
      <c r="BA244" s="428" t="str">
        <f t="shared" si="19"/>
        <v>WIP - 30 Days</v>
      </c>
    </row>
    <row r="245" spans="1:245">
      <c r="B245" s="36">
        <f>'[6]price list MAN'!B245</f>
        <v>49067</v>
      </c>
      <c r="C245" s="10" t="str">
        <f>'[6]price list MAN'!C245</f>
        <v>TGM-18-2404X4BB-C-SWA</v>
      </c>
      <c r="D245" s="16" t="str">
        <f>IFERROR(VLOOKUP(C245&amp;"",'[7]Retail Price List'!$A$3:$B$103,2,FALSE),"Special Order")</f>
        <v>KP000481</v>
      </c>
      <c r="E245" s="494" t="str">
        <f>'[6]price list MAN'!E245</f>
        <v>CKD</v>
      </c>
      <c r="F245" s="11" t="str">
        <f>'[6]price list MAN'!F245</f>
        <v>2018-05-30</v>
      </c>
      <c r="G245" s="32">
        <f>'[6]price list MAN'!G245</f>
        <v>15.9</v>
      </c>
      <c r="H245" s="26">
        <f>'[6]price list MAN'!H245</f>
        <v>43069</v>
      </c>
      <c r="I245" s="51" t="str">
        <f t="shared" si="15"/>
        <v>2017Q4</v>
      </c>
      <c r="J245" s="177">
        <f>'[6]price list MAN'!J245</f>
        <v>1400000</v>
      </c>
      <c r="K245" s="177">
        <f>'[6]price list MAN'!P245</f>
        <v>1039500</v>
      </c>
      <c r="L245" s="177">
        <f>'[6]price list MAN'!R245</f>
        <v>990000</v>
      </c>
      <c r="M245" s="174">
        <f>'[6]price list MAN'!S245</f>
        <v>1425000</v>
      </c>
      <c r="N245" s="174">
        <f>'[6]price list MAN'!Y245</f>
        <v>1065750</v>
      </c>
      <c r="O245" s="174">
        <f>'[6]price list MAN'!AA245</f>
        <v>1015000</v>
      </c>
      <c r="P245" s="68">
        <f t="shared" si="16"/>
        <v>0.28771929824561404</v>
      </c>
      <c r="Q245" s="62" t="e">
        <f>O245-#REF!</f>
        <v>#REF!</v>
      </c>
      <c r="W245" s="210"/>
      <c r="X245" s="210"/>
      <c r="Y245" s="210"/>
      <c r="Z245" s="210"/>
      <c r="AA245" s="210"/>
      <c r="AB245" s="210"/>
      <c r="AC245" s="210"/>
      <c r="AT245" s="425" t="str">
        <f t="shared" si="17"/>
        <v>KP0004812017Q415,9</v>
      </c>
      <c r="AU245" s="64" t="str">
        <f t="shared" si="18"/>
        <v>11-2017</v>
      </c>
      <c r="BA245" s="428" t="str">
        <f t="shared" si="19"/>
        <v>WIP - 30 Days</v>
      </c>
    </row>
    <row r="246" spans="1:245">
      <c r="B246" s="36">
        <f>'[6]price list MAN'!B246</f>
        <v>49068</v>
      </c>
      <c r="C246" s="10" t="str">
        <f>'[6]price list MAN'!C246</f>
        <v>TGM-18-2404X4BB-C-SWA</v>
      </c>
      <c r="D246" s="16" t="str">
        <f>IFERROR(VLOOKUP(C246&amp;"",'[7]Retail Price List'!$A$3:$B$103,2,FALSE),"Special Order")</f>
        <v>KP000481</v>
      </c>
      <c r="E246" s="494" t="str">
        <f>'[6]price list MAN'!E246</f>
        <v>CKD</v>
      </c>
      <c r="F246" s="11" t="str">
        <f>'[6]price list MAN'!F246</f>
        <v>2018-05-30</v>
      </c>
      <c r="G246" s="32">
        <f>'[6]price list MAN'!G246</f>
        <v>15.9</v>
      </c>
      <c r="H246" s="26">
        <f>'[6]price list MAN'!H246</f>
        <v>43069</v>
      </c>
      <c r="I246" s="51" t="str">
        <f t="shared" si="15"/>
        <v>2017Q4</v>
      </c>
      <c r="J246" s="177">
        <f>'[6]price list MAN'!J246</f>
        <v>1400000</v>
      </c>
      <c r="K246" s="177">
        <f>'[6]price list MAN'!P246</f>
        <v>1039500</v>
      </c>
      <c r="L246" s="177">
        <f>'[6]price list MAN'!R246</f>
        <v>990000</v>
      </c>
      <c r="M246" s="174">
        <f>'[6]price list MAN'!S246</f>
        <v>1425000</v>
      </c>
      <c r="N246" s="174">
        <f>'[6]price list MAN'!Y246</f>
        <v>1065750</v>
      </c>
      <c r="O246" s="174">
        <f>'[6]price list MAN'!AA246</f>
        <v>1015000</v>
      </c>
      <c r="P246" s="68">
        <f t="shared" si="16"/>
        <v>0.28771929824561404</v>
      </c>
      <c r="Q246" s="62" t="e">
        <f>O246-#REF!</f>
        <v>#REF!</v>
      </c>
      <c r="W246" s="210"/>
      <c r="X246" s="210"/>
      <c r="Y246" s="210"/>
      <c r="Z246" s="210"/>
      <c r="AA246" s="210"/>
      <c r="AB246" s="210"/>
      <c r="AC246" s="210"/>
      <c r="AT246" s="425" t="str">
        <f t="shared" si="17"/>
        <v>KP0004812017Q415,9</v>
      </c>
      <c r="AU246" s="64" t="str">
        <f t="shared" si="18"/>
        <v>11-2017</v>
      </c>
      <c r="BA246" s="428" t="str">
        <f t="shared" si="19"/>
        <v>WIP - 30 Days</v>
      </c>
    </row>
    <row r="247" spans="1:245">
      <c r="B247" s="36">
        <f>'[6]price list MAN'!B247</f>
        <v>49226</v>
      </c>
      <c r="C247" s="10" t="str">
        <f>'[6]price list MAN'!C247</f>
        <v>TGM-18-2404X4BB-C-SWA</v>
      </c>
      <c r="D247" s="16" t="str">
        <f>IFERROR(VLOOKUP(C247&amp;"",'[7]Retail Price List'!$A$3:$B$103,2,FALSE),"Special Order")</f>
        <v>KP000481</v>
      </c>
      <c r="E247" s="494" t="str">
        <f>'[6]price list MAN'!E247</f>
        <v>CKD</v>
      </c>
      <c r="F247" s="11" t="str">
        <f>'[6]price list MAN'!F247</f>
        <v>2018-06-20</v>
      </c>
      <c r="G247" s="32">
        <f>'[6]price list MAN'!G247</f>
        <v>15.8</v>
      </c>
      <c r="H247" s="26">
        <f>'[6]price list MAN'!H247</f>
        <v>43144</v>
      </c>
      <c r="I247" s="51" t="str">
        <f t="shared" si="15"/>
        <v>2018Q1</v>
      </c>
      <c r="J247" s="177">
        <f>'[6]price list MAN'!J247</f>
        <v>1400000</v>
      </c>
      <c r="K247" s="177">
        <f>'[6]price list MAN'!P247</f>
        <v>1048950</v>
      </c>
      <c r="L247" s="177">
        <f>'[6]price list MAN'!R247</f>
        <v>999000</v>
      </c>
      <c r="M247" s="174">
        <f>'[6]price list MAN'!S247</f>
        <v>1425000</v>
      </c>
      <c r="N247" s="174">
        <f>'[6]price list MAN'!Y247</f>
        <v>1075200</v>
      </c>
      <c r="O247" s="174">
        <f>'[6]price list MAN'!AA247</f>
        <v>1024000</v>
      </c>
      <c r="P247" s="68">
        <f t="shared" si="16"/>
        <v>0.28140350877192982</v>
      </c>
      <c r="Q247" s="62" t="e">
        <f>O247-#REF!</f>
        <v>#REF!</v>
      </c>
      <c r="W247" s="210"/>
      <c r="X247" s="210"/>
      <c r="Y247" s="210"/>
      <c r="Z247" s="210"/>
      <c r="AA247" s="210"/>
      <c r="AB247" s="210"/>
      <c r="AC247" s="210"/>
      <c r="AT247" s="425" t="str">
        <f t="shared" si="17"/>
        <v>KP0004812018Q115,8</v>
      </c>
      <c r="AU247" s="64" t="str">
        <f t="shared" si="18"/>
        <v>02-2018</v>
      </c>
      <c r="BA247" s="428" t="str">
        <f t="shared" si="19"/>
        <v>WIP - 30 Days</v>
      </c>
    </row>
    <row r="248" spans="1:245">
      <c r="B248" s="36">
        <f>'[6]price list MAN'!B248</f>
        <v>49227</v>
      </c>
      <c r="C248" s="10" t="str">
        <f>'[6]price list MAN'!C248</f>
        <v>TGM-18-2404X4BB-C-SWA</v>
      </c>
      <c r="D248" s="16" t="str">
        <f>IFERROR(VLOOKUP(C248&amp;"",'[7]Retail Price List'!$A$3:$B$103,2,FALSE),"Special Order")</f>
        <v>KP000481</v>
      </c>
      <c r="E248" s="494" t="str">
        <f>'[6]price list MAN'!E248</f>
        <v>CKD</v>
      </c>
      <c r="F248" s="11" t="str">
        <f>'[6]price list MAN'!F248</f>
        <v>2018-06-20</v>
      </c>
      <c r="G248" s="32">
        <f>'[6]price list MAN'!G248</f>
        <v>15.8</v>
      </c>
      <c r="H248" s="26">
        <f>'[6]price list MAN'!H248</f>
        <v>43144</v>
      </c>
      <c r="I248" s="51" t="str">
        <f t="shared" si="15"/>
        <v>2018Q1</v>
      </c>
      <c r="J248" s="177">
        <f>'[6]price list MAN'!J248</f>
        <v>1400000</v>
      </c>
      <c r="K248" s="177">
        <f>'[6]price list MAN'!P248</f>
        <v>1048950</v>
      </c>
      <c r="L248" s="177">
        <f>'[6]price list MAN'!R248</f>
        <v>999000</v>
      </c>
      <c r="M248" s="174">
        <f>'[6]price list MAN'!S248</f>
        <v>1425000</v>
      </c>
      <c r="N248" s="174">
        <f>'[6]price list MAN'!Y248</f>
        <v>1075200</v>
      </c>
      <c r="O248" s="174">
        <f>'[6]price list MAN'!AA248</f>
        <v>1024000</v>
      </c>
      <c r="P248" s="68">
        <f t="shared" si="16"/>
        <v>0.28140350877192982</v>
      </c>
      <c r="Q248" s="62" t="e">
        <f>O248-#REF!</f>
        <v>#REF!</v>
      </c>
      <c r="W248" s="210"/>
      <c r="X248" s="210"/>
      <c r="Y248" s="210"/>
      <c r="Z248" s="210"/>
      <c r="AA248" s="210"/>
      <c r="AB248" s="210"/>
      <c r="AC248" s="210"/>
      <c r="AT248" s="425" t="str">
        <f t="shared" si="17"/>
        <v>KP0004812018Q115,8</v>
      </c>
      <c r="AU248" s="64" t="str">
        <f t="shared" si="18"/>
        <v>02-2018</v>
      </c>
      <c r="BA248" s="428" t="str">
        <f t="shared" si="19"/>
        <v>WIP - 30 Days</v>
      </c>
    </row>
    <row r="249" spans="1:245">
      <c r="B249" s="36">
        <f>'[6]price list MAN'!B249</f>
        <v>49228</v>
      </c>
      <c r="C249" s="10" t="str">
        <f>'[6]price list MAN'!C249</f>
        <v>TGM-18-2404X4BB-C-SWA</v>
      </c>
      <c r="D249" s="16" t="str">
        <f>IFERROR(VLOOKUP(C249&amp;"",'[7]Retail Price List'!$A$3:$B$103,2,FALSE),"Special Order")</f>
        <v>KP000481</v>
      </c>
      <c r="E249" s="494" t="str">
        <f>'[6]price list MAN'!E249</f>
        <v>CKD</v>
      </c>
      <c r="F249" s="11" t="str">
        <f>'[6]price list MAN'!F249</f>
        <v>2018-06-20</v>
      </c>
      <c r="G249" s="32">
        <f>'[6]price list MAN'!G249</f>
        <v>15.8</v>
      </c>
      <c r="H249" s="26">
        <f>'[6]price list MAN'!H249</f>
        <v>43144</v>
      </c>
      <c r="I249" s="51" t="str">
        <f t="shared" si="15"/>
        <v>2018Q1</v>
      </c>
      <c r="J249" s="177">
        <f>'[6]price list MAN'!J249</f>
        <v>1400000</v>
      </c>
      <c r="K249" s="177">
        <f>'[6]price list MAN'!P249</f>
        <v>1048950</v>
      </c>
      <c r="L249" s="177">
        <f>'[6]price list MAN'!R249</f>
        <v>999000</v>
      </c>
      <c r="M249" s="174">
        <f>'[6]price list MAN'!S249</f>
        <v>1425000</v>
      </c>
      <c r="N249" s="174">
        <f>'[6]price list MAN'!Y249</f>
        <v>1075200</v>
      </c>
      <c r="O249" s="174">
        <f>'[6]price list MAN'!AA249</f>
        <v>1024000</v>
      </c>
      <c r="P249" s="68">
        <f t="shared" si="16"/>
        <v>0.28140350877192982</v>
      </c>
      <c r="Q249" s="62" t="e">
        <f>O249-#REF!</f>
        <v>#REF!</v>
      </c>
      <c r="W249" s="210"/>
      <c r="X249" s="210"/>
      <c r="Y249" s="210"/>
      <c r="Z249" s="210"/>
      <c r="AA249" s="210"/>
      <c r="AB249" s="210"/>
      <c r="AC249" s="210"/>
      <c r="AT249" s="425" t="str">
        <f t="shared" si="17"/>
        <v>KP0004812018Q115,8</v>
      </c>
      <c r="AU249" s="64" t="str">
        <f t="shared" si="18"/>
        <v>02-2018</v>
      </c>
      <c r="BA249" s="428" t="str">
        <f t="shared" si="19"/>
        <v>WIP - 30 Days</v>
      </c>
    </row>
    <row r="250" spans="1:245">
      <c r="B250" s="36">
        <f>'[6]price list MAN'!B250</f>
        <v>49229</v>
      </c>
      <c r="C250" s="10" t="str">
        <f>'[6]price list MAN'!C250</f>
        <v>TGM-18-2404X4BB-C-SWA</v>
      </c>
      <c r="D250" s="16" t="str">
        <f>IFERROR(VLOOKUP(C250&amp;"",'[7]Retail Price List'!$A$3:$B$103,2,FALSE),"Special Order")</f>
        <v>KP000481</v>
      </c>
      <c r="E250" s="494" t="str">
        <f>'[6]price list MAN'!E250</f>
        <v>CKD</v>
      </c>
      <c r="F250" s="11" t="str">
        <f>'[6]price list MAN'!F250</f>
        <v>2018-06-20</v>
      </c>
      <c r="G250" s="32">
        <f>'[6]price list MAN'!G250</f>
        <v>15.8</v>
      </c>
      <c r="H250" s="26">
        <f>'[6]price list MAN'!H250</f>
        <v>43144</v>
      </c>
      <c r="I250" s="51" t="str">
        <f t="shared" si="15"/>
        <v>2018Q1</v>
      </c>
      <c r="J250" s="177">
        <f>'[6]price list MAN'!J250</f>
        <v>1400000</v>
      </c>
      <c r="K250" s="177">
        <f>'[6]price list MAN'!P250</f>
        <v>1048950</v>
      </c>
      <c r="L250" s="177">
        <f>'[6]price list MAN'!R250</f>
        <v>999000</v>
      </c>
      <c r="M250" s="174">
        <f>'[6]price list MAN'!S250</f>
        <v>1425000</v>
      </c>
      <c r="N250" s="174">
        <f>'[6]price list MAN'!Y250</f>
        <v>1075200</v>
      </c>
      <c r="O250" s="174">
        <f>'[6]price list MAN'!AA250</f>
        <v>1024000</v>
      </c>
      <c r="P250" s="68">
        <f t="shared" si="16"/>
        <v>0.28140350877192982</v>
      </c>
      <c r="Q250" s="62" t="e">
        <f>O250-#REF!</f>
        <v>#REF!</v>
      </c>
      <c r="W250" s="210"/>
      <c r="X250" s="210"/>
      <c r="Y250" s="210"/>
      <c r="Z250" s="210"/>
      <c r="AA250" s="210"/>
      <c r="AB250" s="210"/>
      <c r="AC250" s="210"/>
      <c r="AT250" s="425" t="str">
        <f t="shared" si="17"/>
        <v>KP0004812018Q115,8</v>
      </c>
      <c r="AU250" s="64" t="str">
        <f t="shared" si="18"/>
        <v>02-2018</v>
      </c>
      <c r="BA250" s="428" t="str">
        <f t="shared" si="19"/>
        <v>WIP - 30 Days</v>
      </c>
    </row>
    <row r="251" spans="1:245">
      <c r="B251" s="36">
        <f>'[6]price list MAN'!B251</f>
        <v>49230</v>
      </c>
      <c r="C251" s="10" t="str">
        <f>'[6]price list MAN'!C251</f>
        <v>TGM-18-2404X4BB-C-SWA</v>
      </c>
      <c r="D251" s="16" t="str">
        <f>IFERROR(VLOOKUP(C251&amp;"",'[7]Retail Price List'!$A$3:$B$103,2,FALSE),"Special Order")</f>
        <v>KP000481</v>
      </c>
      <c r="E251" s="494" t="str">
        <f>'[6]price list MAN'!E251</f>
        <v>CKD</v>
      </c>
      <c r="F251" s="11" t="str">
        <f>'[6]price list MAN'!F251</f>
        <v>2018-06-29</v>
      </c>
      <c r="G251" s="32">
        <f>'[6]price list MAN'!G251</f>
        <v>15.8</v>
      </c>
      <c r="H251" s="26">
        <f>'[6]price list MAN'!H251</f>
        <v>43144</v>
      </c>
      <c r="I251" s="51" t="str">
        <f t="shared" si="15"/>
        <v>2018Q1</v>
      </c>
      <c r="J251" s="177">
        <f>'[6]price list MAN'!J251</f>
        <v>1400000</v>
      </c>
      <c r="K251" s="177">
        <f>'[6]price list MAN'!P251</f>
        <v>1048950</v>
      </c>
      <c r="L251" s="177">
        <f>'[6]price list MAN'!R251</f>
        <v>999000</v>
      </c>
      <c r="M251" s="174">
        <f>'[6]price list MAN'!S251</f>
        <v>1425000</v>
      </c>
      <c r="N251" s="174">
        <f>'[6]price list MAN'!Y251</f>
        <v>1075200</v>
      </c>
      <c r="O251" s="174">
        <f>'[6]price list MAN'!AA251</f>
        <v>1024000</v>
      </c>
      <c r="P251" s="68">
        <f t="shared" si="16"/>
        <v>0.28140350877192982</v>
      </c>
      <c r="Q251" s="62" t="e">
        <f>O251-#REF!</f>
        <v>#REF!</v>
      </c>
      <c r="W251" s="210"/>
      <c r="X251" s="210"/>
      <c r="Y251" s="210"/>
      <c r="Z251" s="210"/>
      <c r="AA251" s="210"/>
      <c r="AB251" s="210"/>
      <c r="AC251" s="210"/>
      <c r="AT251" s="425" t="str">
        <f t="shared" si="17"/>
        <v>KP0004812018Q115,8</v>
      </c>
      <c r="AU251" s="64" t="str">
        <f t="shared" si="18"/>
        <v>02-2018</v>
      </c>
      <c r="BA251" s="428" t="str">
        <f t="shared" si="19"/>
        <v>WIP - 30 Days</v>
      </c>
    </row>
    <row r="252" spans="1:245">
      <c r="B252" s="36">
        <f>'[6]price list MAN'!B252</f>
        <v>49231</v>
      </c>
      <c r="C252" s="10" t="str">
        <f>'[6]price list MAN'!C252</f>
        <v>TGM-18-2404X4BB-C-SWA</v>
      </c>
      <c r="D252" s="16" t="str">
        <f>IFERROR(VLOOKUP(C252&amp;"",'[7]Retail Price List'!$A$3:$B$103,2,FALSE),"Special Order")</f>
        <v>KP000481</v>
      </c>
      <c r="E252" s="494" t="str">
        <f>'[6]price list MAN'!E252</f>
        <v>CKD</v>
      </c>
      <c r="F252" s="11" t="str">
        <f>'[6]price list MAN'!F252</f>
        <v>2018-06-29</v>
      </c>
      <c r="G252" s="32">
        <f>'[6]price list MAN'!G252</f>
        <v>15.8</v>
      </c>
      <c r="H252" s="26">
        <f>'[6]price list MAN'!H252</f>
        <v>43144</v>
      </c>
      <c r="I252" s="51" t="str">
        <f t="shared" si="15"/>
        <v>2018Q1</v>
      </c>
      <c r="J252" s="177">
        <f>'[6]price list MAN'!J252</f>
        <v>1400000</v>
      </c>
      <c r="K252" s="177">
        <f>'[6]price list MAN'!P252</f>
        <v>1048950</v>
      </c>
      <c r="L252" s="177">
        <f>'[6]price list MAN'!R252</f>
        <v>999000</v>
      </c>
      <c r="M252" s="174">
        <f>'[6]price list MAN'!S252</f>
        <v>1425000</v>
      </c>
      <c r="N252" s="174">
        <f>'[6]price list MAN'!Y252</f>
        <v>1075200</v>
      </c>
      <c r="O252" s="174">
        <f>'[6]price list MAN'!AA252</f>
        <v>1024000</v>
      </c>
      <c r="P252" s="68">
        <f t="shared" si="16"/>
        <v>0.28140350877192982</v>
      </c>
      <c r="Q252" s="62" t="e">
        <f>O252-#REF!</f>
        <v>#REF!</v>
      </c>
      <c r="W252" s="210"/>
      <c r="X252" s="210"/>
      <c r="Y252" s="210"/>
      <c r="Z252" s="210"/>
      <c r="AA252" s="210"/>
      <c r="AB252" s="210"/>
      <c r="AC252" s="210"/>
      <c r="AT252" s="425" t="str">
        <f t="shared" si="17"/>
        <v>KP0004812018Q115,8</v>
      </c>
      <c r="AU252" s="64" t="str">
        <f t="shared" si="18"/>
        <v>02-2018</v>
      </c>
      <c r="BA252" s="428" t="str">
        <f t="shared" si="19"/>
        <v>WIP - 30 Days</v>
      </c>
    </row>
    <row r="253" spans="1:245">
      <c r="B253" s="36">
        <f>'[6]price list MAN'!B253</f>
        <v>49232</v>
      </c>
      <c r="C253" s="10" t="str">
        <f>'[6]price list MAN'!C253</f>
        <v>TGM-18-2404X4BB-C-SWA</v>
      </c>
      <c r="D253" s="16" t="str">
        <f>IFERROR(VLOOKUP(C253&amp;"",'[7]Retail Price List'!$A$3:$B$103,2,FALSE),"Special Order")</f>
        <v>KP000481</v>
      </c>
      <c r="E253" s="494" t="str">
        <f>'[6]price list MAN'!E253</f>
        <v>CKD</v>
      </c>
      <c r="F253" s="11" t="str">
        <f>'[6]price list MAN'!F253</f>
        <v>2018-06-29</v>
      </c>
      <c r="G253" s="32">
        <f>'[6]price list MAN'!G253</f>
        <v>15.8</v>
      </c>
      <c r="H253" s="26">
        <f>'[6]price list MAN'!H253</f>
        <v>43144</v>
      </c>
      <c r="I253" s="51" t="str">
        <f t="shared" si="15"/>
        <v>2018Q1</v>
      </c>
      <c r="J253" s="177">
        <f>'[6]price list MAN'!J253</f>
        <v>1400000</v>
      </c>
      <c r="K253" s="177">
        <f>'[6]price list MAN'!P253</f>
        <v>1048950</v>
      </c>
      <c r="L253" s="177">
        <f>'[6]price list MAN'!R253</f>
        <v>999000</v>
      </c>
      <c r="M253" s="174">
        <f>'[6]price list MAN'!S253</f>
        <v>1425000</v>
      </c>
      <c r="N253" s="174">
        <f>'[6]price list MAN'!Y253</f>
        <v>1075200</v>
      </c>
      <c r="O253" s="174">
        <f>'[6]price list MAN'!AA253</f>
        <v>1024000</v>
      </c>
      <c r="P253" s="68">
        <f t="shared" si="16"/>
        <v>0.28140350877192982</v>
      </c>
      <c r="Q253" s="62" t="e">
        <f>O253-#REF!</f>
        <v>#REF!</v>
      </c>
      <c r="W253" s="210"/>
      <c r="X253" s="210"/>
      <c r="Y253" s="210"/>
      <c r="Z253" s="210"/>
      <c r="AA253" s="210"/>
      <c r="AB253" s="210"/>
      <c r="AC253" s="210"/>
      <c r="AT253" s="425" t="str">
        <f t="shared" si="17"/>
        <v>KP0004812018Q115,8</v>
      </c>
      <c r="AU253" s="64" t="str">
        <f t="shared" si="18"/>
        <v>02-2018</v>
      </c>
      <c r="BA253" s="428" t="str">
        <f t="shared" si="19"/>
        <v>WIP - 30 Days</v>
      </c>
    </row>
    <row r="254" spans="1:245">
      <c r="B254" s="36">
        <f>'[6]price list MAN'!B254</f>
        <v>49233</v>
      </c>
      <c r="C254" s="10" t="str">
        <f>'[6]price list MAN'!C254</f>
        <v>TGM-18-2404X4BB-C-SWA</v>
      </c>
      <c r="D254" s="16" t="str">
        <f>IFERROR(VLOOKUP(C254&amp;"",'[7]Retail Price List'!$A$3:$B$103,2,FALSE),"Special Order")</f>
        <v>KP000481</v>
      </c>
      <c r="E254" s="494" t="str">
        <f>'[6]price list MAN'!E254</f>
        <v>CKD</v>
      </c>
      <c r="F254" s="11" t="str">
        <f>'[6]price list MAN'!F254</f>
        <v>2018-06-29</v>
      </c>
      <c r="G254" s="32">
        <f>'[6]price list MAN'!G254</f>
        <v>15.8</v>
      </c>
      <c r="H254" s="26">
        <f>'[6]price list MAN'!H254</f>
        <v>43144</v>
      </c>
      <c r="I254" s="51" t="str">
        <f t="shared" si="15"/>
        <v>2018Q1</v>
      </c>
      <c r="J254" s="177">
        <f>'[6]price list MAN'!J254</f>
        <v>1400000</v>
      </c>
      <c r="K254" s="177">
        <f>'[6]price list MAN'!P254</f>
        <v>1048950</v>
      </c>
      <c r="L254" s="177">
        <f>'[6]price list MAN'!R254</f>
        <v>999000</v>
      </c>
      <c r="M254" s="174">
        <f>'[6]price list MAN'!S254</f>
        <v>1425000</v>
      </c>
      <c r="N254" s="174">
        <f>'[6]price list MAN'!Y254</f>
        <v>1075200</v>
      </c>
      <c r="O254" s="174">
        <f>'[6]price list MAN'!AA254</f>
        <v>1024000</v>
      </c>
      <c r="P254" s="68">
        <f t="shared" si="16"/>
        <v>0.28140350877192982</v>
      </c>
      <c r="Q254" s="62" t="e">
        <f>O254-#REF!</f>
        <v>#REF!</v>
      </c>
      <c r="W254" s="210"/>
      <c r="X254" s="210"/>
      <c r="Y254" s="210"/>
      <c r="Z254" s="210"/>
      <c r="AA254" s="210"/>
      <c r="AB254" s="210"/>
      <c r="AC254" s="210"/>
      <c r="AT254" s="425" t="str">
        <f t="shared" si="17"/>
        <v>KP0004812018Q115,8</v>
      </c>
      <c r="AU254" s="64" t="str">
        <f t="shared" si="18"/>
        <v>02-2018</v>
      </c>
      <c r="BA254" s="428" t="str">
        <f t="shared" si="19"/>
        <v>WIP - 30 Days</v>
      </c>
    </row>
    <row r="255" spans="1:245" s="4" customFormat="1">
      <c r="A255" s="41"/>
      <c r="B255" s="36">
        <f>'[6]price list MAN'!B255</f>
        <v>49234</v>
      </c>
      <c r="C255" s="10" t="str">
        <f>'[6]price list MAN'!C255</f>
        <v>TGM-18-2404X4BB-C-SWA</v>
      </c>
      <c r="D255" s="16" t="str">
        <f>IFERROR(VLOOKUP(C255&amp;"",'[7]Retail Price List'!$A$3:$B$103,2,FALSE),"Special Order")</f>
        <v>KP000481</v>
      </c>
      <c r="E255" s="494" t="str">
        <f>'[6]price list MAN'!E255</f>
        <v>CKD</v>
      </c>
      <c r="F255" s="11" t="str">
        <f>'[6]price list MAN'!F255</f>
        <v>2018-07-06</v>
      </c>
      <c r="G255" s="32">
        <f>'[6]price list MAN'!G255</f>
        <v>15.8</v>
      </c>
      <c r="H255" s="26">
        <f>'[6]price list MAN'!H255</f>
        <v>43144</v>
      </c>
      <c r="I255" s="51" t="str">
        <f t="shared" si="15"/>
        <v>2018Q1</v>
      </c>
      <c r="J255" s="177">
        <f>'[6]price list MAN'!J255</f>
        <v>1400000</v>
      </c>
      <c r="K255" s="177">
        <f>'[6]price list MAN'!P255</f>
        <v>1048950</v>
      </c>
      <c r="L255" s="177">
        <f>'[6]price list MAN'!R255</f>
        <v>999000</v>
      </c>
      <c r="M255" s="174">
        <f>'[6]price list MAN'!S255</f>
        <v>1425000</v>
      </c>
      <c r="N255" s="174">
        <f>'[6]price list MAN'!Y255</f>
        <v>1075200</v>
      </c>
      <c r="O255" s="174">
        <f>'[6]price list MAN'!AA255</f>
        <v>1024000</v>
      </c>
      <c r="P255" s="68">
        <f t="shared" si="16"/>
        <v>0.28140350877192982</v>
      </c>
      <c r="Q255" s="62" t="e">
        <f>O255-#REF!</f>
        <v>#REF!</v>
      </c>
      <c r="R255" s="63" t="e">
        <f>SUM(Q238:Q254)/SUM(O238:O254)</f>
        <v>#REF!</v>
      </c>
      <c r="S255" s="64"/>
      <c r="T255" s="64"/>
      <c r="U255" s="64"/>
      <c r="V255" s="64"/>
      <c r="W255" s="210"/>
      <c r="X255" s="210"/>
      <c r="Y255" s="210"/>
      <c r="Z255" s="210"/>
      <c r="AA255" s="210"/>
      <c r="AB255" s="210"/>
      <c r="AC255" s="210"/>
      <c r="AD255" s="54"/>
      <c r="AE255" s="54"/>
      <c r="AF255" s="54"/>
      <c r="AG255" s="5"/>
      <c r="AH255" s="5"/>
      <c r="AI255" s="5"/>
      <c r="AJ255" s="5"/>
      <c r="AK255" s="5"/>
      <c r="AL255" s="5"/>
      <c r="AM255" s="5"/>
      <c r="AN255" s="5"/>
      <c r="AO255" s="5"/>
      <c r="AP255" s="5"/>
      <c r="AQ255" s="5"/>
      <c r="AR255" s="5"/>
      <c r="AS255" s="5"/>
      <c r="AT255" s="425" t="str">
        <f t="shared" si="17"/>
        <v>KP0004812018Q115,8</v>
      </c>
      <c r="AU255" s="64" t="str">
        <f t="shared" si="18"/>
        <v>02-2018</v>
      </c>
      <c r="AV255" s="64"/>
      <c r="AW255" s="64"/>
      <c r="AX255" s="64"/>
      <c r="AY255" s="64"/>
      <c r="AZ255" s="64"/>
      <c r="BA255" s="428" t="str">
        <f t="shared" si="19"/>
        <v>WIP - 30 Days</v>
      </c>
      <c r="BB255" s="169"/>
      <c r="BC255" s="169"/>
      <c r="BD255" s="169"/>
      <c r="BE255" s="41"/>
      <c r="BF255" s="41"/>
      <c r="BG255" s="41"/>
      <c r="BH255" s="41"/>
      <c r="BI255" s="41"/>
      <c r="BJ255" s="41"/>
      <c r="BK255" s="41"/>
      <c r="BL255" s="41"/>
      <c r="BM255" s="41"/>
      <c r="BN255" s="41"/>
      <c r="BO255" s="41"/>
      <c r="BP255" s="41"/>
      <c r="BQ255" s="41"/>
      <c r="BR255" s="41"/>
      <c r="BS255" s="41"/>
      <c r="BT255" s="41"/>
      <c r="BU255" s="41"/>
      <c r="BV255" s="41"/>
      <c r="BW255" s="41"/>
      <c r="BX255" s="41"/>
      <c r="BY255" s="41"/>
      <c r="BZ255" s="41"/>
      <c r="CA255" s="41"/>
      <c r="CB255" s="41"/>
      <c r="CC255" s="41"/>
      <c r="CD255" s="41"/>
      <c r="CE255" s="41"/>
      <c r="CF255" s="41"/>
      <c r="CG255" s="41"/>
      <c r="CH255" s="41"/>
      <c r="CI255" s="41"/>
      <c r="CJ255" s="41"/>
      <c r="CK255" s="41"/>
      <c r="CL255" s="41"/>
      <c r="CM255" s="41"/>
      <c r="CN255" s="41"/>
      <c r="CO255" s="41"/>
      <c r="CP255" s="41"/>
      <c r="CQ255" s="41"/>
      <c r="CR255" s="41"/>
      <c r="CS255" s="41"/>
      <c r="CT255" s="41"/>
      <c r="CU255" s="41"/>
      <c r="CV255" s="41"/>
      <c r="CW255" s="41"/>
      <c r="CX255" s="41"/>
      <c r="CY255" s="41"/>
      <c r="CZ255" s="41"/>
      <c r="DA255" s="41"/>
      <c r="DB255" s="41"/>
      <c r="DC255" s="41"/>
      <c r="DD255" s="41"/>
      <c r="DE255" s="41"/>
      <c r="DF255" s="41"/>
      <c r="DG255" s="41"/>
      <c r="DH255" s="41"/>
      <c r="DI255" s="41"/>
      <c r="DJ255" s="41"/>
      <c r="DK255" s="41"/>
      <c r="DL255" s="41"/>
      <c r="DM255" s="41"/>
      <c r="DN255" s="41"/>
      <c r="DO255" s="41"/>
      <c r="DP255" s="41"/>
      <c r="DQ255" s="41"/>
      <c r="DR255" s="41"/>
      <c r="DS255" s="41"/>
      <c r="DT255" s="41"/>
      <c r="DU255" s="41"/>
      <c r="DV255" s="41"/>
      <c r="DW255" s="41"/>
      <c r="DX255" s="41"/>
      <c r="DY255" s="41"/>
      <c r="DZ255" s="41"/>
      <c r="EA255" s="41"/>
      <c r="EB255" s="41"/>
      <c r="EC255" s="41"/>
      <c r="ED255" s="41"/>
      <c r="EE255" s="41"/>
      <c r="EF255" s="41"/>
      <c r="EG255" s="41"/>
      <c r="EH255" s="41"/>
      <c r="EI255" s="41"/>
      <c r="EJ255" s="41"/>
      <c r="EK255" s="41"/>
      <c r="EL255" s="41"/>
      <c r="EM255" s="41"/>
      <c r="EN255" s="41"/>
      <c r="EO255" s="41"/>
      <c r="EP255" s="41"/>
      <c r="EQ255" s="41"/>
      <c r="ER255" s="41"/>
      <c r="ES255" s="41"/>
      <c r="ET255" s="41"/>
      <c r="EU255" s="41"/>
      <c r="EV255" s="41"/>
      <c r="EW255" s="41"/>
      <c r="EX255" s="41"/>
      <c r="EY255" s="41"/>
      <c r="EZ255" s="41"/>
      <c r="FA255" s="41"/>
      <c r="FB255" s="41"/>
      <c r="FC255" s="41"/>
      <c r="FD255" s="41"/>
      <c r="FE255" s="41"/>
      <c r="FF255" s="41"/>
      <c r="FG255" s="41"/>
      <c r="FH255" s="41"/>
      <c r="FI255" s="41"/>
      <c r="FJ255" s="41"/>
      <c r="FK255" s="41"/>
      <c r="FL255" s="41"/>
      <c r="FM255" s="41"/>
      <c r="FN255" s="41"/>
      <c r="FO255" s="41"/>
      <c r="FP255" s="41"/>
      <c r="FQ255" s="41"/>
      <c r="FR255" s="41"/>
      <c r="FS255" s="41"/>
      <c r="FT255" s="41"/>
      <c r="FU255" s="41"/>
      <c r="FV255" s="41"/>
      <c r="FW255" s="41"/>
      <c r="FX255" s="41"/>
      <c r="FY255" s="41"/>
      <c r="FZ255" s="41"/>
      <c r="GA255" s="41"/>
      <c r="GB255" s="41"/>
      <c r="GC255" s="41"/>
      <c r="GD255" s="41"/>
      <c r="GE255" s="41"/>
      <c r="GF255" s="41"/>
      <c r="GG255" s="41"/>
      <c r="GH255" s="41"/>
      <c r="GI255" s="41"/>
      <c r="GJ255" s="41"/>
      <c r="GK255" s="41"/>
      <c r="GL255" s="41"/>
      <c r="GM255" s="41"/>
      <c r="GN255" s="41"/>
      <c r="GO255" s="41"/>
      <c r="GP255" s="41"/>
      <c r="GQ255" s="41"/>
      <c r="GR255" s="41"/>
      <c r="GS255" s="41"/>
      <c r="GT255" s="41"/>
      <c r="GU255" s="41"/>
      <c r="GV255" s="41"/>
      <c r="GW255" s="41"/>
      <c r="GX255" s="41"/>
      <c r="GY255" s="41"/>
      <c r="GZ255" s="41"/>
      <c r="HA255" s="41"/>
      <c r="HB255" s="41"/>
      <c r="HC255" s="41"/>
      <c r="HD255" s="41"/>
      <c r="HE255" s="41"/>
      <c r="HF255" s="41"/>
      <c r="HG255" s="41"/>
      <c r="HH255" s="41"/>
      <c r="HI255" s="41"/>
      <c r="HJ255" s="41"/>
      <c r="HK255" s="41"/>
      <c r="HL255" s="41"/>
      <c r="HM255" s="41"/>
      <c r="HN255" s="41"/>
      <c r="HO255" s="41"/>
      <c r="HP255" s="41"/>
      <c r="HQ255" s="41"/>
      <c r="HR255" s="41"/>
      <c r="HS255" s="41"/>
      <c r="HT255" s="41"/>
      <c r="HU255" s="41"/>
      <c r="HV255" s="41"/>
      <c r="HW255" s="41"/>
      <c r="HX255" s="41"/>
      <c r="HY255" s="41"/>
      <c r="HZ255" s="41"/>
      <c r="IA255" s="41"/>
      <c r="IB255" s="41"/>
      <c r="IC255" s="41"/>
      <c r="ID255" s="41"/>
      <c r="IE255" s="41"/>
      <c r="IF255" s="41"/>
      <c r="IG255" s="41"/>
      <c r="IH255" s="41"/>
      <c r="II255" s="41"/>
      <c r="IJ255" s="41"/>
      <c r="IK255" s="41"/>
    </row>
    <row r="256" spans="1:245">
      <c r="B256" s="36">
        <f>'[6]price list MAN'!B256</f>
        <v>49235</v>
      </c>
      <c r="C256" s="10" t="str">
        <f>'[6]price list MAN'!C256</f>
        <v>TGM-18-2404X4BB-C-SWA</v>
      </c>
      <c r="D256" s="16" t="str">
        <f>IFERROR(VLOOKUP(C256&amp;"",'[7]Retail Price List'!$A$3:$B$103,2,FALSE),"Special Order")</f>
        <v>KP000481</v>
      </c>
      <c r="E256" s="494" t="str">
        <f>'[6]price list MAN'!E256</f>
        <v>CKD</v>
      </c>
      <c r="F256" s="11" t="str">
        <f>'[6]price list MAN'!F256</f>
        <v>2018-07-06</v>
      </c>
      <c r="G256" s="32">
        <f>'[6]price list MAN'!G256</f>
        <v>15.8</v>
      </c>
      <c r="H256" s="26">
        <f>'[6]price list MAN'!H256</f>
        <v>43144</v>
      </c>
      <c r="I256" s="51" t="str">
        <f t="shared" si="15"/>
        <v>2018Q1</v>
      </c>
      <c r="J256" s="177">
        <f>'[6]price list MAN'!J256</f>
        <v>1400000</v>
      </c>
      <c r="K256" s="177">
        <f>'[6]price list MAN'!P256</f>
        <v>1048950</v>
      </c>
      <c r="L256" s="177">
        <f>'[6]price list MAN'!R256</f>
        <v>999000</v>
      </c>
      <c r="M256" s="174">
        <f>'[6]price list MAN'!S256</f>
        <v>1425000</v>
      </c>
      <c r="N256" s="174">
        <f>'[6]price list MAN'!Y256</f>
        <v>1075200</v>
      </c>
      <c r="O256" s="174">
        <f>'[6]price list MAN'!AA256</f>
        <v>1024000</v>
      </c>
      <c r="P256" s="68">
        <f t="shared" si="16"/>
        <v>0.28140350877192982</v>
      </c>
      <c r="Q256" s="62" t="e">
        <f>O256-#REF!</f>
        <v>#REF!</v>
      </c>
      <c r="S256" s="64" t="s">
        <v>9</v>
      </c>
      <c r="T256" s="64" t="s">
        <v>10</v>
      </c>
      <c r="U256" s="64" t="s">
        <v>11</v>
      </c>
      <c r="W256" s="210"/>
      <c r="X256" s="210"/>
      <c r="Y256" s="210"/>
      <c r="Z256" s="210"/>
      <c r="AA256" s="210"/>
      <c r="AB256" s="210"/>
      <c r="AC256" s="210"/>
      <c r="AT256" s="425" t="str">
        <f t="shared" si="17"/>
        <v>KP0004812018Q115,8</v>
      </c>
      <c r="AU256" s="64" t="str">
        <f t="shared" si="18"/>
        <v>02-2018</v>
      </c>
      <c r="BA256" s="428" t="str">
        <f t="shared" si="19"/>
        <v>WIP - 30 Days</v>
      </c>
    </row>
    <row r="257" spans="2:53">
      <c r="B257" s="36">
        <f>'[6]price list MAN'!B257</f>
        <v>49236</v>
      </c>
      <c r="C257" s="10" t="str">
        <f>'[6]price list MAN'!C257</f>
        <v>TGM-18-2404X4BB-C-SWA</v>
      </c>
      <c r="D257" s="16" t="str">
        <f>IFERROR(VLOOKUP(C257&amp;"",'[7]Retail Price List'!$A$3:$B$103,2,FALSE),"Special Order")</f>
        <v>KP000481</v>
      </c>
      <c r="E257" s="494" t="str">
        <f>'[6]price list MAN'!E257</f>
        <v>CKD</v>
      </c>
      <c r="F257" s="11" t="str">
        <f>'[6]price list MAN'!F257</f>
        <v>2018-07-06</v>
      </c>
      <c r="G257" s="32">
        <f>'[6]price list MAN'!G257</f>
        <v>15.8</v>
      </c>
      <c r="H257" s="26">
        <f>'[6]price list MAN'!H257</f>
        <v>43144</v>
      </c>
      <c r="I257" s="51" t="str">
        <f t="shared" si="15"/>
        <v>2018Q1</v>
      </c>
      <c r="J257" s="177">
        <f>'[6]price list MAN'!J257</f>
        <v>1400000</v>
      </c>
      <c r="K257" s="177">
        <f>'[6]price list MAN'!P257</f>
        <v>1048950</v>
      </c>
      <c r="L257" s="177">
        <f>'[6]price list MAN'!R257</f>
        <v>999000</v>
      </c>
      <c r="M257" s="174">
        <f>'[6]price list MAN'!S257</f>
        <v>1425000</v>
      </c>
      <c r="N257" s="174">
        <f>'[6]price list MAN'!Y257</f>
        <v>1075200</v>
      </c>
      <c r="O257" s="174">
        <f>'[6]price list MAN'!AA257</f>
        <v>1024000</v>
      </c>
      <c r="P257" s="68">
        <f t="shared" si="16"/>
        <v>0.28140350877192982</v>
      </c>
      <c r="Q257" s="62" t="e">
        <f>O257-#REF!</f>
        <v>#REF!</v>
      </c>
      <c r="S257" s="64">
        <v>16.5</v>
      </c>
      <c r="T257" s="64">
        <v>-1.2</v>
      </c>
      <c r="U257" s="64">
        <v>6.6</v>
      </c>
      <c r="W257" s="210"/>
      <c r="X257" s="210"/>
      <c r="Y257" s="210"/>
      <c r="Z257" s="210"/>
      <c r="AA257" s="210"/>
      <c r="AB257" s="210"/>
      <c r="AC257" s="210"/>
      <c r="AT257" s="425" t="str">
        <f t="shared" si="17"/>
        <v>KP0004812018Q115,8</v>
      </c>
      <c r="AU257" s="64" t="str">
        <f t="shared" si="18"/>
        <v>02-2018</v>
      </c>
      <c r="BA257" s="428" t="str">
        <f t="shared" si="19"/>
        <v>WIP - 30 Days</v>
      </c>
    </row>
    <row r="258" spans="2:53">
      <c r="B258" s="36">
        <f>'[6]price list MAN'!B258</f>
        <v>49237</v>
      </c>
      <c r="C258" s="10" t="str">
        <f>'[6]price list MAN'!C258</f>
        <v>TGM-18-2404X4BB-C-SWA</v>
      </c>
      <c r="D258" s="16" t="str">
        <f>IFERROR(VLOOKUP(C258&amp;"",'[7]Retail Price List'!$A$3:$B$103,2,FALSE),"Special Order")</f>
        <v>KP000481</v>
      </c>
      <c r="E258" s="494" t="str">
        <f>'[6]price list MAN'!E258</f>
        <v>CKD</v>
      </c>
      <c r="F258" s="11" t="str">
        <f>'[6]price list MAN'!F258</f>
        <v>2018-07-06</v>
      </c>
      <c r="G258" s="32">
        <f>'[6]price list MAN'!G258</f>
        <v>15.8</v>
      </c>
      <c r="H258" s="26">
        <f>'[6]price list MAN'!H258</f>
        <v>43144</v>
      </c>
      <c r="I258" s="51" t="str">
        <f t="shared" si="15"/>
        <v>2018Q1</v>
      </c>
      <c r="J258" s="177">
        <f>'[6]price list MAN'!J258</f>
        <v>1400000</v>
      </c>
      <c r="K258" s="177">
        <f>'[6]price list MAN'!P258</f>
        <v>1048950</v>
      </c>
      <c r="L258" s="177">
        <f>'[6]price list MAN'!R258</f>
        <v>999000</v>
      </c>
      <c r="M258" s="174">
        <f>'[6]price list MAN'!S258</f>
        <v>1425000</v>
      </c>
      <c r="N258" s="174">
        <f>'[6]price list MAN'!Y258</f>
        <v>1075200</v>
      </c>
      <c r="O258" s="174">
        <f>'[6]price list MAN'!AA258</f>
        <v>1024000</v>
      </c>
      <c r="P258" s="68">
        <f t="shared" si="16"/>
        <v>0.28140350877192982</v>
      </c>
      <c r="Q258" s="62" t="e">
        <f>O258-#REF!</f>
        <v>#REF!</v>
      </c>
      <c r="S258" s="64">
        <v>-1.6</v>
      </c>
      <c r="T258" s="64">
        <v>-1.6</v>
      </c>
      <c r="U258" s="64">
        <v>-1.6</v>
      </c>
      <c r="W258" s="210"/>
      <c r="X258" s="210"/>
      <c r="Y258" s="210"/>
      <c r="Z258" s="210"/>
      <c r="AA258" s="210"/>
      <c r="AB258" s="210"/>
      <c r="AC258" s="210"/>
      <c r="AT258" s="425" t="str">
        <f t="shared" si="17"/>
        <v>KP0004812018Q115,8</v>
      </c>
      <c r="AU258" s="64" t="str">
        <f t="shared" si="18"/>
        <v>02-2018</v>
      </c>
      <c r="BA258" s="428" t="str">
        <f t="shared" si="19"/>
        <v>WIP - 30 Days</v>
      </c>
    </row>
    <row r="259" spans="2:53">
      <c r="B259" s="36" t="str">
        <f>'[6]price list MAN'!B259</f>
        <v>N38-C574</v>
      </c>
      <c r="C259" s="10" t="str">
        <f>'[6]price list MAN'!C259</f>
        <v>TGM-18-2404X4BB-C-SWA</v>
      </c>
      <c r="D259" s="16" t="str">
        <f>IFERROR(VLOOKUP(C259&amp;"",'[7]Retail Price List'!$A$3:$B$103,2,FALSE),"Special Order")</f>
        <v>KP000481</v>
      </c>
      <c r="E259" s="494" t="str">
        <f>'[6]price list MAN'!E259</f>
        <v>UNSOLD</v>
      </c>
      <c r="F259" s="11">
        <f>'[6]price list MAN'!F259</f>
        <v>41</v>
      </c>
      <c r="G259" s="32">
        <f>'[6]price list MAN'!G259</f>
        <v>14.7</v>
      </c>
      <c r="H259" s="26">
        <f>'[6]price list MAN'!H259</f>
        <v>42935</v>
      </c>
      <c r="I259" s="51" t="str">
        <f t="shared" si="15"/>
        <v>201707Q3</v>
      </c>
      <c r="J259" s="177">
        <f>'[6]price list MAN'!J259</f>
        <v>1400000</v>
      </c>
      <c r="K259" s="177">
        <f>'[6]price list MAN'!P259</f>
        <v>1048950</v>
      </c>
      <c r="L259" s="177">
        <f>'[6]price list MAN'!R259</f>
        <v>999000</v>
      </c>
      <c r="M259" s="174">
        <f>'[6]price list MAN'!S259</f>
        <v>1425000</v>
      </c>
      <c r="N259" s="174">
        <f>'[6]price list MAN'!Y259</f>
        <v>1075200</v>
      </c>
      <c r="O259" s="174">
        <f>'[6]price list MAN'!AA259</f>
        <v>1024000</v>
      </c>
      <c r="P259" s="68">
        <f t="shared" si="16"/>
        <v>0.28140350877192982</v>
      </c>
      <c r="Q259" s="62" t="e">
        <f>O259-#REF!</f>
        <v>#REF!</v>
      </c>
      <c r="S259" s="64">
        <f>COUNT(K256:N277)</f>
        <v>88</v>
      </c>
      <c r="W259" s="210"/>
      <c r="X259" s="210"/>
      <c r="Y259" s="210"/>
      <c r="Z259" s="210"/>
      <c r="AA259" s="210"/>
      <c r="AB259" s="210"/>
      <c r="AC259" s="210"/>
      <c r="AT259" s="425" t="str">
        <f t="shared" si="17"/>
        <v>KP000481201707Q314,7</v>
      </c>
      <c r="AU259" s="64" t="str">
        <f t="shared" si="18"/>
        <v>07-2017</v>
      </c>
      <c r="BA259" s="428" t="str">
        <f t="shared" si="19"/>
        <v>31-120 Days</v>
      </c>
    </row>
    <row r="260" spans="2:53">
      <c r="B260" s="36" t="str">
        <f>'[6]price list MAN'!B260</f>
        <v>N38-C580</v>
      </c>
      <c r="C260" s="10" t="str">
        <f>'[6]price list MAN'!C260</f>
        <v>TGM-18-2404X4BB-C-SWA</v>
      </c>
      <c r="D260" s="16" t="str">
        <f>IFERROR(VLOOKUP(C260&amp;"",'[7]Retail Price List'!$A$3:$B$103,2,FALSE),"Special Order")</f>
        <v>KP000481</v>
      </c>
      <c r="E260" s="494" t="str">
        <f>'[6]price list MAN'!E260</f>
        <v>UNSOLD</v>
      </c>
      <c r="F260" s="11">
        <f>'[6]price list MAN'!F260</f>
        <v>41</v>
      </c>
      <c r="G260" s="32">
        <f>'[6]price list MAN'!G260</f>
        <v>14.7</v>
      </c>
      <c r="H260" s="26">
        <f>'[6]price list MAN'!H260</f>
        <v>42935</v>
      </c>
      <c r="I260" s="51" t="str">
        <f t="shared" si="15"/>
        <v>201707Q3</v>
      </c>
      <c r="J260" s="177">
        <f>'[6]price list MAN'!J260</f>
        <v>1400000</v>
      </c>
      <c r="K260" s="177">
        <f>'[6]price list MAN'!P260</f>
        <v>1048950</v>
      </c>
      <c r="L260" s="177">
        <f>'[6]price list MAN'!R260</f>
        <v>999000</v>
      </c>
      <c r="M260" s="174">
        <f>'[6]price list MAN'!S260</f>
        <v>1425000</v>
      </c>
      <c r="N260" s="174">
        <f>'[6]price list MAN'!Y260</f>
        <v>1075200</v>
      </c>
      <c r="O260" s="174">
        <f>'[6]price list MAN'!AA260</f>
        <v>1024000</v>
      </c>
      <c r="P260" s="68">
        <f t="shared" si="16"/>
        <v>0.28140350877192982</v>
      </c>
      <c r="Q260" s="62" t="e">
        <f>O260-#REF!</f>
        <v>#REF!</v>
      </c>
      <c r="S260" s="62" t="e">
        <f>+AVERAGE(#REF!)</f>
        <v>#REF!</v>
      </c>
      <c r="W260" s="210"/>
      <c r="X260" s="210"/>
      <c r="Y260" s="210"/>
      <c r="Z260" s="210"/>
      <c r="AA260" s="210"/>
      <c r="AB260" s="210"/>
      <c r="AC260" s="210"/>
      <c r="AT260" s="425" t="str">
        <f t="shared" si="17"/>
        <v>KP000481201707Q314,7</v>
      </c>
      <c r="AU260" s="64" t="str">
        <f t="shared" si="18"/>
        <v>07-2017</v>
      </c>
      <c r="BA260" s="428" t="str">
        <f t="shared" si="19"/>
        <v>31-120 Days</v>
      </c>
    </row>
    <row r="261" spans="2:53">
      <c r="B261" s="36" t="str">
        <f>'[6]price list MAN'!B261</f>
        <v>N38-C973</v>
      </c>
      <c r="C261" s="10" t="str">
        <f>'[6]price list MAN'!C261</f>
        <v>TGM-18-2404X4BB-C-SWA</v>
      </c>
      <c r="D261" s="16" t="str">
        <f>IFERROR(VLOOKUP(C261&amp;"",'[7]Retail Price List'!$A$3:$B$103,2,FALSE),"Special Order")</f>
        <v>KP000481</v>
      </c>
      <c r="E261" s="494" t="str">
        <f>'[6]price list MAN'!E261</f>
        <v>UNSOLD</v>
      </c>
      <c r="F261" s="11">
        <f>'[6]price list MAN'!F261</f>
        <v>19</v>
      </c>
      <c r="G261" s="32">
        <f>'[6]price list MAN'!G261</f>
        <v>15.3</v>
      </c>
      <c r="H261" s="26">
        <f>'[6]price list MAN'!H261</f>
        <v>42950</v>
      </c>
      <c r="I261" s="51" t="str">
        <f t="shared" ref="I261:I324" si="20">IFERROR(VLOOKUP(AU261,$AW$5:$AY$40,3,FALSE),"")</f>
        <v>2017Q3</v>
      </c>
      <c r="J261" s="177">
        <f>'[6]price list MAN'!J261</f>
        <v>1400000</v>
      </c>
      <c r="K261" s="177">
        <f>'[6]price list MAN'!P261</f>
        <v>1039500</v>
      </c>
      <c r="L261" s="177">
        <f>'[6]price list MAN'!R261</f>
        <v>990000</v>
      </c>
      <c r="M261" s="174">
        <f>'[6]price list MAN'!S261</f>
        <v>1425000</v>
      </c>
      <c r="N261" s="174">
        <f>'[6]price list MAN'!Y261</f>
        <v>1065750</v>
      </c>
      <c r="O261" s="174">
        <f>'[6]price list MAN'!AA261</f>
        <v>1015000</v>
      </c>
      <c r="P261" s="68">
        <f t="shared" ref="P261:P324" si="21">(M261-O261)/M261</f>
        <v>0.28771929824561404</v>
      </c>
      <c r="Q261" s="62" t="e">
        <f>O261-#REF!</f>
        <v>#REF!</v>
      </c>
      <c r="W261" s="210"/>
      <c r="X261" s="210"/>
      <c r="Y261" s="210"/>
      <c r="Z261" s="210"/>
      <c r="AA261" s="210"/>
      <c r="AB261" s="210"/>
      <c r="AC261" s="210"/>
      <c r="AT261" s="425" t="str">
        <f t="shared" ref="AT261:AT324" si="22">D261&amp;I261&amp;G261</f>
        <v>KP0004812017Q315,3</v>
      </c>
      <c r="AU261" s="64" t="str">
        <f t="shared" ref="AU261:AU324" si="23">IF(MONTH(H261)&lt;10,0&amp;MONTH(H261)&amp;"-"&amp;YEAR(H261),MONTH(H261)&amp;"-"&amp;YEAR(H261))</f>
        <v>08-2017</v>
      </c>
      <c r="BA261" s="428" t="str">
        <f t="shared" ref="BA261:BA324" si="24">IF(B261=0,"",IF(AND(F261&gt;=31,F261&lt;=120),"31-120 Days",IF(AND(F261&gt;=121,F261&lt;=365),"121-365 Days",IF(OR(E261="CKD",F261&lt;=30),"WIP - 30 Days","&gt;365 Days"))))</f>
        <v>WIP - 30 Days</v>
      </c>
    </row>
    <row r="262" spans="2:53">
      <c r="B262" s="36" t="str">
        <f>'[6]price list MAN'!B262</f>
        <v>N38-C979</v>
      </c>
      <c r="C262" s="10" t="str">
        <f>'[6]price list MAN'!C262</f>
        <v>TGM-18-2404X4BB-C-SWA</v>
      </c>
      <c r="D262" s="16" t="str">
        <f>IFERROR(VLOOKUP(C262&amp;"",'[7]Retail Price List'!$A$3:$B$103,2,FALSE),"Special Order")</f>
        <v>KP000481</v>
      </c>
      <c r="E262" s="494" t="str">
        <f>'[6]price list MAN'!E262</f>
        <v>UNSOLD</v>
      </c>
      <c r="F262" s="11">
        <f>'[6]price list MAN'!F262</f>
        <v>19</v>
      </c>
      <c r="G262" s="32">
        <f>'[6]price list MAN'!G262</f>
        <v>15.3</v>
      </c>
      <c r="H262" s="26">
        <f>'[6]price list MAN'!H262</f>
        <v>42950</v>
      </c>
      <c r="I262" s="51" t="str">
        <f t="shared" si="20"/>
        <v>2017Q3</v>
      </c>
      <c r="J262" s="177">
        <f>'[6]price list MAN'!J262</f>
        <v>1400000</v>
      </c>
      <c r="K262" s="177">
        <f>'[6]price list MAN'!P262</f>
        <v>1039500</v>
      </c>
      <c r="L262" s="177">
        <f>'[6]price list MAN'!R262</f>
        <v>990000</v>
      </c>
      <c r="M262" s="174">
        <f>'[6]price list MAN'!S262</f>
        <v>1425000</v>
      </c>
      <c r="N262" s="174">
        <f>'[6]price list MAN'!Y262</f>
        <v>1065750</v>
      </c>
      <c r="O262" s="174">
        <f>'[6]price list MAN'!AA262</f>
        <v>1015000</v>
      </c>
      <c r="P262" s="68">
        <f t="shared" si="21"/>
        <v>0.28771929824561404</v>
      </c>
      <c r="Q262" s="62" t="e">
        <f>O262-#REF!</f>
        <v>#REF!</v>
      </c>
      <c r="W262" s="210"/>
      <c r="X262" s="210"/>
      <c r="Y262" s="210"/>
      <c r="Z262" s="210"/>
      <c r="AA262" s="210"/>
      <c r="AB262" s="210"/>
      <c r="AC262" s="210"/>
      <c r="AT262" s="425" t="str">
        <f t="shared" si="22"/>
        <v>KP0004812017Q315,3</v>
      </c>
      <c r="AU262" s="64" t="str">
        <f t="shared" si="23"/>
        <v>08-2017</v>
      </c>
      <c r="BA262" s="428" t="str">
        <f t="shared" si="24"/>
        <v>WIP - 30 Days</v>
      </c>
    </row>
    <row r="263" spans="2:53">
      <c r="B263" s="36" t="str">
        <f>'[6]price list MAN'!B263</f>
        <v>N38-D388</v>
      </c>
      <c r="C263" s="10" t="str">
        <f>'[6]price list MAN'!C263</f>
        <v>TGM-18-2404X4BB-C-SWA</v>
      </c>
      <c r="D263" s="16" t="str">
        <f>IFERROR(VLOOKUP(C263&amp;"",'[7]Retail Price List'!$A$3:$B$103,2,FALSE),"Special Order")</f>
        <v>KP000481</v>
      </c>
      <c r="E263" s="494" t="str">
        <f>'[6]price list MAN'!E263</f>
        <v>UNSOLD</v>
      </c>
      <c r="F263" s="11">
        <f>'[6]price list MAN'!F263</f>
        <v>19</v>
      </c>
      <c r="G263" s="32">
        <f>'[6]price list MAN'!G263</f>
        <v>15.3</v>
      </c>
      <c r="H263" s="26">
        <f>'[6]price list MAN'!H263</f>
        <v>42950</v>
      </c>
      <c r="I263" s="51" t="str">
        <f t="shared" si="20"/>
        <v>2017Q3</v>
      </c>
      <c r="J263" s="177">
        <f>'[6]price list MAN'!J263</f>
        <v>1400000</v>
      </c>
      <c r="K263" s="177">
        <f>'[6]price list MAN'!P263</f>
        <v>1039500</v>
      </c>
      <c r="L263" s="177">
        <f>'[6]price list MAN'!R263</f>
        <v>990000</v>
      </c>
      <c r="M263" s="174">
        <f>'[6]price list MAN'!S263</f>
        <v>1425000</v>
      </c>
      <c r="N263" s="174">
        <f>'[6]price list MAN'!Y263</f>
        <v>1065750</v>
      </c>
      <c r="O263" s="174">
        <f>'[6]price list MAN'!AA263</f>
        <v>1015000</v>
      </c>
      <c r="P263" s="68">
        <f t="shared" si="21"/>
        <v>0.28771929824561404</v>
      </c>
      <c r="Q263" s="62" t="e">
        <f>O263-#REF!</f>
        <v>#REF!</v>
      </c>
      <c r="W263" s="210"/>
      <c r="X263" s="210"/>
      <c r="Y263" s="210"/>
      <c r="Z263" s="210"/>
      <c r="AA263" s="210"/>
      <c r="AB263" s="210"/>
      <c r="AC263" s="210"/>
      <c r="AT263" s="425" t="str">
        <f t="shared" si="22"/>
        <v>KP0004812017Q315,3</v>
      </c>
      <c r="AU263" s="64" t="str">
        <f t="shared" si="23"/>
        <v>08-2017</v>
      </c>
      <c r="BA263" s="428" t="str">
        <f t="shared" si="24"/>
        <v>WIP - 30 Days</v>
      </c>
    </row>
    <row r="264" spans="2:53">
      <c r="B264" s="36" t="str">
        <f>'[6]price list MAN'!B264</f>
        <v>N64-0630</v>
      </c>
      <c r="C264" s="10" t="str">
        <f>'[6]price list MAN'!C264</f>
        <v>TGM-18-2404X4BB-C-SWA</v>
      </c>
      <c r="D264" s="16" t="str">
        <f>IFERROR(VLOOKUP(C264&amp;"",'[7]Retail Price List'!$A$3:$B$103,2,FALSE),"Special Order")</f>
        <v>KP000481</v>
      </c>
      <c r="E264" s="494" t="str">
        <f>'[6]price list MAN'!E264</f>
        <v>SOLD</v>
      </c>
      <c r="F264" s="11">
        <f>'[6]price list MAN'!F264</f>
        <v>12</v>
      </c>
      <c r="G264" s="32">
        <f>'[6]price list MAN'!G264</f>
        <v>14.7</v>
      </c>
      <c r="H264" s="26">
        <f>'[6]price list MAN'!H264</f>
        <v>42937</v>
      </c>
      <c r="I264" s="51" t="str">
        <f t="shared" si="20"/>
        <v>201707Q3</v>
      </c>
      <c r="J264" s="177">
        <f>'[6]price list MAN'!J264</f>
        <v>1400000</v>
      </c>
      <c r="K264" s="177">
        <f>'[6]price list MAN'!P264</f>
        <v>1048950</v>
      </c>
      <c r="L264" s="177">
        <f>'[6]price list MAN'!R264</f>
        <v>999000</v>
      </c>
      <c r="M264" s="174">
        <f>'[6]price list MAN'!S264</f>
        <v>1425000</v>
      </c>
      <c r="N264" s="174">
        <f>'[6]price list MAN'!Y264</f>
        <v>1075200</v>
      </c>
      <c r="O264" s="174">
        <f>'[6]price list MAN'!AA264</f>
        <v>1024000</v>
      </c>
      <c r="P264" s="68">
        <f t="shared" si="21"/>
        <v>0.28140350877192982</v>
      </c>
      <c r="Q264" s="62" t="e">
        <f>O264-#REF!</f>
        <v>#REF!</v>
      </c>
      <c r="W264" s="210"/>
      <c r="X264" s="210"/>
      <c r="Y264" s="210"/>
      <c r="Z264" s="210"/>
      <c r="AA264" s="210"/>
      <c r="AB264" s="210"/>
      <c r="AC264" s="210"/>
      <c r="AT264" s="425" t="str">
        <f t="shared" si="22"/>
        <v>KP000481201707Q314,7</v>
      </c>
      <c r="AU264" s="64" t="str">
        <f t="shared" si="23"/>
        <v>07-2017</v>
      </c>
      <c r="BA264" s="428" t="str">
        <f t="shared" si="24"/>
        <v>WIP - 30 Days</v>
      </c>
    </row>
    <row r="265" spans="2:53">
      <c r="B265" s="36" t="str">
        <f>'[6]price list MAN'!B265</f>
        <v>N64-0764</v>
      </c>
      <c r="C265" s="10" t="str">
        <f>'[6]price list MAN'!C265</f>
        <v>TGM-18-2404X4BB-C-SWA</v>
      </c>
      <c r="D265" s="16" t="str">
        <f>IFERROR(VLOOKUP(C265&amp;"",'[7]Retail Price List'!$A$3:$B$103,2,FALSE),"Special Order")</f>
        <v>KP000481</v>
      </c>
      <c r="E265" s="494" t="str">
        <f>'[6]price list MAN'!E265</f>
        <v>CKD</v>
      </c>
      <c r="F265" s="11" t="str">
        <f>'[6]price list MAN'!F265</f>
        <v>2018-02-27</v>
      </c>
      <c r="G265" s="32">
        <f>'[6]price list MAN'!G265</f>
        <v>15.3</v>
      </c>
      <c r="H265" s="26">
        <f>'[6]price list MAN'!H265</f>
        <v>42978</v>
      </c>
      <c r="I265" s="51" t="str">
        <f t="shared" si="20"/>
        <v>2017Q3</v>
      </c>
      <c r="J265" s="177">
        <f>'[6]price list MAN'!J265</f>
        <v>1400000</v>
      </c>
      <c r="K265" s="177">
        <f>'[6]price list MAN'!P265</f>
        <v>1039500</v>
      </c>
      <c r="L265" s="177">
        <f>'[6]price list MAN'!R265</f>
        <v>990000</v>
      </c>
      <c r="M265" s="174">
        <f>'[6]price list MAN'!S265</f>
        <v>1425000</v>
      </c>
      <c r="N265" s="174">
        <f>'[6]price list MAN'!Y265</f>
        <v>1065750</v>
      </c>
      <c r="O265" s="174">
        <f>'[6]price list MAN'!AA265</f>
        <v>1015000</v>
      </c>
      <c r="P265" s="68">
        <f t="shared" si="21"/>
        <v>0.28771929824561404</v>
      </c>
      <c r="Q265" s="62" t="e">
        <f>O265-#REF!</f>
        <v>#REF!</v>
      </c>
      <c r="W265" s="210"/>
      <c r="X265" s="210"/>
      <c r="Y265" s="210"/>
      <c r="Z265" s="210"/>
      <c r="AA265" s="210"/>
      <c r="AB265" s="210"/>
      <c r="AC265" s="210"/>
      <c r="AT265" s="425" t="str">
        <f t="shared" si="22"/>
        <v>KP0004812017Q315,3</v>
      </c>
      <c r="AU265" s="64" t="str">
        <f t="shared" si="23"/>
        <v>08-2017</v>
      </c>
      <c r="BA265" s="428" t="str">
        <f t="shared" si="24"/>
        <v>WIP - 30 Days</v>
      </c>
    </row>
    <row r="266" spans="2:53">
      <c r="B266" s="36" t="str">
        <f>'[6]price list MAN'!B266</f>
        <v>N64-0765</v>
      </c>
      <c r="C266" s="10" t="str">
        <f>'[6]price list MAN'!C266</f>
        <v>TGM-18-2404X4BB-C-SWA</v>
      </c>
      <c r="D266" s="16" t="str">
        <f>IFERROR(VLOOKUP(C266&amp;"",'[7]Retail Price List'!$A$3:$B$103,2,FALSE),"Special Order")</f>
        <v>KP000481</v>
      </c>
      <c r="E266" s="494" t="str">
        <f>'[6]price list MAN'!E266</f>
        <v>CKD</v>
      </c>
      <c r="F266" s="11" t="str">
        <f>'[6]price list MAN'!F266</f>
        <v>2018-02-28</v>
      </c>
      <c r="G266" s="32">
        <f>'[6]price list MAN'!G266</f>
        <v>15.3</v>
      </c>
      <c r="H266" s="26">
        <f>'[6]price list MAN'!H266</f>
        <v>42978</v>
      </c>
      <c r="I266" s="51" t="str">
        <f t="shared" si="20"/>
        <v>2017Q3</v>
      </c>
      <c r="J266" s="177">
        <f>'[6]price list MAN'!J266</f>
        <v>1400000</v>
      </c>
      <c r="K266" s="177">
        <f>'[6]price list MAN'!P266</f>
        <v>1039500</v>
      </c>
      <c r="L266" s="177">
        <f>'[6]price list MAN'!R266</f>
        <v>990000</v>
      </c>
      <c r="M266" s="174">
        <f>'[6]price list MAN'!S266</f>
        <v>1425000</v>
      </c>
      <c r="N266" s="174">
        <f>'[6]price list MAN'!Y266</f>
        <v>1065750</v>
      </c>
      <c r="O266" s="174">
        <f>'[6]price list MAN'!AA266</f>
        <v>1015000</v>
      </c>
      <c r="P266" s="68">
        <f t="shared" si="21"/>
        <v>0.28771929824561404</v>
      </c>
      <c r="Q266" s="62" t="e">
        <f>O266-#REF!</f>
        <v>#REF!</v>
      </c>
      <c r="W266" s="210"/>
      <c r="X266" s="210"/>
      <c r="Y266" s="210"/>
      <c r="Z266" s="210"/>
      <c r="AA266" s="210"/>
      <c r="AB266" s="210"/>
      <c r="AC266" s="210"/>
      <c r="AT266" s="425" t="str">
        <f t="shared" si="22"/>
        <v>KP0004812017Q315,3</v>
      </c>
      <c r="AU266" s="64" t="str">
        <f t="shared" si="23"/>
        <v>08-2017</v>
      </c>
      <c r="BA266" s="428" t="str">
        <f t="shared" si="24"/>
        <v>WIP - 30 Days</v>
      </c>
    </row>
    <row r="267" spans="2:53">
      <c r="B267" s="36" t="str">
        <f>'[6]price list MAN'!B267</f>
        <v>N64-0770</v>
      </c>
      <c r="C267" s="10" t="str">
        <f>'[6]price list MAN'!C267</f>
        <v>TGM-18-2404X4BB-C-SWA</v>
      </c>
      <c r="D267" s="16" t="str">
        <f>IFERROR(VLOOKUP(C267&amp;"",'[7]Retail Price List'!$A$3:$B$103,2,FALSE),"Special Order")</f>
        <v>KP000481</v>
      </c>
      <c r="E267" s="494" t="str">
        <f>'[6]price list MAN'!E267</f>
        <v>CKD</v>
      </c>
      <c r="F267" s="11" t="str">
        <f>'[6]price list MAN'!F267</f>
        <v>2018-03-30</v>
      </c>
      <c r="G267" s="32">
        <f>'[6]price list MAN'!G267</f>
        <v>15.3</v>
      </c>
      <c r="H267" s="26">
        <f>'[6]price list MAN'!H267</f>
        <v>42978</v>
      </c>
      <c r="I267" s="51" t="str">
        <f t="shared" si="20"/>
        <v>2017Q3</v>
      </c>
      <c r="J267" s="177">
        <f>'[6]price list MAN'!J267</f>
        <v>1400000</v>
      </c>
      <c r="K267" s="177">
        <f>'[6]price list MAN'!P267</f>
        <v>1048950</v>
      </c>
      <c r="L267" s="177">
        <f>'[6]price list MAN'!R267</f>
        <v>999000</v>
      </c>
      <c r="M267" s="174">
        <f>'[6]price list MAN'!S267</f>
        <v>1425000</v>
      </c>
      <c r="N267" s="174">
        <f>'[6]price list MAN'!Y267</f>
        <v>1075200</v>
      </c>
      <c r="O267" s="174">
        <f>'[6]price list MAN'!AA267</f>
        <v>1024000</v>
      </c>
      <c r="P267" s="68">
        <f t="shared" si="21"/>
        <v>0.28140350877192982</v>
      </c>
      <c r="Q267" s="62" t="e">
        <f>O267-#REF!</f>
        <v>#REF!</v>
      </c>
      <c r="W267" s="210"/>
      <c r="X267" s="210"/>
      <c r="Y267" s="210"/>
      <c r="Z267" s="210"/>
      <c r="AA267" s="210"/>
      <c r="AB267" s="210"/>
      <c r="AC267" s="210"/>
      <c r="AT267" s="425" t="str">
        <f t="shared" si="22"/>
        <v>KP0004812017Q315,3</v>
      </c>
      <c r="AU267" s="64" t="str">
        <f t="shared" si="23"/>
        <v>08-2017</v>
      </c>
      <c r="BA267" s="428" t="str">
        <f t="shared" si="24"/>
        <v>WIP - 30 Days</v>
      </c>
    </row>
    <row r="268" spans="2:53">
      <c r="B268" s="36" t="str">
        <f>'[6]price list MAN'!B268</f>
        <v>N64-0771</v>
      </c>
      <c r="C268" s="10" t="str">
        <f>'[6]price list MAN'!C268</f>
        <v>TGM-18-2404X4BB-C-SWA</v>
      </c>
      <c r="D268" s="16" t="str">
        <f>IFERROR(VLOOKUP(C268&amp;"",'[7]Retail Price List'!$A$3:$B$103,2,FALSE),"Special Order")</f>
        <v>KP000481</v>
      </c>
      <c r="E268" s="494" t="str">
        <f>'[6]price list MAN'!E268</f>
        <v>CKD</v>
      </c>
      <c r="F268" s="11" t="str">
        <f>'[6]price list MAN'!F268</f>
        <v>2018-03-30</v>
      </c>
      <c r="G268" s="32">
        <f>'[6]price list MAN'!G268</f>
        <v>15.3</v>
      </c>
      <c r="H268" s="26">
        <f>'[6]price list MAN'!H268</f>
        <v>42978</v>
      </c>
      <c r="I268" s="51" t="str">
        <f t="shared" si="20"/>
        <v>2017Q3</v>
      </c>
      <c r="J268" s="177">
        <f>'[6]price list MAN'!J268</f>
        <v>1400000</v>
      </c>
      <c r="K268" s="177">
        <f>'[6]price list MAN'!P268</f>
        <v>1048950</v>
      </c>
      <c r="L268" s="177">
        <f>'[6]price list MAN'!R268</f>
        <v>999000</v>
      </c>
      <c r="M268" s="174">
        <f>'[6]price list MAN'!S268</f>
        <v>1425000</v>
      </c>
      <c r="N268" s="174">
        <f>'[6]price list MAN'!Y268</f>
        <v>1075200</v>
      </c>
      <c r="O268" s="174">
        <f>'[6]price list MAN'!AA268</f>
        <v>1024000</v>
      </c>
      <c r="P268" s="68">
        <f t="shared" si="21"/>
        <v>0.28140350877192982</v>
      </c>
      <c r="Q268" s="62" t="e">
        <f>O268-#REF!</f>
        <v>#REF!</v>
      </c>
      <c r="W268" s="210"/>
      <c r="X268" s="210"/>
      <c r="Y268" s="210"/>
      <c r="Z268" s="210"/>
      <c r="AA268" s="210"/>
      <c r="AB268" s="210"/>
      <c r="AC268" s="210"/>
      <c r="AT268" s="425" t="str">
        <f t="shared" si="22"/>
        <v>KP0004812017Q315,3</v>
      </c>
      <c r="AU268" s="64" t="str">
        <f t="shared" si="23"/>
        <v>08-2017</v>
      </c>
      <c r="BA268" s="428" t="str">
        <f t="shared" si="24"/>
        <v>WIP - 30 Days</v>
      </c>
    </row>
    <row r="269" spans="2:53">
      <c r="B269" s="36" t="str">
        <f>'[6]price list MAN'!B269</f>
        <v>N64-0772</v>
      </c>
      <c r="C269" s="10" t="str">
        <f>'[6]price list MAN'!C269</f>
        <v>TGM-18-2404X4BB-C-SWA</v>
      </c>
      <c r="D269" s="16" t="str">
        <f>IFERROR(VLOOKUP(C269&amp;"",'[7]Retail Price List'!$A$3:$B$103,2,FALSE),"Special Order")</f>
        <v>KP000481</v>
      </c>
      <c r="E269" s="494" t="str">
        <f>'[6]price list MAN'!E269</f>
        <v>CKD</v>
      </c>
      <c r="F269" s="11" t="str">
        <f>'[6]price list MAN'!F269</f>
        <v>2018-03-30</v>
      </c>
      <c r="G269" s="32">
        <f>'[6]price list MAN'!G269</f>
        <v>15.3</v>
      </c>
      <c r="H269" s="26">
        <f>'[6]price list MAN'!H269</f>
        <v>42978</v>
      </c>
      <c r="I269" s="51" t="str">
        <f t="shared" si="20"/>
        <v>2017Q3</v>
      </c>
      <c r="J269" s="177">
        <f>'[6]price list MAN'!J269</f>
        <v>1400000</v>
      </c>
      <c r="K269" s="177">
        <f>'[6]price list MAN'!P269</f>
        <v>1048950</v>
      </c>
      <c r="L269" s="177">
        <f>'[6]price list MAN'!R269</f>
        <v>999000</v>
      </c>
      <c r="M269" s="174">
        <f>'[6]price list MAN'!S269</f>
        <v>1425000</v>
      </c>
      <c r="N269" s="174">
        <f>'[6]price list MAN'!Y269</f>
        <v>1075200</v>
      </c>
      <c r="O269" s="174">
        <f>'[6]price list MAN'!AA269</f>
        <v>1024000</v>
      </c>
      <c r="P269" s="68">
        <f t="shared" si="21"/>
        <v>0.28140350877192982</v>
      </c>
      <c r="Q269" s="62" t="e">
        <f>O269-#REF!</f>
        <v>#REF!</v>
      </c>
      <c r="W269" s="210"/>
      <c r="X269" s="210"/>
      <c r="Y269" s="210"/>
      <c r="Z269" s="210"/>
      <c r="AA269" s="210"/>
      <c r="AB269" s="210"/>
      <c r="AC269" s="210"/>
      <c r="AT269" s="425" t="str">
        <f t="shared" si="22"/>
        <v>KP0004812017Q315,3</v>
      </c>
      <c r="AU269" s="64" t="str">
        <f t="shared" si="23"/>
        <v>08-2017</v>
      </c>
      <c r="BA269" s="428" t="str">
        <f t="shared" si="24"/>
        <v>WIP - 30 Days</v>
      </c>
    </row>
    <row r="270" spans="2:53">
      <c r="B270" s="36" t="str">
        <f>'[6]price list MAN'!B270</f>
        <v>N64-0773</v>
      </c>
      <c r="C270" s="10" t="str">
        <f>'[6]price list MAN'!C270</f>
        <v>TGM-18-2404X4BB-C-SWA</v>
      </c>
      <c r="D270" s="16" t="str">
        <f>IFERROR(VLOOKUP(C270&amp;"",'[7]Retail Price List'!$A$3:$B$103,2,FALSE),"Special Order")</f>
        <v>KP000481</v>
      </c>
      <c r="E270" s="494" t="str">
        <f>'[6]price list MAN'!E270</f>
        <v>CKD</v>
      </c>
      <c r="F270" s="11" t="str">
        <f>'[6]price list MAN'!F270</f>
        <v>2018-03-30</v>
      </c>
      <c r="G270" s="32">
        <f>'[6]price list MAN'!G270</f>
        <v>15.3</v>
      </c>
      <c r="H270" s="26">
        <f>'[6]price list MAN'!H270</f>
        <v>42978</v>
      </c>
      <c r="I270" s="51" t="str">
        <f t="shared" si="20"/>
        <v>2017Q3</v>
      </c>
      <c r="J270" s="177">
        <f>'[6]price list MAN'!J270</f>
        <v>1400000</v>
      </c>
      <c r="K270" s="177">
        <f>'[6]price list MAN'!P270</f>
        <v>1048950</v>
      </c>
      <c r="L270" s="177">
        <f>'[6]price list MAN'!R270</f>
        <v>999000</v>
      </c>
      <c r="M270" s="174">
        <f>'[6]price list MAN'!S270</f>
        <v>1425000</v>
      </c>
      <c r="N270" s="174">
        <f>'[6]price list MAN'!Y270</f>
        <v>1075200</v>
      </c>
      <c r="O270" s="174">
        <f>'[6]price list MAN'!AA270</f>
        <v>1024000</v>
      </c>
      <c r="P270" s="68">
        <f t="shared" si="21"/>
        <v>0.28140350877192982</v>
      </c>
      <c r="Q270" s="62" t="e">
        <f>O270-#REF!</f>
        <v>#REF!</v>
      </c>
      <c r="W270" s="210"/>
      <c r="X270" s="210"/>
      <c r="Y270" s="210"/>
      <c r="Z270" s="210"/>
      <c r="AA270" s="210"/>
      <c r="AB270" s="210"/>
      <c r="AC270" s="210"/>
      <c r="AT270" s="425" t="str">
        <f t="shared" si="22"/>
        <v>KP0004812017Q315,3</v>
      </c>
      <c r="AU270" s="64" t="str">
        <f t="shared" si="23"/>
        <v>08-2017</v>
      </c>
      <c r="BA270" s="428" t="str">
        <f t="shared" si="24"/>
        <v>WIP - 30 Days</v>
      </c>
    </row>
    <row r="271" spans="2:53">
      <c r="B271" s="36" t="str">
        <f>'[6]price list MAN'!B271</f>
        <v>N64-0774</v>
      </c>
      <c r="C271" s="10" t="str">
        <f>'[6]price list MAN'!C271</f>
        <v>TGM-18-2404X4BB-C-SWA</v>
      </c>
      <c r="D271" s="16" t="str">
        <f>IFERROR(VLOOKUP(C271&amp;"",'[7]Retail Price List'!$A$3:$B$103,2,FALSE),"Special Order")</f>
        <v>KP000481</v>
      </c>
      <c r="E271" s="494" t="str">
        <f>'[6]price list MAN'!E271</f>
        <v>CKD</v>
      </c>
      <c r="F271" s="11" t="str">
        <f>'[6]price list MAN'!F271</f>
        <v>2018-03-30</v>
      </c>
      <c r="G271" s="32">
        <f>'[6]price list MAN'!G271</f>
        <v>15.3</v>
      </c>
      <c r="H271" s="26">
        <f>'[6]price list MAN'!H271</f>
        <v>42978</v>
      </c>
      <c r="I271" s="51" t="str">
        <f t="shared" si="20"/>
        <v>2017Q3</v>
      </c>
      <c r="J271" s="177">
        <f>'[6]price list MAN'!J271</f>
        <v>1400000</v>
      </c>
      <c r="K271" s="177">
        <f>'[6]price list MAN'!P271</f>
        <v>1048950</v>
      </c>
      <c r="L271" s="177">
        <f>'[6]price list MAN'!R271</f>
        <v>999000</v>
      </c>
      <c r="M271" s="174">
        <f>'[6]price list MAN'!S271</f>
        <v>1425000</v>
      </c>
      <c r="N271" s="174">
        <f>'[6]price list MAN'!Y271</f>
        <v>1075200</v>
      </c>
      <c r="O271" s="174">
        <f>'[6]price list MAN'!AA271</f>
        <v>1024000</v>
      </c>
      <c r="P271" s="68">
        <f t="shared" si="21"/>
        <v>0.28140350877192982</v>
      </c>
      <c r="Q271" s="62" t="e">
        <f>O271-#REF!</f>
        <v>#REF!</v>
      </c>
      <c r="W271" s="210"/>
      <c r="X271" s="210"/>
      <c r="Y271" s="210"/>
      <c r="Z271" s="210"/>
      <c r="AA271" s="210"/>
      <c r="AB271" s="210"/>
      <c r="AC271" s="210"/>
      <c r="AT271" s="425" t="str">
        <f t="shared" si="22"/>
        <v>KP0004812017Q315,3</v>
      </c>
      <c r="AU271" s="64" t="str">
        <f t="shared" si="23"/>
        <v>08-2017</v>
      </c>
      <c r="BA271" s="428" t="str">
        <f t="shared" si="24"/>
        <v>WIP - 30 Days</v>
      </c>
    </row>
    <row r="272" spans="2:53">
      <c r="B272" s="36" t="str">
        <f>'[6]price list MAN'!B272</f>
        <v>N64-0824</v>
      </c>
      <c r="C272" s="10" t="str">
        <f>'[6]price list MAN'!C272</f>
        <v>TGM-18-2404X4BB-C-SWA</v>
      </c>
      <c r="D272" s="16" t="str">
        <f>IFERROR(VLOOKUP(C272&amp;"",'[7]Retail Price List'!$A$3:$B$103,2,FALSE),"Special Order")</f>
        <v>KP000481</v>
      </c>
      <c r="E272" s="494" t="str">
        <f>'[6]price list MAN'!E272</f>
        <v>CKD</v>
      </c>
      <c r="F272" s="11" t="str">
        <f>'[6]price list MAN'!F272</f>
        <v>2018-02-23</v>
      </c>
      <c r="G272" s="32">
        <f>'[6]price list MAN'!G272</f>
        <v>15.3</v>
      </c>
      <c r="H272" s="26">
        <f>'[6]price list MAN'!H272</f>
        <v>42978</v>
      </c>
      <c r="I272" s="51" t="str">
        <f t="shared" si="20"/>
        <v>2017Q3</v>
      </c>
      <c r="J272" s="177">
        <f>'[6]price list MAN'!J272</f>
        <v>1400000</v>
      </c>
      <c r="K272" s="177">
        <f>'[6]price list MAN'!P272</f>
        <v>1048950</v>
      </c>
      <c r="L272" s="177">
        <f>'[6]price list MAN'!R272</f>
        <v>999000</v>
      </c>
      <c r="M272" s="174">
        <f>'[6]price list MAN'!S272</f>
        <v>1425000</v>
      </c>
      <c r="N272" s="174">
        <f>'[6]price list MAN'!Y272</f>
        <v>1075200</v>
      </c>
      <c r="O272" s="174">
        <f>'[6]price list MAN'!AA272</f>
        <v>1024000</v>
      </c>
      <c r="P272" s="68">
        <f t="shared" si="21"/>
        <v>0.28140350877192982</v>
      </c>
      <c r="Q272" s="62" t="e">
        <f>O272-#REF!</f>
        <v>#REF!</v>
      </c>
      <c r="W272" s="210"/>
      <c r="X272" s="210"/>
      <c r="Y272" s="210"/>
      <c r="Z272" s="210"/>
      <c r="AA272" s="210"/>
      <c r="AB272" s="210"/>
      <c r="AC272" s="210"/>
      <c r="AT272" s="425" t="str">
        <f t="shared" si="22"/>
        <v>KP0004812017Q315,3</v>
      </c>
      <c r="AU272" s="64" t="str">
        <f t="shared" si="23"/>
        <v>08-2017</v>
      </c>
      <c r="BA272" s="428" t="str">
        <f t="shared" si="24"/>
        <v>WIP - 30 Days</v>
      </c>
    </row>
    <row r="273" spans="1:245">
      <c r="B273" s="36" t="str">
        <f>'[6]price list MAN'!B273</f>
        <v>N64-0825</v>
      </c>
      <c r="C273" s="10" t="str">
        <f>'[6]price list MAN'!C273</f>
        <v>TGM-18-2404X4BB-C-SWA</v>
      </c>
      <c r="D273" s="16" t="str">
        <f>IFERROR(VLOOKUP(C273&amp;"",'[7]Retail Price List'!$A$3:$B$103,2,FALSE),"Special Order")</f>
        <v>KP000481</v>
      </c>
      <c r="E273" s="494" t="str">
        <f>'[6]price list MAN'!E273</f>
        <v>CKD</v>
      </c>
      <c r="F273" s="11" t="str">
        <f>'[6]price list MAN'!F273</f>
        <v>2018-02-26</v>
      </c>
      <c r="G273" s="32">
        <f>'[6]price list MAN'!G273</f>
        <v>15.3</v>
      </c>
      <c r="H273" s="26">
        <f>'[6]price list MAN'!H273</f>
        <v>42978</v>
      </c>
      <c r="I273" s="51" t="str">
        <f t="shared" si="20"/>
        <v>2017Q3</v>
      </c>
      <c r="J273" s="177">
        <f>'[6]price list MAN'!J273</f>
        <v>1400000</v>
      </c>
      <c r="K273" s="177">
        <f>'[6]price list MAN'!P273</f>
        <v>1048950</v>
      </c>
      <c r="L273" s="177">
        <f>'[6]price list MAN'!R273</f>
        <v>999000</v>
      </c>
      <c r="M273" s="174">
        <f>'[6]price list MAN'!S273</f>
        <v>1425000</v>
      </c>
      <c r="N273" s="174">
        <f>'[6]price list MAN'!Y273</f>
        <v>1075200</v>
      </c>
      <c r="O273" s="174">
        <f>'[6]price list MAN'!AA273</f>
        <v>1024000</v>
      </c>
      <c r="P273" s="68">
        <f t="shared" si="21"/>
        <v>0.28140350877192982</v>
      </c>
      <c r="Q273" s="62" t="e">
        <f>O273-#REF!</f>
        <v>#REF!</v>
      </c>
      <c r="W273" s="210"/>
      <c r="X273" s="210"/>
      <c r="Y273" s="210"/>
      <c r="Z273" s="210"/>
      <c r="AA273" s="210"/>
      <c r="AB273" s="210"/>
      <c r="AC273" s="210"/>
      <c r="AT273" s="425" t="str">
        <f t="shared" si="22"/>
        <v>KP0004812017Q315,3</v>
      </c>
      <c r="AU273" s="64" t="str">
        <f t="shared" si="23"/>
        <v>08-2017</v>
      </c>
      <c r="BA273" s="428" t="str">
        <f t="shared" si="24"/>
        <v>WIP - 30 Days</v>
      </c>
    </row>
    <row r="274" spans="1:245">
      <c r="B274" s="36" t="str">
        <f>'[6]price list MAN'!B274</f>
        <v>N64-0826</v>
      </c>
      <c r="C274" s="10" t="str">
        <f>'[6]price list MAN'!C274</f>
        <v>TGM-18-2404X4BB-C-SWA</v>
      </c>
      <c r="D274" s="16" t="str">
        <f>IFERROR(VLOOKUP(C274&amp;"",'[7]Retail Price List'!$A$3:$B$103,2,FALSE),"Special Order")</f>
        <v>KP000481</v>
      </c>
      <c r="E274" s="494" t="str">
        <f>'[6]price list MAN'!E274</f>
        <v>CKD</v>
      </c>
      <c r="F274" s="11" t="str">
        <f>'[6]price list MAN'!F274</f>
        <v>2018-02-26</v>
      </c>
      <c r="G274" s="32">
        <f>'[6]price list MAN'!G274</f>
        <v>15.3</v>
      </c>
      <c r="H274" s="26">
        <f>'[6]price list MAN'!H274</f>
        <v>42978</v>
      </c>
      <c r="I274" s="51" t="str">
        <f t="shared" si="20"/>
        <v>2017Q3</v>
      </c>
      <c r="J274" s="177">
        <f>'[6]price list MAN'!J274</f>
        <v>1400000</v>
      </c>
      <c r="K274" s="177">
        <f>'[6]price list MAN'!P274</f>
        <v>1048950</v>
      </c>
      <c r="L274" s="177">
        <f>'[6]price list MAN'!R274</f>
        <v>999000</v>
      </c>
      <c r="M274" s="174">
        <f>'[6]price list MAN'!S274</f>
        <v>1425000</v>
      </c>
      <c r="N274" s="174">
        <f>'[6]price list MAN'!Y274</f>
        <v>1075200</v>
      </c>
      <c r="O274" s="174">
        <f>'[6]price list MAN'!AA274</f>
        <v>1024000</v>
      </c>
      <c r="P274" s="68">
        <f t="shared" si="21"/>
        <v>0.28140350877192982</v>
      </c>
      <c r="Q274" s="62" t="e">
        <f>O274-#REF!</f>
        <v>#REF!</v>
      </c>
      <c r="W274" s="210"/>
      <c r="X274" s="210"/>
      <c r="Y274" s="210"/>
      <c r="Z274" s="210"/>
      <c r="AA274" s="210"/>
      <c r="AB274" s="210"/>
      <c r="AC274" s="210"/>
      <c r="AT274" s="425" t="str">
        <f t="shared" si="22"/>
        <v>KP0004812017Q315,3</v>
      </c>
      <c r="AU274" s="64" t="str">
        <f t="shared" si="23"/>
        <v>08-2017</v>
      </c>
      <c r="BA274" s="428" t="str">
        <f t="shared" si="24"/>
        <v>WIP - 30 Days</v>
      </c>
    </row>
    <row r="275" spans="1:245">
      <c r="B275" s="36" t="str">
        <f>'[6]price list MAN'!B275</f>
        <v>N64-0827</v>
      </c>
      <c r="C275" s="10" t="str">
        <f>'[6]price list MAN'!C275</f>
        <v>TGM-18-2404X4BB-C-SWA</v>
      </c>
      <c r="D275" s="16" t="str">
        <f>IFERROR(VLOOKUP(C275&amp;"",'[7]Retail Price List'!$A$3:$B$103,2,FALSE),"Special Order")</f>
        <v>KP000481</v>
      </c>
      <c r="E275" s="494" t="str">
        <f>'[6]price list MAN'!E275</f>
        <v>CKD</v>
      </c>
      <c r="F275" s="11" t="str">
        <f>'[6]price list MAN'!F275</f>
        <v>2018-02-28</v>
      </c>
      <c r="G275" s="32">
        <f>'[6]price list MAN'!G275</f>
        <v>15.3</v>
      </c>
      <c r="H275" s="26">
        <f>'[6]price list MAN'!H275</f>
        <v>42978</v>
      </c>
      <c r="I275" s="51" t="str">
        <f t="shared" si="20"/>
        <v>2017Q3</v>
      </c>
      <c r="J275" s="177">
        <f>'[6]price list MAN'!J275</f>
        <v>1400000</v>
      </c>
      <c r="K275" s="177">
        <f>'[6]price list MAN'!P275</f>
        <v>1039500</v>
      </c>
      <c r="L275" s="177">
        <f>'[6]price list MAN'!R275</f>
        <v>990000</v>
      </c>
      <c r="M275" s="174">
        <f>'[6]price list MAN'!S275</f>
        <v>1425000</v>
      </c>
      <c r="N275" s="174">
        <f>'[6]price list MAN'!Y275</f>
        <v>1065750</v>
      </c>
      <c r="O275" s="174">
        <f>'[6]price list MAN'!AA275</f>
        <v>1015000</v>
      </c>
      <c r="P275" s="68">
        <f t="shared" si="21"/>
        <v>0.28771929824561404</v>
      </c>
      <c r="Q275" s="62" t="e">
        <f>O275-#REF!</f>
        <v>#REF!</v>
      </c>
      <c r="W275" s="210"/>
      <c r="X275" s="210"/>
      <c r="Y275" s="210"/>
      <c r="Z275" s="210"/>
      <c r="AA275" s="210"/>
      <c r="AB275" s="210"/>
      <c r="AC275" s="210"/>
      <c r="AT275" s="425" t="str">
        <f t="shared" si="22"/>
        <v>KP0004812017Q315,3</v>
      </c>
      <c r="AU275" s="64" t="str">
        <f t="shared" si="23"/>
        <v>08-2017</v>
      </c>
      <c r="BA275" s="428" t="str">
        <f t="shared" si="24"/>
        <v>WIP - 30 Days</v>
      </c>
    </row>
    <row r="276" spans="1:245">
      <c r="B276" s="36" t="str">
        <f>'[6]price list MAN'!B276</f>
        <v>N64-0836</v>
      </c>
      <c r="C276" s="10" t="str">
        <f>'[6]price list MAN'!C276</f>
        <v>TGM-18-2404X4BB-C-SWA</v>
      </c>
      <c r="D276" s="16" t="str">
        <f>IFERROR(VLOOKUP(C276&amp;"",'[7]Retail Price List'!$A$3:$B$103,2,FALSE),"Special Order")</f>
        <v>KP000481</v>
      </c>
      <c r="E276" s="494" t="str">
        <f>'[6]price list MAN'!E276</f>
        <v>CKD</v>
      </c>
      <c r="F276" s="11" t="str">
        <f>'[6]price list MAN'!F276</f>
        <v>2018-02-23</v>
      </c>
      <c r="G276" s="32">
        <f>'[6]price list MAN'!G276</f>
        <v>14.7</v>
      </c>
      <c r="H276" s="26">
        <f>'[6]price list MAN'!H276</f>
        <v>42947</v>
      </c>
      <c r="I276" s="51" t="str">
        <f t="shared" si="20"/>
        <v>201707Q3</v>
      </c>
      <c r="J276" s="177">
        <f>'[6]price list MAN'!J276</f>
        <v>1400000</v>
      </c>
      <c r="K276" s="177">
        <f>'[6]price list MAN'!P276</f>
        <v>1048950</v>
      </c>
      <c r="L276" s="177">
        <f>'[6]price list MAN'!R276</f>
        <v>999000</v>
      </c>
      <c r="M276" s="174">
        <f>'[6]price list MAN'!S276</f>
        <v>1425000</v>
      </c>
      <c r="N276" s="174">
        <f>'[6]price list MAN'!Y276</f>
        <v>1075200</v>
      </c>
      <c r="O276" s="174">
        <f>'[6]price list MAN'!AA276</f>
        <v>1024000</v>
      </c>
      <c r="P276" s="68">
        <f t="shared" si="21"/>
        <v>0.28140350877192982</v>
      </c>
      <c r="Q276" s="62" t="e">
        <f>O276-#REF!</f>
        <v>#REF!</v>
      </c>
      <c r="W276" s="210"/>
      <c r="X276" s="210"/>
      <c r="Y276" s="210"/>
      <c r="Z276" s="210"/>
      <c r="AA276" s="210"/>
      <c r="AB276" s="210"/>
      <c r="AC276" s="210"/>
      <c r="AT276" s="425" t="str">
        <f t="shared" si="22"/>
        <v>KP000481201707Q314,7</v>
      </c>
      <c r="AU276" s="64" t="str">
        <f t="shared" si="23"/>
        <v>07-2017</v>
      </c>
      <c r="BA276" s="428" t="str">
        <f t="shared" si="24"/>
        <v>WIP - 30 Days</v>
      </c>
    </row>
    <row r="277" spans="1:245">
      <c r="B277" s="36" t="str">
        <f>'[6]price list MAN'!B277</f>
        <v>N64-0837</v>
      </c>
      <c r="C277" s="10" t="str">
        <f>'[6]price list MAN'!C277</f>
        <v>TGM-18-2404X4BB-C-SWA</v>
      </c>
      <c r="D277" s="16" t="str">
        <f>IFERROR(VLOOKUP(C277&amp;"",'[7]Retail Price List'!$A$3:$B$103,2,FALSE),"Special Order")</f>
        <v>KP000481</v>
      </c>
      <c r="E277" s="494" t="str">
        <f>'[6]price list MAN'!E277</f>
        <v>CKD</v>
      </c>
      <c r="F277" s="11" t="str">
        <f>'[6]price list MAN'!F277</f>
        <v>2018-02-23</v>
      </c>
      <c r="G277" s="32">
        <f>'[6]price list MAN'!G277</f>
        <v>14.7</v>
      </c>
      <c r="H277" s="26">
        <f>'[6]price list MAN'!H277</f>
        <v>42947</v>
      </c>
      <c r="I277" s="51" t="str">
        <f t="shared" si="20"/>
        <v>201707Q3</v>
      </c>
      <c r="J277" s="177">
        <f>'[6]price list MAN'!J277</f>
        <v>1400000</v>
      </c>
      <c r="K277" s="177">
        <f>'[6]price list MAN'!P277</f>
        <v>1048950</v>
      </c>
      <c r="L277" s="177">
        <f>'[6]price list MAN'!R277</f>
        <v>999000</v>
      </c>
      <c r="M277" s="174">
        <f>'[6]price list MAN'!S277</f>
        <v>1425000</v>
      </c>
      <c r="N277" s="174">
        <f>'[6]price list MAN'!Y277</f>
        <v>1075200</v>
      </c>
      <c r="O277" s="174">
        <f>'[6]price list MAN'!AA277</f>
        <v>1024000</v>
      </c>
      <c r="P277" s="68">
        <f t="shared" si="21"/>
        <v>0.28140350877192982</v>
      </c>
      <c r="Q277" s="62" t="e">
        <f>O277-#REF!</f>
        <v>#REF!</v>
      </c>
      <c r="W277" s="210"/>
      <c r="X277" s="210"/>
      <c r="Y277" s="210"/>
      <c r="Z277" s="210"/>
      <c r="AA277" s="210"/>
      <c r="AB277" s="210"/>
      <c r="AC277" s="210"/>
      <c r="AT277" s="425" t="str">
        <f t="shared" si="22"/>
        <v>KP000481201707Q314,7</v>
      </c>
      <c r="AU277" s="64" t="str">
        <f t="shared" si="23"/>
        <v>07-2017</v>
      </c>
      <c r="BA277" s="428" t="str">
        <f t="shared" si="24"/>
        <v>WIP - 30 Days</v>
      </c>
    </row>
    <row r="278" spans="1:245">
      <c r="B278" s="36" t="str">
        <f>'[6]price list MAN'!B278</f>
        <v>N64-0838</v>
      </c>
      <c r="C278" s="10" t="str">
        <f>'[6]price list MAN'!C278</f>
        <v>TGM-18-2404X4BB-C-SWA</v>
      </c>
      <c r="D278" s="16" t="str">
        <f>IFERROR(VLOOKUP(C278&amp;"",'[7]Retail Price List'!$A$3:$B$103,2,FALSE),"Special Order")</f>
        <v>KP000481</v>
      </c>
      <c r="E278" s="494" t="str">
        <f>'[6]price list MAN'!E278</f>
        <v>CKD</v>
      </c>
      <c r="F278" s="11" t="str">
        <f>'[6]price list MAN'!F278</f>
        <v>2018-02-27</v>
      </c>
      <c r="G278" s="32">
        <f>'[6]price list MAN'!G278</f>
        <v>15.3</v>
      </c>
      <c r="H278" s="26">
        <f>'[6]price list MAN'!H278</f>
        <v>42978</v>
      </c>
      <c r="I278" s="51" t="str">
        <f t="shared" si="20"/>
        <v>2017Q3</v>
      </c>
      <c r="J278" s="177">
        <f>'[6]price list MAN'!J278</f>
        <v>1400000</v>
      </c>
      <c r="K278" s="177">
        <f>'[6]price list MAN'!P278</f>
        <v>1039500</v>
      </c>
      <c r="L278" s="177">
        <f>'[6]price list MAN'!R278</f>
        <v>990000</v>
      </c>
      <c r="M278" s="174">
        <f>'[6]price list MAN'!S278</f>
        <v>1425000</v>
      </c>
      <c r="N278" s="174">
        <f>'[6]price list MAN'!Y278</f>
        <v>1065750</v>
      </c>
      <c r="O278" s="174">
        <f>'[6]price list MAN'!AA278</f>
        <v>1015000</v>
      </c>
      <c r="P278" s="68">
        <f t="shared" si="21"/>
        <v>0.28771929824561404</v>
      </c>
      <c r="Q278" s="62" t="e">
        <f>O278-#REF!</f>
        <v>#REF!</v>
      </c>
      <c r="W278" s="210"/>
      <c r="X278" s="210"/>
      <c r="Y278" s="210"/>
      <c r="Z278" s="210"/>
      <c r="AA278" s="210"/>
      <c r="AB278" s="210"/>
      <c r="AC278" s="210"/>
      <c r="AT278" s="425" t="str">
        <f t="shared" si="22"/>
        <v>KP0004812017Q315,3</v>
      </c>
      <c r="AU278" s="64" t="str">
        <f t="shared" si="23"/>
        <v>08-2017</v>
      </c>
      <c r="BA278" s="428" t="str">
        <f t="shared" si="24"/>
        <v>WIP - 30 Days</v>
      </c>
    </row>
    <row r="279" spans="1:245" s="4" customFormat="1">
      <c r="A279" s="41"/>
      <c r="B279" s="36" t="str">
        <f>'[6]price list MAN'!B279</f>
        <v>N64-0839</v>
      </c>
      <c r="C279" s="10" t="str">
        <f>'[6]price list MAN'!C279</f>
        <v>TGM-18-2404X4BB-C-SWA</v>
      </c>
      <c r="D279" s="16" t="str">
        <f>IFERROR(VLOOKUP(C279&amp;"",'[7]Retail Price List'!$A$3:$B$103,2,FALSE),"Special Order")</f>
        <v>KP000481</v>
      </c>
      <c r="E279" s="494" t="str">
        <f>'[6]price list MAN'!E279</f>
        <v>CKD</v>
      </c>
      <c r="F279" s="11" t="str">
        <f>'[6]price list MAN'!F279</f>
        <v>2018-02-27</v>
      </c>
      <c r="G279" s="32">
        <f>'[6]price list MAN'!G279</f>
        <v>15.3</v>
      </c>
      <c r="H279" s="26">
        <f>'[6]price list MAN'!H279</f>
        <v>42978</v>
      </c>
      <c r="I279" s="51" t="str">
        <f t="shared" si="20"/>
        <v>2017Q3</v>
      </c>
      <c r="J279" s="177">
        <f>'[6]price list MAN'!J279</f>
        <v>1400000</v>
      </c>
      <c r="K279" s="177">
        <f>'[6]price list MAN'!P279</f>
        <v>1039500</v>
      </c>
      <c r="L279" s="177">
        <f>'[6]price list MAN'!R279</f>
        <v>990000</v>
      </c>
      <c r="M279" s="174">
        <f>'[6]price list MAN'!S279</f>
        <v>1425000</v>
      </c>
      <c r="N279" s="174">
        <f>'[6]price list MAN'!Y279</f>
        <v>1065750</v>
      </c>
      <c r="O279" s="174">
        <f>'[6]price list MAN'!AA279</f>
        <v>1015000</v>
      </c>
      <c r="P279" s="68">
        <f t="shared" si="21"/>
        <v>0.28771929824561404</v>
      </c>
      <c r="Q279" s="62" t="e">
        <f>O279-#REF!</f>
        <v>#REF!</v>
      </c>
      <c r="R279" s="63" t="e">
        <f>SUM(Q256:Q278)/SUM(O256:O278)</f>
        <v>#REF!</v>
      </c>
      <c r="S279" s="64"/>
      <c r="T279" s="64"/>
      <c r="U279" s="64"/>
      <c r="V279" s="64"/>
      <c r="W279" s="210"/>
      <c r="X279" s="210"/>
      <c r="Y279" s="210"/>
      <c r="Z279" s="210"/>
      <c r="AA279" s="210"/>
      <c r="AB279" s="210"/>
      <c r="AC279" s="210"/>
      <c r="AD279" s="54"/>
      <c r="AE279" s="54"/>
      <c r="AF279" s="54"/>
      <c r="AG279" s="5"/>
      <c r="AH279" s="5"/>
      <c r="AI279" s="5"/>
      <c r="AJ279" s="5"/>
      <c r="AK279" s="5"/>
      <c r="AL279" s="5"/>
      <c r="AM279" s="5"/>
      <c r="AN279" s="5"/>
      <c r="AO279" s="5"/>
      <c r="AP279" s="5"/>
      <c r="AQ279" s="5"/>
      <c r="AR279" s="5"/>
      <c r="AS279" s="5"/>
      <c r="AT279" s="425" t="str">
        <f t="shared" si="22"/>
        <v>KP0004812017Q315,3</v>
      </c>
      <c r="AU279" s="64" t="str">
        <f t="shared" si="23"/>
        <v>08-2017</v>
      </c>
      <c r="AV279" s="64"/>
      <c r="AW279" s="64"/>
      <c r="AX279" s="64"/>
      <c r="AY279" s="64"/>
      <c r="AZ279" s="64"/>
      <c r="BA279" s="428" t="str">
        <f t="shared" si="24"/>
        <v>WIP - 30 Days</v>
      </c>
      <c r="BB279" s="169"/>
      <c r="BC279" s="169"/>
      <c r="BD279" s="169"/>
      <c r="BE279" s="41"/>
      <c r="BF279" s="41"/>
      <c r="BG279" s="41"/>
      <c r="BH279" s="41"/>
      <c r="BI279" s="41"/>
      <c r="BJ279" s="41"/>
      <c r="BK279" s="41"/>
      <c r="BL279" s="41"/>
      <c r="BM279" s="41"/>
      <c r="BN279" s="41"/>
      <c r="BO279" s="41"/>
      <c r="BP279" s="41"/>
      <c r="BQ279" s="41"/>
      <c r="BR279" s="41"/>
      <c r="BS279" s="41"/>
      <c r="BT279" s="41"/>
      <c r="BU279" s="41"/>
      <c r="BV279" s="41"/>
      <c r="BW279" s="41"/>
      <c r="BX279" s="41"/>
      <c r="BY279" s="41"/>
      <c r="BZ279" s="41"/>
      <c r="CA279" s="41"/>
      <c r="CB279" s="41"/>
      <c r="CC279" s="41"/>
      <c r="CD279" s="41"/>
      <c r="CE279" s="41"/>
      <c r="CF279" s="41"/>
      <c r="CG279" s="41"/>
      <c r="CH279" s="41"/>
      <c r="CI279" s="41"/>
      <c r="CJ279" s="41"/>
      <c r="CK279" s="41"/>
      <c r="CL279" s="41"/>
      <c r="CM279" s="41"/>
      <c r="CN279" s="41"/>
      <c r="CO279" s="41"/>
      <c r="CP279" s="41"/>
      <c r="CQ279" s="41"/>
      <c r="CR279" s="41"/>
      <c r="CS279" s="41"/>
      <c r="CT279" s="41"/>
      <c r="CU279" s="41"/>
      <c r="CV279" s="41"/>
      <c r="CW279" s="41"/>
      <c r="CX279" s="41"/>
      <c r="CY279" s="41"/>
      <c r="CZ279" s="41"/>
      <c r="DA279" s="41"/>
      <c r="DB279" s="41"/>
      <c r="DC279" s="41"/>
      <c r="DD279" s="41"/>
      <c r="DE279" s="41"/>
      <c r="DF279" s="41"/>
      <c r="DG279" s="41"/>
      <c r="DH279" s="41"/>
      <c r="DI279" s="41"/>
      <c r="DJ279" s="41"/>
      <c r="DK279" s="41"/>
      <c r="DL279" s="41"/>
      <c r="DM279" s="41"/>
      <c r="DN279" s="41"/>
      <c r="DO279" s="41"/>
      <c r="DP279" s="41"/>
      <c r="DQ279" s="41"/>
      <c r="DR279" s="41"/>
      <c r="DS279" s="41"/>
      <c r="DT279" s="41"/>
      <c r="DU279" s="41"/>
      <c r="DV279" s="41"/>
      <c r="DW279" s="41"/>
      <c r="DX279" s="41"/>
      <c r="DY279" s="41"/>
      <c r="DZ279" s="41"/>
      <c r="EA279" s="41"/>
      <c r="EB279" s="41"/>
      <c r="EC279" s="41"/>
      <c r="ED279" s="41"/>
      <c r="EE279" s="41"/>
      <c r="EF279" s="41"/>
      <c r="EG279" s="41"/>
      <c r="EH279" s="41"/>
      <c r="EI279" s="41"/>
      <c r="EJ279" s="41"/>
      <c r="EK279" s="41"/>
      <c r="EL279" s="41"/>
      <c r="EM279" s="41"/>
      <c r="EN279" s="41"/>
      <c r="EO279" s="41"/>
      <c r="EP279" s="41"/>
      <c r="EQ279" s="41"/>
      <c r="ER279" s="41"/>
      <c r="ES279" s="41"/>
      <c r="ET279" s="41"/>
      <c r="EU279" s="41"/>
      <c r="EV279" s="41"/>
      <c r="EW279" s="41"/>
      <c r="EX279" s="41"/>
      <c r="EY279" s="41"/>
      <c r="EZ279" s="41"/>
      <c r="FA279" s="41"/>
      <c r="FB279" s="41"/>
      <c r="FC279" s="41"/>
      <c r="FD279" s="41"/>
      <c r="FE279" s="41"/>
      <c r="FF279" s="41"/>
      <c r="FG279" s="41"/>
      <c r="FH279" s="41"/>
      <c r="FI279" s="41"/>
      <c r="FJ279" s="41"/>
      <c r="FK279" s="41"/>
      <c r="FL279" s="41"/>
      <c r="FM279" s="41"/>
      <c r="FN279" s="41"/>
      <c r="FO279" s="41"/>
      <c r="FP279" s="41"/>
      <c r="FQ279" s="41"/>
      <c r="FR279" s="41"/>
      <c r="FS279" s="41"/>
      <c r="FT279" s="41"/>
      <c r="FU279" s="41"/>
      <c r="FV279" s="41"/>
      <c r="FW279" s="41"/>
      <c r="FX279" s="41"/>
      <c r="FY279" s="41"/>
      <c r="FZ279" s="41"/>
      <c r="GA279" s="41"/>
      <c r="GB279" s="41"/>
      <c r="GC279" s="41"/>
      <c r="GD279" s="41"/>
      <c r="GE279" s="41"/>
      <c r="GF279" s="41"/>
      <c r="GG279" s="41"/>
      <c r="GH279" s="41"/>
      <c r="GI279" s="41"/>
      <c r="GJ279" s="41"/>
      <c r="GK279" s="41"/>
      <c r="GL279" s="41"/>
      <c r="GM279" s="41"/>
      <c r="GN279" s="41"/>
      <c r="GO279" s="41"/>
      <c r="GP279" s="41"/>
      <c r="GQ279" s="41"/>
      <c r="GR279" s="41"/>
      <c r="GS279" s="41"/>
      <c r="GT279" s="41"/>
      <c r="GU279" s="41"/>
      <c r="GV279" s="41"/>
      <c r="GW279" s="41"/>
      <c r="GX279" s="41"/>
      <c r="GY279" s="41"/>
      <c r="GZ279" s="41"/>
      <c r="HA279" s="41"/>
      <c r="HB279" s="41"/>
      <c r="HC279" s="41"/>
      <c r="HD279" s="41"/>
      <c r="HE279" s="41"/>
      <c r="HF279" s="41"/>
      <c r="HG279" s="41"/>
      <c r="HH279" s="41"/>
      <c r="HI279" s="41"/>
      <c r="HJ279" s="41"/>
      <c r="HK279" s="41"/>
      <c r="HL279" s="41"/>
      <c r="HM279" s="41"/>
      <c r="HN279" s="41"/>
      <c r="HO279" s="41"/>
      <c r="HP279" s="41"/>
      <c r="HQ279" s="41"/>
      <c r="HR279" s="41"/>
      <c r="HS279" s="41"/>
      <c r="HT279" s="41"/>
      <c r="HU279" s="41"/>
      <c r="HV279" s="41"/>
      <c r="HW279" s="41"/>
      <c r="HX279" s="41"/>
      <c r="HY279" s="41"/>
      <c r="HZ279" s="41"/>
      <c r="IA279" s="41"/>
      <c r="IB279" s="41"/>
      <c r="IC279" s="41"/>
      <c r="ID279" s="41"/>
      <c r="IE279" s="41"/>
      <c r="IF279" s="41"/>
      <c r="IG279" s="41"/>
      <c r="IH279" s="41"/>
      <c r="II279" s="41"/>
      <c r="IJ279" s="41"/>
      <c r="IK279" s="41"/>
    </row>
    <row r="280" spans="1:245">
      <c r="B280" s="36" t="str">
        <f>'[6]price list MAN'!B280</f>
        <v>N64-0870</v>
      </c>
      <c r="C280" s="10" t="str">
        <f>'[6]price list MAN'!C280</f>
        <v>TGM-18-2404X4BB-C-SWA</v>
      </c>
      <c r="D280" s="16" t="str">
        <f>IFERROR(VLOOKUP(C280&amp;"",'[7]Retail Price List'!$A$3:$B$103,2,FALSE),"Special Order")</f>
        <v>KP000481</v>
      </c>
      <c r="E280" s="494" t="str">
        <f>'[6]price list MAN'!E280</f>
        <v>CKD</v>
      </c>
      <c r="F280" s="11" t="str">
        <f>'[6]price list MAN'!F280</f>
        <v>2018-03-30</v>
      </c>
      <c r="G280" s="32">
        <f>'[6]price list MAN'!G280</f>
        <v>15.3</v>
      </c>
      <c r="H280" s="26">
        <f>'[6]price list MAN'!H280</f>
        <v>42978</v>
      </c>
      <c r="I280" s="51" t="str">
        <f t="shared" si="20"/>
        <v>2017Q3</v>
      </c>
      <c r="J280" s="177">
        <f>'[6]price list MAN'!J280</f>
        <v>1400000</v>
      </c>
      <c r="K280" s="177">
        <f>'[6]price list MAN'!P280</f>
        <v>1048950</v>
      </c>
      <c r="L280" s="177">
        <f>'[6]price list MAN'!R280</f>
        <v>999000</v>
      </c>
      <c r="M280" s="174">
        <f>'[6]price list MAN'!S280</f>
        <v>1425000</v>
      </c>
      <c r="N280" s="174">
        <f>'[6]price list MAN'!Y280</f>
        <v>1075200</v>
      </c>
      <c r="O280" s="174">
        <f>'[6]price list MAN'!AA280</f>
        <v>1024000</v>
      </c>
      <c r="P280" s="68">
        <f t="shared" si="21"/>
        <v>0.28140350877192982</v>
      </c>
      <c r="Q280" s="62" t="e">
        <f>O280-#REF!</f>
        <v>#REF!</v>
      </c>
      <c r="W280" s="210"/>
      <c r="X280" s="210"/>
      <c r="Y280" s="210"/>
      <c r="Z280" s="210"/>
      <c r="AA280" s="210"/>
      <c r="AB280" s="210"/>
      <c r="AC280" s="210"/>
      <c r="AT280" s="425" t="str">
        <f t="shared" si="22"/>
        <v>KP0004812017Q315,3</v>
      </c>
      <c r="AU280" s="64" t="str">
        <f t="shared" si="23"/>
        <v>08-2017</v>
      </c>
      <c r="BA280" s="428" t="str">
        <f t="shared" si="24"/>
        <v>WIP - 30 Days</v>
      </c>
    </row>
    <row r="281" spans="1:245">
      <c r="B281" s="36" t="str">
        <f>'[6]price list MAN'!B281</f>
        <v>N64-0875</v>
      </c>
      <c r="C281" s="10" t="str">
        <f>'[6]price list MAN'!C281</f>
        <v>TGM-18-2404X4BB-C-SWA</v>
      </c>
      <c r="D281" s="16" t="str">
        <f>IFERROR(VLOOKUP(C281&amp;"",'[7]Retail Price List'!$A$3:$B$103,2,FALSE),"Special Order")</f>
        <v>KP000481</v>
      </c>
      <c r="E281" s="494" t="str">
        <f>'[6]price list MAN'!E281</f>
        <v>CKD</v>
      </c>
      <c r="F281" s="11" t="str">
        <f>'[6]price list MAN'!F281</f>
        <v>2018-03-30</v>
      </c>
      <c r="G281" s="32">
        <f>'[6]price list MAN'!G281</f>
        <v>15.3</v>
      </c>
      <c r="H281" s="26">
        <f>'[6]price list MAN'!H281</f>
        <v>42978</v>
      </c>
      <c r="I281" s="51" t="str">
        <f t="shared" si="20"/>
        <v>2017Q3</v>
      </c>
      <c r="J281" s="177">
        <f>'[6]price list MAN'!J281</f>
        <v>1400000</v>
      </c>
      <c r="K281" s="177">
        <f>'[6]price list MAN'!P281</f>
        <v>1048950</v>
      </c>
      <c r="L281" s="177">
        <f>'[6]price list MAN'!R281</f>
        <v>999000</v>
      </c>
      <c r="M281" s="174">
        <f>'[6]price list MAN'!S281</f>
        <v>1425000</v>
      </c>
      <c r="N281" s="174">
        <f>'[6]price list MAN'!Y281</f>
        <v>1075200</v>
      </c>
      <c r="O281" s="174">
        <f>'[6]price list MAN'!AA281</f>
        <v>1024000</v>
      </c>
      <c r="P281" s="68">
        <f t="shared" si="21"/>
        <v>0.28140350877192982</v>
      </c>
      <c r="Q281" s="62" t="e">
        <f>O281-#REF!</f>
        <v>#REF!</v>
      </c>
      <c r="W281" s="210"/>
      <c r="X281" s="210"/>
      <c r="Y281" s="210"/>
      <c r="Z281" s="210"/>
      <c r="AA281" s="210"/>
      <c r="AB281" s="210"/>
      <c r="AC281" s="210"/>
      <c r="AT281" s="425" t="str">
        <f t="shared" si="22"/>
        <v>KP0004812017Q315,3</v>
      </c>
      <c r="AU281" s="64" t="str">
        <f t="shared" si="23"/>
        <v>08-2017</v>
      </c>
      <c r="BA281" s="428" t="str">
        <f t="shared" si="24"/>
        <v>WIP - 30 Days</v>
      </c>
    </row>
    <row r="282" spans="1:245">
      <c r="B282" s="36" t="str">
        <f>'[6]price list MAN'!B282</f>
        <v>N64-0884</v>
      </c>
      <c r="C282" s="10" t="str">
        <f>'[6]price list MAN'!C282</f>
        <v>TGM-18-2404X4BB-C-SWA</v>
      </c>
      <c r="D282" s="16" t="str">
        <f>IFERROR(VLOOKUP(C282&amp;"",'[7]Retail Price List'!$A$3:$B$103,2,FALSE),"Special Order")</f>
        <v>KP000481</v>
      </c>
      <c r="E282" s="494" t="str">
        <f>'[6]price list MAN'!E282</f>
        <v>SOLD</v>
      </c>
      <c r="F282" s="11">
        <f>'[6]price list MAN'!F282</f>
        <v>17</v>
      </c>
      <c r="G282" s="32">
        <f>'[6]price list MAN'!G282</f>
        <v>14.7</v>
      </c>
      <c r="H282" s="26">
        <f>'[6]price list MAN'!H282</f>
        <v>42937</v>
      </c>
      <c r="I282" s="51" t="str">
        <f t="shared" si="20"/>
        <v>201707Q3</v>
      </c>
      <c r="J282" s="177">
        <f>'[6]price list MAN'!J282</f>
        <v>1400000</v>
      </c>
      <c r="K282" s="177">
        <f>'[6]price list MAN'!P282</f>
        <v>1048950</v>
      </c>
      <c r="L282" s="177">
        <f>'[6]price list MAN'!R282</f>
        <v>999000</v>
      </c>
      <c r="M282" s="174">
        <f>'[6]price list MAN'!S282</f>
        <v>1425000</v>
      </c>
      <c r="N282" s="174">
        <f>'[6]price list MAN'!Y282</f>
        <v>1075200</v>
      </c>
      <c r="O282" s="174">
        <f>'[6]price list MAN'!AA282</f>
        <v>1024000</v>
      </c>
      <c r="P282" s="68">
        <f t="shared" si="21"/>
        <v>0.28140350877192982</v>
      </c>
      <c r="Q282" s="62" t="e">
        <f>O282-#REF!</f>
        <v>#REF!</v>
      </c>
      <c r="W282" s="210"/>
      <c r="X282" s="210"/>
      <c r="Y282" s="210"/>
      <c r="Z282" s="210"/>
      <c r="AA282" s="210"/>
      <c r="AB282" s="210"/>
      <c r="AC282" s="210"/>
      <c r="AT282" s="425" t="str">
        <f t="shared" si="22"/>
        <v>KP000481201707Q314,7</v>
      </c>
      <c r="AU282" s="64" t="str">
        <f t="shared" si="23"/>
        <v>07-2017</v>
      </c>
      <c r="BA282" s="428" t="str">
        <f t="shared" si="24"/>
        <v>WIP - 30 Days</v>
      </c>
    </row>
    <row r="283" spans="1:245">
      <c r="B283" s="36" t="str">
        <f>'[6]price list MAN'!B283</f>
        <v>N64-0885</v>
      </c>
      <c r="C283" s="10" t="str">
        <f>'[6]price list MAN'!C283</f>
        <v>TGM-18-2404X4BB-C-SWA</v>
      </c>
      <c r="D283" s="16" t="str">
        <f>IFERROR(VLOOKUP(C283&amp;"",'[7]Retail Price List'!$A$3:$B$103,2,FALSE),"Special Order")</f>
        <v>KP000481</v>
      </c>
      <c r="E283" s="494" t="str">
        <f>'[6]price list MAN'!E283</f>
        <v>SOLD</v>
      </c>
      <c r="F283" s="11">
        <f>'[6]price list MAN'!F283</f>
        <v>15</v>
      </c>
      <c r="G283" s="32">
        <f>'[6]price list MAN'!G283</f>
        <v>14.7</v>
      </c>
      <c r="H283" s="26">
        <f>'[6]price list MAN'!H283</f>
        <v>42937</v>
      </c>
      <c r="I283" s="51" t="str">
        <f t="shared" si="20"/>
        <v>201707Q3</v>
      </c>
      <c r="J283" s="177">
        <f>'[6]price list MAN'!J283</f>
        <v>1400000</v>
      </c>
      <c r="K283" s="177">
        <f>'[6]price list MAN'!P283</f>
        <v>1048950</v>
      </c>
      <c r="L283" s="177">
        <f>'[6]price list MAN'!R283</f>
        <v>999000</v>
      </c>
      <c r="M283" s="174">
        <f>'[6]price list MAN'!S283</f>
        <v>1425000</v>
      </c>
      <c r="N283" s="174">
        <f>'[6]price list MAN'!Y283</f>
        <v>1075200</v>
      </c>
      <c r="O283" s="174">
        <f>'[6]price list MAN'!AA283</f>
        <v>1024000</v>
      </c>
      <c r="P283" s="68">
        <f t="shared" si="21"/>
        <v>0.28140350877192982</v>
      </c>
      <c r="Q283" s="62" t="e">
        <f>O283-#REF!</f>
        <v>#REF!</v>
      </c>
      <c r="W283" s="210"/>
      <c r="X283" s="210"/>
      <c r="Y283" s="210"/>
      <c r="Z283" s="210"/>
      <c r="AA283" s="210"/>
      <c r="AB283" s="210"/>
      <c r="AC283" s="210"/>
      <c r="AT283" s="425" t="str">
        <f t="shared" si="22"/>
        <v>KP000481201707Q314,7</v>
      </c>
      <c r="AU283" s="64" t="str">
        <f t="shared" si="23"/>
        <v>07-2017</v>
      </c>
      <c r="BA283" s="428" t="str">
        <f t="shared" si="24"/>
        <v>WIP - 30 Days</v>
      </c>
    </row>
    <row r="284" spans="1:245">
      <c r="B284" s="36" t="str">
        <f>'[6]price list MAN'!B284</f>
        <v>N64-0886</v>
      </c>
      <c r="C284" s="10" t="str">
        <f>'[6]price list MAN'!C284</f>
        <v>TGM-18-2404X4BB-C-SWA</v>
      </c>
      <c r="D284" s="16" t="str">
        <f>IFERROR(VLOOKUP(C284&amp;"",'[7]Retail Price List'!$A$3:$B$103,2,FALSE),"Special Order")</f>
        <v>KP000481</v>
      </c>
      <c r="E284" s="494" t="str">
        <f>'[6]price list MAN'!E284</f>
        <v>SOLD</v>
      </c>
      <c r="F284" s="11">
        <f>'[6]price list MAN'!F284</f>
        <v>12</v>
      </c>
      <c r="G284" s="32">
        <f>'[6]price list MAN'!G284</f>
        <v>14.7</v>
      </c>
      <c r="H284" s="26">
        <f>'[6]price list MAN'!H284</f>
        <v>42937</v>
      </c>
      <c r="I284" s="51" t="str">
        <f t="shared" si="20"/>
        <v>201707Q3</v>
      </c>
      <c r="J284" s="177">
        <f>'[6]price list MAN'!J284</f>
        <v>1400000</v>
      </c>
      <c r="K284" s="177">
        <f>'[6]price list MAN'!P284</f>
        <v>1048950</v>
      </c>
      <c r="L284" s="177">
        <f>'[6]price list MAN'!R284</f>
        <v>999000</v>
      </c>
      <c r="M284" s="174">
        <f>'[6]price list MAN'!S284</f>
        <v>1425000</v>
      </c>
      <c r="N284" s="174">
        <f>'[6]price list MAN'!Y284</f>
        <v>1075200</v>
      </c>
      <c r="O284" s="174">
        <f>'[6]price list MAN'!AA284</f>
        <v>1024000</v>
      </c>
      <c r="P284" s="68">
        <f t="shared" si="21"/>
        <v>0.28140350877192982</v>
      </c>
      <c r="Q284" s="62" t="e">
        <f>O284-#REF!</f>
        <v>#REF!</v>
      </c>
      <c r="S284" s="62"/>
      <c r="W284" s="210"/>
      <c r="X284" s="210"/>
      <c r="Y284" s="210"/>
      <c r="Z284" s="210"/>
      <c r="AA284" s="210"/>
      <c r="AB284" s="210"/>
      <c r="AC284" s="210"/>
      <c r="AT284" s="425" t="str">
        <f t="shared" si="22"/>
        <v>KP000481201707Q314,7</v>
      </c>
      <c r="AU284" s="64" t="str">
        <f t="shared" si="23"/>
        <v>07-2017</v>
      </c>
      <c r="BA284" s="428" t="str">
        <f t="shared" si="24"/>
        <v>WIP - 30 Days</v>
      </c>
    </row>
    <row r="285" spans="1:245">
      <c r="B285" s="36" t="str">
        <f>'[6]price list MAN'!B285</f>
        <v>TBAKP481</v>
      </c>
      <c r="C285" s="10" t="str">
        <f>'[6]price list MAN'!C285</f>
        <v>TGM-18-2404X4BB-C-SWA</v>
      </c>
      <c r="D285" s="16" t="str">
        <f>IFERROR(VLOOKUP(C285&amp;"",'[7]Retail Price List'!$A$3:$B$103,2,FALSE),"Special Order")</f>
        <v>KP000481</v>
      </c>
      <c r="E285" s="494" t="str">
        <f>'[6]price list MAN'!E285</f>
        <v>CKD</v>
      </c>
      <c r="F285" s="11" t="str">
        <f>'[6]price list MAN'!F285</f>
        <v>2018-08-19</v>
      </c>
      <c r="G285" s="32">
        <f>'[6]price list MAN'!G285</f>
        <v>15.8</v>
      </c>
      <c r="H285" s="26">
        <f>'[6]price list MAN'!H285</f>
        <v>43159</v>
      </c>
      <c r="I285" s="51" t="str">
        <f t="shared" si="20"/>
        <v>2018Q1</v>
      </c>
      <c r="J285" s="177">
        <f>'[6]price list MAN'!J285</f>
        <v>1400000</v>
      </c>
      <c r="K285" s="177">
        <f>'[6]price list MAN'!P285</f>
        <v>1048950</v>
      </c>
      <c r="L285" s="177">
        <f>'[6]price list MAN'!R285</f>
        <v>999000</v>
      </c>
      <c r="M285" s="174">
        <f>'[6]price list MAN'!S285</f>
        <v>1425000</v>
      </c>
      <c r="N285" s="174">
        <f>'[6]price list MAN'!Y285</f>
        <v>1075200</v>
      </c>
      <c r="O285" s="174">
        <f>'[6]price list MAN'!AA285</f>
        <v>1024000</v>
      </c>
      <c r="P285" s="68">
        <f t="shared" si="21"/>
        <v>0.28140350877192982</v>
      </c>
      <c r="Q285" s="62" t="e">
        <f>O285-#REF!</f>
        <v>#REF!</v>
      </c>
      <c r="W285" s="210"/>
      <c r="X285" s="210"/>
      <c r="Y285" s="210"/>
      <c r="Z285" s="210"/>
      <c r="AA285" s="210"/>
      <c r="AB285" s="210"/>
      <c r="AC285" s="210"/>
      <c r="AT285" s="425" t="str">
        <f t="shared" si="22"/>
        <v>KP0004812018Q115,8</v>
      </c>
      <c r="AU285" s="64" t="str">
        <f t="shared" si="23"/>
        <v>02-2018</v>
      </c>
      <c r="BA285" s="428" t="str">
        <f t="shared" si="24"/>
        <v>WIP - 30 Days</v>
      </c>
    </row>
    <row r="286" spans="1:245">
      <c r="B286" s="36" t="str">
        <f>'[6]price list MAN'!B286</f>
        <v>N38-B450</v>
      </c>
      <c r="C286" s="10" t="str">
        <f>'[6]price list MAN'!C286</f>
        <v>TGM-18-2404X4BB-DK-DWA</v>
      </c>
      <c r="D286" s="16" t="str">
        <f>IFERROR(VLOOKUP(C286&amp;"",'[7]Retail Price List'!$A$3:$B$103,2,FALSE),"Special Order")</f>
        <v>TGM000M4</v>
      </c>
      <c r="E286" s="494" t="str">
        <f>'[6]price list MAN'!E286</f>
        <v>UNSOLD</v>
      </c>
      <c r="F286" s="11">
        <f>'[6]price list MAN'!F286</f>
        <v>383</v>
      </c>
      <c r="G286" s="32">
        <f>'[6]price list MAN'!G286</f>
        <v>16</v>
      </c>
      <c r="H286" s="26">
        <f>'[6]price list MAN'!H286</f>
        <v>42626</v>
      </c>
      <c r="I286" s="51" t="str">
        <f t="shared" si="20"/>
        <v>2016Q3</v>
      </c>
      <c r="J286" s="177">
        <f>'[6]price list MAN'!J286</f>
        <v>1360000</v>
      </c>
      <c r="K286" s="177">
        <f>'[6]price list MAN'!P286</f>
        <v>1144500</v>
      </c>
      <c r="L286" s="177">
        <f>'[6]price list MAN'!R286</f>
        <v>1090000</v>
      </c>
      <c r="M286" s="174">
        <f>'[6]price list MAN'!S286</f>
        <v>1385000</v>
      </c>
      <c r="N286" s="174">
        <f>'[6]price list MAN'!Y286</f>
        <v>1170750</v>
      </c>
      <c r="O286" s="174">
        <f>'[6]price list MAN'!AA286</f>
        <v>1115000</v>
      </c>
      <c r="P286" s="68">
        <f t="shared" si="21"/>
        <v>0.19494584837545126</v>
      </c>
      <c r="Q286" s="62" t="e">
        <f>O286-#REF!</f>
        <v>#REF!</v>
      </c>
      <c r="W286" s="210"/>
      <c r="X286" s="210"/>
      <c r="Y286" s="210"/>
      <c r="Z286" s="210"/>
      <c r="AA286" s="210"/>
      <c r="AB286" s="210"/>
      <c r="AC286" s="210"/>
      <c r="AT286" s="425" t="str">
        <f t="shared" si="22"/>
        <v>TGM000M42016Q316</v>
      </c>
      <c r="AU286" s="64" t="str">
        <f t="shared" si="23"/>
        <v>09-2016</v>
      </c>
      <c r="BA286" s="428" t="str">
        <f t="shared" si="24"/>
        <v>&gt;365 Days</v>
      </c>
    </row>
    <row r="287" spans="1:245">
      <c r="B287" s="36" t="str">
        <f>'[6]price list MAN'!B287</f>
        <v>TBATG0M4</v>
      </c>
      <c r="C287" s="10" t="str">
        <f>'[6]price list MAN'!C287</f>
        <v>TGM-18-2404X4BB-DK-DWA</v>
      </c>
      <c r="D287" s="16" t="str">
        <f>IFERROR(VLOOKUP(C287&amp;"",'[7]Retail Price List'!$A$3:$B$103,2,FALSE),"Special Order")</f>
        <v>TGM000M4</v>
      </c>
      <c r="E287" s="494" t="str">
        <f>'[6]price list MAN'!E287</f>
        <v>CKD</v>
      </c>
      <c r="F287" s="11" t="str">
        <f>'[6]price list MAN'!F287</f>
        <v>2018-06-18</v>
      </c>
      <c r="G287" s="32">
        <f>'[6]price list MAN'!G287</f>
        <v>15.8</v>
      </c>
      <c r="H287" s="26">
        <f>'[6]price list MAN'!H287</f>
        <v>43159</v>
      </c>
      <c r="I287" s="51" t="str">
        <f t="shared" si="20"/>
        <v>2018Q1</v>
      </c>
      <c r="J287" s="177">
        <f>'[6]price list MAN'!J287</f>
        <v>1360000</v>
      </c>
      <c r="K287" s="177">
        <f>'[6]price list MAN'!P287</f>
        <v>1207500</v>
      </c>
      <c r="L287" s="177">
        <f>'[6]price list MAN'!R287</f>
        <v>1150000</v>
      </c>
      <c r="M287" s="174">
        <f>'[6]price list MAN'!S287</f>
        <v>1385000</v>
      </c>
      <c r="N287" s="174">
        <f>'[6]price list MAN'!Y287</f>
        <v>1233750</v>
      </c>
      <c r="O287" s="174">
        <f>'[6]price list MAN'!AA287</f>
        <v>1175000</v>
      </c>
      <c r="P287" s="68">
        <f t="shared" si="21"/>
        <v>0.15162454873646208</v>
      </c>
      <c r="Q287" s="62" t="e">
        <f>O287-#REF!</f>
        <v>#REF!</v>
      </c>
      <c r="W287" s="210"/>
      <c r="X287" s="210"/>
      <c r="Y287" s="210"/>
      <c r="Z287" s="210"/>
      <c r="AA287" s="210"/>
      <c r="AB287" s="210"/>
      <c r="AC287" s="210"/>
      <c r="AT287" s="425" t="str">
        <f t="shared" si="22"/>
        <v>TGM000M42018Q115,8</v>
      </c>
      <c r="AU287" s="64" t="str">
        <f t="shared" si="23"/>
        <v>02-2018</v>
      </c>
      <c r="BA287" s="428" t="str">
        <f t="shared" si="24"/>
        <v>WIP - 30 Days</v>
      </c>
    </row>
    <row r="288" spans="1:245">
      <c r="B288" s="36" t="str">
        <f>'[6]price list MAN'!B288</f>
        <v>N62-0450</v>
      </c>
      <c r="C288" s="10" t="str">
        <f>'[6]price list MAN'!C288</f>
        <v>TGM-18-2804X2BB-C-K</v>
      </c>
      <c r="D288" s="16" t="str">
        <f>IFERROR(VLOOKUP(C288&amp;"",'[7]Retail Price List'!$A$3:$B$103,2,FALSE),"Special Order")</f>
        <v>KP000669</v>
      </c>
      <c r="E288" s="494" t="str">
        <f>'[6]price list MAN'!E288</f>
        <v>SOLD</v>
      </c>
      <c r="F288" s="11">
        <f>'[6]price list MAN'!F288</f>
        <v>6</v>
      </c>
      <c r="G288" s="32">
        <f>'[6]price list MAN'!G288</f>
        <v>15.3</v>
      </c>
      <c r="H288" s="26">
        <f>'[6]price list MAN'!H288</f>
        <v>42978</v>
      </c>
      <c r="I288" s="51" t="str">
        <f t="shared" si="20"/>
        <v>2017Q3</v>
      </c>
      <c r="J288" s="177">
        <f>'[6]price list MAN'!J288</f>
        <v>1040000</v>
      </c>
      <c r="K288" s="177">
        <f>'[6]price list MAN'!P288</f>
        <v>882000</v>
      </c>
      <c r="L288" s="177">
        <f>'[6]price list MAN'!R288</f>
        <v>840000</v>
      </c>
      <c r="M288" s="174">
        <f>'[6]price list MAN'!S288</f>
        <v>1065000</v>
      </c>
      <c r="N288" s="174">
        <f>'[6]price list MAN'!Y288</f>
        <v>908250</v>
      </c>
      <c r="O288" s="174">
        <f>'[6]price list MAN'!AA288</f>
        <v>865000</v>
      </c>
      <c r="P288" s="68">
        <f t="shared" si="21"/>
        <v>0.18779342723004694</v>
      </c>
      <c r="Q288" s="62" t="e">
        <f>O288-#REF!</f>
        <v>#REF!</v>
      </c>
      <c r="W288" s="210"/>
      <c r="X288" s="210"/>
      <c r="Y288" s="210"/>
      <c r="Z288" s="210"/>
      <c r="AA288" s="210"/>
      <c r="AB288" s="210"/>
      <c r="AC288" s="210"/>
      <c r="AT288" s="425" t="str">
        <f t="shared" si="22"/>
        <v>KP0006692017Q315,3</v>
      </c>
      <c r="AU288" s="64" t="str">
        <f t="shared" si="23"/>
        <v>08-2017</v>
      </c>
      <c r="BA288" s="428" t="str">
        <f t="shared" si="24"/>
        <v>WIP - 30 Days</v>
      </c>
    </row>
    <row r="289" spans="1:245" s="4" customFormat="1">
      <c r="A289" s="41"/>
      <c r="B289" s="36" t="str">
        <f>'[6]price list MAN'!B289</f>
        <v>TBAKP669</v>
      </c>
      <c r="C289" s="10" t="str">
        <f>'[6]price list MAN'!C289</f>
        <v>TGM-18-2804X2BB-C-K</v>
      </c>
      <c r="D289" s="16" t="str">
        <f>IFERROR(VLOOKUP(C289&amp;"",'[7]Retail Price List'!$A$3:$B$103,2,FALSE),"Special Order")</f>
        <v>KP000669</v>
      </c>
      <c r="E289" s="494" t="str">
        <f>'[6]price list MAN'!E289</f>
        <v>CKD</v>
      </c>
      <c r="F289" s="11" t="str">
        <f>'[6]price list MAN'!F289</f>
        <v>2018-08-19</v>
      </c>
      <c r="G289" s="32">
        <f>'[6]price list MAN'!G289</f>
        <v>15.8</v>
      </c>
      <c r="H289" s="26">
        <f>'[6]price list MAN'!H289</f>
        <v>43159</v>
      </c>
      <c r="I289" s="51" t="str">
        <f t="shared" si="20"/>
        <v>2018Q1</v>
      </c>
      <c r="J289" s="177">
        <f>'[6]price list MAN'!J289</f>
        <v>1040000</v>
      </c>
      <c r="K289" s="177">
        <f>'[6]price list MAN'!P289</f>
        <v>882000</v>
      </c>
      <c r="L289" s="177">
        <f>'[6]price list MAN'!R289</f>
        <v>840000</v>
      </c>
      <c r="M289" s="174">
        <f>'[6]price list MAN'!S289</f>
        <v>1065000</v>
      </c>
      <c r="N289" s="174">
        <f>'[6]price list MAN'!Y289</f>
        <v>908250</v>
      </c>
      <c r="O289" s="174">
        <f>'[6]price list MAN'!AA289</f>
        <v>865000</v>
      </c>
      <c r="P289" s="68">
        <f t="shared" si="21"/>
        <v>0.18779342723004694</v>
      </c>
      <c r="Q289" s="62" t="e">
        <f>O289-#REF!</f>
        <v>#REF!</v>
      </c>
      <c r="R289" s="63" t="e">
        <f>SUM(Q280:Q288)/SUM(O280:O288)</f>
        <v>#REF!</v>
      </c>
      <c r="S289" s="64"/>
      <c r="T289" s="64"/>
      <c r="U289" s="64"/>
      <c r="V289" s="64"/>
      <c r="W289" s="210"/>
      <c r="X289" s="210"/>
      <c r="Y289" s="210"/>
      <c r="Z289" s="210"/>
      <c r="AA289" s="210"/>
      <c r="AB289" s="210"/>
      <c r="AC289" s="210"/>
      <c r="AD289" s="54"/>
      <c r="AE289" s="54"/>
      <c r="AF289" s="54"/>
      <c r="AG289" s="5"/>
      <c r="AH289" s="5"/>
      <c r="AI289" s="5"/>
      <c r="AJ289" s="5"/>
      <c r="AK289" s="5"/>
      <c r="AL289" s="5"/>
      <c r="AM289" s="5"/>
      <c r="AN289" s="5"/>
      <c r="AO289" s="5"/>
      <c r="AP289" s="5"/>
      <c r="AQ289" s="5"/>
      <c r="AR289" s="5"/>
      <c r="AS289" s="5"/>
      <c r="AT289" s="425" t="str">
        <f t="shared" si="22"/>
        <v>KP0006692018Q115,8</v>
      </c>
      <c r="AU289" s="64" t="str">
        <f t="shared" si="23"/>
        <v>02-2018</v>
      </c>
      <c r="AV289" s="64"/>
      <c r="AW289" s="64"/>
      <c r="AX289" s="64"/>
      <c r="AY289" s="64"/>
      <c r="AZ289" s="64"/>
      <c r="BA289" s="428" t="str">
        <f t="shared" si="24"/>
        <v>WIP - 30 Days</v>
      </c>
      <c r="BB289" s="169"/>
      <c r="BC289" s="169"/>
      <c r="BD289" s="169"/>
      <c r="BE289" s="41"/>
      <c r="BF289" s="41"/>
      <c r="BG289" s="41"/>
      <c r="BH289" s="41"/>
      <c r="BI289" s="41"/>
      <c r="BJ289" s="41"/>
      <c r="BK289" s="41"/>
      <c r="BL289" s="41"/>
      <c r="BM289" s="41"/>
      <c r="BN289" s="41"/>
      <c r="BO289" s="41"/>
      <c r="BP289" s="41"/>
      <c r="BQ289" s="41"/>
      <c r="BR289" s="41"/>
      <c r="BS289" s="41"/>
      <c r="BT289" s="41"/>
      <c r="BU289" s="41"/>
      <c r="BV289" s="41"/>
      <c r="BW289" s="41"/>
      <c r="BX289" s="41"/>
      <c r="BY289" s="41"/>
      <c r="BZ289" s="41"/>
      <c r="CA289" s="41"/>
      <c r="CB289" s="41"/>
      <c r="CC289" s="41"/>
      <c r="CD289" s="41"/>
      <c r="CE289" s="41"/>
      <c r="CF289" s="41"/>
      <c r="CG289" s="41"/>
      <c r="CH289" s="41"/>
      <c r="CI289" s="41"/>
      <c r="CJ289" s="41"/>
      <c r="CK289" s="41"/>
      <c r="CL289" s="41"/>
      <c r="CM289" s="41"/>
      <c r="CN289" s="41"/>
      <c r="CO289" s="41"/>
      <c r="CP289" s="41"/>
      <c r="CQ289" s="41"/>
      <c r="CR289" s="41"/>
      <c r="CS289" s="41"/>
      <c r="CT289" s="41"/>
      <c r="CU289" s="41"/>
      <c r="CV289" s="41"/>
      <c r="CW289" s="41"/>
      <c r="CX289" s="41"/>
      <c r="CY289" s="41"/>
      <c r="CZ289" s="41"/>
      <c r="DA289" s="41"/>
      <c r="DB289" s="41"/>
      <c r="DC289" s="41"/>
      <c r="DD289" s="41"/>
      <c r="DE289" s="41"/>
      <c r="DF289" s="41"/>
      <c r="DG289" s="41"/>
      <c r="DH289" s="41"/>
      <c r="DI289" s="41"/>
      <c r="DJ289" s="41"/>
      <c r="DK289" s="41"/>
      <c r="DL289" s="41"/>
      <c r="DM289" s="41"/>
      <c r="DN289" s="41"/>
      <c r="DO289" s="41"/>
      <c r="DP289" s="41"/>
      <c r="DQ289" s="41"/>
      <c r="DR289" s="41"/>
      <c r="DS289" s="41"/>
      <c r="DT289" s="41"/>
      <c r="DU289" s="41"/>
      <c r="DV289" s="41"/>
      <c r="DW289" s="41"/>
      <c r="DX289" s="41"/>
      <c r="DY289" s="41"/>
      <c r="DZ289" s="41"/>
      <c r="EA289" s="41"/>
      <c r="EB289" s="41"/>
      <c r="EC289" s="41"/>
      <c r="ED289" s="41"/>
      <c r="EE289" s="41"/>
      <c r="EF289" s="41"/>
      <c r="EG289" s="41"/>
      <c r="EH289" s="41"/>
      <c r="EI289" s="41"/>
      <c r="EJ289" s="41"/>
      <c r="EK289" s="41"/>
      <c r="EL289" s="41"/>
      <c r="EM289" s="41"/>
      <c r="EN289" s="41"/>
      <c r="EO289" s="41"/>
      <c r="EP289" s="41"/>
      <c r="EQ289" s="41"/>
      <c r="ER289" s="41"/>
      <c r="ES289" s="41"/>
      <c r="ET289" s="41"/>
      <c r="EU289" s="41"/>
      <c r="EV289" s="41"/>
      <c r="EW289" s="41"/>
      <c r="EX289" s="41"/>
      <c r="EY289" s="41"/>
      <c r="EZ289" s="41"/>
      <c r="FA289" s="41"/>
      <c r="FB289" s="41"/>
      <c r="FC289" s="41"/>
      <c r="FD289" s="41"/>
      <c r="FE289" s="41"/>
      <c r="FF289" s="41"/>
      <c r="FG289" s="41"/>
      <c r="FH289" s="41"/>
      <c r="FI289" s="41"/>
      <c r="FJ289" s="41"/>
      <c r="FK289" s="41"/>
      <c r="FL289" s="41"/>
      <c r="FM289" s="41"/>
      <c r="FN289" s="41"/>
      <c r="FO289" s="41"/>
      <c r="FP289" s="41"/>
      <c r="FQ289" s="41"/>
      <c r="FR289" s="41"/>
      <c r="FS289" s="41"/>
      <c r="FT289" s="41"/>
      <c r="FU289" s="41"/>
      <c r="FV289" s="41"/>
      <c r="FW289" s="41"/>
      <c r="FX289" s="41"/>
      <c r="FY289" s="41"/>
      <c r="FZ289" s="41"/>
      <c r="GA289" s="41"/>
      <c r="GB289" s="41"/>
      <c r="GC289" s="41"/>
      <c r="GD289" s="41"/>
      <c r="GE289" s="41"/>
      <c r="GF289" s="41"/>
      <c r="GG289" s="41"/>
      <c r="GH289" s="41"/>
      <c r="GI289" s="41"/>
      <c r="GJ289" s="41"/>
      <c r="GK289" s="41"/>
      <c r="GL289" s="41"/>
      <c r="GM289" s="41"/>
      <c r="GN289" s="41"/>
      <c r="GO289" s="41"/>
      <c r="GP289" s="41"/>
      <c r="GQ289" s="41"/>
      <c r="GR289" s="41"/>
      <c r="GS289" s="41"/>
      <c r="GT289" s="41"/>
      <c r="GU289" s="41"/>
      <c r="GV289" s="41"/>
      <c r="GW289" s="41"/>
      <c r="GX289" s="41"/>
      <c r="GY289" s="41"/>
      <c r="GZ289" s="41"/>
      <c r="HA289" s="41"/>
      <c r="HB289" s="41"/>
      <c r="HC289" s="41"/>
      <c r="HD289" s="41"/>
      <c r="HE289" s="41"/>
      <c r="HF289" s="41"/>
      <c r="HG289" s="41"/>
      <c r="HH289" s="41"/>
      <c r="HI289" s="41"/>
      <c r="HJ289" s="41"/>
      <c r="HK289" s="41"/>
      <c r="HL289" s="41"/>
      <c r="HM289" s="41"/>
      <c r="HN289" s="41"/>
      <c r="HO289" s="41"/>
      <c r="HP289" s="41"/>
      <c r="HQ289" s="41"/>
      <c r="HR289" s="41"/>
      <c r="HS289" s="41"/>
      <c r="HT289" s="41"/>
      <c r="HU289" s="41"/>
      <c r="HV289" s="41"/>
      <c r="HW289" s="41"/>
      <c r="HX289" s="41"/>
      <c r="HY289" s="41"/>
      <c r="HZ289" s="41"/>
      <c r="IA289" s="41"/>
      <c r="IB289" s="41"/>
      <c r="IC289" s="41"/>
      <c r="ID289" s="41"/>
      <c r="IE289" s="41"/>
      <c r="IF289" s="41"/>
      <c r="IG289" s="41"/>
      <c r="IH289" s="41"/>
      <c r="II289" s="41"/>
      <c r="IJ289" s="41"/>
      <c r="IK289" s="41"/>
    </row>
    <row r="290" spans="1:245">
      <c r="B290" s="36" t="str">
        <f>'[6]price list MAN'!B290</f>
        <v>N08-D419</v>
      </c>
      <c r="C290" s="10" t="str">
        <f>'[6]price list MAN'!C290</f>
        <v>TGM-18-2804X2BB-DK-DWA</v>
      </c>
      <c r="D290" s="16" t="str">
        <f>IFERROR(VLOOKUP(C290&amp;"",'[7]Retail Price List'!$A$3:$B$103,2,FALSE),"Special Order")</f>
        <v>TGM000M3</v>
      </c>
      <c r="E290" s="494" t="str">
        <f>'[6]price list MAN'!E290</f>
        <v>SOLD</v>
      </c>
      <c r="F290" s="11">
        <f>'[6]price list MAN'!F290</f>
        <v>609</v>
      </c>
      <c r="G290" s="32">
        <f>'[6]price list MAN'!G290</f>
        <v>18</v>
      </c>
      <c r="H290" s="26">
        <f>'[6]price list MAN'!H290</f>
        <v>42447</v>
      </c>
      <c r="I290" s="51" t="str">
        <f t="shared" si="20"/>
        <v>2016Q1</v>
      </c>
      <c r="J290" s="177">
        <f>'[6]price list MAN'!J290</f>
        <v>1360000</v>
      </c>
      <c r="K290" s="177">
        <f>'[6]price list MAN'!P290</f>
        <v>1181250</v>
      </c>
      <c r="L290" s="177">
        <f>'[6]price list MAN'!R290</f>
        <v>1125000</v>
      </c>
      <c r="M290" s="174">
        <f>'[6]price list MAN'!S290</f>
        <v>1385000</v>
      </c>
      <c r="N290" s="174">
        <f>'[6]price list MAN'!Y290</f>
        <v>1207500</v>
      </c>
      <c r="O290" s="174">
        <f>'[6]price list MAN'!AA290</f>
        <v>1150000</v>
      </c>
      <c r="P290" s="68">
        <f t="shared" si="21"/>
        <v>0.16967509025270758</v>
      </c>
      <c r="Q290" s="62" t="e">
        <f>O290-#REF!</f>
        <v>#REF!</v>
      </c>
      <c r="S290" s="64" t="s">
        <v>9</v>
      </c>
      <c r="T290" s="64" t="s">
        <v>10</v>
      </c>
      <c r="U290" s="64" t="s">
        <v>11</v>
      </c>
      <c r="W290" s="210"/>
      <c r="X290" s="210"/>
      <c r="Y290" s="210"/>
      <c r="Z290" s="210"/>
      <c r="AA290" s="210"/>
      <c r="AB290" s="210"/>
      <c r="AC290" s="210"/>
      <c r="AT290" s="425" t="str">
        <f t="shared" si="22"/>
        <v>TGM000M32016Q118</v>
      </c>
      <c r="AU290" s="64" t="str">
        <f t="shared" si="23"/>
        <v>03-2016</v>
      </c>
      <c r="BA290" s="428" t="str">
        <f t="shared" si="24"/>
        <v>&gt;365 Days</v>
      </c>
    </row>
    <row r="291" spans="1:245">
      <c r="B291" s="36" t="str">
        <f>'[6]price list MAN'!B291</f>
        <v>N08-D427</v>
      </c>
      <c r="C291" s="10" t="str">
        <f>'[6]price list MAN'!C291</f>
        <v>TGM-18-2804X2BB-DK-DWA</v>
      </c>
      <c r="D291" s="16" t="str">
        <f>IFERROR(VLOOKUP(C291&amp;"",'[7]Retail Price List'!$A$3:$B$103,2,FALSE),"Special Order")</f>
        <v>TGM000M3</v>
      </c>
      <c r="E291" s="494" t="str">
        <f>'[6]price list MAN'!E291</f>
        <v>SOLD</v>
      </c>
      <c r="F291" s="11">
        <f>'[6]price list MAN'!F291</f>
        <v>609</v>
      </c>
      <c r="G291" s="32">
        <f>'[6]price list MAN'!G291</f>
        <v>18</v>
      </c>
      <c r="H291" s="26">
        <f>'[6]price list MAN'!H291</f>
        <v>42447</v>
      </c>
      <c r="I291" s="51" t="str">
        <f t="shared" si="20"/>
        <v>2016Q1</v>
      </c>
      <c r="J291" s="177">
        <f>'[6]price list MAN'!J291</f>
        <v>1360000</v>
      </c>
      <c r="K291" s="177">
        <f>'[6]price list MAN'!P291</f>
        <v>1181250</v>
      </c>
      <c r="L291" s="177">
        <f>'[6]price list MAN'!R291</f>
        <v>1125000</v>
      </c>
      <c r="M291" s="174">
        <f>'[6]price list MAN'!S291</f>
        <v>1385000</v>
      </c>
      <c r="N291" s="174">
        <f>'[6]price list MAN'!Y291</f>
        <v>1207500</v>
      </c>
      <c r="O291" s="174">
        <f>'[6]price list MAN'!AA291</f>
        <v>1150000</v>
      </c>
      <c r="P291" s="68">
        <f t="shared" si="21"/>
        <v>0.16967509025270758</v>
      </c>
      <c r="Q291" s="62" t="e">
        <f>O291-#REF!</f>
        <v>#REF!</v>
      </c>
      <c r="S291" s="64">
        <v>10.5</v>
      </c>
      <c r="T291" s="64">
        <v>-6.2</v>
      </c>
      <c r="U291" s="64">
        <v>2.9</v>
      </c>
      <c r="W291" s="210"/>
      <c r="X291" s="210"/>
      <c r="Y291" s="210"/>
      <c r="Z291" s="210"/>
      <c r="AA291" s="210"/>
      <c r="AB291" s="210"/>
      <c r="AC291" s="210"/>
      <c r="AT291" s="425" t="str">
        <f t="shared" si="22"/>
        <v>TGM000M32016Q118</v>
      </c>
      <c r="AU291" s="64" t="str">
        <f t="shared" si="23"/>
        <v>03-2016</v>
      </c>
      <c r="BA291" s="428" t="str">
        <f t="shared" si="24"/>
        <v>&gt;365 Days</v>
      </c>
    </row>
    <row r="292" spans="1:245">
      <c r="B292" s="36" t="str">
        <f>'[6]price list MAN'!B292</f>
        <v>TBATG0M3</v>
      </c>
      <c r="C292" s="10" t="str">
        <f>'[6]price list MAN'!C292</f>
        <v>TGM-18-2804X2BB-DK-DWA</v>
      </c>
      <c r="D292" s="16" t="str">
        <f>IFERROR(VLOOKUP(C292&amp;"",'[7]Retail Price List'!$A$3:$B$103,2,FALSE),"Special Order")</f>
        <v>TGM000M3</v>
      </c>
      <c r="E292" s="494" t="str">
        <f>'[6]price list MAN'!E292</f>
        <v>CKD</v>
      </c>
      <c r="F292" s="11" t="str">
        <f>'[6]price list MAN'!F292</f>
        <v>2018-06-18</v>
      </c>
      <c r="G292" s="32">
        <f>'[6]price list MAN'!G292</f>
        <v>15.8</v>
      </c>
      <c r="H292" s="26">
        <f>'[6]price list MAN'!H292</f>
        <v>43159</v>
      </c>
      <c r="I292" s="51" t="str">
        <f t="shared" si="20"/>
        <v>2018Q1</v>
      </c>
      <c r="J292" s="177">
        <f>'[6]price list MAN'!J292</f>
        <v>1360000</v>
      </c>
      <c r="K292" s="177">
        <f>'[6]price list MAN'!P292</f>
        <v>1181250</v>
      </c>
      <c r="L292" s="177">
        <f>'[6]price list MAN'!R292</f>
        <v>1125000</v>
      </c>
      <c r="M292" s="174">
        <f>'[6]price list MAN'!S292</f>
        <v>1385000</v>
      </c>
      <c r="N292" s="174">
        <f>'[6]price list MAN'!Y292</f>
        <v>1207500</v>
      </c>
      <c r="O292" s="174">
        <f>'[6]price list MAN'!AA292</f>
        <v>1150000</v>
      </c>
      <c r="P292" s="68">
        <f t="shared" si="21"/>
        <v>0.16967509025270758</v>
      </c>
      <c r="Q292" s="62" t="e">
        <f>O292-#REF!</f>
        <v>#REF!</v>
      </c>
      <c r="S292" s="64">
        <v>-1.6</v>
      </c>
      <c r="T292" s="64">
        <v>-1.6</v>
      </c>
      <c r="U292" s="64">
        <v>-1.6</v>
      </c>
      <c r="W292" s="210"/>
      <c r="X292" s="210"/>
      <c r="Y292" s="210"/>
      <c r="Z292" s="210"/>
      <c r="AA292" s="210"/>
      <c r="AB292" s="210"/>
      <c r="AC292" s="210"/>
      <c r="AT292" s="425" t="str">
        <f t="shared" si="22"/>
        <v>TGM000M32018Q115,8</v>
      </c>
      <c r="AU292" s="64" t="str">
        <f t="shared" si="23"/>
        <v>02-2018</v>
      </c>
      <c r="BA292" s="428" t="str">
        <f t="shared" si="24"/>
        <v>WIP - 30 Days</v>
      </c>
    </row>
    <row r="293" spans="1:245">
      <c r="B293" s="36">
        <f>'[6]price list MAN'!B293</f>
        <v>49060</v>
      </c>
      <c r="C293" s="10" t="str">
        <f>'[6]price list MAN'!C293</f>
        <v>TGM-18-2804X2BB-L</v>
      </c>
      <c r="D293" s="16" t="str">
        <f>IFERROR(VLOOKUP(C293&amp;"",'[7]Retail Price List'!$A$3:$B$103,2,FALSE),"Special Order")</f>
        <v>KP000404</v>
      </c>
      <c r="E293" s="494" t="str">
        <f>'[6]price list MAN'!E293</f>
        <v>CKD</v>
      </c>
      <c r="F293" s="11" t="str">
        <f>'[6]price list MAN'!F293</f>
        <v>2018-03-30</v>
      </c>
      <c r="G293" s="32">
        <f>'[6]price list MAN'!G293</f>
        <v>15.9</v>
      </c>
      <c r="H293" s="26">
        <f>'[6]price list MAN'!H293</f>
        <v>43069</v>
      </c>
      <c r="I293" s="51" t="str">
        <f t="shared" si="20"/>
        <v>2017Q4</v>
      </c>
      <c r="J293" s="177">
        <f>'[6]price list MAN'!J293</f>
        <v>1130000</v>
      </c>
      <c r="K293" s="177">
        <f>'[6]price list MAN'!P293</f>
        <v>918750</v>
      </c>
      <c r="L293" s="177">
        <f>'[6]price list MAN'!R293</f>
        <v>875000</v>
      </c>
      <c r="M293" s="174">
        <f>'[6]price list MAN'!S293</f>
        <v>1155000</v>
      </c>
      <c r="N293" s="174">
        <f>'[6]price list MAN'!Y293</f>
        <v>945000</v>
      </c>
      <c r="O293" s="174">
        <f>'[6]price list MAN'!AA293</f>
        <v>900000</v>
      </c>
      <c r="P293" s="68">
        <f t="shared" si="21"/>
        <v>0.22077922077922077</v>
      </c>
      <c r="Q293" s="62" t="e">
        <f>O293-#REF!</f>
        <v>#REF!</v>
      </c>
      <c r="S293" s="64">
        <f>COUNT(#REF!)</f>
        <v>0</v>
      </c>
      <c r="W293" s="210"/>
      <c r="X293" s="210"/>
      <c r="Y293" s="210"/>
      <c r="Z293" s="210"/>
      <c r="AA293" s="210"/>
      <c r="AB293" s="210"/>
      <c r="AC293" s="210"/>
      <c r="AT293" s="425" t="str">
        <f t="shared" si="22"/>
        <v>KP0004042017Q415,9</v>
      </c>
      <c r="AU293" s="64" t="str">
        <f t="shared" si="23"/>
        <v>11-2017</v>
      </c>
      <c r="BA293" s="428" t="str">
        <f t="shared" si="24"/>
        <v>WIP - 30 Days</v>
      </c>
    </row>
    <row r="294" spans="1:245">
      <c r="B294" s="36" t="str">
        <f>'[6]price list MAN'!B294</f>
        <v>TBAKP404</v>
      </c>
      <c r="C294" s="10" t="str">
        <f>'[6]price list MAN'!C294</f>
        <v>TGM-18-2804X2BB-L</v>
      </c>
      <c r="D294" s="16" t="str">
        <f>IFERROR(VLOOKUP(C294&amp;"",'[7]Retail Price List'!$A$3:$B$103,2,FALSE),"Special Order")</f>
        <v>KP000404</v>
      </c>
      <c r="E294" s="494" t="str">
        <f>'[6]price list MAN'!E294</f>
        <v>CKD</v>
      </c>
      <c r="F294" s="11" t="str">
        <f>'[6]price list MAN'!F294</f>
        <v>2018-08-19</v>
      </c>
      <c r="G294" s="32">
        <f>'[6]price list MAN'!G294</f>
        <v>15.8</v>
      </c>
      <c r="H294" s="26">
        <f>'[6]price list MAN'!H294</f>
        <v>43159</v>
      </c>
      <c r="I294" s="51" t="str">
        <f t="shared" si="20"/>
        <v>2018Q1</v>
      </c>
      <c r="J294" s="177">
        <f>'[6]price list MAN'!J294</f>
        <v>1130000</v>
      </c>
      <c r="K294" s="177">
        <f>'[6]price list MAN'!P294</f>
        <v>918750</v>
      </c>
      <c r="L294" s="177">
        <f>'[6]price list MAN'!R294</f>
        <v>875000</v>
      </c>
      <c r="M294" s="174">
        <f>'[6]price list MAN'!S294</f>
        <v>1155000</v>
      </c>
      <c r="N294" s="174">
        <f>'[6]price list MAN'!Y294</f>
        <v>945000</v>
      </c>
      <c r="O294" s="174">
        <f>'[6]price list MAN'!AA294</f>
        <v>900000</v>
      </c>
      <c r="P294" s="68">
        <f t="shared" si="21"/>
        <v>0.22077922077922077</v>
      </c>
      <c r="Q294" s="62" t="e">
        <f>O294-#REF!</f>
        <v>#REF!</v>
      </c>
      <c r="S294" s="62" t="e">
        <f>+AVERAGE(#REF!)</f>
        <v>#REF!</v>
      </c>
      <c r="W294" s="210"/>
      <c r="X294" s="210"/>
      <c r="Y294" s="210"/>
      <c r="Z294" s="210"/>
      <c r="AA294" s="210"/>
      <c r="AB294" s="210"/>
      <c r="AC294" s="210"/>
      <c r="AT294" s="425" t="str">
        <f t="shared" si="22"/>
        <v>KP0004042018Q115,8</v>
      </c>
      <c r="AU294" s="64" t="str">
        <f t="shared" si="23"/>
        <v>02-2018</v>
      </c>
      <c r="BA294" s="428" t="str">
        <f t="shared" si="24"/>
        <v>WIP - 30 Days</v>
      </c>
    </row>
    <row r="295" spans="1:245">
      <c r="B295" s="36" t="str">
        <f>'[6]price list MAN'!B295</f>
        <v>N38-E047</v>
      </c>
      <c r="C295" s="10" t="str">
        <f>'[6]price list MAN'!C295</f>
        <v>TGM-18-3304X4BB-DK-SWA</v>
      </c>
      <c r="D295" s="16" t="str">
        <f>IFERROR(VLOOKUP(C295&amp;"",'[7]Retail Price List'!$A$3:$B$103,2,FALSE),"Special Order")</f>
        <v>TGM000M2</v>
      </c>
      <c r="E295" s="494" t="str">
        <f>'[6]price list MAN'!E295</f>
        <v>CKD</v>
      </c>
      <c r="F295" s="11" t="str">
        <f>'[6]price list MAN'!F295</f>
        <v>2018-04-30</v>
      </c>
      <c r="G295" s="32">
        <f>'[6]price list MAN'!G295</f>
        <v>15.9</v>
      </c>
      <c r="H295" s="26">
        <f>'[6]price list MAN'!H295</f>
        <v>43059</v>
      </c>
      <c r="I295" s="51" t="str">
        <f t="shared" si="20"/>
        <v>2017Q4</v>
      </c>
      <c r="J295" s="177">
        <f>'[6]price list MAN'!J295</f>
        <v>1995000</v>
      </c>
      <c r="K295" s="177">
        <f>'[6]price list MAN'!P295</f>
        <v>1281000</v>
      </c>
      <c r="L295" s="177">
        <f>'[6]price list MAN'!R295</f>
        <v>1220000</v>
      </c>
      <c r="M295" s="174">
        <f>'[6]price list MAN'!S295</f>
        <v>2075000</v>
      </c>
      <c r="N295" s="174">
        <f>'[6]price list MAN'!Y295</f>
        <v>1365000</v>
      </c>
      <c r="O295" s="174">
        <f>'[6]price list MAN'!AA295</f>
        <v>1300000</v>
      </c>
      <c r="P295" s="68">
        <f t="shared" si="21"/>
        <v>0.37349397590361444</v>
      </c>
      <c r="Q295" s="62" t="e">
        <f>O295-#REF!</f>
        <v>#REF!</v>
      </c>
      <c r="W295" s="210"/>
      <c r="X295" s="210"/>
      <c r="Y295" s="210"/>
      <c r="Z295" s="210"/>
      <c r="AA295" s="210"/>
      <c r="AB295" s="210"/>
      <c r="AC295" s="210"/>
      <c r="AT295" s="425" t="str">
        <f t="shared" si="22"/>
        <v>TGM000M22017Q415,9</v>
      </c>
      <c r="AU295" s="64" t="str">
        <f t="shared" si="23"/>
        <v>11-2017</v>
      </c>
      <c r="BA295" s="428" t="str">
        <f t="shared" si="24"/>
        <v>WIP - 30 Days</v>
      </c>
    </row>
    <row r="296" spans="1:245">
      <c r="B296" s="36" t="str">
        <f>'[6]price list MAN'!B296</f>
        <v>N38-E048</v>
      </c>
      <c r="C296" s="10" t="str">
        <f>'[6]price list MAN'!C296</f>
        <v>TGM-18-3304X4BB-DK-SWA</v>
      </c>
      <c r="D296" s="16" t="str">
        <f>IFERROR(VLOOKUP(C296&amp;"",'[7]Retail Price List'!$A$3:$B$103,2,FALSE),"Special Order")</f>
        <v>TGM000M2</v>
      </c>
      <c r="E296" s="494" t="str">
        <f>'[6]price list MAN'!E296</f>
        <v>CKD</v>
      </c>
      <c r="F296" s="11" t="str">
        <f>'[6]price list MAN'!F296</f>
        <v>2018-04-30</v>
      </c>
      <c r="G296" s="32">
        <f>'[6]price list MAN'!G296</f>
        <v>15.9</v>
      </c>
      <c r="H296" s="26">
        <f>'[6]price list MAN'!H296</f>
        <v>43059</v>
      </c>
      <c r="I296" s="51" t="str">
        <f t="shared" si="20"/>
        <v>2017Q4</v>
      </c>
      <c r="J296" s="177">
        <f>'[6]price list MAN'!J296</f>
        <v>1995000</v>
      </c>
      <c r="K296" s="177">
        <f>'[6]price list MAN'!P296</f>
        <v>1281000</v>
      </c>
      <c r="L296" s="177">
        <f>'[6]price list MAN'!R296</f>
        <v>1220000</v>
      </c>
      <c r="M296" s="174">
        <f>'[6]price list MAN'!S296</f>
        <v>2075000</v>
      </c>
      <c r="N296" s="174">
        <f>'[6]price list MAN'!Y296</f>
        <v>1365000</v>
      </c>
      <c r="O296" s="174">
        <f>'[6]price list MAN'!AA296</f>
        <v>1300000</v>
      </c>
      <c r="P296" s="68">
        <f t="shared" si="21"/>
        <v>0.37349397590361444</v>
      </c>
      <c r="Q296" s="62" t="e">
        <f>O296-#REF!</f>
        <v>#REF!</v>
      </c>
      <c r="W296" s="210"/>
      <c r="X296" s="210"/>
      <c r="Y296" s="210"/>
      <c r="Z296" s="210"/>
      <c r="AA296" s="210"/>
      <c r="AB296" s="210"/>
      <c r="AC296" s="210"/>
      <c r="AT296" s="425" t="str">
        <f t="shared" si="22"/>
        <v>TGM000M22017Q415,9</v>
      </c>
      <c r="AU296" s="64" t="str">
        <f t="shared" si="23"/>
        <v>11-2017</v>
      </c>
      <c r="BA296" s="428" t="str">
        <f t="shared" si="24"/>
        <v>WIP - 30 Days</v>
      </c>
    </row>
    <row r="297" spans="1:245">
      <c r="B297" s="36" t="str">
        <f>'[6]price list MAN'!B297</f>
        <v>TBATG0M2</v>
      </c>
      <c r="C297" s="10" t="str">
        <f>'[6]price list MAN'!C297</f>
        <v>TGM-18-3304X4BB-DK-SWA</v>
      </c>
      <c r="D297" s="16" t="str">
        <f>IFERROR(VLOOKUP(C297&amp;"",'[7]Retail Price List'!$A$3:$B$103,2,FALSE),"Special Order")</f>
        <v>TGM000M2</v>
      </c>
      <c r="E297" s="494" t="str">
        <f>'[6]price list MAN'!E297</f>
        <v>CKD</v>
      </c>
      <c r="F297" s="11" t="str">
        <f>'[6]price list MAN'!F297</f>
        <v>2018-06-18</v>
      </c>
      <c r="G297" s="32">
        <f>'[6]price list MAN'!G297</f>
        <v>15.8</v>
      </c>
      <c r="H297" s="26">
        <f>'[6]price list MAN'!H297</f>
        <v>43159</v>
      </c>
      <c r="I297" s="51" t="str">
        <f t="shared" si="20"/>
        <v>2018Q1</v>
      </c>
      <c r="J297" s="177">
        <f>'[6]price list MAN'!J297</f>
        <v>1995000</v>
      </c>
      <c r="K297" s="177">
        <f>'[6]price list MAN'!P297</f>
        <v>1281000</v>
      </c>
      <c r="L297" s="177">
        <f>'[6]price list MAN'!R297</f>
        <v>1220000</v>
      </c>
      <c r="M297" s="174">
        <f>'[6]price list MAN'!S297</f>
        <v>2075000</v>
      </c>
      <c r="N297" s="174">
        <f>'[6]price list MAN'!Y297</f>
        <v>1365000</v>
      </c>
      <c r="O297" s="174">
        <f>'[6]price list MAN'!AA297</f>
        <v>1300000</v>
      </c>
      <c r="P297" s="68">
        <f t="shared" si="21"/>
        <v>0.37349397590361444</v>
      </c>
      <c r="Q297" s="62" t="e">
        <f>O297-#REF!</f>
        <v>#REF!</v>
      </c>
      <c r="W297" s="210"/>
      <c r="X297" s="210"/>
      <c r="Y297" s="210"/>
      <c r="Z297" s="210"/>
      <c r="AA297" s="210"/>
      <c r="AB297" s="210"/>
      <c r="AC297" s="210"/>
      <c r="AT297" s="425" t="str">
        <f t="shared" si="22"/>
        <v>TGM000M22018Q115,8</v>
      </c>
      <c r="AU297" s="64" t="str">
        <f t="shared" si="23"/>
        <v>02-2018</v>
      </c>
      <c r="BA297" s="428" t="str">
        <f t="shared" si="24"/>
        <v>WIP - 30 Days</v>
      </c>
    </row>
    <row r="298" spans="1:245" s="4" customFormat="1">
      <c r="A298" s="41"/>
      <c r="B298" s="36">
        <f>'[6]price list MAN'!B298</f>
        <v>49069</v>
      </c>
      <c r="C298" s="10" t="str">
        <f>'[6]price list MAN'!C298</f>
        <v>TGM-25-2806X2BL-L</v>
      </c>
      <c r="D298" s="16" t="str">
        <f>IFERROR(VLOOKUP(C298&amp;"",'[7]Retail Price List'!$A$3:$B$103,2,FALSE),"Special Order")</f>
        <v>KP000489</v>
      </c>
      <c r="E298" s="494" t="str">
        <f>'[6]price list MAN'!E298</f>
        <v>CKD</v>
      </c>
      <c r="F298" s="11" t="str">
        <f>'[6]price list MAN'!F298</f>
        <v>2018-04-30</v>
      </c>
      <c r="G298" s="32">
        <f>'[6]price list MAN'!G298</f>
        <v>15.9</v>
      </c>
      <c r="H298" s="26">
        <f>'[6]price list MAN'!H298</f>
        <v>43069</v>
      </c>
      <c r="I298" s="51" t="str">
        <f t="shared" si="20"/>
        <v>2017Q4</v>
      </c>
      <c r="J298" s="177">
        <f>'[6]price list MAN'!J298</f>
        <v>1380000</v>
      </c>
      <c r="K298" s="177">
        <f>'[6]price list MAN'!P298</f>
        <v>1097250</v>
      </c>
      <c r="L298" s="177">
        <f>'[6]price list MAN'!R298</f>
        <v>1045000</v>
      </c>
      <c r="M298" s="174">
        <f>'[6]price list MAN'!S298</f>
        <v>1405000</v>
      </c>
      <c r="N298" s="174">
        <f>'[6]price list MAN'!Y298</f>
        <v>1123500</v>
      </c>
      <c r="O298" s="174">
        <f>'[6]price list MAN'!AA298</f>
        <v>1070000</v>
      </c>
      <c r="P298" s="68">
        <f t="shared" si="21"/>
        <v>0.23843416370106763</v>
      </c>
      <c r="Q298" s="62" t="e">
        <f>O298-#REF!</f>
        <v>#REF!</v>
      </c>
      <c r="R298" s="63" t="e">
        <f>SUM(Q290:Q297)/SUM(O290:O297)</f>
        <v>#REF!</v>
      </c>
      <c r="S298" s="64"/>
      <c r="T298" s="64"/>
      <c r="U298" s="64"/>
      <c r="V298" s="64"/>
      <c r="W298" s="210"/>
      <c r="X298" s="210"/>
      <c r="Y298" s="210"/>
      <c r="Z298" s="210"/>
      <c r="AA298" s="210"/>
      <c r="AB298" s="210"/>
      <c r="AC298" s="210"/>
      <c r="AD298" s="54"/>
      <c r="AE298" s="54"/>
      <c r="AF298" s="54"/>
      <c r="AG298" s="5"/>
      <c r="AH298" s="5"/>
      <c r="AI298" s="5"/>
      <c r="AJ298" s="5"/>
      <c r="AK298" s="5"/>
      <c r="AL298" s="5"/>
      <c r="AM298" s="5"/>
      <c r="AN298" s="5"/>
      <c r="AO298" s="5"/>
      <c r="AP298" s="5"/>
      <c r="AQ298" s="5"/>
      <c r="AR298" s="5"/>
      <c r="AS298" s="5"/>
      <c r="AT298" s="425" t="str">
        <f t="shared" si="22"/>
        <v>KP0004892017Q415,9</v>
      </c>
      <c r="AU298" s="64" t="str">
        <f t="shared" si="23"/>
        <v>11-2017</v>
      </c>
      <c r="AV298" s="64"/>
      <c r="AW298" s="64"/>
      <c r="AX298" s="64"/>
      <c r="AY298" s="64"/>
      <c r="AZ298" s="64"/>
      <c r="BA298" s="428" t="str">
        <f t="shared" si="24"/>
        <v>WIP - 30 Days</v>
      </c>
      <c r="BB298" s="169"/>
      <c r="BC298" s="169"/>
      <c r="BD298" s="169"/>
      <c r="BE298" s="41"/>
      <c r="BF298" s="41"/>
      <c r="BG298" s="41"/>
      <c r="BH298" s="41"/>
      <c r="BI298" s="41"/>
      <c r="BJ298" s="41"/>
      <c r="BK298" s="41"/>
      <c r="BL298" s="41"/>
      <c r="BM298" s="41"/>
      <c r="BN298" s="41"/>
      <c r="BO298" s="41"/>
      <c r="BP298" s="41"/>
      <c r="BQ298" s="41"/>
      <c r="BR298" s="41"/>
      <c r="BS298" s="41"/>
      <c r="BT298" s="41"/>
      <c r="BU298" s="41"/>
      <c r="BV298" s="41"/>
      <c r="BW298" s="41"/>
      <c r="BX298" s="41"/>
      <c r="BY298" s="41"/>
      <c r="BZ298" s="41"/>
      <c r="CA298" s="41"/>
      <c r="CB298" s="41"/>
      <c r="CC298" s="41"/>
      <c r="CD298" s="41"/>
      <c r="CE298" s="41"/>
      <c r="CF298" s="41"/>
      <c r="CG298" s="41"/>
      <c r="CH298" s="41"/>
      <c r="CI298" s="41"/>
      <c r="CJ298" s="41"/>
      <c r="CK298" s="41"/>
      <c r="CL298" s="41"/>
      <c r="CM298" s="41"/>
      <c r="CN298" s="41"/>
      <c r="CO298" s="41"/>
      <c r="CP298" s="41"/>
      <c r="CQ298" s="41"/>
      <c r="CR298" s="41"/>
      <c r="CS298" s="41"/>
      <c r="CT298" s="41"/>
      <c r="CU298" s="41"/>
      <c r="CV298" s="41"/>
      <c r="CW298" s="41"/>
      <c r="CX298" s="41"/>
      <c r="CY298" s="41"/>
      <c r="CZ298" s="41"/>
      <c r="DA298" s="41"/>
      <c r="DB298" s="41"/>
      <c r="DC298" s="41"/>
      <c r="DD298" s="41"/>
      <c r="DE298" s="41"/>
      <c r="DF298" s="41"/>
      <c r="DG298" s="41"/>
      <c r="DH298" s="41"/>
      <c r="DI298" s="41"/>
      <c r="DJ298" s="41"/>
      <c r="DK298" s="41"/>
      <c r="DL298" s="41"/>
      <c r="DM298" s="41"/>
      <c r="DN298" s="41"/>
      <c r="DO298" s="41"/>
      <c r="DP298" s="41"/>
      <c r="DQ298" s="41"/>
      <c r="DR298" s="41"/>
      <c r="DS298" s="41"/>
      <c r="DT298" s="41"/>
      <c r="DU298" s="41"/>
      <c r="DV298" s="41"/>
      <c r="DW298" s="41"/>
      <c r="DX298" s="41"/>
      <c r="DY298" s="41"/>
      <c r="DZ298" s="41"/>
      <c r="EA298" s="41"/>
      <c r="EB298" s="41"/>
      <c r="EC298" s="41"/>
      <c r="ED298" s="41"/>
      <c r="EE298" s="41"/>
      <c r="EF298" s="41"/>
      <c r="EG298" s="41"/>
      <c r="EH298" s="41"/>
      <c r="EI298" s="41"/>
      <c r="EJ298" s="41"/>
      <c r="EK298" s="41"/>
      <c r="EL298" s="41"/>
      <c r="EM298" s="41"/>
      <c r="EN298" s="41"/>
      <c r="EO298" s="41"/>
      <c r="EP298" s="41"/>
      <c r="EQ298" s="41"/>
      <c r="ER298" s="41"/>
      <c r="ES298" s="41"/>
      <c r="ET298" s="41"/>
      <c r="EU298" s="41"/>
      <c r="EV298" s="41"/>
      <c r="EW298" s="41"/>
      <c r="EX298" s="41"/>
      <c r="EY298" s="41"/>
      <c r="EZ298" s="41"/>
      <c r="FA298" s="41"/>
      <c r="FB298" s="41"/>
      <c r="FC298" s="41"/>
      <c r="FD298" s="41"/>
      <c r="FE298" s="41"/>
      <c r="FF298" s="41"/>
      <c r="FG298" s="41"/>
      <c r="FH298" s="41"/>
      <c r="FI298" s="41"/>
      <c r="FJ298" s="41"/>
      <c r="FK298" s="41"/>
      <c r="FL298" s="41"/>
      <c r="FM298" s="41"/>
      <c r="FN298" s="41"/>
      <c r="FO298" s="41"/>
      <c r="FP298" s="41"/>
      <c r="FQ298" s="41"/>
      <c r="FR298" s="41"/>
      <c r="FS298" s="41"/>
      <c r="FT298" s="41"/>
      <c r="FU298" s="41"/>
      <c r="FV298" s="41"/>
      <c r="FW298" s="41"/>
      <c r="FX298" s="41"/>
      <c r="FY298" s="41"/>
      <c r="FZ298" s="41"/>
      <c r="GA298" s="41"/>
      <c r="GB298" s="41"/>
      <c r="GC298" s="41"/>
      <c r="GD298" s="41"/>
      <c r="GE298" s="41"/>
      <c r="GF298" s="41"/>
      <c r="GG298" s="41"/>
      <c r="GH298" s="41"/>
      <c r="GI298" s="41"/>
      <c r="GJ298" s="41"/>
      <c r="GK298" s="41"/>
      <c r="GL298" s="41"/>
      <c r="GM298" s="41"/>
      <c r="GN298" s="41"/>
      <c r="GO298" s="41"/>
      <c r="GP298" s="41"/>
      <c r="GQ298" s="41"/>
      <c r="GR298" s="41"/>
      <c r="GS298" s="41"/>
      <c r="GT298" s="41"/>
      <c r="GU298" s="41"/>
      <c r="GV298" s="41"/>
      <c r="GW298" s="41"/>
      <c r="GX298" s="41"/>
      <c r="GY298" s="41"/>
      <c r="GZ298" s="41"/>
      <c r="HA298" s="41"/>
      <c r="HB298" s="41"/>
      <c r="HC298" s="41"/>
      <c r="HD298" s="41"/>
      <c r="HE298" s="41"/>
      <c r="HF298" s="41"/>
      <c r="HG298" s="41"/>
      <c r="HH298" s="41"/>
      <c r="HI298" s="41"/>
      <c r="HJ298" s="41"/>
      <c r="HK298" s="41"/>
      <c r="HL298" s="41"/>
      <c r="HM298" s="41"/>
      <c r="HN298" s="41"/>
      <c r="HO298" s="41"/>
      <c r="HP298" s="41"/>
      <c r="HQ298" s="41"/>
      <c r="HR298" s="41"/>
      <c r="HS298" s="41"/>
      <c r="HT298" s="41"/>
      <c r="HU298" s="41"/>
      <c r="HV298" s="41"/>
      <c r="HW298" s="41"/>
      <c r="HX298" s="41"/>
      <c r="HY298" s="41"/>
      <c r="HZ298" s="41"/>
      <c r="IA298" s="41"/>
      <c r="IB298" s="41"/>
      <c r="IC298" s="41"/>
      <c r="ID298" s="41"/>
      <c r="IE298" s="41"/>
      <c r="IF298" s="41"/>
      <c r="IG298" s="41"/>
      <c r="IH298" s="41"/>
      <c r="II298" s="41"/>
      <c r="IJ298" s="41"/>
      <c r="IK298" s="41"/>
    </row>
    <row r="299" spans="1:245">
      <c r="B299" s="36">
        <f>'[6]price list MAN'!B299</f>
        <v>49070</v>
      </c>
      <c r="C299" s="10" t="str">
        <f>'[6]price list MAN'!C299</f>
        <v>TGM-25-2806X2BL-L</v>
      </c>
      <c r="D299" s="16" t="str">
        <f>IFERROR(VLOOKUP(C299&amp;"",'[7]Retail Price List'!$A$3:$B$103,2,FALSE),"Special Order")</f>
        <v>KP000489</v>
      </c>
      <c r="E299" s="494" t="str">
        <f>'[6]price list MAN'!E299</f>
        <v>CKD</v>
      </c>
      <c r="F299" s="11" t="str">
        <f>'[6]price list MAN'!F299</f>
        <v>2018-04-30</v>
      </c>
      <c r="G299" s="32">
        <f>'[6]price list MAN'!G299</f>
        <v>15.9</v>
      </c>
      <c r="H299" s="26">
        <f>'[6]price list MAN'!H299</f>
        <v>43069</v>
      </c>
      <c r="I299" s="51" t="str">
        <f t="shared" si="20"/>
        <v>2017Q4</v>
      </c>
      <c r="J299" s="177">
        <f>'[6]price list MAN'!J299</f>
        <v>1380000</v>
      </c>
      <c r="K299" s="177">
        <f>'[6]price list MAN'!P299</f>
        <v>1097250</v>
      </c>
      <c r="L299" s="177">
        <f>'[6]price list MAN'!R299</f>
        <v>1045000</v>
      </c>
      <c r="M299" s="174">
        <f>'[6]price list MAN'!S299</f>
        <v>1405000</v>
      </c>
      <c r="N299" s="174">
        <f>'[6]price list MAN'!Y299</f>
        <v>1123500</v>
      </c>
      <c r="O299" s="174">
        <f>'[6]price list MAN'!AA299</f>
        <v>1070000</v>
      </c>
      <c r="P299" s="68">
        <f t="shared" si="21"/>
        <v>0.23843416370106763</v>
      </c>
      <c r="Q299" s="62" t="e">
        <f>O299-#REF!</f>
        <v>#REF!</v>
      </c>
      <c r="W299" s="210"/>
      <c r="X299" s="210"/>
      <c r="Y299" s="210"/>
      <c r="Z299" s="210"/>
      <c r="AA299" s="210"/>
      <c r="AB299" s="210"/>
      <c r="AC299" s="210"/>
      <c r="AT299" s="425" t="str">
        <f t="shared" si="22"/>
        <v>KP0004892017Q415,9</v>
      </c>
      <c r="AU299" s="64" t="str">
        <f t="shared" si="23"/>
        <v>11-2017</v>
      </c>
      <c r="BA299" s="428" t="str">
        <f t="shared" si="24"/>
        <v>WIP - 30 Days</v>
      </c>
    </row>
    <row r="300" spans="1:245">
      <c r="B300" s="36">
        <f>'[6]price list MAN'!B300</f>
        <v>49071</v>
      </c>
      <c r="C300" s="10" t="str">
        <f>'[6]price list MAN'!C300</f>
        <v>TGM-25-2806X2BL-L</v>
      </c>
      <c r="D300" s="16" t="str">
        <f>IFERROR(VLOOKUP(C300&amp;"",'[7]Retail Price List'!$A$3:$B$103,2,FALSE),"Special Order")</f>
        <v>KP000489</v>
      </c>
      <c r="E300" s="494" t="str">
        <f>'[6]price list MAN'!E300</f>
        <v>CKD</v>
      </c>
      <c r="F300" s="11" t="str">
        <f>'[6]price list MAN'!F300</f>
        <v>2018-04-30</v>
      </c>
      <c r="G300" s="32">
        <f>'[6]price list MAN'!G300</f>
        <v>15.9</v>
      </c>
      <c r="H300" s="26">
        <f>'[6]price list MAN'!H300</f>
        <v>43069</v>
      </c>
      <c r="I300" s="51" t="str">
        <f t="shared" si="20"/>
        <v>2017Q4</v>
      </c>
      <c r="J300" s="177">
        <f>'[6]price list MAN'!J300</f>
        <v>1380000</v>
      </c>
      <c r="K300" s="177">
        <f>'[6]price list MAN'!P300</f>
        <v>1097250</v>
      </c>
      <c r="L300" s="177">
        <f>'[6]price list MAN'!R300</f>
        <v>1045000</v>
      </c>
      <c r="M300" s="174">
        <f>'[6]price list MAN'!S300</f>
        <v>1405000</v>
      </c>
      <c r="N300" s="174">
        <f>'[6]price list MAN'!Y300</f>
        <v>1123500</v>
      </c>
      <c r="O300" s="174">
        <f>'[6]price list MAN'!AA300</f>
        <v>1070000</v>
      </c>
      <c r="P300" s="68">
        <f t="shared" si="21"/>
        <v>0.23843416370106763</v>
      </c>
      <c r="Q300" s="62" t="e">
        <f>O300-#REF!</f>
        <v>#REF!</v>
      </c>
      <c r="W300" s="210"/>
      <c r="X300" s="210"/>
      <c r="Y300" s="210"/>
      <c r="Z300" s="210"/>
      <c r="AA300" s="210"/>
      <c r="AB300" s="210"/>
      <c r="AC300" s="210"/>
      <c r="AT300" s="425" t="str">
        <f t="shared" si="22"/>
        <v>KP0004892017Q415,9</v>
      </c>
      <c r="AU300" s="64" t="str">
        <f t="shared" si="23"/>
        <v>11-2017</v>
      </c>
      <c r="BA300" s="428" t="str">
        <f t="shared" si="24"/>
        <v>WIP - 30 Days</v>
      </c>
    </row>
    <row r="301" spans="1:245" s="4" customFormat="1" ht="15.75" customHeight="1">
      <c r="A301" s="41"/>
      <c r="B301" s="36">
        <f>'[6]price list MAN'!B301</f>
        <v>49072</v>
      </c>
      <c r="C301" s="10" t="str">
        <f>'[6]price list MAN'!C301</f>
        <v>TGM-25-2806X2BL-L</v>
      </c>
      <c r="D301" s="16" t="str">
        <f>IFERROR(VLOOKUP(C301&amp;"",'[7]Retail Price List'!$A$3:$B$103,2,FALSE),"Special Order")</f>
        <v>KP000489</v>
      </c>
      <c r="E301" s="494" t="str">
        <f>'[6]price list MAN'!E301</f>
        <v>CKD</v>
      </c>
      <c r="F301" s="11" t="str">
        <f>'[6]price list MAN'!F301</f>
        <v>2018-05-30</v>
      </c>
      <c r="G301" s="32">
        <f>'[6]price list MAN'!G301</f>
        <v>15.9</v>
      </c>
      <c r="H301" s="26">
        <f>'[6]price list MAN'!H301</f>
        <v>43069</v>
      </c>
      <c r="I301" s="51" t="str">
        <f t="shared" si="20"/>
        <v>2017Q4</v>
      </c>
      <c r="J301" s="177">
        <f>'[6]price list MAN'!J301</f>
        <v>1380000</v>
      </c>
      <c r="K301" s="177">
        <f>'[6]price list MAN'!P301</f>
        <v>1097250</v>
      </c>
      <c r="L301" s="177">
        <f>'[6]price list MAN'!R301</f>
        <v>1045000</v>
      </c>
      <c r="M301" s="174">
        <f>'[6]price list MAN'!S301</f>
        <v>1405000</v>
      </c>
      <c r="N301" s="174">
        <f>'[6]price list MAN'!Y301</f>
        <v>1123500</v>
      </c>
      <c r="O301" s="174">
        <f>'[6]price list MAN'!AA301</f>
        <v>1070000</v>
      </c>
      <c r="P301" s="68">
        <f t="shared" si="21"/>
        <v>0.23843416370106763</v>
      </c>
      <c r="Q301" s="62" t="e">
        <f>O301-#REF!</f>
        <v>#REF!</v>
      </c>
      <c r="R301" s="63" t="e">
        <f>SUM(Q299:Q300)/SUM(O299:O300)</f>
        <v>#REF!</v>
      </c>
      <c r="S301" s="64"/>
      <c r="T301" s="64"/>
      <c r="U301" s="64"/>
      <c r="V301" s="64"/>
      <c r="W301" s="210"/>
      <c r="X301" s="210"/>
      <c r="Y301" s="210"/>
      <c r="Z301" s="210"/>
      <c r="AA301" s="210"/>
      <c r="AB301" s="210"/>
      <c r="AC301" s="210"/>
      <c r="AD301" s="54"/>
      <c r="AE301" s="54"/>
      <c r="AF301" s="54"/>
      <c r="AG301" s="5"/>
      <c r="AH301" s="5"/>
      <c r="AI301" s="5"/>
      <c r="AJ301" s="5"/>
      <c r="AK301" s="5"/>
      <c r="AL301" s="5"/>
      <c r="AM301" s="5"/>
      <c r="AN301" s="5"/>
      <c r="AO301" s="5"/>
      <c r="AP301" s="5"/>
      <c r="AQ301" s="5"/>
      <c r="AR301" s="5"/>
      <c r="AS301" s="5"/>
      <c r="AT301" s="425" t="str">
        <f t="shared" si="22"/>
        <v>KP0004892017Q415,9</v>
      </c>
      <c r="AU301" s="64" t="str">
        <f t="shared" si="23"/>
        <v>11-2017</v>
      </c>
      <c r="AV301" s="64"/>
      <c r="AW301" s="64"/>
      <c r="AX301" s="64"/>
      <c r="AY301" s="64"/>
      <c r="AZ301" s="64"/>
      <c r="BA301" s="428" t="str">
        <f t="shared" si="24"/>
        <v>WIP - 30 Days</v>
      </c>
      <c r="BB301" s="169"/>
      <c r="BC301" s="169"/>
      <c r="BD301" s="169"/>
      <c r="BE301" s="41"/>
      <c r="BF301" s="41"/>
      <c r="BG301" s="41"/>
      <c r="BH301" s="41"/>
      <c r="BI301" s="41"/>
      <c r="BJ301" s="41"/>
      <c r="BK301" s="41"/>
      <c r="BL301" s="41"/>
      <c r="BM301" s="41"/>
      <c r="BN301" s="41"/>
      <c r="BO301" s="41"/>
      <c r="BP301" s="41"/>
      <c r="BQ301" s="41"/>
      <c r="BR301" s="41"/>
      <c r="BS301" s="41"/>
      <c r="BT301" s="41"/>
      <c r="BU301" s="41"/>
      <c r="BV301" s="41"/>
      <c r="BW301" s="41"/>
      <c r="BX301" s="41"/>
      <c r="BY301" s="41"/>
      <c r="BZ301" s="41"/>
      <c r="CA301" s="41"/>
      <c r="CB301" s="41"/>
      <c r="CC301" s="41"/>
      <c r="CD301" s="41"/>
      <c r="CE301" s="41"/>
      <c r="CF301" s="41"/>
      <c r="CG301" s="41"/>
      <c r="CH301" s="41"/>
      <c r="CI301" s="41"/>
      <c r="CJ301" s="41"/>
      <c r="CK301" s="41"/>
      <c r="CL301" s="41"/>
      <c r="CM301" s="41"/>
      <c r="CN301" s="41"/>
      <c r="CO301" s="41"/>
      <c r="CP301" s="41"/>
      <c r="CQ301" s="41"/>
      <c r="CR301" s="41"/>
      <c r="CS301" s="41"/>
      <c r="CT301" s="41"/>
      <c r="CU301" s="41"/>
      <c r="CV301" s="41"/>
      <c r="CW301" s="41"/>
      <c r="CX301" s="41"/>
      <c r="CY301" s="41"/>
      <c r="CZ301" s="41"/>
      <c r="DA301" s="41"/>
      <c r="DB301" s="41"/>
      <c r="DC301" s="41"/>
      <c r="DD301" s="41"/>
      <c r="DE301" s="41"/>
      <c r="DF301" s="41"/>
      <c r="DG301" s="41"/>
      <c r="DH301" s="41"/>
      <c r="DI301" s="41"/>
      <c r="DJ301" s="41"/>
      <c r="DK301" s="41"/>
      <c r="DL301" s="41"/>
      <c r="DM301" s="41"/>
      <c r="DN301" s="41"/>
      <c r="DO301" s="41"/>
      <c r="DP301" s="41"/>
      <c r="DQ301" s="41"/>
      <c r="DR301" s="41"/>
      <c r="DS301" s="41"/>
      <c r="DT301" s="41"/>
      <c r="DU301" s="41"/>
      <c r="DV301" s="41"/>
      <c r="DW301" s="41"/>
      <c r="DX301" s="41"/>
      <c r="DY301" s="41"/>
      <c r="DZ301" s="41"/>
      <c r="EA301" s="41"/>
      <c r="EB301" s="41"/>
      <c r="EC301" s="41"/>
      <c r="ED301" s="41"/>
      <c r="EE301" s="41"/>
      <c r="EF301" s="41"/>
      <c r="EG301" s="41"/>
      <c r="EH301" s="41"/>
      <c r="EI301" s="41"/>
      <c r="EJ301" s="41"/>
      <c r="EK301" s="41"/>
      <c r="EL301" s="41"/>
      <c r="EM301" s="41"/>
      <c r="EN301" s="41"/>
      <c r="EO301" s="41"/>
      <c r="EP301" s="41"/>
      <c r="EQ301" s="41"/>
      <c r="ER301" s="41"/>
      <c r="ES301" s="41"/>
      <c r="ET301" s="41"/>
      <c r="EU301" s="41"/>
      <c r="EV301" s="41"/>
      <c r="EW301" s="41"/>
      <c r="EX301" s="41"/>
      <c r="EY301" s="41"/>
      <c r="EZ301" s="41"/>
      <c r="FA301" s="41"/>
      <c r="FB301" s="41"/>
      <c r="FC301" s="41"/>
      <c r="FD301" s="41"/>
      <c r="FE301" s="41"/>
      <c r="FF301" s="41"/>
      <c r="FG301" s="41"/>
      <c r="FH301" s="41"/>
      <c r="FI301" s="41"/>
      <c r="FJ301" s="41"/>
      <c r="FK301" s="41"/>
      <c r="FL301" s="41"/>
      <c r="FM301" s="41"/>
      <c r="FN301" s="41"/>
      <c r="FO301" s="41"/>
      <c r="FP301" s="41"/>
      <c r="FQ301" s="41"/>
      <c r="FR301" s="41"/>
      <c r="FS301" s="41"/>
      <c r="FT301" s="41"/>
      <c r="FU301" s="41"/>
      <c r="FV301" s="41"/>
      <c r="FW301" s="41"/>
      <c r="FX301" s="41"/>
      <c r="FY301" s="41"/>
      <c r="FZ301" s="41"/>
      <c r="GA301" s="41"/>
      <c r="GB301" s="41"/>
      <c r="GC301" s="41"/>
      <c r="GD301" s="41"/>
      <c r="GE301" s="41"/>
      <c r="GF301" s="41"/>
      <c r="GG301" s="41"/>
      <c r="GH301" s="41"/>
      <c r="GI301" s="41"/>
      <c r="GJ301" s="41"/>
      <c r="GK301" s="41"/>
      <c r="GL301" s="41"/>
      <c r="GM301" s="41"/>
      <c r="GN301" s="41"/>
      <c r="GO301" s="41"/>
      <c r="GP301" s="41"/>
      <c r="GQ301" s="41"/>
      <c r="GR301" s="41"/>
      <c r="GS301" s="41"/>
      <c r="GT301" s="41"/>
      <c r="GU301" s="41"/>
      <c r="GV301" s="41"/>
      <c r="GW301" s="41"/>
      <c r="GX301" s="41"/>
      <c r="GY301" s="41"/>
      <c r="GZ301" s="41"/>
      <c r="HA301" s="41"/>
      <c r="HB301" s="41"/>
      <c r="HC301" s="41"/>
      <c r="HD301" s="41"/>
      <c r="HE301" s="41"/>
      <c r="HF301" s="41"/>
      <c r="HG301" s="41"/>
      <c r="HH301" s="41"/>
      <c r="HI301" s="41"/>
      <c r="HJ301" s="41"/>
      <c r="HK301" s="41"/>
      <c r="HL301" s="41"/>
      <c r="HM301" s="41"/>
      <c r="HN301" s="41"/>
      <c r="HO301" s="41"/>
      <c r="HP301" s="41"/>
      <c r="HQ301" s="41"/>
      <c r="HR301" s="41"/>
      <c r="HS301" s="41"/>
      <c r="HT301" s="41"/>
      <c r="HU301" s="41"/>
      <c r="HV301" s="41"/>
      <c r="HW301" s="41"/>
      <c r="HX301" s="41"/>
      <c r="HY301" s="41"/>
      <c r="HZ301" s="41"/>
      <c r="IA301" s="41"/>
      <c r="IB301" s="41"/>
      <c r="IC301" s="41"/>
      <c r="ID301" s="41"/>
      <c r="IE301" s="41"/>
      <c r="IF301" s="41"/>
      <c r="IG301" s="41"/>
      <c r="IH301" s="41"/>
      <c r="II301" s="41"/>
      <c r="IJ301" s="41"/>
      <c r="IK301" s="41"/>
    </row>
    <row r="302" spans="1:245">
      <c r="B302" s="36">
        <f>'[6]price list MAN'!B302</f>
        <v>49073</v>
      </c>
      <c r="C302" s="10" t="str">
        <f>'[6]price list MAN'!C302</f>
        <v>TGM-25-2806X2BL-L</v>
      </c>
      <c r="D302" s="16" t="str">
        <f>IFERROR(VLOOKUP(C302&amp;"",'[7]Retail Price List'!$A$3:$B$103,2,FALSE),"Special Order")</f>
        <v>KP000489</v>
      </c>
      <c r="E302" s="494" t="str">
        <f>'[6]price list MAN'!E302</f>
        <v>CKD</v>
      </c>
      <c r="F302" s="11" t="str">
        <f>'[6]price list MAN'!F302</f>
        <v>2018-05-30</v>
      </c>
      <c r="G302" s="32">
        <f>'[6]price list MAN'!G302</f>
        <v>15.9</v>
      </c>
      <c r="H302" s="26">
        <f>'[6]price list MAN'!H302</f>
        <v>43069</v>
      </c>
      <c r="I302" s="51" t="str">
        <f t="shared" si="20"/>
        <v>2017Q4</v>
      </c>
      <c r="J302" s="177">
        <f>'[6]price list MAN'!J302</f>
        <v>1380000</v>
      </c>
      <c r="K302" s="177">
        <f>'[6]price list MAN'!P302</f>
        <v>1097250</v>
      </c>
      <c r="L302" s="177">
        <f>'[6]price list MAN'!R302</f>
        <v>1045000</v>
      </c>
      <c r="M302" s="174">
        <f>'[6]price list MAN'!S302</f>
        <v>1405000</v>
      </c>
      <c r="N302" s="174">
        <f>'[6]price list MAN'!Y302</f>
        <v>1123500</v>
      </c>
      <c r="O302" s="174">
        <f>'[6]price list MAN'!AA302</f>
        <v>1070000</v>
      </c>
      <c r="P302" s="68">
        <f t="shared" si="21"/>
        <v>0.23843416370106763</v>
      </c>
      <c r="Q302" s="62" t="e">
        <f>O302-#REF!</f>
        <v>#REF!</v>
      </c>
      <c r="W302" s="210"/>
      <c r="X302" s="210"/>
      <c r="Y302" s="210"/>
      <c r="Z302" s="210"/>
      <c r="AA302" s="210"/>
      <c r="AB302" s="210"/>
      <c r="AC302" s="210"/>
      <c r="AT302" s="425" t="str">
        <f t="shared" si="22"/>
        <v>KP0004892017Q415,9</v>
      </c>
      <c r="AU302" s="64" t="str">
        <f t="shared" si="23"/>
        <v>11-2017</v>
      </c>
      <c r="BA302" s="428" t="str">
        <f t="shared" si="24"/>
        <v>WIP - 30 Days</v>
      </c>
    </row>
    <row r="303" spans="1:245">
      <c r="B303" s="36">
        <f>'[6]price list MAN'!B303</f>
        <v>49074</v>
      </c>
      <c r="C303" s="10" t="str">
        <f>'[6]price list MAN'!C303</f>
        <v>TGM-25-2806X2BL-L</v>
      </c>
      <c r="D303" s="16" t="str">
        <f>IFERROR(VLOOKUP(C303&amp;"",'[7]Retail Price List'!$A$3:$B$103,2,FALSE),"Special Order")</f>
        <v>KP000489</v>
      </c>
      <c r="E303" s="494" t="str">
        <f>'[6]price list MAN'!E303</f>
        <v>CKD</v>
      </c>
      <c r="F303" s="11" t="str">
        <f>'[6]price list MAN'!F303</f>
        <v>2018-05-30</v>
      </c>
      <c r="G303" s="32">
        <f>'[6]price list MAN'!G303</f>
        <v>15.9</v>
      </c>
      <c r="H303" s="26">
        <f>'[6]price list MAN'!H303</f>
        <v>43069</v>
      </c>
      <c r="I303" s="51" t="str">
        <f t="shared" si="20"/>
        <v>2017Q4</v>
      </c>
      <c r="J303" s="177">
        <f>'[6]price list MAN'!J303</f>
        <v>1380000</v>
      </c>
      <c r="K303" s="177">
        <f>'[6]price list MAN'!P303</f>
        <v>1097250</v>
      </c>
      <c r="L303" s="177">
        <f>'[6]price list MAN'!R303</f>
        <v>1045000</v>
      </c>
      <c r="M303" s="174">
        <f>'[6]price list MAN'!S303</f>
        <v>1405000</v>
      </c>
      <c r="N303" s="174">
        <f>'[6]price list MAN'!Y303</f>
        <v>1123500</v>
      </c>
      <c r="O303" s="174">
        <f>'[6]price list MAN'!AA303</f>
        <v>1070000</v>
      </c>
      <c r="P303" s="68">
        <f t="shared" si="21"/>
        <v>0.23843416370106763</v>
      </c>
      <c r="Q303" s="62" t="e">
        <f>O303-#REF!</f>
        <v>#REF!</v>
      </c>
      <c r="W303" s="210"/>
      <c r="X303" s="210"/>
      <c r="Y303" s="210"/>
      <c r="Z303" s="210"/>
      <c r="AA303" s="210"/>
      <c r="AB303" s="210"/>
      <c r="AC303" s="210"/>
      <c r="AT303" s="425" t="str">
        <f t="shared" si="22"/>
        <v>KP0004892017Q415,9</v>
      </c>
      <c r="AU303" s="64" t="str">
        <f t="shared" si="23"/>
        <v>11-2017</v>
      </c>
      <c r="BA303" s="428" t="str">
        <f t="shared" si="24"/>
        <v>WIP - 30 Days</v>
      </c>
    </row>
    <row r="304" spans="1:245">
      <c r="B304" s="36">
        <f>'[6]price list MAN'!B304</f>
        <v>49075</v>
      </c>
      <c r="C304" s="10" t="str">
        <f>'[6]price list MAN'!C304</f>
        <v>TGM-25-2806X2BL-L</v>
      </c>
      <c r="D304" s="16" t="str">
        <f>IFERROR(VLOOKUP(C304&amp;"",'[7]Retail Price List'!$A$3:$B$103,2,FALSE),"Special Order")</f>
        <v>KP000489</v>
      </c>
      <c r="E304" s="494" t="str">
        <f>'[6]price list MAN'!E304</f>
        <v>CKD</v>
      </c>
      <c r="F304" s="11" t="str">
        <f>'[6]price list MAN'!F304</f>
        <v>2018-05-30</v>
      </c>
      <c r="G304" s="32">
        <f>'[6]price list MAN'!G304</f>
        <v>15.9</v>
      </c>
      <c r="H304" s="26">
        <f>'[6]price list MAN'!H304</f>
        <v>43069</v>
      </c>
      <c r="I304" s="51" t="str">
        <f t="shared" si="20"/>
        <v>2017Q4</v>
      </c>
      <c r="J304" s="177">
        <f>'[6]price list MAN'!J304</f>
        <v>1380000</v>
      </c>
      <c r="K304" s="177">
        <f>'[6]price list MAN'!P304</f>
        <v>1097250</v>
      </c>
      <c r="L304" s="177">
        <f>'[6]price list MAN'!R304</f>
        <v>1045000</v>
      </c>
      <c r="M304" s="174">
        <f>'[6]price list MAN'!S304</f>
        <v>1405000</v>
      </c>
      <c r="N304" s="174">
        <f>'[6]price list MAN'!Y304</f>
        <v>1123500</v>
      </c>
      <c r="O304" s="174">
        <f>'[6]price list MAN'!AA304</f>
        <v>1070000</v>
      </c>
      <c r="P304" s="68">
        <f t="shared" si="21"/>
        <v>0.23843416370106763</v>
      </c>
      <c r="Q304" s="62" t="e">
        <f>O304-#REF!</f>
        <v>#REF!</v>
      </c>
      <c r="W304" s="210"/>
      <c r="X304" s="210"/>
      <c r="Y304" s="210"/>
      <c r="Z304" s="210"/>
      <c r="AA304" s="210"/>
      <c r="AB304" s="210"/>
      <c r="AC304" s="210"/>
      <c r="AT304" s="425" t="str">
        <f t="shared" si="22"/>
        <v>KP0004892017Q415,9</v>
      </c>
      <c r="AU304" s="64" t="str">
        <f t="shared" si="23"/>
        <v>11-2017</v>
      </c>
      <c r="BA304" s="428" t="str">
        <f t="shared" si="24"/>
        <v>WIP - 30 Days</v>
      </c>
    </row>
    <row r="305" spans="1:245">
      <c r="B305" s="36">
        <f>'[6]price list MAN'!B305</f>
        <v>49076</v>
      </c>
      <c r="C305" s="10" t="str">
        <f>'[6]price list MAN'!C305</f>
        <v>TGM-25-2806X2BL-L</v>
      </c>
      <c r="D305" s="16" t="str">
        <f>IFERROR(VLOOKUP(C305&amp;"",'[7]Retail Price List'!$A$3:$B$103,2,FALSE),"Special Order")</f>
        <v>KP000489</v>
      </c>
      <c r="E305" s="494" t="str">
        <f>'[6]price list MAN'!E305</f>
        <v>CKD</v>
      </c>
      <c r="F305" s="11" t="str">
        <f>'[6]price list MAN'!F305</f>
        <v>2018-05-30</v>
      </c>
      <c r="G305" s="32">
        <f>'[6]price list MAN'!G305</f>
        <v>15.9</v>
      </c>
      <c r="H305" s="26">
        <f>'[6]price list MAN'!H305</f>
        <v>43069</v>
      </c>
      <c r="I305" s="51" t="str">
        <f t="shared" si="20"/>
        <v>2017Q4</v>
      </c>
      <c r="J305" s="177">
        <f>'[6]price list MAN'!J305</f>
        <v>1380000</v>
      </c>
      <c r="K305" s="177">
        <f>'[6]price list MAN'!P305</f>
        <v>1097250</v>
      </c>
      <c r="L305" s="177">
        <f>'[6]price list MAN'!R305</f>
        <v>1045000</v>
      </c>
      <c r="M305" s="174">
        <f>'[6]price list MAN'!S305</f>
        <v>1405000</v>
      </c>
      <c r="N305" s="174">
        <f>'[6]price list MAN'!Y305</f>
        <v>1123500</v>
      </c>
      <c r="O305" s="174">
        <f>'[6]price list MAN'!AA305</f>
        <v>1070000</v>
      </c>
      <c r="P305" s="68">
        <f t="shared" si="21"/>
        <v>0.23843416370106763</v>
      </c>
      <c r="Q305" s="62" t="e">
        <f>O305-#REF!</f>
        <v>#REF!</v>
      </c>
      <c r="S305" s="64">
        <f>COUNT(#REF!)</f>
        <v>0</v>
      </c>
      <c r="W305" s="210"/>
      <c r="X305" s="210"/>
      <c r="Y305" s="210"/>
      <c r="Z305" s="210"/>
      <c r="AA305" s="210"/>
      <c r="AB305" s="210"/>
      <c r="AC305" s="210"/>
      <c r="AT305" s="425" t="str">
        <f t="shared" si="22"/>
        <v>KP0004892017Q415,9</v>
      </c>
      <c r="AU305" s="64" t="str">
        <f t="shared" si="23"/>
        <v>11-2017</v>
      </c>
      <c r="BA305" s="428" t="str">
        <f t="shared" si="24"/>
        <v>WIP - 30 Days</v>
      </c>
    </row>
    <row r="306" spans="1:245">
      <c r="B306" s="36">
        <f>'[6]price list MAN'!B306</f>
        <v>49077</v>
      </c>
      <c r="C306" s="10" t="str">
        <f>'[6]price list MAN'!C306</f>
        <v>TGM-25-2806X2BL-L</v>
      </c>
      <c r="D306" s="16" t="str">
        <f>IFERROR(VLOOKUP(C306&amp;"",'[7]Retail Price List'!$A$3:$B$103,2,FALSE),"Special Order")</f>
        <v>KP000489</v>
      </c>
      <c r="E306" s="494" t="str">
        <f>'[6]price list MAN'!E306</f>
        <v>CKD</v>
      </c>
      <c r="F306" s="11" t="str">
        <f>'[6]price list MAN'!F306</f>
        <v>2018-05-30</v>
      </c>
      <c r="G306" s="32">
        <f>'[6]price list MAN'!G306</f>
        <v>15.9</v>
      </c>
      <c r="H306" s="26">
        <f>'[6]price list MAN'!H306</f>
        <v>43069</v>
      </c>
      <c r="I306" s="51" t="str">
        <f t="shared" si="20"/>
        <v>2017Q4</v>
      </c>
      <c r="J306" s="177">
        <f>'[6]price list MAN'!J306</f>
        <v>1380000</v>
      </c>
      <c r="K306" s="177">
        <f>'[6]price list MAN'!P306</f>
        <v>1097250</v>
      </c>
      <c r="L306" s="177">
        <f>'[6]price list MAN'!R306</f>
        <v>1045000</v>
      </c>
      <c r="M306" s="174">
        <f>'[6]price list MAN'!S306</f>
        <v>1405000</v>
      </c>
      <c r="N306" s="174">
        <f>'[6]price list MAN'!Y306</f>
        <v>1123500</v>
      </c>
      <c r="O306" s="174">
        <f>'[6]price list MAN'!AA306</f>
        <v>1070000</v>
      </c>
      <c r="P306" s="68">
        <f t="shared" si="21"/>
        <v>0.23843416370106763</v>
      </c>
      <c r="Q306" s="62" t="e">
        <f>O306-#REF!</f>
        <v>#REF!</v>
      </c>
      <c r="S306" s="62" t="e">
        <f>+AVERAGE(#REF!)</f>
        <v>#REF!</v>
      </c>
      <c r="W306" s="210"/>
      <c r="X306" s="210"/>
      <c r="Y306" s="210"/>
      <c r="Z306" s="210"/>
      <c r="AA306" s="210"/>
      <c r="AB306" s="210"/>
      <c r="AC306" s="210"/>
      <c r="AT306" s="425" t="str">
        <f t="shared" si="22"/>
        <v>KP0004892017Q415,9</v>
      </c>
      <c r="AU306" s="64" t="str">
        <f t="shared" si="23"/>
        <v>11-2017</v>
      </c>
      <c r="BA306" s="428" t="str">
        <f t="shared" si="24"/>
        <v>WIP - 30 Days</v>
      </c>
    </row>
    <row r="307" spans="1:245">
      <c r="B307" s="36">
        <f>'[6]price list MAN'!B307</f>
        <v>49078</v>
      </c>
      <c r="C307" s="10" t="str">
        <f>'[6]price list MAN'!C307</f>
        <v>TGM-25-2806X2BL-L</v>
      </c>
      <c r="D307" s="16" t="str">
        <f>IFERROR(VLOOKUP(C307&amp;"",'[7]Retail Price List'!$A$3:$B$103,2,FALSE),"Special Order")</f>
        <v>KP000489</v>
      </c>
      <c r="E307" s="494" t="str">
        <f>'[6]price list MAN'!E307</f>
        <v>CKD</v>
      </c>
      <c r="F307" s="11" t="str">
        <f>'[6]price list MAN'!F307</f>
        <v>2018-05-30</v>
      </c>
      <c r="G307" s="32">
        <f>'[6]price list MAN'!G307</f>
        <v>15.9</v>
      </c>
      <c r="H307" s="26">
        <f>'[6]price list MAN'!H307</f>
        <v>43069</v>
      </c>
      <c r="I307" s="51" t="str">
        <f t="shared" si="20"/>
        <v>2017Q4</v>
      </c>
      <c r="J307" s="177">
        <f>'[6]price list MAN'!J307</f>
        <v>1380000</v>
      </c>
      <c r="K307" s="177">
        <f>'[6]price list MAN'!P307</f>
        <v>1097250</v>
      </c>
      <c r="L307" s="177">
        <f>'[6]price list MAN'!R307</f>
        <v>1045000</v>
      </c>
      <c r="M307" s="174">
        <f>'[6]price list MAN'!S307</f>
        <v>1405000</v>
      </c>
      <c r="N307" s="174">
        <f>'[6]price list MAN'!Y307</f>
        <v>1123500</v>
      </c>
      <c r="O307" s="174">
        <f>'[6]price list MAN'!AA307</f>
        <v>1070000</v>
      </c>
      <c r="P307" s="68">
        <f t="shared" si="21"/>
        <v>0.23843416370106763</v>
      </c>
      <c r="Q307" s="62" t="e">
        <f>O307-#REF!</f>
        <v>#REF!</v>
      </c>
      <c r="W307" s="210"/>
      <c r="X307" s="210"/>
      <c r="Y307" s="210"/>
      <c r="Z307" s="210"/>
      <c r="AA307" s="210"/>
      <c r="AB307" s="210"/>
      <c r="AC307" s="210"/>
      <c r="AT307" s="425" t="str">
        <f t="shared" si="22"/>
        <v>KP0004892017Q415,9</v>
      </c>
      <c r="AU307" s="64" t="str">
        <f t="shared" si="23"/>
        <v>11-2017</v>
      </c>
      <c r="BA307" s="428" t="str">
        <f t="shared" si="24"/>
        <v>WIP - 30 Days</v>
      </c>
    </row>
    <row r="308" spans="1:245">
      <c r="B308" s="36">
        <f>'[6]price list MAN'!B308</f>
        <v>49079</v>
      </c>
      <c r="C308" s="10" t="str">
        <f>'[6]price list MAN'!C308</f>
        <v>TGM-25-2806X2BL-L</v>
      </c>
      <c r="D308" s="16" t="str">
        <f>IFERROR(VLOOKUP(C308&amp;"",'[7]Retail Price List'!$A$3:$B$103,2,FALSE),"Special Order")</f>
        <v>KP000489</v>
      </c>
      <c r="E308" s="494" t="str">
        <f>'[6]price list MAN'!E308</f>
        <v>CKD</v>
      </c>
      <c r="F308" s="11" t="str">
        <f>'[6]price list MAN'!F308</f>
        <v>2018-06-30</v>
      </c>
      <c r="G308" s="32">
        <f>'[6]price list MAN'!G308</f>
        <v>15.9</v>
      </c>
      <c r="H308" s="26">
        <f>'[6]price list MAN'!H308</f>
        <v>43069</v>
      </c>
      <c r="I308" s="51" t="str">
        <f t="shared" si="20"/>
        <v>2017Q4</v>
      </c>
      <c r="J308" s="177">
        <f>'[6]price list MAN'!J308</f>
        <v>1380000</v>
      </c>
      <c r="K308" s="177">
        <f>'[6]price list MAN'!P308</f>
        <v>1097250</v>
      </c>
      <c r="L308" s="177">
        <f>'[6]price list MAN'!R308</f>
        <v>1045000</v>
      </c>
      <c r="M308" s="174">
        <f>'[6]price list MAN'!S308</f>
        <v>1405000</v>
      </c>
      <c r="N308" s="174">
        <f>'[6]price list MAN'!Y308</f>
        <v>1123500</v>
      </c>
      <c r="O308" s="174">
        <f>'[6]price list MAN'!AA308</f>
        <v>1070000</v>
      </c>
      <c r="P308" s="68">
        <f t="shared" si="21"/>
        <v>0.23843416370106763</v>
      </c>
      <c r="Q308" s="62" t="e">
        <f>O308-#REF!</f>
        <v>#REF!</v>
      </c>
      <c r="W308" s="210"/>
      <c r="X308" s="210"/>
      <c r="Y308" s="210"/>
      <c r="Z308" s="210"/>
      <c r="AA308" s="210"/>
      <c r="AB308" s="210"/>
      <c r="AC308" s="210"/>
      <c r="AT308" s="425" t="str">
        <f t="shared" si="22"/>
        <v>KP0004892017Q415,9</v>
      </c>
      <c r="AU308" s="64" t="str">
        <f t="shared" si="23"/>
        <v>11-2017</v>
      </c>
      <c r="BA308" s="428" t="str">
        <f t="shared" si="24"/>
        <v>WIP - 30 Days</v>
      </c>
    </row>
    <row r="309" spans="1:245">
      <c r="B309" s="36">
        <f>'[6]price list MAN'!B309</f>
        <v>49080</v>
      </c>
      <c r="C309" s="10" t="str">
        <f>'[6]price list MAN'!C309</f>
        <v>TGM-25-2806X2BL-L</v>
      </c>
      <c r="D309" s="16" t="str">
        <f>IFERROR(VLOOKUP(C309&amp;"",'[7]Retail Price List'!$A$3:$B$103,2,FALSE),"Special Order")</f>
        <v>KP000489</v>
      </c>
      <c r="E309" s="494" t="str">
        <f>'[6]price list MAN'!E309</f>
        <v>CKD</v>
      </c>
      <c r="F309" s="11" t="str">
        <f>'[6]price list MAN'!F309</f>
        <v>2018-06-30</v>
      </c>
      <c r="G309" s="32">
        <f>'[6]price list MAN'!G309</f>
        <v>15.9</v>
      </c>
      <c r="H309" s="26">
        <f>'[6]price list MAN'!H309</f>
        <v>43069</v>
      </c>
      <c r="I309" s="51" t="str">
        <f t="shared" si="20"/>
        <v>2017Q4</v>
      </c>
      <c r="J309" s="177">
        <f>'[6]price list MAN'!J309</f>
        <v>1380000</v>
      </c>
      <c r="K309" s="177">
        <f>'[6]price list MAN'!P309</f>
        <v>1097250</v>
      </c>
      <c r="L309" s="177">
        <f>'[6]price list MAN'!R309</f>
        <v>1045000</v>
      </c>
      <c r="M309" s="174">
        <f>'[6]price list MAN'!S309</f>
        <v>1405000</v>
      </c>
      <c r="N309" s="174">
        <f>'[6]price list MAN'!Y309</f>
        <v>1123500</v>
      </c>
      <c r="O309" s="174">
        <f>'[6]price list MAN'!AA309</f>
        <v>1070000</v>
      </c>
      <c r="P309" s="68">
        <f t="shared" si="21"/>
        <v>0.23843416370106763</v>
      </c>
      <c r="Q309" s="62" t="e">
        <f>O309-#REF!</f>
        <v>#REF!</v>
      </c>
      <c r="W309" s="210"/>
      <c r="X309" s="210"/>
      <c r="Y309" s="210"/>
      <c r="Z309" s="210"/>
      <c r="AA309" s="210"/>
      <c r="AB309" s="210"/>
      <c r="AC309" s="210"/>
      <c r="AT309" s="425" t="str">
        <f t="shared" si="22"/>
        <v>KP0004892017Q415,9</v>
      </c>
      <c r="AU309" s="64" t="str">
        <f t="shared" si="23"/>
        <v>11-2017</v>
      </c>
      <c r="BA309" s="428" t="str">
        <f t="shared" si="24"/>
        <v>WIP - 30 Days</v>
      </c>
    </row>
    <row r="310" spans="1:245">
      <c r="B310" s="36">
        <f>'[6]price list MAN'!B310</f>
        <v>49081</v>
      </c>
      <c r="C310" s="10" t="str">
        <f>'[6]price list MAN'!C310</f>
        <v>TGM-25-2806X2BL-L</v>
      </c>
      <c r="D310" s="16" t="str">
        <f>IFERROR(VLOOKUP(C310&amp;"",'[7]Retail Price List'!$A$3:$B$103,2,FALSE),"Special Order")</f>
        <v>KP000489</v>
      </c>
      <c r="E310" s="494" t="str">
        <f>'[6]price list MAN'!E310</f>
        <v>CKD</v>
      </c>
      <c r="F310" s="11" t="str">
        <f>'[6]price list MAN'!F310</f>
        <v>2018-06-30</v>
      </c>
      <c r="G310" s="32">
        <f>'[6]price list MAN'!G310</f>
        <v>15.9</v>
      </c>
      <c r="H310" s="26">
        <f>'[6]price list MAN'!H310</f>
        <v>43069</v>
      </c>
      <c r="I310" s="51" t="str">
        <f t="shared" si="20"/>
        <v>2017Q4</v>
      </c>
      <c r="J310" s="177">
        <f>'[6]price list MAN'!J310</f>
        <v>1380000</v>
      </c>
      <c r="K310" s="177">
        <f>'[6]price list MAN'!P310</f>
        <v>1097250</v>
      </c>
      <c r="L310" s="177">
        <f>'[6]price list MAN'!R310</f>
        <v>1045000</v>
      </c>
      <c r="M310" s="174">
        <f>'[6]price list MAN'!S310</f>
        <v>1405000</v>
      </c>
      <c r="N310" s="174">
        <f>'[6]price list MAN'!Y310</f>
        <v>1123500</v>
      </c>
      <c r="O310" s="174">
        <f>'[6]price list MAN'!AA310</f>
        <v>1070000</v>
      </c>
      <c r="P310" s="68">
        <f t="shared" si="21"/>
        <v>0.23843416370106763</v>
      </c>
      <c r="Q310" s="62" t="e">
        <f>O310-#REF!</f>
        <v>#REF!</v>
      </c>
      <c r="W310" s="210"/>
      <c r="X310" s="210"/>
      <c r="Y310" s="210"/>
      <c r="Z310" s="210"/>
      <c r="AA310" s="210"/>
      <c r="AB310" s="210"/>
      <c r="AC310" s="210"/>
      <c r="AT310" s="425" t="str">
        <f t="shared" si="22"/>
        <v>KP0004892017Q415,9</v>
      </c>
      <c r="AU310" s="64" t="str">
        <f t="shared" si="23"/>
        <v>11-2017</v>
      </c>
      <c r="BA310" s="428" t="str">
        <f t="shared" si="24"/>
        <v>WIP - 30 Days</v>
      </c>
    </row>
    <row r="311" spans="1:245">
      <c r="B311" s="36">
        <f>'[6]price list MAN'!B311</f>
        <v>49082</v>
      </c>
      <c r="C311" s="10" t="str">
        <f>'[6]price list MAN'!C311</f>
        <v>TGM-25-2806X2BL-L</v>
      </c>
      <c r="D311" s="16" t="str">
        <f>IFERROR(VLOOKUP(C311&amp;"",'[7]Retail Price List'!$A$3:$B$103,2,FALSE),"Special Order")</f>
        <v>KP000489</v>
      </c>
      <c r="E311" s="494" t="str">
        <f>'[6]price list MAN'!E311</f>
        <v>CKD</v>
      </c>
      <c r="F311" s="11" t="str">
        <f>'[6]price list MAN'!F311</f>
        <v>2018-06-30</v>
      </c>
      <c r="G311" s="32">
        <f>'[6]price list MAN'!G311</f>
        <v>15.9</v>
      </c>
      <c r="H311" s="26">
        <f>'[6]price list MAN'!H311</f>
        <v>43069</v>
      </c>
      <c r="I311" s="51" t="str">
        <f t="shared" si="20"/>
        <v>2017Q4</v>
      </c>
      <c r="J311" s="177">
        <f>'[6]price list MAN'!J311</f>
        <v>1380000</v>
      </c>
      <c r="K311" s="177">
        <f>'[6]price list MAN'!P311</f>
        <v>1097250</v>
      </c>
      <c r="L311" s="177">
        <f>'[6]price list MAN'!R311</f>
        <v>1045000</v>
      </c>
      <c r="M311" s="174">
        <f>'[6]price list MAN'!S311</f>
        <v>1405000</v>
      </c>
      <c r="N311" s="174">
        <f>'[6]price list MAN'!Y311</f>
        <v>1123500</v>
      </c>
      <c r="O311" s="174">
        <f>'[6]price list MAN'!AA311</f>
        <v>1070000</v>
      </c>
      <c r="P311" s="68">
        <f t="shared" si="21"/>
        <v>0.23843416370106763</v>
      </c>
      <c r="Q311" s="62" t="e">
        <f>O311-#REF!</f>
        <v>#REF!</v>
      </c>
      <c r="W311" s="210"/>
      <c r="X311" s="210"/>
      <c r="Y311" s="210"/>
      <c r="Z311" s="210"/>
      <c r="AA311" s="210"/>
      <c r="AB311" s="210"/>
      <c r="AC311" s="210"/>
      <c r="AT311" s="425" t="str">
        <f t="shared" si="22"/>
        <v>KP0004892017Q415,9</v>
      </c>
      <c r="AU311" s="64" t="str">
        <f t="shared" si="23"/>
        <v>11-2017</v>
      </c>
      <c r="BA311" s="428" t="str">
        <f t="shared" si="24"/>
        <v>WIP - 30 Days</v>
      </c>
    </row>
    <row r="312" spans="1:245">
      <c r="B312" s="36">
        <f>'[6]price list MAN'!B312</f>
        <v>49083</v>
      </c>
      <c r="C312" s="10" t="str">
        <f>'[6]price list MAN'!C312</f>
        <v>TGM-25-2806X2BL-L</v>
      </c>
      <c r="D312" s="16" t="str">
        <f>IFERROR(VLOOKUP(C312&amp;"",'[7]Retail Price List'!$A$3:$B$103,2,FALSE),"Special Order")</f>
        <v>KP000489</v>
      </c>
      <c r="E312" s="494" t="str">
        <f>'[6]price list MAN'!E312</f>
        <v>CKD</v>
      </c>
      <c r="F312" s="11" t="str">
        <f>'[6]price list MAN'!F312</f>
        <v>2018-06-30</v>
      </c>
      <c r="G312" s="32">
        <f>'[6]price list MAN'!G312</f>
        <v>15.9</v>
      </c>
      <c r="H312" s="26">
        <f>'[6]price list MAN'!H312</f>
        <v>43069</v>
      </c>
      <c r="I312" s="51" t="str">
        <f t="shared" si="20"/>
        <v>2017Q4</v>
      </c>
      <c r="J312" s="177">
        <f>'[6]price list MAN'!J312</f>
        <v>1380000</v>
      </c>
      <c r="K312" s="177">
        <f>'[6]price list MAN'!P312</f>
        <v>1097250</v>
      </c>
      <c r="L312" s="177">
        <f>'[6]price list MAN'!R312</f>
        <v>1045000</v>
      </c>
      <c r="M312" s="174">
        <f>'[6]price list MAN'!S312</f>
        <v>1405000</v>
      </c>
      <c r="N312" s="174">
        <f>'[6]price list MAN'!Y312</f>
        <v>1123500</v>
      </c>
      <c r="O312" s="174">
        <f>'[6]price list MAN'!AA312</f>
        <v>1070000</v>
      </c>
      <c r="P312" s="68">
        <f t="shared" si="21"/>
        <v>0.23843416370106763</v>
      </c>
      <c r="Q312" s="62" t="e">
        <f>O312-#REF!</f>
        <v>#REF!</v>
      </c>
      <c r="W312" s="210"/>
      <c r="X312" s="210"/>
      <c r="Y312" s="210"/>
      <c r="Z312" s="210"/>
      <c r="AA312" s="210"/>
      <c r="AB312" s="210"/>
      <c r="AC312" s="210"/>
      <c r="AT312" s="425" t="str">
        <f t="shared" si="22"/>
        <v>KP0004892017Q415,9</v>
      </c>
      <c r="AU312" s="64" t="str">
        <f t="shared" si="23"/>
        <v>11-2017</v>
      </c>
      <c r="BA312" s="428" t="str">
        <f t="shared" si="24"/>
        <v>WIP - 30 Days</v>
      </c>
    </row>
    <row r="313" spans="1:245">
      <c r="B313" s="36">
        <f>'[6]price list MAN'!B313</f>
        <v>49084</v>
      </c>
      <c r="C313" s="10" t="str">
        <f>'[6]price list MAN'!C313</f>
        <v>TGM-25-2806X2BL-L</v>
      </c>
      <c r="D313" s="16" t="str">
        <f>IFERROR(VLOOKUP(C313&amp;"",'[7]Retail Price List'!$A$3:$B$103,2,FALSE),"Special Order")</f>
        <v>KP000489</v>
      </c>
      <c r="E313" s="494" t="str">
        <f>'[6]price list MAN'!E313</f>
        <v>CKD</v>
      </c>
      <c r="F313" s="11" t="str">
        <f>'[6]price list MAN'!F313</f>
        <v>2018-06-30</v>
      </c>
      <c r="G313" s="32">
        <f>'[6]price list MAN'!G313</f>
        <v>15.9</v>
      </c>
      <c r="H313" s="26">
        <f>'[6]price list MAN'!H313</f>
        <v>43069</v>
      </c>
      <c r="I313" s="51" t="str">
        <f t="shared" si="20"/>
        <v>2017Q4</v>
      </c>
      <c r="J313" s="177">
        <f>'[6]price list MAN'!J313</f>
        <v>1380000</v>
      </c>
      <c r="K313" s="177">
        <f>'[6]price list MAN'!P313</f>
        <v>1097250</v>
      </c>
      <c r="L313" s="177">
        <f>'[6]price list MAN'!R313</f>
        <v>1045000</v>
      </c>
      <c r="M313" s="174">
        <f>'[6]price list MAN'!S313</f>
        <v>1405000</v>
      </c>
      <c r="N313" s="174">
        <f>'[6]price list MAN'!Y313</f>
        <v>1123500</v>
      </c>
      <c r="O313" s="174">
        <f>'[6]price list MAN'!AA313</f>
        <v>1070000</v>
      </c>
      <c r="P313" s="68">
        <f t="shared" si="21"/>
        <v>0.23843416370106763</v>
      </c>
      <c r="Q313" s="62" t="e">
        <f>O313-#REF!</f>
        <v>#REF!</v>
      </c>
      <c r="W313" s="210"/>
      <c r="X313" s="210"/>
      <c r="Y313" s="210"/>
      <c r="Z313" s="210"/>
      <c r="AA313" s="210"/>
      <c r="AB313" s="210"/>
      <c r="AC313" s="210"/>
      <c r="AT313" s="425" t="str">
        <f t="shared" si="22"/>
        <v>KP0004892017Q415,9</v>
      </c>
      <c r="AU313" s="64" t="str">
        <f t="shared" si="23"/>
        <v>11-2017</v>
      </c>
      <c r="BA313" s="428" t="str">
        <f t="shared" si="24"/>
        <v>WIP - 30 Days</v>
      </c>
    </row>
    <row r="314" spans="1:245">
      <c r="B314" s="36">
        <f>'[6]price list MAN'!B314</f>
        <v>49085</v>
      </c>
      <c r="C314" s="10" t="str">
        <f>'[6]price list MAN'!C314</f>
        <v>TGM-25-2806X2BL-L</v>
      </c>
      <c r="D314" s="16" t="str">
        <f>IFERROR(VLOOKUP(C314&amp;"",'[7]Retail Price List'!$A$3:$B$103,2,FALSE),"Special Order")</f>
        <v>KP000489</v>
      </c>
      <c r="E314" s="494" t="str">
        <f>'[6]price list MAN'!E314</f>
        <v>CKD</v>
      </c>
      <c r="F314" s="11" t="str">
        <f>'[6]price list MAN'!F314</f>
        <v>2018-06-30</v>
      </c>
      <c r="G314" s="32">
        <f>'[6]price list MAN'!G314</f>
        <v>15.9</v>
      </c>
      <c r="H314" s="26">
        <f>'[6]price list MAN'!H314</f>
        <v>43069</v>
      </c>
      <c r="I314" s="51" t="str">
        <f t="shared" si="20"/>
        <v>2017Q4</v>
      </c>
      <c r="J314" s="177">
        <f>'[6]price list MAN'!J314</f>
        <v>1380000</v>
      </c>
      <c r="K314" s="177">
        <f>'[6]price list MAN'!P314</f>
        <v>1097250</v>
      </c>
      <c r="L314" s="177">
        <f>'[6]price list MAN'!R314</f>
        <v>1045000</v>
      </c>
      <c r="M314" s="174">
        <f>'[6]price list MAN'!S314</f>
        <v>1405000</v>
      </c>
      <c r="N314" s="174">
        <f>'[6]price list MAN'!Y314</f>
        <v>1123500</v>
      </c>
      <c r="O314" s="174">
        <f>'[6]price list MAN'!AA314</f>
        <v>1070000</v>
      </c>
      <c r="P314" s="68">
        <f t="shared" si="21"/>
        <v>0.23843416370106763</v>
      </c>
      <c r="Q314" s="62" t="e">
        <f>O314-#REF!</f>
        <v>#REF!</v>
      </c>
      <c r="W314" s="210"/>
      <c r="X314" s="210"/>
      <c r="Y314" s="210"/>
      <c r="Z314" s="210"/>
      <c r="AA314" s="210"/>
      <c r="AB314" s="210"/>
      <c r="AC314" s="210"/>
      <c r="AT314" s="425" t="str">
        <f t="shared" si="22"/>
        <v>KP0004892017Q415,9</v>
      </c>
      <c r="AU314" s="64" t="str">
        <f t="shared" si="23"/>
        <v>11-2017</v>
      </c>
      <c r="BA314" s="428" t="str">
        <f t="shared" si="24"/>
        <v>WIP - 30 Days</v>
      </c>
    </row>
    <row r="315" spans="1:245">
      <c r="B315" s="36">
        <f>'[6]price list MAN'!B315</f>
        <v>49086</v>
      </c>
      <c r="C315" s="10" t="str">
        <f>'[6]price list MAN'!C315</f>
        <v>TGM-25-2806X2BL-L</v>
      </c>
      <c r="D315" s="16" t="str">
        <f>IFERROR(VLOOKUP(C315&amp;"",'[7]Retail Price List'!$A$3:$B$103,2,FALSE),"Special Order")</f>
        <v>KP000489</v>
      </c>
      <c r="E315" s="494" t="str">
        <f>'[6]price list MAN'!E315</f>
        <v>CKD</v>
      </c>
      <c r="F315" s="11" t="str">
        <f>'[6]price list MAN'!F315</f>
        <v>2018-06-30</v>
      </c>
      <c r="G315" s="32">
        <f>'[6]price list MAN'!G315</f>
        <v>15.9</v>
      </c>
      <c r="H315" s="26">
        <f>'[6]price list MAN'!H315</f>
        <v>43069</v>
      </c>
      <c r="I315" s="51" t="str">
        <f t="shared" si="20"/>
        <v>2017Q4</v>
      </c>
      <c r="J315" s="177">
        <f>'[6]price list MAN'!J315</f>
        <v>1380000</v>
      </c>
      <c r="K315" s="177">
        <f>'[6]price list MAN'!P315</f>
        <v>1097250</v>
      </c>
      <c r="L315" s="177">
        <f>'[6]price list MAN'!R315</f>
        <v>1045000</v>
      </c>
      <c r="M315" s="174">
        <f>'[6]price list MAN'!S315</f>
        <v>1405000</v>
      </c>
      <c r="N315" s="174">
        <f>'[6]price list MAN'!Y315</f>
        <v>1123500</v>
      </c>
      <c r="O315" s="174">
        <f>'[6]price list MAN'!AA315</f>
        <v>1070000</v>
      </c>
      <c r="P315" s="68">
        <f t="shared" si="21"/>
        <v>0.23843416370106763</v>
      </c>
      <c r="Q315" s="62" t="e">
        <f>O315-#REF!</f>
        <v>#REF!</v>
      </c>
      <c r="W315" s="210"/>
      <c r="X315" s="210"/>
      <c r="Y315" s="210"/>
      <c r="Z315" s="210"/>
      <c r="AA315" s="210"/>
      <c r="AB315" s="210"/>
      <c r="AC315" s="210"/>
      <c r="AT315" s="425" t="str">
        <f t="shared" si="22"/>
        <v>KP0004892017Q415,9</v>
      </c>
      <c r="AU315" s="64" t="str">
        <f t="shared" si="23"/>
        <v>11-2017</v>
      </c>
      <c r="BA315" s="428" t="str">
        <f t="shared" si="24"/>
        <v>WIP - 30 Days</v>
      </c>
    </row>
    <row r="316" spans="1:245" s="4" customFormat="1">
      <c r="A316" s="41"/>
      <c r="B316" s="36">
        <f>'[6]price list MAN'!B316</f>
        <v>49087</v>
      </c>
      <c r="C316" s="10" t="str">
        <f>'[6]price list MAN'!C316</f>
        <v>TGM-25-2806X2BL-L</v>
      </c>
      <c r="D316" s="16" t="str">
        <f>IFERROR(VLOOKUP(C316&amp;"",'[7]Retail Price List'!$A$3:$B$103,2,FALSE),"Special Order")</f>
        <v>KP000489</v>
      </c>
      <c r="E316" s="494" t="str">
        <f>'[6]price list MAN'!E316</f>
        <v>CKD</v>
      </c>
      <c r="F316" s="11" t="str">
        <f>'[6]price list MAN'!F316</f>
        <v>2018-06-30</v>
      </c>
      <c r="G316" s="32">
        <f>'[6]price list MAN'!G316</f>
        <v>15.9</v>
      </c>
      <c r="H316" s="26">
        <f>'[6]price list MAN'!H316</f>
        <v>43069</v>
      </c>
      <c r="I316" s="51" t="str">
        <f t="shared" si="20"/>
        <v>2017Q4</v>
      </c>
      <c r="J316" s="177">
        <f>'[6]price list MAN'!J316</f>
        <v>1380000</v>
      </c>
      <c r="K316" s="177">
        <f>'[6]price list MAN'!P316</f>
        <v>1097250</v>
      </c>
      <c r="L316" s="177">
        <f>'[6]price list MAN'!R316</f>
        <v>1045000</v>
      </c>
      <c r="M316" s="174">
        <f>'[6]price list MAN'!S316</f>
        <v>1405000</v>
      </c>
      <c r="N316" s="174">
        <f>'[6]price list MAN'!Y316</f>
        <v>1123500</v>
      </c>
      <c r="O316" s="174">
        <f>'[6]price list MAN'!AA316</f>
        <v>1070000</v>
      </c>
      <c r="P316" s="68">
        <f t="shared" si="21"/>
        <v>0.23843416370106763</v>
      </c>
      <c r="Q316" s="62" t="e">
        <f>O316-#REF!</f>
        <v>#REF!</v>
      </c>
      <c r="R316" s="63" t="e">
        <f>SUM(Q302:Q315)/SUM(O302:O315)</f>
        <v>#REF!</v>
      </c>
      <c r="S316" s="64"/>
      <c r="T316" s="64"/>
      <c r="U316" s="64"/>
      <c r="V316" s="64"/>
      <c r="W316" s="210"/>
      <c r="X316" s="210"/>
      <c r="Y316" s="210"/>
      <c r="Z316" s="210"/>
      <c r="AA316" s="210"/>
      <c r="AB316" s="210"/>
      <c r="AC316" s="210"/>
      <c r="AD316" s="54"/>
      <c r="AE316" s="54"/>
      <c r="AF316" s="54"/>
      <c r="AG316" s="5"/>
      <c r="AH316" s="5"/>
      <c r="AI316" s="5"/>
      <c r="AJ316" s="5"/>
      <c r="AK316" s="5"/>
      <c r="AL316" s="5"/>
      <c r="AM316" s="5"/>
      <c r="AN316" s="5"/>
      <c r="AO316" s="5"/>
      <c r="AP316" s="5"/>
      <c r="AQ316" s="5"/>
      <c r="AR316" s="5"/>
      <c r="AS316" s="5"/>
      <c r="AT316" s="425" t="str">
        <f t="shared" si="22"/>
        <v>KP0004892017Q415,9</v>
      </c>
      <c r="AU316" s="64" t="str">
        <f t="shared" si="23"/>
        <v>11-2017</v>
      </c>
      <c r="AV316" s="64"/>
      <c r="AW316" s="64"/>
      <c r="AX316" s="64"/>
      <c r="AY316" s="64"/>
      <c r="AZ316" s="64"/>
      <c r="BA316" s="428" t="str">
        <f t="shared" si="24"/>
        <v>WIP - 30 Days</v>
      </c>
      <c r="BB316" s="169"/>
      <c r="BC316" s="169"/>
      <c r="BD316" s="169"/>
      <c r="BE316" s="41"/>
      <c r="BF316" s="41"/>
      <c r="BG316" s="41"/>
      <c r="BH316" s="41"/>
      <c r="BI316" s="41"/>
      <c r="BJ316" s="41"/>
      <c r="BK316" s="41"/>
      <c r="BL316" s="41"/>
      <c r="BM316" s="41"/>
      <c r="BN316" s="41"/>
      <c r="BO316" s="41"/>
      <c r="BP316" s="41"/>
      <c r="BQ316" s="41"/>
      <c r="BR316" s="41"/>
      <c r="BS316" s="41"/>
      <c r="BT316" s="41"/>
      <c r="BU316" s="41"/>
      <c r="BV316" s="41"/>
      <c r="BW316" s="41"/>
      <c r="BX316" s="41"/>
      <c r="BY316" s="41"/>
      <c r="BZ316" s="41"/>
      <c r="CA316" s="41"/>
      <c r="CB316" s="41"/>
      <c r="CC316" s="41"/>
      <c r="CD316" s="41"/>
      <c r="CE316" s="41"/>
      <c r="CF316" s="41"/>
      <c r="CG316" s="41"/>
      <c r="CH316" s="41"/>
      <c r="CI316" s="41"/>
      <c r="CJ316" s="41"/>
      <c r="CK316" s="41"/>
      <c r="CL316" s="41"/>
      <c r="CM316" s="41"/>
      <c r="CN316" s="41"/>
      <c r="CO316" s="41"/>
      <c r="CP316" s="41"/>
      <c r="CQ316" s="41"/>
      <c r="CR316" s="41"/>
      <c r="CS316" s="41"/>
      <c r="CT316" s="41"/>
      <c r="CU316" s="41"/>
      <c r="CV316" s="41"/>
      <c r="CW316" s="41"/>
      <c r="CX316" s="41"/>
      <c r="CY316" s="41"/>
      <c r="CZ316" s="41"/>
      <c r="DA316" s="41"/>
      <c r="DB316" s="41"/>
      <c r="DC316" s="41"/>
      <c r="DD316" s="41"/>
      <c r="DE316" s="41"/>
      <c r="DF316" s="41"/>
      <c r="DG316" s="41"/>
      <c r="DH316" s="41"/>
      <c r="DI316" s="41"/>
      <c r="DJ316" s="41"/>
      <c r="DK316" s="41"/>
      <c r="DL316" s="41"/>
      <c r="DM316" s="41"/>
      <c r="DN316" s="41"/>
      <c r="DO316" s="41"/>
      <c r="DP316" s="41"/>
      <c r="DQ316" s="41"/>
      <c r="DR316" s="41"/>
      <c r="DS316" s="41"/>
      <c r="DT316" s="41"/>
      <c r="DU316" s="41"/>
      <c r="DV316" s="41"/>
      <c r="DW316" s="41"/>
      <c r="DX316" s="41"/>
      <c r="DY316" s="41"/>
      <c r="DZ316" s="41"/>
      <c r="EA316" s="41"/>
      <c r="EB316" s="41"/>
      <c r="EC316" s="41"/>
      <c r="ED316" s="41"/>
      <c r="EE316" s="41"/>
      <c r="EF316" s="41"/>
      <c r="EG316" s="41"/>
      <c r="EH316" s="41"/>
      <c r="EI316" s="41"/>
      <c r="EJ316" s="41"/>
      <c r="EK316" s="41"/>
      <c r="EL316" s="41"/>
      <c r="EM316" s="41"/>
      <c r="EN316" s="41"/>
      <c r="EO316" s="41"/>
      <c r="EP316" s="41"/>
      <c r="EQ316" s="41"/>
      <c r="ER316" s="41"/>
      <c r="ES316" s="41"/>
      <c r="ET316" s="41"/>
      <c r="EU316" s="41"/>
      <c r="EV316" s="41"/>
      <c r="EW316" s="41"/>
      <c r="EX316" s="41"/>
      <c r="EY316" s="41"/>
      <c r="EZ316" s="41"/>
      <c r="FA316" s="41"/>
      <c r="FB316" s="41"/>
      <c r="FC316" s="41"/>
      <c r="FD316" s="41"/>
      <c r="FE316" s="41"/>
      <c r="FF316" s="41"/>
      <c r="FG316" s="41"/>
      <c r="FH316" s="41"/>
      <c r="FI316" s="41"/>
      <c r="FJ316" s="41"/>
      <c r="FK316" s="41"/>
      <c r="FL316" s="41"/>
      <c r="FM316" s="41"/>
      <c r="FN316" s="41"/>
      <c r="FO316" s="41"/>
      <c r="FP316" s="41"/>
      <c r="FQ316" s="41"/>
      <c r="FR316" s="41"/>
      <c r="FS316" s="41"/>
      <c r="FT316" s="41"/>
      <c r="FU316" s="41"/>
      <c r="FV316" s="41"/>
      <c r="FW316" s="41"/>
      <c r="FX316" s="41"/>
      <c r="FY316" s="41"/>
      <c r="FZ316" s="41"/>
      <c r="GA316" s="41"/>
      <c r="GB316" s="41"/>
      <c r="GC316" s="41"/>
      <c r="GD316" s="41"/>
      <c r="GE316" s="41"/>
      <c r="GF316" s="41"/>
      <c r="GG316" s="41"/>
      <c r="GH316" s="41"/>
      <c r="GI316" s="41"/>
      <c r="GJ316" s="41"/>
      <c r="GK316" s="41"/>
      <c r="GL316" s="41"/>
      <c r="GM316" s="41"/>
      <c r="GN316" s="41"/>
      <c r="GO316" s="41"/>
      <c r="GP316" s="41"/>
      <c r="GQ316" s="41"/>
      <c r="GR316" s="41"/>
      <c r="GS316" s="41"/>
      <c r="GT316" s="41"/>
      <c r="GU316" s="41"/>
      <c r="GV316" s="41"/>
      <c r="GW316" s="41"/>
      <c r="GX316" s="41"/>
      <c r="GY316" s="41"/>
      <c r="GZ316" s="41"/>
      <c r="HA316" s="41"/>
      <c r="HB316" s="41"/>
      <c r="HC316" s="41"/>
      <c r="HD316" s="41"/>
      <c r="HE316" s="41"/>
      <c r="HF316" s="41"/>
      <c r="HG316" s="41"/>
      <c r="HH316" s="41"/>
      <c r="HI316" s="41"/>
      <c r="HJ316" s="41"/>
      <c r="HK316" s="41"/>
      <c r="HL316" s="41"/>
      <c r="HM316" s="41"/>
      <c r="HN316" s="41"/>
      <c r="HO316" s="41"/>
      <c r="HP316" s="41"/>
      <c r="HQ316" s="41"/>
      <c r="HR316" s="41"/>
      <c r="HS316" s="41"/>
      <c r="HT316" s="41"/>
      <c r="HU316" s="41"/>
      <c r="HV316" s="41"/>
      <c r="HW316" s="41"/>
      <c r="HX316" s="41"/>
      <c r="HY316" s="41"/>
      <c r="HZ316" s="41"/>
      <c r="IA316" s="41"/>
      <c r="IB316" s="41"/>
      <c r="IC316" s="41"/>
      <c r="ID316" s="41"/>
      <c r="IE316" s="41"/>
      <c r="IF316" s="41"/>
      <c r="IG316" s="41"/>
      <c r="IH316" s="41"/>
      <c r="II316" s="41"/>
      <c r="IJ316" s="41"/>
      <c r="IK316" s="41"/>
    </row>
    <row r="317" spans="1:245">
      <c r="B317" s="36">
        <f>'[6]price list MAN'!B317</f>
        <v>49088</v>
      </c>
      <c r="C317" s="10" t="str">
        <f>'[6]price list MAN'!C317</f>
        <v>TGM-25-2806X2BL-L</v>
      </c>
      <c r="D317" s="16" t="str">
        <f>IFERROR(VLOOKUP(C317&amp;"",'[7]Retail Price List'!$A$3:$B$103,2,FALSE),"Special Order")</f>
        <v>KP000489</v>
      </c>
      <c r="E317" s="494" t="str">
        <f>'[6]price list MAN'!E317</f>
        <v>CKD</v>
      </c>
      <c r="F317" s="11" t="str">
        <f>'[6]price list MAN'!F317</f>
        <v>2018-06-30</v>
      </c>
      <c r="G317" s="32">
        <f>'[6]price list MAN'!G317</f>
        <v>15.9</v>
      </c>
      <c r="H317" s="26">
        <f>'[6]price list MAN'!H317</f>
        <v>43069</v>
      </c>
      <c r="I317" s="51" t="str">
        <f t="shared" si="20"/>
        <v>2017Q4</v>
      </c>
      <c r="J317" s="177">
        <f>'[6]price list MAN'!J317</f>
        <v>1380000</v>
      </c>
      <c r="K317" s="177">
        <f>'[6]price list MAN'!P317</f>
        <v>1097250</v>
      </c>
      <c r="L317" s="177">
        <f>'[6]price list MAN'!R317</f>
        <v>1045000</v>
      </c>
      <c r="M317" s="174">
        <f>'[6]price list MAN'!S317</f>
        <v>1405000</v>
      </c>
      <c r="N317" s="174">
        <f>'[6]price list MAN'!Y317</f>
        <v>1123500</v>
      </c>
      <c r="O317" s="174">
        <f>'[6]price list MAN'!AA317</f>
        <v>1070000</v>
      </c>
      <c r="P317" s="68">
        <f t="shared" si="21"/>
        <v>0.23843416370106763</v>
      </c>
      <c r="Q317" s="62" t="e">
        <f>O317-#REF!</f>
        <v>#REF!</v>
      </c>
      <c r="W317" s="210"/>
      <c r="X317" s="210"/>
      <c r="Y317" s="210"/>
      <c r="Z317" s="210"/>
      <c r="AA317" s="210"/>
      <c r="AB317" s="210"/>
      <c r="AC317" s="210"/>
      <c r="AT317" s="425" t="str">
        <f t="shared" si="22"/>
        <v>KP0004892017Q415,9</v>
      </c>
      <c r="AU317" s="64" t="str">
        <f t="shared" si="23"/>
        <v>11-2017</v>
      </c>
      <c r="BA317" s="428" t="str">
        <f t="shared" si="24"/>
        <v>WIP - 30 Days</v>
      </c>
    </row>
    <row r="318" spans="1:245">
      <c r="B318" s="36">
        <f>'[6]price list MAN'!B318</f>
        <v>49089</v>
      </c>
      <c r="C318" s="10" t="str">
        <f>'[6]price list MAN'!C318</f>
        <v>TGM-25-2806X2BL-L</v>
      </c>
      <c r="D318" s="16" t="str">
        <f>IFERROR(VLOOKUP(C318&amp;"",'[7]Retail Price List'!$A$3:$B$103,2,FALSE),"Special Order")</f>
        <v>KP000489</v>
      </c>
      <c r="E318" s="494" t="str">
        <f>'[6]price list MAN'!E318</f>
        <v>CKD</v>
      </c>
      <c r="F318" s="11" t="str">
        <f>'[6]price list MAN'!F318</f>
        <v>2018-07-30</v>
      </c>
      <c r="G318" s="32">
        <f>'[6]price list MAN'!G318</f>
        <v>15.9</v>
      </c>
      <c r="H318" s="26">
        <f>'[6]price list MAN'!H318</f>
        <v>43069</v>
      </c>
      <c r="I318" s="51" t="str">
        <f t="shared" si="20"/>
        <v>2017Q4</v>
      </c>
      <c r="J318" s="177">
        <f>'[6]price list MAN'!J318</f>
        <v>1380000</v>
      </c>
      <c r="K318" s="177">
        <f>'[6]price list MAN'!P318</f>
        <v>1097250</v>
      </c>
      <c r="L318" s="177">
        <f>'[6]price list MAN'!R318</f>
        <v>1045000</v>
      </c>
      <c r="M318" s="174">
        <f>'[6]price list MAN'!S318</f>
        <v>1405000</v>
      </c>
      <c r="N318" s="174">
        <f>'[6]price list MAN'!Y318</f>
        <v>1123500</v>
      </c>
      <c r="O318" s="174">
        <f>'[6]price list MAN'!AA318</f>
        <v>1070000</v>
      </c>
      <c r="P318" s="68">
        <f t="shared" si="21"/>
        <v>0.23843416370106763</v>
      </c>
      <c r="Q318" s="62" t="e">
        <f>O318-#REF!</f>
        <v>#REF!</v>
      </c>
      <c r="W318" s="210"/>
      <c r="X318" s="210"/>
      <c r="Y318" s="210"/>
      <c r="Z318" s="210"/>
      <c r="AA318" s="210"/>
      <c r="AB318" s="210"/>
      <c r="AC318" s="210"/>
      <c r="AT318" s="425" t="str">
        <f t="shared" si="22"/>
        <v>KP0004892017Q415,9</v>
      </c>
      <c r="AU318" s="64" t="str">
        <f t="shared" si="23"/>
        <v>11-2017</v>
      </c>
      <c r="BA318" s="428" t="str">
        <f t="shared" si="24"/>
        <v>WIP - 30 Days</v>
      </c>
    </row>
    <row r="319" spans="1:245">
      <c r="B319" s="36">
        <f>'[6]price list MAN'!B319</f>
        <v>49090</v>
      </c>
      <c r="C319" s="10" t="str">
        <f>'[6]price list MAN'!C319</f>
        <v>TGM-25-2806X2BL-L</v>
      </c>
      <c r="D319" s="16" t="str">
        <f>IFERROR(VLOOKUP(C319&amp;"",'[7]Retail Price List'!$A$3:$B$103,2,FALSE),"Special Order")</f>
        <v>KP000489</v>
      </c>
      <c r="E319" s="494" t="str">
        <f>'[6]price list MAN'!E319</f>
        <v>CKD</v>
      </c>
      <c r="F319" s="11" t="str">
        <f>'[6]price list MAN'!F319</f>
        <v>2018-07-30</v>
      </c>
      <c r="G319" s="32">
        <f>'[6]price list MAN'!G319</f>
        <v>15.9</v>
      </c>
      <c r="H319" s="26">
        <f>'[6]price list MAN'!H319</f>
        <v>43069</v>
      </c>
      <c r="I319" s="51" t="str">
        <f t="shared" si="20"/>
        <v>2017Q4</v>
      </c>
      <c r="J319" s="177">
        <f>'[6]price list MAN'!J319</f>
        <v>1380000</v>
      </c>
      <c r="K319" s="177">
        <f>'[6]price list MAN'!P319</f>
        <v>1097250</v>
      </c>
      <c r="L319" s="177">
        <f>'[6]price list MAN'!R319</f>
        <v>1045000</v>
      </c>
      <c r="M319" s="174">
        <f>'[6]price list MAN'!S319</f>
        <v>1405000</v>
      </c>
      <c r="N319" s="174">
        <f>'[6]price list MAN'!Y319</f>
        <v>1123500</v>
      </c>
      <c r="O319" s="174">
        <f>'[6]price list MAN'!AA319</f>
        <v>1070000</v>
      </c>
      <c r="P319" s="68">
        <f t="shared" si="21"/>
        <v>0.23843416370106763</v>
      </c>
      <c r="Q319" s="62" t="e">
        <f>O319-#REF!</f>
        <v>#REF!</v>
      </c>
      <c r="W319" s="210"/>
      <c r="X319" s="210"/>
      <c r="Y319" s="210"/>
      <c r="Z319" s="210"/>
      <c r="AA319" s="210"/>
      <c r="AB319" s="210"/>
      <c r="AC319" s="210"/>
      <c r="AT319" s="425" t="str">
        <f t="shared" si="22"/>
        <v>KP0004892017Q415,9</v>
      </c>
      <c r="AU319" s="64" t="str">
        <f t="shared" si="23"/>
        <v>11-2017</v>
      </c>
      <c r="BA319" s="428" t="str">
        <f t="shared" si="24"/>
        <v>WIP - 30 Days</v>
      </c>
    </row>
    <row r="320" spans="1:245">
      <c r="B320" s="36">
        <f>'[6]price list MAN'!B320</f>
        <v>49091</v>
      </c>
      <c r="C320" s="10" t="str">
        <f>'[6]price list MAN'!C320</f>
        <v>TGM-25-2806X2BL-L</v>
      </c>
      <c r="D320" s="16" t="str">
        <f>IFERROR(VLOOKUP(C320&amp;"",'[7]Retail Price List'!$A$3:$B$103,2,FALSE),"Special Order")</f>
        <v>KP000489</v>
      </c>
      <c r="E320" s="494" t="str">
        <f>'[6]price list MAN'!E320</f>
        <v>CKD</v>
      </c>
      <c r="F320" s="11" t="str">
        <f>'[6]price list MAN'!F320</f>
        <v>2018-07-30</v>
      </c>
      <c r="G320" s="32">
        <f>'[6]price list MAN'!G320</f>
        <v>15.9</v>
      </c>
      <c r="H320" s="26">
        <f>'[6]price list MAN'!H320</f>
        <v>43069</v>
      </c>
      <c r="I320" s="51" t="str">
        <f t="shared" si="20"/>
        <v>2017Q4</v>
      </c>
      <c r="J320" s="177">
        <f>'[6]price list MAN'!J320</f>
        <v>1380000</v>
      </c>
      <c r="K320" s="177">
        <f>'[6]price list MAN'!P320</f>
        <v>1097250</v>
      </c>
      <c r="L320" s="177">
        <f>'[6]price list MAN'!R320</f>
        <v>1045000</v>
      </c>
      <c r="M320" s="174">
        <f>'[6]price list MAN'!S320</f>
        <v>1405000</v>
      </c>
      <c r="N320" s="174">
        <f>'[6]price list MAN'!Y320</f>
        <v>1123500</v>
      </c>
      <c r="O320" s="174">
        <f>'[6]price list MAN'!AA320</f>
        <v>1070000</v>
      </c>
      <c r="P320" s="68">
        <f t="shared" si="21"/>
        <v>0.23843416370106763</v>
      </c>
      <c r="Q320" s="62" t="e">
        <f>O320-#REF!</f>
        <v>#REF!</v>
      </c>
      <c r="S320" s="64">
        <f>COUNT(#REF!)</f>
        <v>0</v>
      </c>
      <c r="W320" s="210"/>
      <c r="X320" s="210"/>
      <c r="Y320" s="210"/>
      <c r="Z320" s="210"/>
      <c r="AA320" s="210"/>
      <c r="AB320" s="210"/>
      <c r="AC320" s="210"/>
      <c r="AT320" s="425" t="str">
        <f t="shared" si="22"/>
        <v>KP0004892017Q415,9</v>
      </c>
      <c r="AU320" s="64" t="str">
        <f t="shared" si="23"/>
        <v>11-2017</v>
      </c>
      <c r="BA320" s="428" t="str">
        <f t="shared" si="24"/>
        <v>WIP - 30 Days</v>
      </c>
    </row>
    <row r="321" spans="2:53">
      <c r="B321" s="36">
        <f>'[6]price list MAN'!B321</f>
        <v>49092</v>
      </c>
      <c r="C321" s="10" t="str">
        <f>'[6]price list MAN'!C321</f>
        <v>TGM-25-2806X2BL-L</v>
      </c>
      <c r="D321" s="16" t="str">
        <f>IFERROR(VLOOKUP(C321&amp;"",'[7]Retail Price List'!$A$3:$B$103,2,FALSE),"Special Order")</f>
        <v>KP000489</v>
      </c>
      <c r="E321" s="494" t="str">
        <f>'[6]price list MAN'!E321</f>
        <v>CKD</v>
      </c>
      <c r="F321" s="11" t="str">
        <f>'[6]price list MAN'!F321</f>
        <v>2018-07-30</v>
      </c>
      <c r="G321" s="32">
        <f>'[6]price list MAN'!G321</f>
        <v>15.9</v>
      </c>
      <c r="H321" s="26">
        <f>'[6]price list MAN'!H321</f>
        <v>43069</v>
      </c>
      <c r="I321" s="51" t="str">
        <f t="shared" si="20"/>
        <v>2017Q4</v>
      </c>
      <c r="J321" s="177">
        <f>'[6]price list MAN'!J321</f>
        <v>1380000</v>
      </c>
      <c r="K321" s="177">
        <f>'[6]price list MAN'!P321</f>
        <v>1097250</v>
      </c>
      <c r="L321" s="177">
        <f>'[6]price list MAN'!R321</f>
        <v>1045000</v>
      </c>
      <c r="M321" s="174">
        <f>'[6]price list MAN'!S321</f>
        <v>1405000</v>
      </c>
      <c r="N321" s="174">
        <f>'[6]price list MAN'!Y321</f>
        <v>1123500</v>
      </c>
      <c r="O321" s="174">
        <f>'[6]price list MAN'!AA321</f>
        <v>1070000</v>
      </c>
      <c r="P321" s="68">
        <f t="shared" si="21"/>
        <v>0.23843416370106763</v>
      </c>
      <c r="Q321" s="62" t="e">
        <f>O321-#REF!</f>
        <v>#REF!</v>
      </c>
      <c r="S321" s="62" t="e">
        <f>+AVERAGE(#REF!)</f>
        <v>#REF!</v>
      </c>
      <c r="W321" s="210"/>
      <c r="X321" s="210"/>
      <c r="Y321" s="210"/>
      <c r="Z321" s="210"/>
      <c r="AA321" s="210"/>
      <c r="AB321" s="210"/>
      <c r="AC321" s="210"/>
      <c r="AT321" s="425" t="str">
        <f t="shared" si="22"/>
        <v>KP0004892017Q415,9</v>
      </c>
      <c r="AU321" s="64" t="str">
        <f t="shared" si="23"/>
        <v>11-2017</v>
      </c>
      <c r="BA321" s="428" t="str">
        <f t="shared" si="24"/>
        <v>WIP - 30 Days</v>
      </c>
    </row>
    <row r="322" spans="2:53">
      <c r="B322" s="36">
        <f>'[6]price list MAN'!B322</f>
        <v>49093</v>
      </c>
      <c r="C322" s="10" t="str">
        <f>'[6]price list MAN'!C322</f>
        <v>TGM-25-2806X2BL-L</v>
      </c>
      <c r="D322" s="16" t="str">
        <f>IFERROR(VLOOKUP(C322&amp;"",'[7]Retail Price List'!$A$3:$B$103,2,FALSE),"Special Order")</f>
        <v>KP000489</v>
      </c>
      <c r="E322" s="494" t="str">
        <f>'[6]price list MAN'!E322</f>
        <v>CKD</v>
      </c>
      <c r="F322" s="11" t="str">
        <f>'[6]price list MAN'!F322</f>
        <v>2018-07-30</v>
      </c>
      <c r="G322" s="32">
        <f>'[6]price list MAN'!G322</f>
        <v>15.9</v>
      </c>
      <c r="H322" s="26">
        <f>'[6]price list MAN'!H322</f>
        <v>43069</v>
      </c>
      <c r="I322" s="51" t="str">
        <f t="shared" si="20"/>
        <v>2017Q4</v>
      </c>
      <c r="J322" s="177">
        <f>'[6]price list MAN'!J322</f>
        <v>1380000</v>
      </c>
      <c r="K322" s="177">
        <f>'[6]price list MAN'!P322</f>
        <v>1097250</v>
      </c>
      <c r="L322" s="177">
        <f>'[6]price list MAN'!R322</f>
        <v>1045000</v>
      </c>
      <c r="M322" s="174">
        <f>'[6]price list MAN'!S322</f>
        <v>1405000</v>
      </c>
      <c r="N322" s="174">
        <f>'[6]price list MAN'!Y322</f>
        <v>1123500</v>
      </c>
      <c r="O322" s="174">
        <f>'[6]price list MAN'!AA322</f>
        <v>1070000</v>
      </c>
      <c r="P322" s="68">
        <f t="shared" si="21"/>
        <v>0.23843416370106763</v>
      </c>
      <c r="Q322" s="62" t="e">
        <f>O322-#REF!</f>
        <v>#REF!</v>
      </c>
      <c r="W322" s="210"/>
      <c r="X322" s="210"/>
      <c r="Y322" s="210"/>
      <c r="Z322" s="210"/>
      <c r="AA322" s="210"/>
      <c r="AB322" s="210"/>
      <c r="AC322" s="210"/>
      <c r="AT322" s="425" t="str">
        <f t="shared" si="22"/>
        <v>KP0004892017Q415,9</v>
      </c>
      <c r="AU322" s="64" t="str">
        <f t="shared" si="23"/>
        <v>11-2017</v>
      </c>
      <c r="BA322" s="428" t="str">
        <f t="shared" si="24"/>
        <v>WIP - 30 Days</v>
      </c>
    </row>
    <row r="323" spans="2:53">
      <c r="B323" s="36">
        <f>'[6]price list MAN'!B323</f>
        <v>49094</v>
      </c>
      <c r="C323" s="10" t="str">
        <f>'[6]price list MAN'!C323</f>
        <v>TGM-25-2806X2BL-L</v>
      </c>
      <c r="D323" s="16" t="str">
        <f>IFERROR(VLOOKUP(C323&amp;"",'[7]Retail Price List'!$A$3:$B$103,2,FALSE),"Special Order")</f>
        <v>KP000489</v>
      </c>
      <c r="E323" s="494" t="str">
        <f>'[6]price list MAN'!E323</f>
        <v>CKD</v>
      </c>
      <c r="F323" s="11" t="str">
        <f>'[6]price list MAN'!F323</f>
        <v>2018-07-30</v>
      </c>
      <c r="G323" s="32">
        <f>'[6]price list MAN'!G323</f>
        <v>15.9</v>
      </c>
      <c r="H323" s="26">
        <f>'[6]price list MAN'!H323</f>
        <v>43069</v>
      </c>
      <c r="I323" s="51" t="str">
        <f t="shared" si="20"/>
        <v>2017Q4</v>
      </c>
      <c r="J323" s="177">
        <f>'[6]price list MAN'!J323</f>
        <v>1380000</v>
      </c>
      <c r="K323" s="177">
        <f>'[6]price list MAN'!P323</f>
        <v>1097250</v>
      </c>
      <c r="L323" s="177">
        <f>'[6]price list MAN'!R323</f>
        <v>1045000</v>
      </c>
      <c r="M323" s="174">
        <f>'[6]price list MAN'!S323</f>
        <v>1405000</v>
      </c>
      <c r="N323" s="174">
        <f>'[6]price list MAN'!Y323</f>
        <v>1123500</v>
      </c>
      <c r="O323" s="174">
        <f>'[6]price list MAN'!AA323</f>
        <v>1070000</v>
      </c>
      <c r="P323" s="68">
        <f t="shared" si="21"/>
        <v>0.23843416370106763</v>
      </c>
      <c r="Q323" s="62" t="e">
        <f>O323-#REF!</f>
        <v>#REF!</v>
      </c>
      <c r="W323" s="210"/>
      <c r="X323" s="210"/>
      <c r="Y323" s="210"/>
      <c r="Z323" s="210"/>
      <c r="AA323" s="210"/>
      <c r="AB323" s="210"/>
      <c r="AC323" s="210"/>
      <c r="AT323" s="425" t="str">
        <f t="shared" si="22"/>
        <v>KP0004892017Q415,9</v>
      </c>
      <c r="AU323" s="64" t="str">
        <f t="shared" si="23"/>
        <v>11-2017</v>
      </c>
      <c r="BA323" s="428" t="str">
        <f t="shared" si="24"/>
        <v>WIP - 30 Days</v>
      </c>
    </row>
    <row r="324" spans="2:53">
      <c r="B324" s="36">
        <f>'[6]price list MAN'!B324</f>
        <v>49095</v>
      </c>
      <c r="C324" s="10" t="str">
        <f>'[6]price list MAN'!C324</f>
        <v>TGM-25-2806X2BL-L</v>
      </c>
      <c r="D324" s="16" t="str">
        <f>IFERROR(VLOOKUP(C324&amp;"",'[7]Retail Price List'!$A$3:$B$103,2,FALSE),"Special Order")</f>
        <v>KP000489</v>
      </c>
      <c r="E324" s="494" t="str">
        <f>'[6]price list MAN'!E324</f>
        <v>CKD</v>
      </c>
      <c r="F324" s="11" t="str">
        <f>'[6]price list MAN'!F324</f>
        <v>2018-07-30</v>
      </c>
      <c r="G324" s="32">
        <f>'[6]price list MAN'!G324</f>
        <v>15.9</v>
      </c>
      <c r="H324" s="26">
        <f>'[6]price list MAN'!H324</f>
        <v>43069</v>
      </c>
      <c r="I324" s="51" t="str">
        <f t="shared" si="20"/>
        <v>2017Q4</v>
      </c>
      <c r="J324" s="177">
        <f>'[6]price list MAN'!J324</f>
        <v>1380000</v>
      </c>
      <c r="K324" s="177">
        <f>'[6]price list MAN'!P324</f>
        <v>1097250</v>
      </c>
      <c r="L324" s="177">
        <f>'[6]price list MAN'!R324</f>
        <v>1045000</v>
      </c>
      <c r="M324" s="174">
        <f>'[6]price list MAN'!S324</f>
        <v>1405000</v>
      </c>
      <c r="N324" s="174">
        <f>'[6]price list MAN'!Y324</f>
        <v>1123500</v>
      </c>
      <c r="O324" s="174">
        <f>'[6]price list MAN'!AA324</f>
        <v>1070000</v>
      </c>
      <c r="P324" s="68">
        <f t="shared" si="21"/>
        <v>0.23843416370106763</v>
      </c>
      <c r="Q324" s="62" t="e">
        <f>O324-#REF!</f>
        <v>#REF!</v>
      </c>
      <c r="W324" s="210"/>
      <c r="X324" s="210"/>
      <c r="Y324" s="210"/>
      <c r="Z324" s="210"/>
      <c r="AA324" s="210"/>
      <c r="AB324" s="210"/>
      <c r="AC324" s="210"/>
      <c r="AT324" s="425" t="str">
        <f t="shared" si="22"/>
        <v>KP0004892017Q415,9</v>
      </c>
      <c r="AU324" s="64" t="str">
        <f t="shared" si="23"/>
        <v>11-2017</v>
      </c>
      <c r="BA324" s="428" t="str">
        <f t="shared" si="24"/>
        <v>WIP - 30 Days</v>
      </c>
    </row>
    <row r="325" spans="2:53">
      <c r="B325" s="36">
        <f>'[6]price list MAN'!B325</f>
        <v>49096</v>
      </c>
      <c r="C325" s="10" t="str">
        <f>'[6]price list MAN'!C325</f>
        <v>TGM-25-2806X2BL-L</v>
      </c>
      <c r="D325" s="16" t="str">
        <f>IFERROR(VLOOKUP(C325&amp;"",'[7]Retail Price List'!$A$3:$B$103,2,FALSE),"Special Order")</f>
        <v>KP000489</v>
      </c>
      <c r="E325" s="494" t="str">
        <f>'[6]price list MAN'!E325</f>
        <v>CKD</v>
      </c>
      <c r="F325" s="11" t="str">
        <f>'[6]price list MAN'!F325</f>
        <v>2018-07-30</v>
      </c>
      <c r="G325" s="32">
        <f>'[6]price list MAN'!G325</f>
        <v>15.9</v>
      </c>
      <c r="H325" s="26">
        <f>'[6]price list MAN'!H325</f>
        <v>43069</v>
      </c>
      <c r="I325" s="51" t="str">
        <f t="shared" ref="I325:I388" si="25">IFERROR(VLOOKUP(AU325,$AW$5:$AY$40,3,FALSE),"")</f>
        <v>2017Q4</v>
      </c>
      <c r="J325" s="177">
        <f>'[6]price list MAN'!J325</f>
        <v>1380000</v>
      </c>
      <c r="K325" s="177">
        <f>'[6]price list MAN'!P325</f>
        <v>1097250</v>
      </c>
      <c r="L325" s="177">
        <f>'[6]price list MAN'!R325</f>
        <v>1045000</v>
      </c>
      <c r="M325" s="174">
        <f>'[6]price list MAN'!S325</f>
        <v>1405000</v>
      </c>
      <c r="N325" s="174">
        <f>'[6]price list MAN'!Y325</f>
        <v>1123500</v>
      </c>
      <c r="O325" s="174">
        <f>'[6]price list MAN'!AA325</f>
        <v>1070000</v>
      </c>
      <c r="P325" s="68">
        <f t="shared" ref="P325:P388" si="26">(M325-O325)/M325</f>
        <v>0.23843416370106763</v>
      </c>
      <c r="Q325" s="62" t="e">
        <f>O325-#REF!</f>
        <v>#REF!</v>
      </c>
      <c r="W325" s="210"/>
      <c r="X325" s="210"/>
      <c r="Y325" s="210"/>
      <c r="Z325" s="210"/>
      <c r="AA325" s="210"/>
      <c r="AB325" s="210"/>
      <c r="AC325" s="210"/>
      <c r="AT325" s="425" t="str">
        <f t="shared" ref="AT325:AT388" si="27">D325&amp;I325&amp;G325</f>
        <v>KP0004892017Q415,9</v>
      </c>
      <c r="AU325" s="64" t="str">
        <f t="shared" ref="AU325:AU388" si="28">IF(MONTH(H325)&lt;10,0&amp;MONTH(H325)&amp;"-"&amp;YEAR(H325),MONTH(H325)&amp;"-"&amp;YEAR(H325))</f>
        <v>11-2017</v>
      </c>
      <c r="BA325" s="428" t="str">
        <f t="shared" ref="BA325:BA388" si="29">IF(B325=0,"",IF(AND(F325&gt;=31,F325&lt;=120),"31-120 Days",IF(AND(F325&gt;=121,F325&lt;=365),"121-365 Days",IF(OR(E325="CKD",F325&lt;=30),"WIP - 30 Days","&gt;365 Days"))))</f>
        <v>WIP - 30 Days</v>
      </c>
    </row>
    <row r="326" spans="2:53">
      <c r="B326" s="36">
        <f>'[6]price list MAN'!B326</f>
        <v>49097</v>
      </c>
      <c r="C326" s="10" t="str">
        <f>'[6]price list MAN'!C326</f>
        <v>TGM-25-2806X2BL-L</v>
      </c>
      <c r="D326" s="16" t="str">
        <f>IFERROR(VLOOKUP(C326&amp;"",'[7]Retail Price List'!$A$3:$B$103,2,FALSE),"Special Order")</f>
        <v>KP000489</v>
      </c>
      <c r="E326" s="494" t="str">
        <f>'[6]price list MAN'!E326</f>
        <v>CKD</v>
      </c>
      <c r="F326" s="11" t="str">
        <f>'[6]price list MAN'!F326</f>
        <v>2018-07-30</v>
      </c>
      <c r="G326" s="32">
        <f>'[6]price list MAN'!G326</f>
        <v>15.9</v>
      </c>
      <c r="H326" s="26">
        <f>'[6]price list MAN'!H326</f>
        <v>43069</v>
      </c>
      <c r="I326" s="51" t="str">
        <f t="shared" si="25"/>
        <v>2017Q4</v>
      </c>
      <c r="J326" s="177">
        <f>'[6]price list MAN'!J326</f>
        <v>1380000</v>
      </c>
      <c r="K326" s="177">
        <f>'[6]price list MAN'!P326</f>
        <v>1097250</v>
      </c>
      <c r="L326" s="177">
        <f>'[6]price list MAN'!R326</f>
        <v>1045000</v>
      </c>
      <c r="M326" s="174">
        <f>'[6]price list MAN'!S326</f>
        <v>1405000</v>
      </c>
      <c r="N326" s="174">
        <f>'[6]price list MAN'!Y326</f>
        <v>1123500</v>
      </c>
      <c r="O326" s="174">
        <f>'[6]price list MAN'!AA326</f>
        <v>1070000</v>
      </c>
      <c r="P326" s="68">
        <f t="shared" si="26"/>
        <v>0.23843416370106763</v>
      </c>
      <c r="Q326" s="62" t="e">
        <f>O326-#REF!</f>
        <v>#REF!</v>
      </c>
      <c r="W326" s="210"/>
      <c r="X326" s="210"/>
      <c r="Y326" s="210"/>
      <c r="Z326" s="210"/>
      <c r="AA326" s="210"/>
      <c r="AB326" s="210"/>
      <c r="AC326" s="210"/>
      <c r="AT326" s="425" t="str">
        <f t="shared" si="27"/>
        <v>KP0004892017Q415,9</v>
      </c>
      <c r="AU326" s="64" t="str">
        <f t="shared" si="28"/>
        <v>11-2017</v>
      </c>
      <c r="BA326" s="428" t="str">
        <f t="shared" si="29"/>
        <v>WIP - 30 Days</v>
      </c>
    </row>
    <row r="327" spans="2:53">
      <c r="B327" s="36">
        <f>'[6]price list MAN'!B327</f>
        <v>49098</v>
      </c>
      <c r="C327" s="10" t="str">
        <f>'[6]price list MAN'!C327</f>
        <v>TGM-25-2806X2BL-L</v>
      </c>
      <c r="D327" s="16" t="str">
        <f>IFERROR(VLOOKUP(C327&amp;"",'[7]Retail Price List'!$A$3:$B$103,2,FALSE),"Special Order")</f>
        <v>KP000489</v>
      </c>
      <c r="E327" s="494" t="str">
        <f>'[6]price list MAN'!E327</f>
        <v>CKD</v>
      </c>
      <c r="F327" s="11" t="str">
        <f>'[6]price list MAN'!F327</f>
        <v>2018-07-30</v>
      </c>
      <c r="G327" s="32">
        <f>'[6]price list MAN'!G327</f>
        <v>15.9</v>
      </c>
      <c r="H327" s="26">
        <f>'[6]price list MAN'!H327</f>
        <v>43069</v>
      </c>
      <c r="I327" s="51" t="str">
        <f t="shared" si="25"/>
        <v>2017Q4</v>
      </c>
      <c r="J327" s="177">
        <f>'[6]price list MAN'!J327</f>
        <v>1380000</v>
      </c>
      <c r="K327" s="177">
        <f>'[6]price list MAN'!P327</f>
        <v>1097250</v>
      </c>
      <c r="L327" s="177">
        <f>'[6]price list MAN'!R327</f>
        <v>1045000</v>
      </c>
      <c r="M327" s="174">
        <f>'[6]price list MAN'!S327</f>
        <v>1405000</v>
      </c>
      <c r="N327" s="174">
        <f>'[6]price list MAN'!Y327</f>
        <v>1123500</v>
      </c>
      <c r="O327" s="174">
        <f>'[6]price list MAN'!AA327</f>
        <v>1070000</v>
      </c>
      <c r="P327" s="68">
        <f t="shared" si="26"/>
        <v>0.23843416370106763</v>
      </c>
      <c r="Q327" s="62" t="e">
        <f>O327-#REF!</f>
        <v>#REF!</v>
      </c>
      <c r="W327" s="210"/>
      <c r="X327" s="210"/>
      <c r="Y327" s="210"/>
      <c r="Z327" s="210"/>
      <c r="AA327" s="210"/>
      <c r="AB327" s="210"/>
      <c r="AC327" s="210"/>
      <c r="AT327" s="425" t="str">
        <f t="shared" si="27"/>
        <v>KP0004892017Q415,9</v>
      </c>
      <c r="AU327" s="64" t="str">
        <f t="shared" si="28"/>
        <v>11-2017</v>
      </c>
      <c r="BA327" s="428" t="str">
        <f t="shared" si="29"/>
        <v>WIP - 30 Days</v>
      </c>
    </row>
    <row r="328" spans="2:53">
      <c r="B328" s="36">
        <f>'[6]price list MAN'!B328</f>
        <v>49099</v>
      </c>
      <c r="C328" s="10" t="str">
        <f>'[6]price list MAN'!C328</f>
        <v>TGM-25-2806X2BL-L</v>
      </c>
      <c r="D328" s="16" t="str">
        <f>IFERROR(VLOOKUP(C328&amp;"",'[7]Retail Price List'!$A$3:$B$103,2,FALSE),"Special Order")</f>
        <v>KP000489</v>
      </c>
      <c r="E328" s="494" t="str">
        <f>'[6]price list MAN'!E328</f>
        <v>CKD</v>
      </c>
      <c r="F328" s="11" t="str">
        <f>'[6]price list MAN'!F328</f>
        <v>2018-08-30</v>
      </c>
      <c r="G328" s="32">
        <f>'[6]price list MAN'!G328</f>
        <v>15.9</v>
      </c>
      <c r="H328" s="26">
        <f>'[6]price list MAN'!H328</f>
        <v>43069</v>
      </c>
      <c r="I328" s="51" t="str">
        <f t="shared" si="25"/>
        <v>2017Q4</v>
      </c>
      <c r="J328" s="177">
        <f>'[6]price list MAN'!J328</f>
        <v>1380000</v>
      </c>
      <c r="K328" s="177">
        <f>'[6]price list MAN'!P328</f>
        <v>1097250</v>
      </c>
      <c r="L328" s="177">
        <f>'[6]price list MAN'!R328</f>
        <v>1045000</v>
      </c>
      <c r="M328" s="174">
        <f>'[6]price list MAN'!S328</f>
        <v>1405000</v>
      </c>
      <c r="N328" s="174">
        <f>'[6]price list MAN'!Y328</f>
        <v>1123500</v>
      </c>
      <c r="O328" s="174">
        <f>'[6]price list MAN'!AA328</f>
        <v>1070000</v>
      </c>
      <c r="P328" s="68">
        <f t="shared" si="26"/>
        <v>0.23843416370106763</v>
      </c>
      <c r="Q328" s="62" t="e">
        <f>O328-#REF!</f>
        <v>#REF!</v>
      </c>
      <c r="W328" s="210"/>
      <c r="X328" s="210"/>
      <c r="Y328" s="210"/>
      <c r="Z328" s="210"/>
      <c r="AA328" s="210"/>
      <c r="AB328" s="210"/>
      <c r="AC328" s="210"/>
      <c r="AT328" s="425" t="str">
        <f t="shared" si="27"/>
        <v>KP0004892017Q415,9</v>
      </c>
      <c r="AU328" s="64" t="str">
        <f t="shared" si="28"/>
        <v>11-2017</v>
      </c>
      <c r="BA328" s="428" t="str">
        <f t="shared" si="29"/>
        <v>WIP - 30 Days</v>
      </c>
    </row>
    <row r="329" spans="2:53">
      <c r="B329" s="36">
        <f>'[6]price list MAN'!B329</f>
        <v>49100</v>
      </c>
      <c r="C329" s="10" t="str">
        <f>'[6]price list MAN'!C329</f>
        <v>TGM-25-2806X2BL-L</v>
      </c>
      <c r="D329" s="16" t="str">
        <f>IFERROR(VLOOKUP(C329&amp;"",'[7]Retail Price List'!$A$3:$B$103,2,FALSE),"Special Order")</f>
        <v>KP000489</v>
      </c>
      <c r="E329" s="494" t="str">
        <f>'[6]price list MAN'!E329</f>
        <v>CKD</v>
      </c>
      <c r="F329" s="11" t="str">
        <f>'[6]price list MAN'!F329</f>
        <v>2018-08-30</v>
      </c>
      <c r="G329" s="32">
        <f>'[6]price list MAN'!G329</f>
        <v>15.9</v>
      </c>
      <c r="H329" s="26">
        <f>'[6]price list MAN'!H329</f>
        <v>43069</v>
      </c>
      <c r="I329" s="51" t="str">
        <f t="shared" si="25"/>
        <v>2017Q4</v>
      </c>
      <c r="J329" s="177">
        <f>'[6]price list MAN'!J329</f>
        <v>1380000</v>
      </c>
      <c r="K329" s="177">
        <f>'[6]price list MAN'!P329</f>
        <v>1097250</v>
      </c>
      <c r="L329" s="177">
        <f>'[6]price list MAN'!R329</f>
        <v>1045000</v>
      </c>
      <c r="M329" s="174">
        <f>'[6]price list MAN'!S329</f>
        <v>1405000</v>
      </c>
      <c r="N329" s="174">
        <f>'[6]price list MAN'!Y329</f>
        <v>1123500</v>
      </c>
      <c r="O329" s="174">
        <f>'[6]price list MAN'!AA329</f>
        <v>1070000</v>
      </c>
      <c r="P329" s="68">
        <f t="shared" si="26"/>
        <v>0.23843416370106763</v>
      </c>
      <c r="Q329" s="62" t="e">
        <f>O329-#REF!</f>
        <v>#REF!</v>
      </c>
      <c r="W329" s="210"/>
      <c r="X329" s="210"/>
      <c r="Y329" s="210"/>
      <c r="Z329" s="210"/>
      <c r="AA329" s="210"/>
      <c r="AB329" s="210"/>
      <c r="AC329" s="210"/>
      <c r="AT329" s="425" t="str">
        <f t="shared" si="27"/>
        <v>KP0004892017Q415,9</v>
      </c>
      <c r="AU329" s="64" t="str">
        <f t="shared" si="28"/>
        <v>11-2017</v>
      </c>
      <c r="BA329" s="428" t="str">
        <f t="shared" si="29"/>
        <v>WIP - 30 Days</v>
      </c>
    </row>
    <row r="330" spans="2:53">
      <c r="B330" s="36">
        <f>'[6]price list MAN'!B330</f>
        <v>49101</v>
      </c>
      <c r="C330" s="10" t="str">
        <f>'[6]price list MAN'!C330</f>
        <v>TGM-25-2806X2BL-L</v>
      </c>
      <c r="D330" s="16" t="str">
        <f>IFERROR(VLOOKUP(C330&amp;"",'[7]Retail Price List'!$A$3:$B$103,2,FALSE),"Special Order")</f>
        <v>KP000489</v>
      </c>
      <c r="E330" s="494" t="str">
        <f>'[6]price list MAN'!E330</f>
        <v>CKD</v>
      </c>
      <c r="F330" s="11" t="str">
        <f>'[6]price list MAN'!F330</f>
        <v>2018-08-30</v>
      </c>
      <c r="G330" s="32">
        <f>'[6]price list MAN'!G330</f>
        <v>15.9</v>
      </c>
      <c r="H330" s="26">
        <f>'[6]price list MAN'!H330</f>
        <v>43069</v>
      </c>
      <c r="I330" s="51" t="str">
        <f t="shared" si="25"/>
        <v>2017Q4</v>
      </c>
      <c r="J330" s="177">
        <f>'[6]price list MAN'!J330</f>
        <v>1380000</v>
      </c>
      <c r="K330" s="177">
        <f>'[6]price list MAN'!P330</f>
        <v>1097250</v>
      </c>
      <c r="L330" s="177">
        <f>'[6]price list MAN'!R330</f>
        <v>1045000</v>
      </c>
      <c r="M330" s="174">
        <f>'[6]price list MAN'!S330</f>
        <v>1405000</v>
      </c>
      <c r="N330" s="174">
        <f>'[6]price list MAN'!Y330</f>
        <v>1123500</v>
      </c>
      <c r="O330" s="174">
        <f>'[6]price list MAN'!AA330</f>
        <v>1070000</v>
      </c>
      <c r="P330" s="68">
        <f t="shared" si="26"/>
        <v>0.23843416370106763</v>
      </c>
      <c r="Q330" s="62" t="e">
        <f>O330-#REF!</f>
        <v>#REF!</v>
      </c>
      <c r="W330" s="210"/>
      <c r="X330" s="210"/>
      <c r="Y330" s="210"/>
      <c r="Z330" s="210"/>
      <c r="AA330" s="210"/>
      <c r="AB330" s="210"/>
      <c r="AC330" s="210"/>
      <c r="AT330" s="425" t="str">
        <f t="shared" si="27"/>
        <v>KP0004892017Q415,9</v>
      </c>
      <c r="AU330" s="64" t="str">
        <f t="shared" si="28"/>
        <v>11-2017</v>
      </c>
      <c r="BA330" s="428" t="str">
        <f t="shared" si="29"/>
        <v>WIP - 30 Days</v>
      </c>
    </row>
    <row r="331" spans="2:53">
      <c r="B331" s="36">
        <f>'[6]price list MAN'!B331</f>
        <v>49102</v>
      </c>
      <c r="C331" s="10" t="str">
        <f>'[6]price list MAN'!C331</f>
        <v>TGM-25-2806X2BL-L</v>
      </c>
      <c r="D331" s="16" t="str">
        <f>IFERROR(VLOOKUP(C331&amp;"",'[7]Retail Price List'!$A$3:$B$103,2,FALSE),"Special Order")</f>
        <v>KP000489</v>
      </c>
      <c r="E331" s="494" t="str">
        <f>'[6]price list MAN'!E331</f>
        <v>CKD</v>
      </c>
      <c r="F331" s="11" t="str">
        <f>'[6]price list MAN'!F331</f>
        <v>2018-08-30</v>
      </c>
      <c r="G331" s="32">
        <f>'[6]price list MAN'!G331</f>
        <v>15.9</v>
      </c>
      <c r="H331" s="26">
        <f>'[6]price list MAN'!H331</f>
        <v>43069</v>
      </c>
      <c r="I331" s="51" t="str">
        <f t="shared" si="25"/>
        <v>2017Q4</v>
      </c>
      <c r="J331" s="177">
        <f>'[6]price list MAN'!J331</f>
        <v>1380000</v>
      </c>
      <c r="K331" s="177">
        <f>'[6]price list MAN'!P331</f>
        <v>1097250</v>
      </c>
      <c r="L331" s="177">
        <f>'[6]price list MAN'!R331</f>
        <v>1045000</v>
      </c>
      <c r="M331" s="174">
        <f>'[6]price list MAN'!S331</f>
        <v>1405000</v>
      </c>
      <c r="N331" s="174">
        <f>'[6]price list MAN'!Y331</f>
        <v>1123500</v>
      </c>
      <c r="O331" s="174">
        <f>'[6]price list MAN'!AA331</f>
        <v>1070000</v>
      </c>
      <c r="P331" s="68">
        <f t="shared" si="26"/>
        <v>0.23843416370106763</v>
      </c>
      <c r="Q331" s="62" t="e">
        <f>O331-#REF!</f>
        <v>#REF!</v>
      </c>
      <c r="W331" s="210"/>
      <c r="X331" s="210"/>
      <c r="Y331" s="210"/>
      <c r="Z331" s="210"/>
      <c r="AA331" s="210"/>
      <c r="AB331" s="210"/>
      <c r="AC331" s="210"/>
      <c r="AT331" s="425" t="str">
        <f t="shared" si="27"/>
        <v>KP0004892017Q415,9</v>
      </c>
      <c r="AU331" s="64" t="str">
        <f t="shared" si="28"/>
        <v>11-2017</v>
      </c>
      <c r="BA331" s="428" t="str">
        <f t="shared" si="29"/>
        <v>WIP - 30 Days</v>
      </c>
    </row>
    <row r="332" spans="2:53">
      <c r="B332" s="36">
        <f>'[6]price list MAN'!B332</f>
        <v>49103</v>
      </c>
      <c r="C332" s="10" t="str">
        <f>'[6]price list MAN'!C332</f>
        <v>TGM-25-2806X2BL-L</v>
      </c>
      <c r="D332" s="16" t="str">
        <f>IFERROR(VLOOKUP(C332&amp;"",'[7]Retail Price List'!$A$3:$B$103,2,FALSE),"Special Order")</f>
        <v>KP000489</v>
      </c>
      <c r="E332" s="494" t="str">
        <f>'[6]price list MAN'!E332</f>
        <v>CKD</v>
      </c>
      <c r="F332" s="11" t="str">
        <f>'[6]price list MAN'!F332</f>
        <v>2018-08-30</v>
      </c>
      <c r="G332" s="32">
        <f>'[6]price list MAN'!G332</f>
        <v>15.9</v>
      </c>
      <c r="H332" s="26">
        <f>'[6]price list MAN'!H332</f>
        <v>43069</v>
      </c>
      <c r="I332" s="51" t="str">
        <f t="shared" si="25"/>
        <v>2017Q4</v>
      </c>
      <c r="J332" s="177">
        <f>'[6]price list MAN'!J332</f>
        <v>1380000</v>
      </c>
      <c r="K332" s="177">
        <f>'[6]price list MAN'!P332</f>
        <v>1097250</v>
      </c>
      <c r="L332" s="177">
        <f>'[6]price list MAN'!R332</f>
        <v>1045000</v>
      </c>
      <c r="M332" s="174">
        <f>'[6]price list MAN'!S332</f>
        <v>1405000</v>
      </c>
      <c r="N332" s="174">
        <f>'[6]price list MAN'!Y332</f>
        <v>1123500</v>
      </c>
      <c r="O332" s="174">
        <f>'[6]price list MAN'!AA332</f>
        <v>1070000</v>
      </c>
      <c r="P332" s="68">
        <f t="shared" si="26"/>
        <v>0.23843416370106763</v>
      </c>
      <c r="Q332" s="62" t="e">
        <f>O332-#REF!</f>
        <v>#REF!</v>
      </c>
      <c r="W332" s="210"/>
      <c r="X332" s="210"/>
      <c r="Y332" s="210"/>
      <c r="Z332" s="210"/>
      <c r="AA332" s="210"/>
      <c r="AB332" s="210"/>
      <c r="AC332" s="210"/>
      <c r="AT332" s="425" t="str">
        <f t="shared" si="27"/>
        <v>KP0004892017Q415,9</v>
      </c>
      <c r="AU332" s="64" t="str">
        <f t="shared" si="28"/>
        <v>11-2017</v>
      </c>
      <c r="BA332" s="428" t="str">
        <f t="shared" si="29"/>
        <v>WIP - 30 Days</v>
      </c>
    </row>
    <row r="333" spans="2:53">
      <c r="B333" s="36">
        <f>'[6]price list MAN'!B333</f>
        <v>49104</v>
      </c>
      <c r="C333" s="10" t="str">
        <f>'[6]price list MAN'!C333</f>
        <v>TGM-25-2806X2BL-L</v>
      </c>
      <c r="D333" s="16" t="str">
        <f>IFERROR(VLOOKUP(C333&amp;"",'[7]Retail Price List'!$A$3:$B$103,2,FALSE),"Special Order")</f>
        <v>KP000489</v>
      </c>
      <c r="E333" s="494" t="str">
        <f>'[6]price list MAN'!E333</f>
        <v>CKD</v>
      </c>
      <c r="F333" s="11" t="str">
        <f>'[6]price list MAN'!F333</f>
        <v>2018-08-30</v>
      </c>
      <c r="G333" s="32">
        <f>'[6]price list MAN'!G333</f>
        <v>15.9</v>
      </c>
      <c r="H333" s="26">
        <f>'[6]price list MAN'!H333</f>
        <v>43069</v>
      </c>
      <c r="I333" s="51" t="str">
        <f t="shared" si="25"/>
        <v>2017Q4</v>
      </c>
      <c r="J333" s="177">
        <f>'[6]price list MAN'!J333</f>
        <v>1380000</v>
      </c>
      <c r="K333" s="177">
        <f>'[6]price list MAN'!P333</f>
        <v>1097250</v>
      </c>
      <c r="L333" s="177">
        <f>'[6]price list MAN'!R333</f>
        <v>1045000</v>
      </c>
      <c r="M333" s="174">
        <f>'[6]price list MAN'!S333</f>
        <v>1405000</v>
      </c>
      <c r="N333" s="174">
        <f>'[6]price list MAN'!Y333</f>
        <v>1123500</v>
      </c>
      <c r="O333" s="174">
        <f>'[6]price list MAN'!AA333</f>
        <v>1070000</v>
      </c>
      <c r="P333" s="68">
        <f t="shared" si="26"/>
        <v>0.23843416370106763</v>
      </c>
      <c r="Q333" s="62" t="e">
        <f>O333-#REF!</f>
        <v>#REF!</v>
      </c>
      <c r="W333" s="210"/>
      <c r="X333" s="210"/>
      <c r="Y333" s="210"/>
      <c r="Z333" s="210"/>
      <c r="AA333" s="210"/>
      <c r="AB333" s="210"/>
      <c r="AC333" s="210"/>
      <c r="AT333" s="425" t="str">
        <f t="shared" si="27"/>
        <v>KP0004892017Q415,9</v>
      </c>
      <c r="AU333" s="64" t="str">
        <f t="shared" si="28"/>
        <v>11-2017</v>
      </c>
      <c r="BA333" s="428" t="str">
        <f t="shared" si="29"/>
        <v>WIP - 30 Days</v>
      </c>
    </row>
    <row r="334" spans="2:53">
      <c r="B334" s="36">
        <f>'[6]price list MAN'!B334</f>
        <v>49105</v>
      </c>
      <c r="C334" s="10" t="str">
        <f>'[6]price list MAN'!C334</f>
        <v>TGM-25-2806X2BL-L</v>
      </c>
      <c r="D334" s="16" t="str">
        <f>IFERROR(VLOOKUP(C334&amp;"",'[7]Retail Price List'!$A$3:$B$103,2,FALSE),"Special Order")</f>
        <v>KP000489</v>
      </c>
      <c r="E334" s="494" t="str">
        <f>'[6]price list MAN'!E334</f>
        <v>CKD</v>
      </c>
      <c r="F334" s="11" t="str">
        <f>'[6]price list MAN'!F334</f>
        <v>2018-08-30</v>
      </c>
      <c r="G334" s="32">
        <f>'[6]price list MAN'!G334</f>
        <v>15.9</v>
      </c>
      <c r="H334" s="26">
        <f>'[6]price list MAN'!H334</f>
        <v>43069</v>
      </c>
      <c r="I334" s="51" t="str">
        <f t="shared" si="25"/>
        <v>2017Q4</v>
      </c>
      <c r="J334" s="177">
        <f>'[6]price list MAN'!J334</f>
        <v>1380000</v>
      </c>
      <c r="K334" s="177">
        <f>'[6]price list MAN'!P334</f>
        <v>1097250</v>
      </c>
      <c r="L334" s="177">
        <f>'[6]price list MAN'!R334</f>
        <v>1045000</v>
      </c>
      <c r="M334" s="174">
        <f>'[6]price list MAN'!S334</f>
        <v>1405000</v>
      </c>
      <c r="N334" s="174">
        <f>'[6]price list MAN'!Y334</f>
        <v>1123500</v>
      </c>
      <c r="O334" s="174">
        <f>'[6]price list MAN'!AA334</f>
        <v>1070000</v>
      </c>
      <c r="P334" s="68">
        <f t="shared" si="26"/>
        <v>0.23843416370106763</v>
      </c>
      <c r="Q334" s="62" t="e">
        <f>O334-#REF!</f>
        <v>#REF!</v>
      </c>
      <c r="W334" s="210"/>
      <c r="X334" s="210"/>
      <c r="Y334" s="210"/>
      <c r="Z334" s="210"/>
      <c r="AA334" s="210"/>
      <c r="AB334" s="210"/>
      <c r="AC334" s="210"/>
      <c r="AT334" s="425" t="str">
        <f t="shared" si="27"/>
        <v>KP0004892017Q415,9</v>
      </c>
      <c r="AU334" s="64" t="str">
        <f t="shared" si="28"/>
        <v>11-2017</v>
      </c>
      <c r="BA334" s="428" t="str">
        <f t="shared" si="29"/>
        <v>WIP - 30 Days</v>
      </c>
    </row>
    <row r="335" spans="2:53">
      <c r="B335" s="36">
        <f>'[6]price list MAN'!B335</f>
        <v>49106</v>
      </c>
      <c r="C335" s="10" t="str">
        <f>'[6]price list MAN'!C335</f>
        <v>TGM-25-2806X2BL-L</v>
      </c>
      <c r="D335" s="16" t="str">
        <f>IFERROR(VLOOKUP(C335&amp;"",'[7]Retail Price List'!$A$3:$B$103,2,FALSE),"Special Order")</f>
        <v>KP000489</v>
      </c>
      <c r="E335" s="494" t="str">
        <f>'[6]price list MAN'!E335</f>
        <v>CKD</v>
      </c>
      <c r="F335" s="11" t="str">
        <f>'[6]price list MAN'!F335</f>
        <v>2018-08-30</v>
      </c>
      <c r="G335" s="32">
        <f>'[6]price list MAN'!G335</f>
        <v>15.9</v>
      </c>
      <c r="H335" s="26">
        <f>'[6]price list MAN'!H335</f>
        <v>43069</v>
      </c>
      <c r="I335" s="51" t="str">
        <f t="shared" si="25"/>
        <v>2017Q4</v>
      </c>
      <c r="J335" s="177">
        <f>'[6]price list MAN'!J335</f>
        <v>1380000</v>
      </c>
      <c r="K335" s="177">
        <f>'[6]price list MAN'!P335</f>
        <v>1097250</v>
      </c>
      <c r="L335" s="177">
        <f>'[6]price list MAN'!R335</f>
        <v>1045000</v>
      </c>
      <c r="M335" s="174">
        <f>'[6]price list MAN'!S335</f>
        <v>1405000</v>
      </c>
      <c r="N335" s="174">
        <f>'[6]price list MAN'!Y335</f>
        <v>1123500</v>
      </c>
      <c r="O335" s="174">
        <f>'[6]price list MAN'!AA335</f>
        <v>1070000</v>
      </c>
      <c r="P335" s="68">
        <f t="shared" si="26"/>
        <v>0.23843416370106763</v>
      </c>
      <c r="Q335" s="62" t="e">
        <f>O335-#REF!</f>
        <v>#REF!</v>
      </c>
      <c r="W335" s="210"/>
      <c r="X335" s="210"/>
      <c r="Y335" s="210"/>
      <c r="Z335" s="210"/>
      <c r="AA335" s="210"/>
      <c r="AB335" s="210"/>
      <c r="AC335" s="210"/>
      <c r="AT335" s="425" t="str">
        <f t="shared" si="27"/>
        <v>KP0004892017Q415,9</v>
      </c>
      <c r="AU335" s="64" t="str">
        <f t="shared" si="28"/>
        <v>11-2017</v>
      </c>
      <c r="BA335" s="428" t="str">
        <f t="shared" si="29"/>
        <v>WIP - 30 Days</v>
      </c>
    </row>
    <row r="336" spans="2:53">
      <c r="B336" s="36">
        <f>'[6]price list MAN'!B336</f>
        <v>49107</v>
      </c>
      <c r="C336" s="10" t="str">
        <f>'[6]price list MAN'!C336</f>
        <v>TGM-25-2806X2BL-L</v>
      </c>
      <c r="D336" s="16" t="str">
        <f>IFERROR(VLOOKUP(C336&amp;"",'[7]Retail Price List'!$A$3:$B$103,2,FALSE),"Special Order")</f>
        <v>KP000489</v>
      </c>
      <c r="E336" s="494" t="str">
        <f>'[6]price list MAN'!E336</f>
        <v>CKD</v>
      </c>
      <c r="F336" s="11" t="str">
        <f>'[6]price list MAN'!F336</f>
        <v>2018-08-30</v>
      </c>
      <c r="G336" s="32">
        <f>'[6]price list MAN'!G336</f>
        <v>15.9</v>
      </c>
      <c r="H336" s="26">
        <f>'[6]price list MAN'!H336</f>
        <v>43069</v>
      </c>
      <c r="I336" s="51" t="str">
        <f t="shared" si="25"/>
        <v>2017Q4</v>
      </c>
      <c r="J336" s="177">
        <f>'[6]price list MAN'!J336</f>
        <v>1380000</v>
      </c>
      <c r="K336" s="177">
        <f>'[6]price list MAN'!P336</f>
        <v>1097250</v>
      </c>
      <c r="L336" s="177">
        <f>'[6]price list MAN'!R336</f>
        <v>1045000</v>
      </c>
      <c r="M336" s="174">
        <f>'[6]price list MAN'!S336</f>
        <v>1405000</v>
      </c>
      <c r="N336" s="174">
        <f>'[6]price list MAN'!Y336</f>
        <v>1123500</v>
      </c>
      <c r="O336" s="174">
        <f>'[6]price list MAN'!AA336</f>
        <v>1070000</v>
      </c>
      <c r="P336" s="68">
        <f t="shared" si="26"/>
        <v>0.23843416370106763</v>
      </c>
      <c r="Q336" s="62" t="e">
        <f>O336-#REF!</f>
        <v>#REF!</v>
      </c>
      <c r="W336" s="210"/>
      <c r="X336" s="210"/>
      <c r="Y336" s="210"/>
      <c r="Z336" s="210"/>
      <c r="AA336" s="210"/>
      <c r="AB336" s="210"/>
      <c r="AC336" s="210"/>
      <c r="AT336" s="425" t="str">
        <f t="shared" si="27"/>
        <v>KP0004892017Q415,9</v>
      </c>
      <c r="AU336" s="64" t="str">
        <f t="shared" si="28"/>
        <v>11-2017</v>
      </c>
      <c r="BA336" s="428" t="str">
        <f t="shared" si="29"/>
        <v>WIP - 30 Days</v>
      </c>
    </row>
    <row r="337" spans="1:245">
      <c r="B337" s="36">
        <f>'[6]price list MAN'!B337</f>
        <v>49108</v>
      </c>
      <c r="C337" s="10" t="str">
        <f>'[6]price list MAN'!C337</f>
        <v>TGM-25-2806X2BL-L</v>
      </c>
      <c r="D337" s="16" t="str">
        <f>IFERROR(VLOOKUP(C337&amp;"",'[7]Retail Price List'!$A$3:$B$103,2,FALSE),"Special Order")</f>
        <v>KP000489</v>
      </c>
      <c r="E337" s="494" t="str">
        <f>'[6]price list MAN'!E337</f>
        <v>CKD</v>
      </c>
      <c r="F337" s="11" t="str">
        <f>'[6]price list MAN'!F337</f>
        <v>2018-08-30</v>
      </c>
      <c r="G337" s="32">
        <f>'[6]price list MAN'!G337</f>
        <v>15.9</v>
      </c>
      <c r="H337" s="26">
        <f>'[6]price list MAN'!H337</f>
        <v>43069</v>
      </c>
      <c r="I337" s="51" t="str">
        <f t="shared" si="25"/>
        <v>2017Q4</v>
      </c>
      <c r="J337" s="177">
        <f>'[6]price list MAN'!J337</f>
        <v>1380000</v>
      </c>
      <c r="K337" s="177">
        <f>'[6]price list MAN'!P337</f>
        <v>1097250</v>
      </c>
      <c r="L337" s="177">
        <f>'[6]price list MAN'!R337</f>
        <v>1045000</v>
      </c>
      <c r="M337" s="174">
        <f>'[6]price list MAN'!S337</f>
        <v>1405000</v>
      </c>
      <c r="N337" s="174">
        <f>'[6]price list MAN'!Y337</f>
        <v>1123500</v>
      </c>
      <c r="O337" s="174">
        <f>'[6]price list MAN'!AA337</f>
        <v>1070000</v>
      </c>
      <c r="P337" s="68">
        <f t="shared" si="26"/>
        <v>0.23843416370106763</v>
      </c>
      <c r="Q337" s="62" t="e">
        <f>O337-#REF!</f>
        <v>#REF!</v>
      </c>
      <c r="W337" s="210"/>
      <c r="X337" s="210"/>
      <c r="Y337" s="210"/>
      <c r="Z337" s="210"/>
      <c r="AA337" s="210"/>
      <c r="AB337" s="210"/>
      <c r="AC337" s="210"/>
      <c r="AT337" s="425" t="str">
        <f t="shared" si="27"/>
        <v>KP0004892017Q415,9</v>
      </c>
      <c r="AU337" s="64" t="str">
        <f t="shared" si="28"/>
        <v>11-2017</v>
      </c>
      <c r="BA337" s="428" t="str">
        <f t="shared" si="29"/>
        <v>WIP - 30 Days</v>
      </c>
    </row>
    <row r="338" spans="1:245">
      <c r="B338" s="36">
        <f>'[6]price list MAN'!B338</f>
        <v>49109</v>
      </c>
      <c r="C338" s="10" t="str">
        <f>'[6]price list MAN'!C338</f>
        <v>TGM-25-2806X2BL-L</v>
      </c>
      <c r="D338" s="16" t="str">
        <f>IFERROR(VLOOKUP(C338&amp;"",'[7]Retail Price List'!$A$3:$B$103,2,FALSE),"Special Order")</f>
        <v>KP000489</v>
      </c>
      <c r="E338" s="494" t="str">
        <f>'[6]price list MAN'!E338</f>
        <v>CKD</v>
      </c>
      <c r="F338" s="11" t="str">
        <f>'[6]price list MAN'!F338</f>
        <v>2018-09-30</v>
      </c>
      <c r="G338" s="32">
        <f>'[6]price list MAN'!G338</f>
        <v>15.9</v>
      </c>
      <c r="H338" s="26">
        <f>'[6]price list MAN'!H338</f>
        <v>43069</v>
      </c>
      <c r="I338" s="51" t="str">
        <f t="shared" si="25"/>
        <v>2017Q4</v>
      </c>
      <c r="J338" s="177">
        <f>'[6]price list MAN'!J338</f>
        <v>1380000</v>
      </c>
      <c r="K338" s="177">
        <f>'[6]price list MAN'!P338</f>
        <v>1097250</v>
      </c>
      <c r="L338" s="177">
        <f>'[6]price list MAN'!R338</f>
        <v>1045000</v>
      </c>
      <c r="M338" s="174">
        <f>'[6]price list MAN'!S338</f>
        <v>1405000</v>
      </c>
      <c r="N338" s="174">
        <f>'[6]price list MAN'!Y338</f>
        <v>1123500</v>
      </c>
      <c r="O338" s="174">
        <f>'[6]price list MAN'!AA338</f>
        <v>1070000</v>
      </c>
      <c r="P338" s="68">
        <f t="shared" si="26"/>
        <v>0.23843416370106763</v>
      </c>
      <c r="Q338" s="62" t="e">
        <f>O338-#REF!</f>
        <v>#REF!</v>
      </c>
      <c r="W338" s="210"/>
      <c r="X338" s="210"/>
      <c r="Y338" s="210"/>
      <c r="Z338" s="210"/>
      <c r="AA338" s="210"/>
      <c r="AB338" s="210"/>
      <c r="AC338" s="210"/>
      <c r="AT338" s="425" t="str">
        <f t="shared" si="27"/>
        <v>KP0004892017Q415,9</v>
      </c>
      <c r="AU338" s="64" t="str">
        <f t="shared" si="28"/>
        <v>11-2017</v>
      </c>
      <c r="BA338" s="428" t="str">
        <f t="shared" si="29"/>
        <v>WIP - 30 Days</v>
      </c>
    </row>
    <row r="339" spans="1:245">
      <c r="B339" s="36">
        <f>'[6]price list MAN'!B339</f>
        <v>49110</v>
      </c>
      <c r="C339" s="10" t="str">
        <f>'[6]price list MAN'!C339</f>
        <v>TGM-25-2806X2BL-L</v>
      </c>
      <c r="D339" s="16" t="str">
        <f>IFERROR(VLOOKUP(C339&amp;"",'[7]Retail Price List'!$A$3:$B$103,2,FALSE),"Special Order")</f>
        <v>KP000489</v>
      </c>
      <c r="E339" s="494" t="str">
        <f>'[6]price list MAN'!E339</f>
        <v>CKD</v>
      </c>
      <c r="F339" s="11" t="str">
        <f>'[6]price list MAN'!F339</f>
        <v>2018-09-30</v>
      </c>
      <c r="G339" s="32">
        <f>'[6]price list MAN'!G339</f>
        <v>15.9</v>
      </c>
      <c r="H339" s="26">
        <f>'[6]price list MAN'!H339</f>
        <v>43069</v>
      </c>
      <c r="I339" s="51" t="str">
        <f t="shared" si="25"/>
        <v>2017Q4</v>
      </c>
      <c r="J339" s="177">
        <f>'[6]price list MAN'!J339</f>
        <v>1380000</v>
      </c>
      <c r="K339" s="177">
        <f>'[6]price list MAN'!P339</f>
        <v>1097250</v>
      </c>
      <c r="L339" s="177">
        <f>'[6]price list MAN'!R339</f>
        <v>1045000</v>
      </c>
      <c r="M339" s="174">
        <f>'[6]price list MAN'!S339</f>
        <v>1405000</v>
      </c>
      <c r="N339" s="174">
        <f>'[6]price list MAN'!Y339</f>
        <v>1123500</v>
      </c>
      <c r="O339" s="174">
        <f>'[6]price list MAN'!AA339</f>
        <v>1070000</v>
      </c>
      <c r="P339" s="68">
        <f t="shared" si="26"/>
        <v>0.23843416370106763</v>
      </c>
      <c r="Q339" s="62" t="e">
        <f>O339-#REF!</f>
        <v>#REF!</v>
      </c>
      <c r="W339" s="210"/>
      <c r="X339" s="210"/>
      <c r="Y339" s="210"/>
      <c r="Z339" s="210"/>
      <c r="AA339" s="210"/>
      <c r="AB339" s="210"/>
      <c r="AC339" s="210"/>
      <c r="AT339" s="425" t="str">
        <f t="shared" si="27"/>
        <v>KP0004892017Q415,9</v>
      </c>
      <c r="AU339" s="64" t="str">
        <f t="shared" si="28"/>
        <v>11-2017</v>
      </c>
      <c r="BA339" s="428" t="str">
        <f t="shared" si="29"/>
        <v>WIP - 30 Days</v>
      </c>
    </row>
    <row r="340" spans="1:245">
      <c r="B340" s="36">
        <f>'[6]price list MAN'!B340</f>
        <v>49111</v>
      </c>
      <c r="C340" s="10" t="str">
        <f>'[6]price list MAN'!C340</f>
        <v>TGM-25-2806X2BL-L</v>
      </c>
      <c r="D340" s="16" t="str">
        <f>IFERROR(VLOOKUP(C340&amp;"",'[7]Retail Price List'!$A$3:$B$103,2,FALSE),"Special Order")</f>
        <v>KP000489</v>
      </c>
      <c r="E340" s="494" t="str">
        <f>'[6]price list MAN'!E340</f>
        <v>CKD</v>
      </c>
      <c r="F340" s="11" t="str">
        <f>'[6]price list MAN'!F340</f>
        <v>2018-09-30</v>
      </c>
      <c r="G340" s="32">
        <f>'[6]price list MAN'!G340</f>
        <v>15.9</v>
      </c>
      <c r="H340" s="26">
        <f>'[6]price list MAN'!H340</f>
        <v>43069</v>
      </c>
      <c r="I340" s="51" t="str">
        <f t="shared" si="25"/>
        <v>2017Q4</v>
      </c>
      <c r="J340" s="177">
        <f>'[6]price list MAN'!J340</f>
        <v>1380000</v>
      </c>
      <c r="K340" s="177">
        <f>'[6]price list MAN'!P340</f>
        <v>1097250</v>
      </c>
      <c r="L340" s="177">
        <f>'[6]price list MAN'!R340</f>
        <v>1045000</v>
      </c>
      <c r="M340" s="174">
        <f>'[6]price list MAN'!S340</f>
        <v>1405000</v>
      </c>
      <c r="N340" s="174">
        <f>'[6]price list MAN'!Y340</f>
        <v>1123500</v>
      </c>
      <c r="O340" s="174">
        <f>'[6]price list MAN'!AA340</f>
        <v>1070000</v>
      </c>
      <c r="P340" s="68">
        <f t="shared" si="26"/>
        <v>0.23843416370106763</v>
      </c>
      <c r="Q340" s="62" t="e">
        <f>O340-#REF!</f>
        <v>#REF!</v>
      </c>
      <c r="W340" s="210"/>
      <c r="X340" s="210"/>
      <c r="Y340" s="210"/>
      <c r="Z340" s="210"/>
      <c r="AA340" s="210"/>
      <c r="AB340" s="210"/>
      <c r="AC340" s="210"/>
      <c r="AT340" s="425" t="str">
        <f t="shared" si="27"/>
        <v>KP0004892017Q415,9</v>
      </c>
      <c r="AU340" s="64" t="str">
        <f t="shared" si="28"/>
        <v>11-2017</v>
      </c>
      <c r="BA340" s="428" t="str">
        <f t="shared" si="29"/>
        <v>WIP - 30 Days</v>
      </c>
    </row>
    <row r="341" spans="1:245">
      <c r="B341" s="36">
        <f>'[6]price list MAN'!B341</f>
        <v>49112</v>
      </c>
      <c r="C341" s="10" t="str">
        <f>'[6]price list MAN'!C341</f>
        <v>TGM-25-2806X2BL-L</v>
      </c>
      <c r="D341" s="16" t="str">
        <f>IFERROR(VLOOKUP(C341&amp;"",'[7]Retail Price List'!$A$3:$B$103,2,FALSE),"Special Order")</f>
        <v>KP000489</v>
      </c>
      <c r="E341" s="494" t="str">
        <f>'[6]price list MAN'!E341</f>
        <v>CKD</v>
      </c>
      <c r="F341" s="11" t="str">
        <f>'[6]price list MAN'!F341</f>
        <v>2018-09-30</v>
      </c>
      <c r="G341" s="32">
        <f>'[6]price list MAN'!G341</f>
        <v>15.9</v>
      </c>
      <c r="H341" s="26">
        <f>'[6]price list MAN'!H341</f>
        <v>43069</v>
      </c>
      <c r="I341" s="51" t="str">
        <f t="shared" si="25"/>
        <v>2017Q4</v>
      </c>
      <c r="J341" s="177">
        <f>'[6]price list MAN'!J341</f>
        <v>1380000</v>
      </c>
      <c r="K341" s="177">
        <f>'[6]price list MAN'!P341</f>
        <v>1097250</v>
      </c>
      <c r="L341" s="177">
        <f>'[6]price list MAN'!R341</f>
        <v>1045000</v>
      </c>
      <c r="M341" s="174">
        <f>'[6]price list MAN'!S341</f>
        <v>1405000</v>
      </c>
      <c r="N341" s="174">
        <f>'[6]price list MAN'!Y341</f>
        <v>1123500</v>
      </c>
      <c r="O341" s="174">
        <f>'[6]price list MAN'!AA341</f>
        <v>1070000</v>
      </c>
      <c r="P341" s="68">
        <f t="shared" si="26"/>
        <v>0.23843416370106763</v>
      </c>
      <c r="Q341" s="62" t="e">
        <f>O341-#REF!</f>
        <v>#REF!</v>
      </c>
      <c r="W341" s="210"/>
      <c r="X341" s="210"/>
      <c r="Y341" s="210"/>
      <c r="Z341" s="210"/>
      <c r="AA341" s="210"/>
      <c r="AB341" s="210"/>
      <c r="AC341" s="210"/>
      <c r="AT341" s="425" t="str">
        <f t="shared" si="27"/>
        <v>KP0004892017Q415,9</v>
      </c>
      <c r="AU341" s="64" t="str">
        <f t="shared" si="28"/>
        <v>11-2017</v>
      </c>
      <c r="BA341" s="428" t="str">
        <f t="shared" si="29"/>
        <v>WIP - 30 Days</v>
      </c>
    </row>
    <row r="342" spans="1:245">
      <c r="B342" s="36">
        <f>'[6]price list MAN'!B342</f>
        <v>49113</v>
      </c>
      <c r="C342" s="10" t="str">
        <f>'[6]price list MAN'!C342</f>
        <v>TGM-25-2806X2BL-L</v>
      </c>
      <c r="D342" s="16" t="str">
        <f>IFERROR(VLOOKUP(C342&amp;"",'[7]Retail Price List'!$A$3:$B$103,2,FALSE),"Special Order")</f>
        <v>KP000489</v>
      </c>
      <c r="E342" s="494" t="str">
        <f>'[6]price list MAN'!E342</f>
        <v>CKD</v>
      </c>
      <c r="F342" s="11" t="str">
        <f>'[6]price list MAN'!F342</f>
        <v>2018-09-30</v>
      </c>
      <c r="G342" s="32">
        <f>'[6]price list MAN'!G342</f>
        <v>15.9</v>
      </c>
      <c r="H342" s="26">
        <f>'[6]price list MAN'!H342</f>
        <v>43069</v>
      </c>
      <c r="I342" s="51" t="str">
        <f t="shared" si="25"/>
        <v>2017Q4</v>
      </c>
      <c r="J342" s="177">
        <f>'[6]price list MAN'!J342</f>
        <v>1380000</v>
      </c>
      <c r="K342" s="177">
        <f>'[6]price list MAN'!P342</f>
        <v>1097250</v>
      </c>
      <c r="L342" s="177">
        <f>'[6]price list MAN'!R342</f>
        <v>1045000</v>
      </c>
      <c r="M342" s="174">
        <f>'[6]price list MAN'!S342</f>
        <v>1405000</v>
      </c>
      <c r="N342" s="174">
        <f>'[6]price list MAN'!Y342</f>
        <v>1123500</v>
      </c>
      <c r="O342" s="174">
        <f>'[6]price list MAN'!AA342</f>
        <v>1070000</v>
      </c>
      <c r="P342" s="68">
        <f t="shared" si="26"/>
        <v>0.23843416370106763</v>
      </c>
      <c r="Q342" s="62" t="e">
        <f>O342-#REF!</f>
        <v>#REF!</v>
      </c>
      <c r="W342" s="210"/>
      <c r="X342" s="210"/>
      <c r="Y342" s="210"/>
      <c r="Z342" s="210"/>
      <c r="AA342" s="210"/>
      <c r="AB342" s="210"/>
      <c r="AC342" s="210"/>
      <c r="AT342" s="425" t="str">
        <f t="shared" si="27"/>
        <v>KP0004892017Q415,9</v>
      </c>
      <c r="AU342" s="64" t="str">
        <f t="shared" si="28"/>
        <v>11-2017</v>
      </c>
      <c r="BA342" s="428" t="str">
        <f t="shared" si="29"/>
        <v>WIP - 30 Days</v>
      </c>
    </row>
    <row r="343" spans="1:245">
      <c r="B343" s="36">
        <f>'[6]price list MAN'!B343</f>
        <v>49114</v>
      </c>
      <c r="C343" s="10" t="str">
        <f>'[6]price list MAN'!C343</f>
        <v>TGM-25-2806X2BL-L</v>
      </c>
      <c r="D343" s="16" t="str">
        <f>IFERROR(VLOOKUP(C343&amp;"",'[7]Retail Price List'!$A$3:$B$103,2,FALSE),"Special Order")</f>
        <v>KP000489</v>
      </c>
      <c r="E343" s="494" t="str">
        <f>'[6]price list MAN'!E343</f>
        <v>CKD</v>
      </c>
      <c r="F343" s="11" t="str">
        <f>'[6]price list MAN'!F343</f>
        <v>2018-09-30</v>
      </c>
      <c r="G343" s="32">
        <f>'[6]price list MAN'!G343</f>
        <v>15.9</v>
      </c>
      <c r="H343" s="26">
        <f>'[6]price list MAN'!H343</f>
        <v>43069</v>
      </c>
      <c r="I343" s="51" t="str">
        <f t="shared" si="25"/>
        <v>2017Q4</v>
      </c>
      <c r="J343" s="177">
        <f>'[6]price list MAN'!J343</f>
        <v>1380000</v>
      </c>
      <c r="K343" s="177">
        <f>'[6]price list MAN'!P343</f>
        <v>1097250</v>
      </c>
      <c r="L343" s="177">
        <f>'[6]price list MAN'!R343</f>
        <v>1045000</v>
      </c>
      <c r="M343" s="174">
        <f>'[6]price list MAN'!S343</f>
        <v>1405000</v>
      </c>
      <c r="N343" s="174">
        <f>'[6]price list MAN'!Y343</f>
        <v>1123500</v>
      </c>
      <c r="O343" s="174">
        <f>'[6]price list MAN'!AA343</f>
        <v>1070000</v>
      </c>
      <c r="P343" s="68">
        <f t="shared" si="26"/>
        <v>0.23843416370106763</v>
      </c>
      <c r="Q343" s="62" t="e">
        <f>O343-#REF!</f>
        <v>#REF!</v>
      </c>
      <c r="W343" s="210"/>
      <c r="X343" s="210"/>
      <c r="Y343" s="210"/>
      <c r="Z343" s="210"/>
      <c r="AA343" s="210"/>
      <c r="AB343" s="210"/>
      <c r="AC343" s="210"/>
      <c r="AT343" s="425" t="str">
        <f t="shared" si="27"/>
        <v>KP0004892017Q415,9</v>
      </c>
      <c r="AU343" s="64" t="str">
        <f t="shared" si="28"/>
        <v>11-2017</v>
      </c>
      <c r="BA343" s="428" t="str">
        <f t="shared" si="29"/>
        <v>WIP - 30 Days</v>
      </c>
    </row>
    <row r="344" spans="1:245">
      <c r="B344" s="36">
        <f>'[6]price list MAN'!B344</f>
        <v>49115</v>
      </c>
      <c r="C344" s="10" t="str">
        <f>'[6]price list MAN'!C344</f>
        <v>TGM-25-2806X2BL-L</v>
      </c>
      <c r="D344" s="16" t="str">
        <f>IFERROR(VLOOKUP(C344&amp;"",'[7]Retail Price List'!$A$3:$B$103,2,FALSE),"Special Order")</f>
        <v>KP000489</v>
      </c>
      <c r="E344" s="494" t="str">
        <f>'[6]price list MAN'!E344</f>
        <v>CKD</v>
      </c>
      <c r="F344" s="11" t="str">
        <f>'[6]price list MAN'!F344</f>
        <v>2018-09-30</v>
      </c>
      <c r="G344" s="32">
        <f>'[6]price list MAN'!G344</f>
        <v>15.9</v>
      </c>
      <c r="H344" s="26">
        <f>'[6]price list MAN'!H344</f>
        <v>43069</v>
      </c>
      <c r="I344" s="51" t="str">
        <f t="shared" si="25"/>
        <v>2017Q4</v>
      </c>
      <c r="J344" s="177">
        <f>'[6]price list MAN'!J344</f>
        <v>1380000</v>
      </c>
      <c r="K344" s="177">
        <f>'[6]price list MAN'!P344</f>
        <v>1097250</v>
      </c>
      <c r="L344" s="177">
        <f>'[6]price list MAN'!R344</f>
        <v>1045000</v>
      </c>
      <c r="M344" s="174">
        <f>'[6]price list MAN'!S344</f>
        <v>1405000</v>
      </c>
      <c r="N344" s="174">
        <f>'[6]price list MAN'!Y344</f>
        <v>1123500</v>
      </c>
      <c r="O344" s="174">
        <f>'[6]price list MAN'!AA344</f>
        <v>1070000</v>
      </c>
      <c r="P344" s="68">
        <f t="shared" si="26"/>
        <v>0.23843416370106763</v>
      </c>
      <c r="Q344" s="62" t="e">
        <f>O344-#REF!</f>
        <v>#REF!</v>
      </c>
      <c r="W344" s="210"/>
      <c r="X344" s="210"/>
      <c r="Y344" s="210"/>
      <c r="Z344" s="210"/>
      <c r="AA344" s="210"/>
      <c r="AB344" s="210"/>
      <c r="AC344" s="210"/>
      <c r="AT344" s="425" t="str">
        <f t="shared" si="27"/>
        <v>KP0004892017Q415,9</v>
      </c>
      <c r="AU344" s="64" t="str">
        <f t="shared" si="28"/>
        <v>11-2017</v>
      </c>
      <c r="BA344" s="428" t="str">
        <f t="shared" si="29"/>
        <v>WIP - 30 Days</v>
      </c>
    </row>
    <row r="345" spans="1:245">
      <c r="B345" s="36">
        <f>'[6]price list MAN'!B345</f>
        <v>49116</v>
      </c>
      <c r="C345" s="10" t="str">
        <f>'[6]price list MAN'!C345</f>
        <v>TGM-25-2806X2BL-L</v>
      </c>
      <c r="D345" s="16" t="str">
        <f>IFERROR(VLOOKUP(C345&amp;"",'[7]Retail Price List'!$A$3:$B$103,2,FALSE),"Special Order")</f>
        <v>KP000489</v>
      </c>
      <c r="E345" s="494" t="str">
        <f>'[6]price list MAN'!E345</f>
        <v>CKD</v>
      </c>
      <c r="F345" s="11" t="str">
        <f>'[6]price list MAN'!F345</f>
        <v>2018-09-30</v>
      </c>
      <c r="G345" s="32">
        <f>'[6]price list MAN'!G345</f>
        <v>15.9</v>
      </c>
      <c r="H345" s="26">
        <f>'[6]price list MAN'!H345</f>
        <v>43069</v>
      </c>
      <c r="I345" s="51" t="str">
        <f t="shared" si="25"/>
        <v>2017Q4</v>
      </c>
      <c r="J345" s="177">
        <f>'[6]price list MAN'!J345</f>
        <v>1380000</v>
      </c>
      <c r="K345" s="177">
        <f>'[6]price list MAN'!P345</f>
        <v>1097250</v>
      </c>
      <c r="L345" s="177">
        <f>'[6]price list MAN'!R345</f>
        <v>1045000</v>
      </c>
      <c r="M345" s="174">
        <f>'[6]price list MAN'!S345</f>
        <v>1405000</v>
      </c>
      <c r="N345" s="174">
        <f>'[6]price list MAN'!Y345</f>
        <v>1123500</v>
      </c>
      <c r="O345" s="174">
        <f>'[6]price list MAN'!AA345</f>
        <v>1070000</v>
      </c>
      <c r="P345" s="68">
        <f t="shared" si="26"/>
        <v>0.23843416370106763</v>
      </c>
      <c r="Q345" s="62" t="e">
        <f>O345-#REF!</f>
        <v>#REF!</v>
      </c>
      <c r="W345" s="210"/>
      <c r="X345" s="210"/>
      <c r="Y345" s="210"/>
      <c r="Z345" s="210"/>
      <c r="AA345" s="210"/>
      <c r="AB345" s="210"/>
      <c r="AC345" s="210"/>
      <c r="AT345" s="425" t="str">
        <f t="shared" si="27"/>
        <v>KP0004892017Q415,9</v>
      </c>
      <c r="AU345" s="64" t="str">
        <f t="shared" si="28"/>
        <v>11-2017</v>
      </c>
      <c r="BA345" s="428" t="str">
        <f t="shared" si="29"/>
        <v>WIP - 30 Days</v>
      </c>
    </row>
    <row r="346" spans="1:245">
      <c r="B346" s="36">
        <f>'[6]price list MAN'!B346</f>
        <v>49117</v>
      </c>
      <c r="C346" s="10" t="str">
        <f>'[6]price list MAN'!C346</f>
        <v>TGM-25-2806X2BL-L</v>
      </c>
      <c r="D346" s="16" t="str">
        <f>IFERROR(VLOOKUP(C346&amp;"",'[7]Retail Price List'!$A$3:$B$103,2,FALSE),"Special Order")</f>
        <v>KP000489</v>
      </c>
      <c r="E346" s="494" t="str">
        <f>'[6]price list MAN'!E346</f>
        <v>CKD</v>
      </c>
      <c r="F346" s="11" t="str">
        <f>'[6]price list MAN'!F346</f>
        <v>2018-09-30</v>
      </c>
      <c r="G346" s="32">
        <f>'[6]price list MAN'!G346</f>
        <v>15.9</v>
      </c>
      <c r="H346" s="26">
        <f>'[6]price list MAN'!H346</f>
        <v>43069</v>
      </c>
      <c r="I346" s="51" t="str">
        <f t="shared" si="25"/>
        <v>2017Q4</v>
      </c>
      <c r="J346" s="177">
        <f>'[6]price list MAN'!J346</f>
        <v>1380000</v>
      </c>
      <c r="K346" s="177">
        <f>'[6]price list MAN'!P346</f>
        <v>1097250</v>
      </c>
      <c r="L346" s="177">
        <f>'[6]price list MAN'!R346</f>
        <v>1045000</v>
      </c>
      <c r="M346" s="174">
        <f>'[6]price list MAN'!S346</f>
        <v>1405000</v>
      </c>
      <c r="N346" s="174">
        <f>'[6]price list MAN'!Y346</f>
        <v>1123500</v>
      </c>
      <c r="O346" s="174">
        <f>'[6]price list MAN'!AA346</f>
        <v>1070000</v>
      </c>
      <c r="P346" s="68">
        <f t="shared" si="26"/>
        <v>0.23843416370106763</v>
      </c>
      <c r="Q346" s="62" t="e">
        <f>O346-#REF!</f>
        <v>#REF!</v>
      </c>
      <c r="W346" s="210"/>
      <c r="X346" s="210"/>
      <c r="Y346" s="210"/>
      <c r="Z346" s="210"/>
      <c r="AA346" s="210"/>
      <c r="AB346" s="210"/>
      <c r="AC346" s="210"/>
      <c r="AT346" s="425" t="str">
        <f t="shared" si="27"/>
        <v>KP0004892017Q415,9</v>
      </c>
      <c r="AU346" s="64" t="str">
        <f t="shared" si="28"/>
        <v>11-2017</v>
      </c>
      <c r="BA346" s="428" t="str">
        <f t="shared" si="29"/>
        <v>WIP - 30 Days</v>
      </c>
    </row>
    <row r="347" spans="1:245">
      <c r="B347" s="36">
        <f>'[6]price list MAN'!B347</f>
        <v>49118</v>
      </c>
      <c r="C347" s="10" t="str">
        <f>'[6]price list MAN'!C347</f>
        <v>TGM-25-2806X2BL-L</v>
      </c>
      <c r="D347" s="16" t="str">
        <f>IFERROR(VLOOKUP(C347&amp;"",'[7]Retail Price List'!$A$3:$B$103,2,FALSE),"Special Order")</f>
        <v>KP000489</v>
      </c>
      <c r="E347" s="494" t="str">
        <f>'[6]price list MAN'!E347</f>
        <v>CKD</v>
      </c>
      <c r="F347" s="11" t="str">
        <f>'[6]price list MAN'!F347</f>
        <v>2018-09-30</v>
      </c>
      <c r="G347" s="32">
        <f>'[6]price list MAN'!G347</f>
        <v>15.9</v>
      </c>
      <c r="H347" s="26">
        <f>'[6]price list MAN'!H347</f>
        <v>43069</v>
      </c>
      <c r="I347" s="51" t="str">
        <f t="shared" si="25"/>
        <v>2017Q4</v>
      </c>
      <c r="J347" s="177">
        <f>'[6]price list MAN'!J347</f>
        <v>1380000</v>
      </c>
      <c r="K347" s="177">
        <f>'[6]price list MAN'!P347</f>
        <v>1097250</v>
      </c>
      <c r="L347" s="177">
        <f>'[6]price list MAN'!R347</f>
        <v>1045000</v>
      </c>
      <c r="M347" s="174">
        <f>'[6]price list MAN'!S347</f>
        <v>1405000</v>
      </c>
      <c r="N347" s="174">
        <f>'[6]price list MAN'!Y347</f>
        <v>1123500</v>
      </c>
      <c r="O347" s="174">
        <f>'[6]price list MAN'!AA347</f>
        <v>1070000</v>
      </c>
      <c r="P347" s="68">
        <f t="shared" si="26"/>
        <v>0.23843416370106763</v>
      </c>
      <c r="Q347" s="62" t="e">
        <f>O347-#REF!</f>
        <v>#REF!</v>
      </c>
      <c r="W347" s="210"/>
      <c r="X347" s="210"/>
      <c r="Y347" s="210"/>
      <c r="Z347" s="210"/>
      <c r="AA347" s="210"/>
      <c r="AB347" s="210"/>
      <c r="AC347" s="210"/>
      <c r="AT347" s="425" t="str">
        <f t="shared" si="27"/>
        <v>KP0004892017Q415,9</v>
      </c>
      <c r="AU347" s="64" t="str">
        <f t="shared" si="28"/>
        <v>11-2017</v>
      </c>
      <c r="BA347" s="428" t="str">
        <f t="shared" si="29"/>
        <v>WIP - 30 Days</v>
      </c>
    </row>
    <row r="348" spans="1:245">
      <c r="B348" s="36">
        <f>'[6]price list MAN'!B348</f>
        <v>49119</v>
      </c>
      <c r="C348" s="10" t="str">
        <f>'[6]price list MAN'!C348</f>
        <v>TGM-25-2806X2BL-L</v>
      </c>
      <c r="D348" s="16" t="str">
        <f>IFERROR(VLOOKUP(C348&amp;"",'[7]Retail Price List'!$A$3:$B$103,2,FALSE),"Special Order")</f>
        <v>KP000489</v>
      </c>
      <c r="E348" s="494" t="str">
        <f>'[6]price list MAN'!E348</f>
        <v>CKD</v>
      </c>
      <c r="F348" s="11" t="str">
        <f>'[6]price list MAN'!F348</f>
        <v>2018-10-30</v>
      </c>
      <c r="G348" s="32">
        <f>'[6]price list MAN'!G348</f>
        <v>15.9</v>
      </c>
      <c r="H348" s="26">
        <f>'[6]price list MAN'!H348</f>
        <v>43069</v>
      </c>
      <c r="I348" s="51" t="str">
        <f t="shared" si="25"/>
        <v>2017Q4</v>
      </c>
      <c r="J348" s="177">
        <f>'[6]price list MAN'!J348</f>
        <v>1380000</v>
      </c>
      <c r="K348" s="177">
        <f>'[6]price list MAN'!P348</f>
        <v>1097250</v>
      </c>
      <c r="L348" s="177">
        <f>'[6]price list MAN'!R348</f>
        <v>1045000</v>
      </c>
      <c r="M348" s="174">
        <f>'[6]price list MAN'!S348</f>
        <v>1405000</v>
      </c>
      <c r="N348" s="174">
        <f>'[6]price list MAN'!Y348</f>
        <v>1123500</v>
      </c>
      <c r="O348" s="174">
        <f>'[6]price list MAN'!AA348</f>
        <v>1070000</v>
      </c>
      <c r="P348" s="68">
        <f t="shared" si="26"/>
        <v>0.23843416370106763</v>
      </c>
      <c r="Q348" s="62" t="e">
        <f>O348-#REF!</f>
        <v>#REF!</v>
      </c>
      <c r="W348" s="210"/>
      <c r="X348" s="210"/>
      <c r="Y348" s="210"/>
      <c r="Z348" s="210"/>
      <c r="AA348" s="210"/>
      <c r="AB348" s="210"/>
      <c r="AC348" s="210"/>
      <c r="AT348" s="425" t="str">
        <f t="shared" si="27"/>
        <v>KP0004892017Q415,9</v>
      </c>
      <c r="AU348" s="64" t="str">
        <f t="shared" si="28"/>
        <v>11-2017</v>
      </c>
      <c r="BA348" s="428" t="str">
        <f t="shared" si="29"/>
        <v>WIP - 30 Days</v>
      </c>
    </row>
    <row r="349" spans="1:245">
      <c r="B349" s="36">
        <f>'[6]price list MAN'!B349</f>
        <v>49120</v>
      </c>
      <c r="C349" s="10" t="str">
        <f>'[6]price list MAN'!C349</f>
        <v>TGM-25-2806X2BL-L</v>
      </c>
      <c r="D349" s="16" t="str">
        <f>IFERROR(VLOOKUP(C349&amp;"",'[7]Retail Price List'!$A$3:$B$103,2,FALSE),"Special Order")</f>
        <v>KP000489</v>
      </c>
      <c r="E349" s="494" t="str">
        <f>'[6]price list MAN'!E349</f>
        <v>CKD</v>
      </c>
      <c r="F349" s="11" t="str">
        <f>'[6]price list MAN'!F349</f>
        <v>2018-10-30</v>
      </c>
      <c r="G349" s="32">
        <f>'[6]price list MAN'!G349</f>
        <v>15.9</v>
      </c>
      <c r="H349" s="26">
        <f>'[6]price list MAN'!H349</f>
        <v>43069</v>
      </c>
      <c r="I349" s="51" t="str">
        <f t="shared" si="25"/>
        <v>2017Q4</v>
      </c>
      <c r="J349" s="177">
        <f>'[6]price list MAN'!J349</f>
        <v>1380000</v>
      </c>
      <c r="K349" s="177">
        <f>'[6]price list MAN'!P349</f>
        <v>1097250</v>
      </c>
      <c r="L349" s="177">
        <f>'[6]price list MAN'!R349</f>
        <v>1045000</v>
      </c>
      <c r="M349" s="174">
        <f>'[6]price list MAN'!S349</f>
        <v>1405000</v>
      </c>
      <c r="N349" s="174">
        <f>'[6]price list MAN'!Y349</f>
        <v>1123500</v>
      </c>
      <c r="O349" s="174">
        <f>'[6]price list MAN'!AA349</f>
        <v>1070000</v>
      </c>
      <c r="P349" s="68">
        <f t="shared" si="26"/>
        <v>0.23843416370106763</v>
      </c>
      <c r="Q349" s="62" t="e">
        <f>O349-#REF!</f>
        <v>#REF!</v>
      </c>
      <c r="W349" s="210"/>
      <c r="X349" s="210"/>
      <c r="Y349" s="210"/>
      <c r="Z349" s="210"/>
      <c r="AA349" s="210"/>
      <c r="AB349" s="210"/>
      <c r="AC349" s="210"/>
      <c r="AT349" s="425" t="str">
        <f t="shared" si="27"/>
        <v>KP0004892017Q415,9</v>
      </c>
      <c r="AU349" s="64" t="str">
        <f t="shared" si="28"/>
        <v>11-2017</v>
      </c>
      <c r="BA349" s="428" t="str">
        <f t="shared" si="29"/>
        <v>WIP - 30 Days</v>
      </c>
    </row>
    <row r="350" spans="1:245">
      <c r="B350" s="36">
        <f>'[6]price list MAN'!B350</f>
        <v>49121</v>
      </c>
      <c r="C350" s="10" t="str">
        <f>'[6]price list MAN'!C350</f>
        <v>TGM-25-2806X2BL-L</v>
      </c>
      <c r="D350" s="16" t="str">
        <f>IFERROR(VLOOKUP(C350&amp;"",'[7]Retail Price List'!$A$3:$B$103,2,FALSE),"Special Order")</f>
        <v>KP000489</v>
      </c>
      <c r="E350" s="494" t="str">
        <f>'[6]price list MAN'!E350</f>
        <v>CKD</v>
      </c>
      <c r="F350" s="11" t="str">
        <f>'[6]price list MAN'!F350</f>
        <v>2018-10-30</v>
      </c>
      <c r="G350" s="32">
        <f>'[6]price list MAN'!G350</f>
        <v>15.9</v>
      </c>
      <c r="H350" s="26">
        <f>'[6]price list MAN'!H350</f>
        <v>43069</v>
      </c>
      <c r="I350" s="51" t="str">
        <f t="shared" si="25"/>
        <v>2017Q4</v>
      </c>
      <c r="J350" s="177">
        <f>'[6]price list MAN'!J350</f>
        <v>1380000</v>
      </c>
      <c r="K350" s="177">
        <f>'[6]price list MAN'!P350</f>
        <v>1097250</v>
      </c>
      <c r="L350" s="177">
        <f>'[6]price list MAN'!R350</f>
        <v>1045000</v>
      </c>
      <c r="M350" s="174">
        <f>'[6]price list MAN'!S350</f>
        <v>1405000</v>
      </c>
      <c r="N350" s="174">
        <f>'[6]price list MAN'!Y350</f>
        <v>1123500</v>
      </c>
      <c r="O350" s="174">
        <f>'[6]price list MAN'!AA350</f>
        <v>1070000</v>
      </c>
      <c r="P350" s="68">
        <f t="shared" si="26"/>
        <v>0.23843416370106763</v>
      </c>
      <c r="Q350" s="62" t="e">
        <f>O350-#REF!</f>
        <v>#REF!</v>
      </c>
      <c r="W350" s="210"/>
      <c r="X350" s="210"/>
      <c r="Y350" s="210"/>
      <c r="Z350" s="210"/>
      <c r="AA350" s="210"/>
      <c r="AB350" s="210"/>
      <c r="AC350" s="210"/>
      <c r="AT350" s="425" t="str">
        <f t="shared" si="27"/>
        <v>KP0004892017Q415,9</v>
      </c>
      <c r="AU350" s="64" t="str">
        <f t="shared" si="28"/>
        <v>11-2017</v>
      </c>
      <c r="BA350" s="428" t="str">
        <f t="shared" si="29"/>
        <v>WIP - 30 Days</v>
      </c>
    </row>
    <row r="351" spans="1:245">
      <c r="B351" s="36">
        <f>'[6]price list MAN'!B351</f>
        <v>49122</v>
      </c>
      <c r="C351" s="10" t="str">
        <f>'[6]price list MAN'!C351</f>
        <v>TGM-25-2806X2BL-L</v>
      </c>
      <c r="D351" s="16" t="str">
        <f>IFERROR(VLOOKUP(C351&amp;"",'[7]Retail Price List'!$A$3:$B$103,2,FALSE),"Special Order")</f>
        <v>KP000489</v>
      </c>
      <c r="E351" s="494" t="str">
        <f>'[6]price list MAN'!E351</f>
        <v>CKD</v>
      </c>
      <c r="F351" s="11" t="str">
        <f>'[6]price list MAN'!F351</f>
        <v>2018-10-30</v>
      </c>
      <c r="G351" s="32">
        <f>'[6]price list MAN'!G351</f>
        <v>15.9</v>
      </c>
      <c r="H351" s="26">
        <f>'[6]price list MAN'!H351</f>
        <v>43069</v>
      </c>
      <c r="I351" s="51" t="str">
        <f t="shared" si="25"/>
        <v>2017Q4</v>
      </c>
      <c r="J351" s="177">
        <f>'[6]price list MAN'!J351</f>
        <v>1380000</v>
      </c>
      <c r="K351" s="177">
        <f>'[6]price list MAN'!P351</f>
        <v>1097250</v>
      </c>
      <c r="L351" s="177">
        <f>'[6]price list MAN'!R351</f>
        <v>1045000</v>
      </c>
      <c r="M351" s="174">
        <f>'[6]price list MAN'!S351</f>
        <v>1405000</v>
      </c>
      <c r="N351" s="174">
        <f>'[6]price list MAN'!Y351</f>
        <v>1123500</v>
      </c>
      <c r="O351" s="174">
        <f>'[6]price list MAN'!AA351</f>
        <v>1070000</v>
      </c>
      <c r="P351" s="68">
        <f t="shared" si="26"/>
        <v>0.23843416370106763</v>
      </c>
      <c r="Q351" s="62" t="e">
        <f>O351-#REF!</f>
        <v>#REF!</v>
      </c>
      <c r="W351" s="210"/>
      <c r="X351" s="210"/>
      <c r="Y351" s="210"/>
      <c r="Z351" s="210"/>
      <c r="AA351" s="210"/>
      <c r="AB351" s="210"/>
      <c r="AC351" s="210"/>
      <c r="AT351" s="425" t="str">
        <f t="shared" si="27"/>
        <v>KP0004892017Q415,9</v>
      </c>
      <c r="AU351" s="64" t="str">
        <f t="shared" si="28"/>
        <v>11-2017</v>
      </c>
      <c r="BA351" s="428" t="str">
        <f t="shared" si="29"/>
        <v>WIP - 30 Days</v>
      </c>
    </row>
    <row r="352" spans="1:245" s="4" customFormat="1">
      <c r="A352" s="41"/>
      <c r="B352" s="36">
        <f>'[6]price list MAN'!B352</f>
        <v>49123</v>
      </c>
      <c r="C352" s="10" t="str">
        <f>'[6]price list MAN'!C352</f>
        <v>TGM-25-2806X2BL-L</v>
      </c>
      <c r="D352" s="16" t="str">
        <f>IFERROR(VLOOKUP(C352&amp;"",'[7]Retail Price List'!$A$3:$B$103,2,FALSE),"Special Order")</f>
        <v>KP000489</v>
      </c>
      <c r="E352" s="494" t="str">
        <f>'[6]price list MAN'!E352</f>
        <v>CKD</v>
      </c>
      <c r="F352" s="11" t="str">
        <f>'[6]price list MAN'!F352</f>
        <v>2018-10-30</v>
      </c>
      <c r="G352" s="32">
        <f>'[6]price list MAN'!G352</f>
        <v>15.9</v>
      </c>
      <c r="H352" s="26">
        <f>'[6]price list MAN'!H352</f>
        <v>43069</v>
      </c>
      <c r="I352" s="51" t="str">
        <f t="shared" si="25"/>
        <v>2017Q4</v>
      </c>
      <c r="J352" s="177">
        <f>'[6]price list MAN'!J352</f>
        <v>1380000</v>
      </c>
      <c r="K352" s="177">
        <f>'[6]price list MAN'!P352</f>
        <v>1097250</v>
      </c>
      <c r="L352" s="177">
        <f>'[6]price list MAN'!R352</f>
        <v>1045000</v>
      </c>
      <c r="M352" s="174">
        <f>'[6]price list MAN'!S352</f>
        <v>1405000</v>
      </c>
      <c r="N352" s="174">
        <f>'[6]price list MAN'!Y352</f>
        <v>1123500</v>
      </c>
      <c r="O352" s="174">
        <f>'[6]price list MAN'!AA352</f>
        <v>1070000</v>
      </c>
      <c r="P352" s="68">
        <f t="shared" si="26"/>
        <v>0.23843416370106763</v>
      </c>
      <c r="Q352" s="62" t="e">
        <f>O352-#REF!</f>
        <v>#REF!</v>
      </c>
      <c r="R352" s="63" t="e">
        <f>SUM(Q317:Q351)/SUM(O317:O351)</f>
        <v>#REF!</v>
      </c>
      <c r="S352" s="64"/>
      <c r="T352" s="64"/>
      <c r="U352" s="64"/>
      <c r="V352" s="64"/>
      <c r="W352" s="210"/>
      <c r="X352" s="210"/>
      <c r="Y352" s="210"/>
      <c r="Z352" s="210"/>
      <c r="AA352" s="210"/>
      <c r="AB352" s="210"/>
      <c r="AC352" s="210"/>
      <c r="AD352" s="54"/>
      <c r="AE352" s="54"/>
      <c r="AF352" s="54"/>
      <c r="AG352" s="5"/>
      <c r="AH352" s="5"/>
      <c r="AI352" s="5"/>
      <c r="AJ352" s="5"/>
      <c r="AK352" s="5"/>
      <c r="AL352" s="5"/>
      <c r="AM352" s="5"/>
      <c r="AN352" s="5"/>
      <c r="AO352" s="5"/>
      <c r="AP352" s="5"/>
      <c r="AQ352" s="5"/>
      <c r="AR352" s="5"/>
      <c r="AS352" s="5"/>
      <c r="AT352" s="425" t="str">
        <f t="shared" si="27"/>
        <v>KP0004892017Q415,9</v>
      </c>
      <c r="AU352" s="64" t="str">
        <f t="shared" si="28"/>
        <v>11-2017</v>
      </c>
      <c r="AV352" s="64"/>
      <c r="AW352" s="64"/>
      <c r="AX352" s="64"/>
      <c r="AY352" s="64"/>
      <c r="AZ352" s="64"/>
      <c r="BA352" s="428" t="str">
        <f t="shared" si="29"/>
        <v>WIP - 30 Days</v>
      </c>
      <c r="BB352" s="169"/>
      <c r="BC352" s="169"/>
      <c r="BD352" s="169"/>
      <c r="BE352" s="41"/>
      <c r="BF352" s="41"/>
      <c r="BG352" s="41"/>
      <c r="BH352" s="41"/>
      <c r="BI352" s="41"/>
      <c r="BJ352" s="41"/>
      <c r="BK352" s="41"/>
      <c r="BL352" s="41"/>
      <c r="BM352" s="41"/>
      <c r="BN352" s="41"/>
      <c r="BO352" s="41"/>
      <c r="BP352" s="41"/>
      <c r="BQ352" s="41"/>
      <c r="BR352" s="41"/>
      <c r="BS352" s="41"/>
      <c r="BT352" s="41"/>
      <c r="BU352" s="41"/>
      <c r="BV352" s="41"/>
      <c r="BW352" s="41"/>
      <c r="BX352" s="41"/>
      <c r="BY352" s="41"/>
      <c r="BZ352" s="41"/>
      <c r="CA352" s="41"/>
      <c r="CB352" s="41"/>
      <c r="CC352" s="41"/>
      <c r="CD352" s="41"/>
      <c r="CE352" s="41"/>
      <c r="CF352" s="41"/>
      <c r="CG352" s="41"/>
      <c r="CH352" s="41"/>
      <c r="CI352" s="41"/>
      <c r="CJ352" s="41"/>
      <c r="CK352" s="41"/>
      <c r="CL352" s="41"/>
      <c r="CM352" s="41"/>
      <c r="CN352" s="41"/>
      <c r="CO352" s="41"/>
      <c r="CP352" s="41"/>
      <c r="CQ352" s="41"/>
      <c r="CR352" s="41"/>
      <c r="CS352" s="41"/>
      <c r="CT352" s="41"/>
      <c r="CU352" s="41"/>
      <c r="CV352" s="41"/>
      <c r="CW352" s="41"/>
      <c r="CX352" s="41"/>
      <c r="CY352" s="41"/>
      <c r="CZ352" s="41"/>
      <c r="DA352" s="41"/>
      <c r="DB352" s="41"/>
      <c r="DC352" s="41"/>
      <c r="DD352" s="41"/>
      <c r="DE352" s="41"/>
      <c r="DF352" s="41"/>
      <c r="DG352" s="41"/>
      <c r="DH352" s="41"/>
      <c r="DI352" s="41"/>
      <c r="DJ352" s="41"/>
      <c r="DK352" s="41"/>
      <c r="DL352" s="41"/>
      <c r="DM352" s="41"/>
      <c r="DN352" s="41"/>
      <c r="DO352" s="41"/>
      <c r="DP352" s="41"/>
      <c r="DQ352" s="41"/>
      <c r="DR352" s="41"/>
      <c r="DS352" s="41"/>
      <c r="DT352" s="41"/>
      <c r="DU352" s="41"/>
      <c r="DV352" s="41"/>
      <c r="DW352" s="41"/>
      <c r="DX352" s="41"/>
      <c r="DY352" s="41"/>
      <c r="DZ352" s="41"/>
      <c r="EA352" s="41"/>
      <c r="EB352" s="41"/>
      <c r="EC352" s="41"/>
      <c r="ED352" s="41"/>
      <c r="EE352" s="41"/>
      <c r="EF352" s="41"/>
      <c r="EG352" s="41"/>
      <c r="EH352" s="41"/>
      <c r="EI352" s="41"/>
      <c r="EJ352" s="41"/>
      <c r="EK352" s="41"/>
      <c r="EL352" s="41"/>
      <c r="EM352" s="41"/>
      <c r="EN352" s="41"/>
      <c r="EO352" s="41"/>
      <c r="EP352" s="41"/>
      <c r="EQ352" s="41"/>
      <c r="ER352" s="41"/>
      <c r="ES352" s="41"/>
      <c r="ET352" s="41"/>
      <c r="EU352" s="41"/>
      <c r="EV352" s="41"/>
      <c r="EW352" s="41"/>
      <c r="EX352" s="41"/>
      <c r="EY352" s="41"/>
      <c r="EZ352" s="41"/>
      <c r="FA352" s="41"/>
      <c r="FB352" s="41"/>
      <c r="FC352" s="41"/>
      <c r="FD352" s="41"/>
      <c r="FE352" s="41"/>
      <c r="FF352" s="41"/>
      <c r="FG352" s="41"/>
      <c r="FH352" s="41"/>
      <c r="FI352" s="41"/>
      <c r="FJ352" s="41"/>
      <c r="FK352" s="41"/>
      <c r="FL352" s="41"/>
      <c r="FM352" s="41"/>
      <c r="FN352" s="41"/>
      <c r="FO352" s="41"/>
      <c r="FP352" s="41"/>
      <c r="FQ352" s="41"/>
      <c r="FR352" s="41"/>
      <c r="FS352" s="41"/>
      <c r="FT352" s="41"/>
      <c r="FU352" s="41"/>
      <c r="FV352" s="41"/>
      <c r="FW352" s="41"/>
      <c r="FX352" s="41"/>
      <c r="FY352" s="41"/>
      <c r="FZ352" s="41"/>
      <c r="GA352" s="41"/>
      <c r="GB352" s="41"/>
      <c r="GC352" s="41"/>
      <c r="GD352" s="41"/>
      <c r="GE352" s="41"/>
      <c r="GF352" s="41"/>
      <c r="GG352" s="41"/>
      <c r="GH352" s="41"/>
      <c r="GI352" s="41"/>
      <c r="GJ352" s="41"/>
      <c r="GK352" s="41"/>
      <c r="GL352" s="41"/>
      <c r="GM352" s="41"/>
      <c r="GN352" s="41"/>
      <c r="GO352" s="41"/>
      <c r="GP352" s="41"/>
      <c r="GQ352" s="41"/>
      <c r="GR352" s="41"/>
      <c r="GS352" s="41"/>
      <c r="GT352" s="41"/>
      <c r="GU352" s="41"/>
      <c r="GV352" s="41"/>
      <c r="GW352" s="41"/>
      <c r="GX352" s="41"/>
      <c r="GY352" s="41"/>
      <c r="GZ352" s="41"/>
      <c r="HA352" s="41"/>
      <c r="HB352" s="41"/>
      <c r="HC352" s="41"/>
      <c r="HD352" s="41"/>
      <c r="HE352" s="41"/>
      <c r="HF352" s="41"/>
      <c r="HG352" s="41"/>
      <c r="HH352" s="41"/>
      <c r="HI352" s="41"/>
      <c r="HJ352" s="41"/>
      <c r="HK352" s="41"/>
      <c r="HL352" s="41"/>
      <c r="HM352" s="41"/>
      <c r="HN352" s="41"/>
      <c r="HO352" s="41"/>
      <c r="HP352" s="41"/>
      <c r="HQ352" s="41"/>
      <c r="HR352" s="41"/>
      <c r="HS352" s="41"/>
      <c r="HT352" s="41"/>
      <c r="HU352" s="41"/>
      <c r="HV352" s="41"/>
      <c r="HW352" s="41"/>
      <c r="HX352" s="41"/>
      <c r="HY352" s="41"/>
      <c r="HZ352" s="41"/>
      <c r="IA352" s="41"/>
      <c r="IB352" s="41"/>
      <c r="IC352" s="41"/>
      <c r="ID352" s="41"/>
      <c r="IE352" s="41"/>
      <c r="IF352" s="41"/>
      <c r="IG352" s="41"/>
      <c r="IH352" s="41"/>
      <c r="II352" s="41"/>
      <c r="IJ352" s="41"/>
      <c r="IK352" s="41"/>
    </row>
    <row r="353" spans="1:245">
      <c r="B353" s="36">
        <f>'[6]price list MAN'!B353</f>
        <v>49124</v>
      </c>
      <c r="C353" s="10" t="str">
        <f>'[6]price list MAN'!C353</f>
        <v>TGM-25-2806X2BL-L</v>
      </c>
      <c r="D353" s="16" t="str">
        <f>IFERROR(VLOOKUP(C353&amp;"",'[7]Retail Price List'!$A$3:$B$103,2,FALSE),"Special Order")</f>
        <v>KP000489</v>
      </c>
      <c r="E353" s="494" t="str">
        <f>'[6]price list MAN'!E353</f>
        <v>CKD</v>
      </c>
      <c r="F353" s="11" t="str">
        <f>'[6]price list MAN'!F353</f>
        <v>2018-10-30</v>
      </c>
      <c r="G353" s="32">
        <f>'[6]price list MAN'!G353</f>
        <v>15.9</v>
      </c>
      <c r="H353" s="26">
        <f>'[6]price list MAN'!H353</f>
        <v>43069</v>
      </c>
      <c r="I353" s="51" t="str">
        <f t="shared" si="25"/>
        <v>2017Q4</v>
      </c>
      <c r="J353" s="177">
        <f>'[6]price list MAN'!J353</f>
        <v>1380000</v>
      </c>
      <c r="K353" s="177">
        <f>'[6]price list MAN'!P353</f>
        <v>1097250</v>
      </c>
      <c r="L353" s="177">
        <f>'[6]price list MAN'!R353</f>
        <v>1045000</v>
      </c>
      <c r="M353" s="174">
        <f>'[6]price list MAN'!S353</f>
        <v>1405000</v>
      </c>
      <c r="N353" s="174">
        <f>'[6]price list MAN'!Y353</f>
        <v>1123500</v>
      </c>
      <c r="O353" s="174">
        <f>'[6]price list MAN'!AA353</f>
        <v>1070000</v>
      </c>
      <c r="P353" s="68">
        <f t="shared" si="26"/>
        <v>0.23843416370106763</v>
      </c>
      <c r="Q353" s="62" t="e">
        <f>O353-#REF!</f>
        <v>#REF!</v>
      </c>
      <c r="S353" s="64">
        <f>COUNT(#REF!)</f>
        <v>0</v>
      </c>
      <c r="W353" s="210"/>
      <c r="X353" s="210"/>
      <c r="Y353" s="210"/>
      <c r="Z353" s="210"/>
      <c r="AA353" s="210"/>
      <c r="AB353" s="210"/>
      <c r="AC353" s="210"/>
      <c r="AT353" s="425" t="str">
        <f t="shared" si="27"/>
        <v>KP0004892017Q415,9</v>
      </c>
      <c r="AU353" s="64" t="str">
        <f t="shared" si="28"/>
        <v>11-2017</v>
      </c>
      <c r="BA353" s="428" t="str">
        <f t="shared" si="29"/>
        <v>WIP - 30 Days</v>
      </c>
    </row>
    <row r="354" spans="1:245">
      <c r="B354" s="36">
        <f>'[6]price list MAN'!B354</f>
        <v>49125</v>
      </c>
      <c r="C354" s="10" t="str">
        <f>'[6]price list MAN'!C354</f>
        <v>TGM-25-2806X2BL-L</v>
      </c>
      <c r="D354" s="16" t="str">
        <f>IFERROR(VLOOKUP(C354&amp;"",'[7]Retail Price List'!$A$3:$B$103,2,FALSE),"Special Order")</f>
        <v>KP000489</v>
      </c>
      <c r="E354" s="494" t="str">
        <f>'[6]price list MAN'!E354</f>
        <v>CKD</v>
      </c>
      <c r="F354" s="11" t="str">
        <f>'[6]price list MAN'!F354</f>
        <v>2018-10-30</v>
      </c>
      <c r="G354" s="32">
        <f>'[6]price list MAN'!G354</f>
        <v>15.9</v>
      </c>
      <c r="H354" s="26">
        <f>'[6]price list MAN'!H354</f>
        <v>43069</v>
      </c>
      <c r="I354" s="51" t="str">
        <f t="shared" si="25"/>
        <v>2017Q4</v>
      </c>
      <c r="J354" s="177">
        <f>'[6]price list MAN'!J354</f>
        <v>1380000</v>
      </c>
      <c r="K354" s="177">
        <f>'[6]price list MAN'!P354</f>
        <v>1097250</v>
      </c>
      <c r="L354" s="177">
        <f>'[6]price list MAN'!R354</f>
        <v>1045000</v>
      </c>
      <c r="M354" s="174">
        <f>'[6]price list MAN'!S354</f>
        <v>1405000</v>
      </c>
      <c r="N354" s="174">
        <f>'[6]price list MAN'!Y354</f>
        <v>1123500</v>
      </c>
      <c r="O354" s="174">
        <f>'[6]price list MAN'!AA354</f>
        <v>1070000</v>
      </c>
      <c r="P354" s="68">
        <f t="shared" si="26"/>
        <v>0.23843416370106763</v>
      </c>
      <c r="Q354" s="62" t="e">
        <f>O354-#REF!</f>
        <v>#REF!</v>
      </c>
      <c r="S354" s="62" t="e">
        <f>AVERAGE(#REF!)</f>
        <v>#REF!</v>
      </c>
      <c r="W354" s="210"/>
      <c r="X354" s="210"/>
      <c r="Y354" s="210"/>
      <c r="Z354" s="210"/>
      <c r="AA354" s="210"/>
      <c r="AB354" s="210"/>
      <c r="AC354" s="210"/>
      <c r="AT354" s="425" t="str">
        <f t="shared" si="27"/>
        <v>KP0004892017Q415,9</v>
      </c>
      <c r="AU354" s="64" t="str">
        <f t="shared" si="28"/>
        <v>11-2017</v>
      </c>
      <c r="BA354" s="428" t="str">
        <f t="shared" si="29"/>
        <v>WIP - 30 Days</v>
      </c>
    </row>
    <row r="355" spans="1:245">
      <c r="B355" s="36">
        <f>'[6]price list MAN'!B355</f>
        <v>49126</v>
      </c>
      <c r="C355" s="10" t="str">
        <f>'[6]price list MAN'!C355</f>
        <v>TGM-25-2806X2BL-L</v>
      </c>
      <c r="D355" s="16" t="str">
        <f>IFERROR(VLOOKUP(C355&amp;"",'[7]Retail Price List'!$A$3:$B$103,2,FALSE),"Special Order")</f>
        <v>KP000489</v>
      </c>
      <c r="E355" s="494" t="str">
        <f>'[6]price list MAN'!E355</f>
        <v>CKD</v>
      </c>
      <c r="F355" s="11" t="str">
        <f>'[6]price list MAN'!F355</f>
        <v>2018-10-30</v>
      </c>
      <c r="G355" s="32">
        <f>'[6]price list MAN'!G355</f>
        <v>15.9</v>
      </c>
      <c r="H355" s="26">
        <f>'[6]price list MAN'!H355</f>
        <v>43069</v>
      </c>
      <c r="I355" s="51" t="str">
        <f t="shared" si="25"/>
        <v>2017Q4</v>
      </c>
      <c r="J355" s="177">
        <f>'[6]price list MAN'!J355</f>
        <v>1380000</v>
      </c>
      <c r="K355" s="177">
        <f>'[6]price list MAN'!P355</f>
        <v>1097250</v>
      </c>
      <c r="L355" s="177">
        <f>'[6]price list MAN'!R355</f>
        <v>1045000</v>
      </c>
      <c r="M355" s="174">
        <f>'[6]price list MAN'!S355</f>
        <v>1405000</v>
      </c>
      <c r="N355" s="174">
        <f>'[6]price list MAN'!Y355</f>
        <v>1123500</v>
      </c>
      <c r="O355" s="174">
        <f>'[6]price list MAN'!AA355</f>
        <v>1070000</v>
      </c>
      <c r="P355" s="68">
        <f t="shared" si="26"/>
        <v>0.23843416370106763</v>
      </c>
      <c r="Q355" s="62" t="e">
        <f>O355-#REF!</f>
        <v>#REF!</v>
      </c>
      <c r="W355" s="210"/>
      <c r="X355" s="210"/>
      <c r="Y355" s="210"/>
      <c r="Z355" s="210"/>
      <c r="AA355" s="210"/>
      <c r="AB355" s="210"/>
      <c r="AC355" s="210"/>
      <c r="AT355" s="425" t="str">
        <f t="shared" si="27"/>
        <v>KP0004892017Q415,9</v>
      </c>
      <c r="AU355" s="64" t="str">
        <f t="shared" si="28"/>
        <v>11-2017</v>
      </c>
      <c r="BA355" s="428" t="str">
        <f t="shared" si="29"/>
        <v>WIP - 30 Days</v>
      </c>
    </row>
    <row r="356" spans="1:245" s="4" customFormat="1">
      <c r="A356" s="41"/>
      <c r="B356" s="36">
        <f>'[6]price list MAN'!B356</f>
        <v>49127</v>
      </c>
      <c r="C356" s="10" t="str">
        <f>'[6]price list MAN'!C356</f>
        <v>TGM-25-2806X2BL-L</v>
      </c>
      <c r="D356" s="16" t="str">
        <f>IFERROR(VLOOKUP(C356&amp;"",'[7]Retail Price List'!$A$3:$B$103,2,FALSE),"Special Order")</f>
        <v>KP000489</v>
      </c>
      <c r="E356" s="494" t="str">
        <f>'[6]price list MAN'!E356</f>
        <v>CKD</v>
      </c>
      <c r="F356" s="11" t="str">
        <f>'[6]price list MAN'!F356</f>
        <v>2018-10-30</v>
      </c>
      <c r="G356" s="32">
        <f>'[6]price list MAN'!G356</f>
        <v>15.9</v>
      </c>
      <c r="H356" s="26">
        <f>'[6]price list MAN'!H356</f>
        <v>43069</v>
      </c>
      <c r="I356" s="51" t="str">
        <f t="shared" si="25"/>
        <v>2017Q4</v>
      </c>
      <c r="J356" s="177">
        <f>'[6]price list MAN'!J356</f>
        <v>1380000</v>
      </c>
      <c r="K356" s="177">
        <f>'[6]price list MAN'!P356</f>
        <v>1097250</v>
      </c>
      <c r="L356" s="177">
        <f>'[6]price list MAN'!R356</f>
        <v>1045000</v>
      </c>
      <c r="M356" s="174">
        <f>'[6]price list MAN'!S356</f>
        <v>1405000</v>
      </c>
      <c r="N356" s="174">
        <f>'[6]price list MAN'!Y356</f>
        <v>1123500</v>
      </c>
      <c r="O356" s="174">
        <f>'[6]price list MAN'!AA356</f>
        <v>1070000</v>
      </c>
      <c r="P356" s="68">
        <f t="shared" si="26"/>
        <v>0.23843416370106763</v>
      </c>
      <c r="Q356" s="62" t="e">
        <f>O356-#REF!</f>
        <v>#REF!</v>
      </c>
      <c r="R356" s="63" t="e">
        <f>Q353/O353</f>
        <v>#REF!</v>
      </c>
      <c r="S356" s="64"/>
      <c r="T356" s="64"/>
      <c r="U356" s="64"/>
      <c r="V356" s="64"/>
      <c r="W356" s="210"/>
      <c r="X356" s="210"/>
      <c r="Y356" s="210"/>
      <c r="Z356" s="210"/>
      <c r="AA356" s="210"/>
      <c r="AB356" s="210"/>
      <c r="AC356" s="210"/>
      <c r="AD356" s="54"/>
      <c r="AE356" s="54"/>
      <c r="AF356" s="54"/>
      <c r="AG356" s="5"/>
      <c r="AH356" s="5"/>
      <c r="AI356" s="5"/>
      <c r="AJ356" s="5"/>
      <c r="AK356" s="5"/>
      <c r="AL356" s="5"/>
      <c r="AM356" s="5"/>
      <c r="AN356" s="5"/>
      <c r="AO356" s="5"/>
      <c r="AP356" s="5"/>
      <c r="AQ356" s="5"/>
      <c r="AR356" s="5"/>
      <c r="AS356" s="5"/>
      <c r="AT356" s="425" t="str">
        <f t="shared" si="27"/>
        <v>KP0004892017Q415,9</v>
      </c>
      <c r="AU356" s="64" t="str">
        <f t="shared" si="28"/>
        <v>11-2017</v>
      </c>
      <c r="AV356" s="64"/>
      <c r="AW356" s="64"/>
      <c r="AX356" s="64"/>
      <c r="AY356" s="64"/>
      <c r="AZ356" s="64"/>
      <c r="BA356" s="428" t="str">
        <f t="shared" si="29"/>
        <v>WIP - 30 Days</v>
      </c>
      <c r="BB356" s="169"/>
      <c r="BC356" s="169"/>
      <c r="BD356" s="169"/>
      <c r="BE356" s="41"/>
      <c r="BF356" s="41"/>
      <c r="BG356" s="41"/>
      <c r="BH356" s="41"/>
      <c r="BI356" s="41"/>
      <c r="BJ356" s="41"/>
      <c r="BK356" s="41"/>
      <c r="BL356" s="41"/>
      <c r="BM356" s="41"/>
      <c r="BN356" s="41"/>
      <c r="BO356" s="41"/>
      <c r="BP356" s="41"/>
      <c r="BQ356" s="41"/>
      <c r="BR356" s="41"/>
      <c r="BS356" s="41"/>
      <c r="BT356" s="41"/>
      <c r="BU356" s="41"/>
      <c r="BV356" s="41"/>
      <c r="BW356" s="41"/>
      <c r="BX356" s="41"/>
      <c r="BY356" s="41"/>
      <c r="BZ356" s="41"/>
      <c r="CA356" s="41"/>
      <c r="CB356" s="41"/>
      <c r="CC356" s="41"/>
      <c r="CD356" s="41"/>
      <c r="CE356" s="41"/>
      <c r="CF356" s="41"/>
      <c r="CG356" s="41"/>
      <c r="CH356" s="41"/>
      <c r="CI356" s="41"/>
      <c r="CJ356" s="41"/>
      <c r="CK356" s="41"/>
      <c r="CL356" s="41"/>
      <c r="CM356" s="41"/>
      <c r="CN356" s="41"/>
      <c r="CO356" s="41"/>
      <c r="CP356" s="41"/>
      <c r="CQ356" s="41"/>
      <c r="CR356" s="41"/>
      <c r="CS356" s="41"/>
      <c r="CT356" s="41"/>
      <c r="CU356" s="41"/>
      <c r="CV356" s="41"/>
      <c r="CW356" s="41"/>
      <c r="CX356" s="41"/>
      <c r="CY356" s="41"/>
      <c r="CZ356" s="41"/>
      <c r="DA356" s="41"/>
      <c r="DB356" s="41"/>
      <c r="DC356" s="41"/>
      <c r="DD356" s="41"/>
      <c r="DE356" s="41"/>
      <c r="DF356" s="41"/>
      <c r="DG356" s="41"/>
      <c r="DH356" s="41"/>
      <c r="DI356" s="41"/>
      <c r="DJ356" s="41"/>
      <c r="DK356" s="41"/>
      <c r="DL356" s="41"/>
      <c r="DM356" s="41"/>
      <c r="DN356" s="41"/>
      <c r="DO356" s="41"/>
      <c r="DP356" s="41"/>
      <c r="DQ356" s="41"/>
      <c r="DR356" s="41"/>
      <c r="DS356" s="41"/>
      <c r="DT356" s="41"/>
      <c r="DU356" s="41"/>
      <c r="DV356" s="41"/>
      <c r="DW356" s="41"/>
      <c r="DX356" s="41"/>
      <c r="DY356" s="41"/>
      <c r="DZ356" s="41"/>
      <c r="EA356" s="41"/>
      <c r="EB356" s="41"/>
      <c r="EC356" s="41"/>
      <c r="ED356" s="41"/>
      <c r="EE356" s="41"/>
      <c r="EF356" s="41"/>
      <c r="EG356" s="41"/>
      <c r="EH356" s="41"/>
      <c r="EI356" s="41"/>
      <c r="EJ356" s="41"/>
      <c r="EK356" s="41"/>
      <c r="EL356" s="41"/>
      <c r="EM356" s="41"/>
      <c r="EN356" s="41"/>
      <c r="EO356" s="41"/>
      <c r="EP356" s="41"/>
      <c r="EQ356" s="41"/>
      <c r="ER356" s="41"/>
      <c r="ES356" s="41"/>
      <c r="ET356" s="41"/>
      <c r="EU356" s="41"/>
      <c r="EV356" s="41"/>
      <c r="EW356" s="41"/>
      <c r="EX356" s="41"/>
      <c r="EY356" s="41"/>
      <c r="EZ356" s="41"/>
      <c r="FA356" s="41"/>
      <c r="FB356" s="41"/>
      <c r="FC356" s="41"/>
      <c r="FD356" s="41"/>
      <c r="FE356" s="41"/>
      <c r="FF356" s="41"/>
      <c r="FG356" s="41"/>
      <c r="FH356" s="41"/>
      <c r="FI356" s="41"/>
      <c r="FJ356" s="41"/>
      <c r="FK356" s="41"/>
      <c r="FL356" s="41"/>
      <c r="FM356" s="41"/>
      <c r="FN356" s="41"/>
      <c r="FO356" s="41"/>
      <c r="FP356" s="41"/>
      <c r="FQ356" s="41"/>
      <c r="FR356" s="41"/>
      <c r="FS356" s="41"/>
      <c r="FT356" s="41"/>
      <c r="FU356" s="41"/>
      <c r="FV356" s="41"/>
      <c r="FW356" s="41"/>
      <c r="FX356" s="41"/>
      <c r="FY356" s="41"/>
      <c r="FZ356" s="41"/>
      <c r="GA356" s="41"/>
      <c r="GB356" s="41"/>
      <c r="GC356" s="41"/>
      <c r="GD356" s="41"/>
      <c r="GE356" s="41"/>
      <c r="GF356" s="41"/>
      <c r="GG356" s="41"/>
      <c r="GH356" s="41"/>
      <c r="GI356" s="41"/>
      <c r="GJ356" s="41"/>
      <c r="GK356" s="41"/>
      <c r="GL356" s="41"/>
      <c r="GM356" s="41"/>
      <c r="GN356" s="41"/>
      <c r="GO356" s="41"/>
      <c r="GP356" s="41"/>
      <c r="GQ356" s="41"/>
      <c r="GR356" s="41"/>
      <c r="GS356" s="41"/>
      <c r="GT356" s="41"/>
      <c r="GU356" s="41"/>
      <c r="GV356" s="41"/>
      <c r="GW356" s="41"/>
      <c r="GX356" s="41"/>
      <c r="GY356" s="41"/>
      <c r="GZ356" s="41"/>
      <c r="HA356" s="41"/>
      <c r="HB356" s="41"/>
      <c r="HC356" s="41"/>
      <c r="HD356" s="41"/>
      <c r="HE356" s="41"/>
      <c r="HF356" s="41"/>
      <c r="HG356" s="41"/>
      <c r="HH356" s="41"/>
      <c r="HI356" s="41"/>
      <c r="HJ356" s="41"/>
      <c r="HK356" s="41"/>
      <c r="HL356" s="41"/>
      <c r="HM356" s="41"/>
      <c r="HN356" s="41"/>
      <c r="HO356" s="41"/>
      <c r="HP356" s="41"/>
      <c r="HQ356" s="41"/>
      <c r="HR356" s="41"/>
      <c r="HS356" s="41"/>
      <c r="HT356" s="41"/>
      <c r="HU356" s="41"/>
      <c r="HV356" s="41"/>
      <c r="HW356" s="41"/>
      <c r="HX356" s="41"/>
      <c r="HY356" s="41"/>
      <c r="HZ356" s="41"/>
      <c r="IA356" s="41"/>
      <c r="IB356" s="41"/>
      <c r="IC356" s="41"/>
      <c r="ID356" s="41"/>
      <c r="IE356" s="41"/>
      <c r="IF356" s="41"/>
      <c r="IG356" s="41"/>
      <c r="IH356" s="41"/>
      <c r="II356" s="41"/>
      <c r="IJ356" s="41"/>
      <c r="IK356" s="41"/>
    </row>
    <row r="357" spans="1:245">
      <c r="B357" s="36">
        <f>'[6]price list MAN'!B357</f>
        <v>49128</v>
      </c>
      <c r="C357" s="10" t="str">
        <f>'[6]price list MAN'!C357</f>
        <v>TGM-25-2806X2BL-L</v>
      </c>
      <c r="D357" s="16" t="str">
        <f>IFERROR(VLOOKUP(C357&amp;"",'[7]Retail Price List'!$A$3:$B$103,2,FALSE),"Special Order")</f>
        <v>KP000489</v>
      </c>
      <c r="E357" s="494" t="str">
        <f>'[6]price list MAN'!E357</f>
        <v>CKD</v>
      </c>
      <c r="F357" s="11" t="str">
        <f>'[6]price list MAN'!F357</f>
        <v>2018-10-30</v>
      </c>
      <c r="G357" s="32">
        <f>'[6]price list MAN'!G357</f>
        <v>15.9</v>
      </c>
      <c r="H357" s="26">
        <f>'[6]price list MAN'!H357</f>
        <v>43069</v>
      </c>
      <c r="I357" s="51" t="str">
        <f t="shared" si="25"/>
        <v>2017Q4</v>
      </c>
      <c r="J357" s="177">
        <f>'[6]price list MAN'!J357</f>
        <v>1380000</v>
      </c>
      <c r="K357" s="177">
        <f>'[6]price list MAN'!P357</f>
        <v>1097250</v>
      </c>
      <c r="L357" s="177">
        <f>'[6]price list MAN'!R357</f>
        <v>1045000</v>
      </c>
      <c r="M357" s="174">
        <f>'[6]price list MAN'!S357</f>
        <v>1405000</v>
      </c>
      <c r="N357" s="174">
        <f>'[6]price list MAN'!Y357</f>
        <v>1123500</v>
      </c>
      <c r="O357" s="174">
        <f>'[6]price list MAN'!AA357</f>
        <v>1070000</v>
      </c>
      <c r="P357" s="68">
        <f t="shared" si="26"/>
        <v>0.23843416370106763</v>
      </c>
      <c r="Q357" s="62" t="e">
        <f>O357-#REF!</f>
        <v>#REF!</v>
      </c>
      <c r="S357" s="64" t="s">
        <v>9</v>
      </c>
      <c r="T357" s="64" t="s">
        <v>10</v>
      </c>
      <c r="U357" s="64" t="s">
        <v>11</v>
      </c>
      <c r="W357" s="210"/>
      <c r="X357" s="210"/>
      <c r="Y357" s="210"/>
      <c r="Z357" s="210"/>
      <c r="AA357" s="210"/>
      <c r="AB357" s="210"/>
      <c r="AC357" s="210"/>
      <c r="AT357" s="425" t="str">
        <f t="shared" si="27"/>
        <v>KP0004892017Q415,9</v>
      </c>
      <c r="AU357" s="64" t="str">
        <f t="shared" si="28"/>
        <v>11-2017</v>
      </c>
      <c r="AX357" s="432"/>
      <c r="BA357" s="428" t="str">
        <f t="shared" si="29"/>
        <v>WIP - 30 Days</v>
      </c>
    </row>
    <row r="358" spans="1:245">
      <c r="B358" s="36">
        <f>'[6]price list MAN'!B358</f>
        <v>49238</v>
      </c>
      <c r="C358" s="10" t="str">
        <f>'[6]price list MAN'!C358</f>
        <v>TGM-25-2806X2BL-L</v>
      </c>
      <c r="D358" s="16" t="str">
        <f>IFERROR(VLOOKUP(C358&amp;"",'[7]Retail Price List'!$A$3:$B$103,2,FALSE),"Special Order")</f>
        <v>KP000489</v>
      </c>
      <c r="E358" s="494" t="str">
        <f>'[6]price list MAN'!E358</f>
        <v>CKD</v>
      </c>
      <c r="F358" s="11" t="str">
        <f>'[6]price list MAN'!F358</f>
        <v>2018-05-22</v>
      </c>
      <c r="G358" s="32">
        <f>'[6]price list MAN'!G358</f>
        <v>15.8</v>
      </c>
      <c r="H358" s="26">
        <f>'[6]price list MAN'!H358</f>
        <v>43144</v>
      </c>
      <c r="I358" s="51" t="str">
        <f t="shared" si="25"/>
        <v>2018Q1</v>
      </c>
      <c r="J358" s="177">
        <f>'[6]price list MAN'!J358</f>
        <v>1380000</v>
      </c>
      <c r="K358" s="177">
        <f>'[6]price list MAN'!P358</f>
        <v>1097250</v>
      </c>
      <c r="L358" s="177">
        <f>'[6]price list MAN'!R358</f>
        <v>1045000</v>
      </c>
      <c r="M358" s="174">
        <f>'[6]price list MAN'!S358</f>
        <v>1405000</v>
      </c>
      <c r="N358" s="174">
        <f>'[6]price list MAN'!Y358</f>
        <v>1123500</v>
      </c>
      <c r="O358" s="174">
        <f>'[6]price list MAN'!AA358</f>
        <v>1070000</v>
      </c>
      <c r="P358" s="68">
        <f t="shared" si="26"/>
        <v>0.23843416370106763</v>
      </c>
      <c r="Q358" s="62" t="e">
        <f>O358-#REF!</f>
        <v>#REF!</v>
      </c>
      <c r="S358" s="64">
        <v>14</v>
      </c>
      <c r="T358" s="64">
        <v>-1.5</v>
      </c>
      <c r="U358" s="64">
        <v>3.5</v>
      </c>
      <c r="W358" s="210"/>
      <c r="X358" s="210"/>
      <c r="Y358" s="210"/>
      <c r="Z358" s="210"/>
      <c r="AA358" s="210"/>
      <c r="AB358" s="210"/>
      <c r="AC358" s="210"/>
      <c r="AT358" s="425" t="str">
        <f t="shared" si="27"/>
        <v>KP0004892018Q115,8</v>
      </c>
      <c r="AU358" s="64" t="str">
        <f t="shared" si="28"/>
        <v>02-2018</v>
      </c>
      <c r="AV358" s="428"/>
      <c r="AX358" s="432"/>
      <c r="BA358" s="428" t="str">
        <f t="shared" si="29"/>
        <v>WIP - 30 Days</v>
      </c>
    </row>
    <row r="359" spans="1:245">
      <c r="B359" s="36">
        <f>'[6]price list MAN'!B359</f>
        <v>49239</v>
      </c>
      <c r="C359" s="10" t="str">
        <f>'[6]price list MAN'!C359</f>
        <v>TGM-25-2806X2BL-L</v>
      </c>
      <c r="D359" s="16" t="str">
        <f>IFERROR(VLOOKUP(C359&amp;"",'[7]Retail Price List'!$A$3:$B$103,2,FALSE),"Special Order")</f>
        <v>KP000489</v>
      </c>
      <c r="E359" s="494" t="str">
        <f>'[6]price list MAN'!E359</f>
        <v>CKD</v>
      </c>
      <c r="F359" s="11" t="str">
        <f>'[6]price list MAN'!F359</f>
        <v>2018-05-22</v>
      </c>
      <c r="G359" s="32">
        <f>'[6]price list MAN'!G359</f>
        <v>15.8</v>
      </c>
      <c r="H359" s="26">
        <f>'[6]price list MAN'!H359</f>
        <v>43144</v>
      </c>
      <c r="I359" s="51" t="str">
        <f t="shared" si="25"/>
        <v>2018Q1</v>
      </c>
      <c r="J359" s="177">
        <f>'[6]price list MAN'!J359</f>
        <v>1380000</v>
      </c>
      <c r="K359" s="177">
        <f>'[6]price list MAN'!P359</f>
        <v>1097250</v>
      </c>
      <c r="L359" s="177">
        <f>'[6]price list MAN'!R359</f>
        <v>1045000</v>
      </c>
      <c r="M359" s="174">
        <f>'[6]price list MAN'!S359</f>
        <v>1405000</v>
      </c>
      <c r="N359" s="174">
        <f>'[6]price list MAN'!Y359</f>
        <v>1123500</v>
      </c>
      <c r="O359" s="174">
        <f>'[6]price list MAN'!AA359</f>
        <v>1070000</v>
      </c>
      <c r="P359" s="68">
        <f t="shared" si="26"/>
        <v>0.23843416370106763</v>
      </c>
      <c r="Q359" s="62" t="e">
        <f>O359-#REF!</f>
        <v>#REF!</v>
      </c>
      <c r="W359" s="210"/>
      <c r="X359" s="210"/>
      <c r="Y359" s="210"/>
      <c r="Z359" s="210"/>
      <c r="AA359" s="210"/>
      <c r="AB359" s="210"/>
      <c r="AC359" s="210"/>
      <c r="AT359" s="425" t="str">
        <f t="shared" si="27"/>
        <v>KP0004892018Q115,8</v>
      </c>
      <c r="AU359" s="64" t="str">
        <f t="shared" si="28"/>
        <v>02-2018</v>
      </c>
      <c r="AV359" s="428"/>
      <c r="AX359" s="432"/>
      <c r="BA359" s="428" t="str">
        <f t="shared" si="29"/>
        <v>WIP - 30 Days</v>
      </c>
    </row>
    <row r="360" spans="1:245">
      <c r="B360" s="36">
        <f>'[6]price list MAN'!B360</f>
        <v>49240</v>
      </c>
      <c r="C360" s="10" t="str">
        <f>'[6]price list MAN'!C360</f>
        <v>TGM-25-2806X2BL-L</v>
      </c>
      <c r="D360" s="16" t="str">
        <f>IFERROR(VLOOKUP(C360&amp;"",'[7]Retail Price List'!$A$3:$B$103,2,FALSE),"Special Order")</f>
        <v>KP000489</v>
      </c>
      <c r="E360" s="494" t="str">
        <f>'[6]price list MAN'!E360</f>
        <v>CKD</v>
      </c>
      <c r="F360" s="11" t="str">
        <f>'[6]price list MAN'!F360</f>
        <v>2018-05-22</v>
      </c>
      <c r="G360" s="32">
        <f>'[6]price list MAN'!G360</f>
        <v>15.8</v>
      </c>
      <c r="H360" s="26">
        <f>'[6]price list MAN'!H360</f>
        <v>43144</v>
      </c>
      <c r="I360" s="51" t="str">
        <f t="shared" si="25"/>
        <v>2018Q1</v>
      </c>
      <c r="J360" s="177">
        <f>'[6]price list MAN'!J360</f>
        <v>1380000</v>
      </c>
      <c r="K360" s="177">
        <f>'[6]price list MAN'!P360</f>
        <v>1097250</v>
      </c>
      <c r="L360" s="177">
        <f>'[6]price list MAN'!R360</f>
        <v>1045000</v>
      </c>
      <c r="M360" s="174">
        <f>'[6]price list MAN'!S360</f>
        <v>1405000</v>
      </c>
      <c r="N360" s="174">
        <f>'[6]price list MAN'!Y360</f>
        <v>1123500</v>
      </c>
      <c r="O360" s="174">
        <f>'[6]price list MAN'!AA360</f>
        <v>1070000</v>
      </c>
      <c r="P360" s="68">
        <f t="shared" si="26"/>
        <v>0.23843416370106763</v>
      </c>
      <c r="Q360" s="62" t="e">
        <f>O360-#REF!</f>
        <v>#REF!</v>
      </c>
      <c r="S360" s="64">
        <f>COUNT(#REF!)</f>
        <v>0</v>
      </c>
      <c r="W360" s="210"/>
      <c r="X360" s="210"/>
      <c r="Y360" s="210"/>
      <c r="Z360" s="210"/>
      <c r="AA360" s="210"/>
      <c r="AB360" s="210"/>
      <c r="AC360" s="210"/>
      <c r="AT360" s="425" t="str">
        <f t="shared" si="27"/>
        <v>KP0004892018Q115,8</v>
      </c>
      <c r="AU360" s="64" t="str">
        <f t="shared" si="28"/>
        <v>02-2018</v>
      </c>
      <c r="AV360" s="428"/>
      <c r="AX360" s="432"/>
      <c r="BA360" s="428" t="str">
        <f t="shared" si="29"/>
        <v>WIP - 30 Days</v>
      </c>
    </row>
    <row r="361" spans="1:245">
      <c r="B361" s="36">
        <f>'[6]price list MAN'!B361</f>
        <v>49241</v>
      </c>
      <c r="C361" s="10" t="str">
        <f>'[6]price list MAN'!C361</f>
        <v>TGM-25-2806X2BL-L</v>
      </c>
      <c r="D361" s="16" t="str">
        <f>IFERROR(VLOOKUP(C361&amp;"",'[7]Retail Price List'!$A$3:$B$103,2,FALSE),"Special Order")</f>
        <v>KP000489</v>
      </c>
      <c r="E361" s="494" t="str">
        <f>'[6]price list MAN'!E361</f>
        <v>CKD</v>
      </c>
      <c r="F361" s="11" t="str">
        <f>'[6]price list MAN'!F361</f>
        <v>2018-05-22</v>
      </c>
      <c r="G361" s="32">
        <f>'[6]price list MAN'!G361</f>
        <v>15.8</v>
      </c>
      <c r="H361" s="26">
        <f>'[6]price list MAN'!H361</f>
        <v>43144</v>
      </c>
      <c r="I361" s="51" t="str">
        <f t="shared" si="25"/>
        <v>2018Q1</v>
      </c>
      <c r="J361" s="177">
        <f>'[6]price list MAN'!J361</f>
        <v>1380000</v>
      </c>
      <c r="K361" s="177">
        <f>'[6]price list MAN'!P361</f>
        <v>1097250</v>
      </c>
      <c r="L361" s="177">
        <f>'[6]price list MAN'!R361</f>
        <v>1045000</v>
      </c>
      <c r="M361" s="174">
        <f>'[6]price list MAN'!S361</f>
        <v>1405000</v>
      </c>
      <c r="N361" s="174">
        <f>'[6]price list MAN'!Y361</f>
        <v>1123500</v>
      </c>
      <c r="O361" s="174">
        <f>'[6]price list MAN'!AA361</f>
        <v>1070000</v>
      </c>
      <c r="P361" s="68">
        <f t="shared" si="26"/>
        <v>0.23843416370106763</v>
      </c>
      <c r="Q361" s="62" t="e">
        <f>O361-#REF!</f>
        <v>#REF!</v>
      </c>
      <c r="S361" s="62" t="e">
        <f>+AVERAGE(#REF!)</f>
        <v>#REF!</v>
      </c>
      <c r="W361" s="210"/>
      <c r="X361" s="210"/>
      <c r="Y361" s="210"/>
      <c r="Z361" s="210"/>
      <c r="AA361" s="210"/>
      <c r="AB361" s="210"/>
      <c r="AC361" s="210"/>
      <c r="AT361" s="425" t="str">
        <f t="shared" si="27"/>
        <v>KP0004892018Q115,8</v>
      </c>
      <c r="AU361" s="64" t="str">
        <f t="shared" si="28"/>
        <v>02-2018</v>
      </c>
      <c r="BA361" s="428" t="str">
        <f t="shared" si="29"/>
        <v>WIP - 30 Days</v>
      </c>
    </row>
    <row r="362" spans="1:245">
      <c r="B362" s="36">
        <f>'[6]price list MAN'!B362</f>
        <v>49242</v>
      </c>
      <c r="C362" s="10" t="str">
        <f>'[6]price list MAN'!C362</f>
        <v>TGM-25-2806X2BL-L</v>
      </c>
      <c r="D362" s="16" t="str">
        <f>IFERROR(VLOOKUP(C362&amp;"",'[7]Retail Price List'!$A$3:$B$103,2,FALSE),"Special Order")</f>
        <v>KP000489</v>
      </c>
      <c r="E362" s="494" t="str">
        <f>'[6]price list MAN'!E362</f>
        <v>CKD</v>
      </c>
      <c r="F362" s="11" t="str">
        <f>'[6]price list MAN'!F362</f>
        <v>2018-06-02</v>
      </c>
      <c r="G362" s="32">
        <f>'[6]price list MAN'!G362</f>
        <v>15.8</v>
      </c>
      <c r="H362" s="26">
        <f>'[6]price list MAN'!H362</f>
        <v>43144</v>
      </c>
      <c r="I362" s="51" t="str">
        <f t="shared" si="25"/>
        <v>2018Q1</v>
      </c>
      <c r="J362" s="177">
        <f>'[6]price list MAN'!J362</f>
        <v>1380000</v>
      </c>
      <c r="K362" s="177">
        <f>'[6]price list MAN'!P362</f>
        <v>1097250</v>
      </c>
      <c r="L362" s="177">
        <f>'[6]price list MAN'!R362</f>
        <v>1045000</v>
      </c>
      <c r="M362" s="174">
        <f>'[6]price list MAN'!S362</f>
        <v>1405000</v>
      </c>
      <c r="N362" s="174">
        <f>'[6]price list MAN'!Y362</f>
        <v>1123500</v>
      </c>
      <c r="O362" s="174">
        <f>'[6]price list MAN'!AA362</f>
        <v>1070000</v>
      </c>
      <c r="P362" s="68">
        <f t="shared" si="26"/>
        <v>0.23843416370106763</v>
      </c>
      <c r="Q362" s="62" t="e">
        <f>O362-#REF!</f>
        <v>#REF!</v>
      </c>
      <c r="W362" s="210"/>
      <c r="X362" s="210"/>
      <c r="Y362" s="210"/>
      <c r="Z362" s="210"/>
      <c r="AA362" s="210"/>
      <c r="AB362" s="210"/>
      <c r="AC362" s="210"/>
      <c r="AT362" s="425" t="str">
        <f t="shared" si="27"/>
        <v>KP0004892018Q115,8</v>
      </c>
      <c r="AU362" s="64" t="str">
        <f t="shared" si="28"/>
        <v>02-2018</v>
      </c>
      <c r="BA362" s="428" t="str">
        <f t="shared" si="29"/>
        <v>WIP - 30 Days</v>
      </c>
    </row>
    <row r="363" spans="1:245">
      <c r="B363" s="36">
        <f>'[6]price list MAN'!B363</f>
        <v>49243</v>
      </c>
      <c r="C363" s="10" t="str">
        <f>'[6]price list MAN'!C363</f>
        <v>TGM-25-2806X2BL-L</v>
      </c>
      <c r="D363" s="16" t="str">
        <f>IFERROR(VLOOKUP(C363&amp;"",'[7]Retail Price List'!$A$3:$B$103,2,FALSE),"Special Order")</f>
        <v>KP000489</v>
      </c>
      <c r="E363" s="494" t="str">
        <f>'[6]price list MAN'!E363</f>
        <v>CKD</v>
      </c>
      <c r="F363" s="11" t="str">
        <f>'[6]price list MAN'!F363</f>
        <v>2018-06-02</v>
      </c>
      <c r="G363" s="32">
        <f>'[6]price list MAN'!G363</f>
        <v>15.8</v>
      </c>
      <c r="H363" s="26">
        <f>'[6]price list MAN'!H363</f>
        <v>43144</v>
      </c>
      <c r="I363" s="51" t="str">
        <f t="shared" si="25"/>
        <v>2018Q1</v>
      </c>
      <c r="J363" s="177">
        <f>'[6]price list MAN'!J363</f>
        <v>1380000</v>
      </c>
      <c r="K363" s="177">
        <f>'[6]price list MAN'!P363</f>
        <v>1097250</v>
      </c>
      <c r="L363" s="177">
        <f>'[6]price list MAN'!R363</f>
        <v>1045000</v>
      </c>
      <c r="M363" s="174">
        <f>'[6]price list MAN'!S363</f>
        <v>1405000</v>
      </c>
      <c r="N363" s="174">
        <f>'[6]price list MAN'!Y363</f>
        <v>1123500</v>
      </c>
      <c r="O363" s="174">
        <f>'[6]price list MAN'!AA363</f>
        <v>1070000</v>
      </c>
      <c r="P363" s="68">
        <f t="shared" si="26"/>
        <v>0.23843416370106763</v>
      </c>
      <c r="Q363" s="62" t="e">
        <f>O363-#REF!</f>
        <v>#REF!</v>
      </c>
      <c r="W363" s="210"/>
      <c r="X363" s="210"/>
      <c r="Y363" s="210"/>
      <c r="Z363" s="210"/>
      <c r="AA363" s="210"/>
      <c r="AB363" s="210"/>
      <c r="AC363" s="210"/>
      <c r="AT363" s="425" t="str">
        <f t="shared" si="27"/>
        <v>KP0004892018Q115,8</v>
      </c>
      <c r="AU363" s="64" t="str">
        <f t="shared" si="28"/>
        <v>02-2018</v>
      </c>
      <c r="BA363" s="428" t="str">
        <f t="shared" si="29"/>
        <v>WIP - 30 Days</v>
      </c>
    </row>
    <row r="364" spans="1:245">
      <c r="B364" s="36">
        <f>'[6]price list MAN'!B364</f>
        <v>49244</v>
      </c>
      <c r="C364" s="10" t="str">
        <f>'[6]price list MAN'!C364</f>
        <v>TGM-25-2806X2BL-L</v>
      </c>
      <c r="D364" s="16" t="str">
        <f>IFERROR(VLOOKUP(C364&amp;"",'[7]Retail Price List'!$A$3:$B$103,2,FALSE),"Special Order")</f>
        <v>KP000489</v>
      </c>
      <c r="E364" s="494" t="str">
        <f>'[6]price list MAN'!E364</f>
        <v>CKD</v>
      </c>
      <c r="F364" s="11" t="str">
        <f>'[6]price list MAN'!F364</f>
        <v>2018-06-02</v>
      </c>
      <c r="G364" s="32">
        <f>'[6]price list MAN'!G364</f>
        <v>15.8</v>
      </c>
      <c r="H364" s="26">
        <f>'[6]price list MAN'!H364</f>
        <v>43144</v>
      </c>
      <c r="I364" s="51" t="str">
        <f t="shared" si="25"/>
        <v>2018Q1</v>
      </c>
      <c r="J364" s="177">
        <f>'[6]price list MAN'!J364</f>
        <v>1380000</v>
      </c>
      <c r="K364" s="177">
        <f>'[6]price list MAN'!P364</f>
        <v>1097250</v>
      </c>
      <c r="L364" s="177">
        <f>'[6]price list MAN'!R364</f>
        <v>1045000</v>
      </c>
      <c r="M364" s="174">
        <f>'[6]price list MAN'!S364</f>
        <v>1405000</v>
      </c>
      <c r="N364" s="174">
        <f>'[6]price list MAN'!Y364</f>
        <v>1123500</v>
      </c>
      <c r="O364" s="174">
        <f>'[6]price list MAN'!AA364</f>
        <v>1070000</v>
      </c>
      <c r="P364" s="68">
        <f t="shared" si="26"/>
        <v>0.23843416370106763</v>
      </c>
      <c r="Q364" s="62" t="e">
        <f>O364-#REF!</f>
        <v>#REF!</v>
      </c>
      <c r="W364" s="210"/>
      <c r="X364" s="210"/>
      <c r="Y364" s="210"/>
      <c r="Z364" s="210"/>
      <c r="AA364" s="210"/>
      <c r="AB364" s="210"/>
      <c r="AC364" s="210"/>
      <c r="AT364" s="425" t="str">
        <f t="shared" si="27"/>
        <v>KP0004892018Q115,8</v>
      </c>
      <c r="AU364" s="64" t="str">
        <f t="shared" si="28"/>
        <v>02-2018</v>
      </c>
      <c r="BA364" s="428" t="str">
        <f t="shared" si="29"/>
        <v>WIP - 30 Days</v>
      </c>
    </row>
    <row r="365" spans="1:245">
      <c r="B365" s="36">
        <f>'[6]price list MAN'!B365</f>
        <v>49245</v>
      </c>
      <c r="C365" s="10" t="str">
        <f>'[6]price list MAN'!C365</f>
        <v>TGM-25-2806X2BL-L</v>
      </c>
      <c r="D365" s="16" t="str">
        <f>IFERROR(VLOOKUP(C365&amp;"",'[7]Retail Price List'!$A$3:$B$103,2,FALSE),"Special Order")</f>
        <v>KP000489</v>
      </c>
      <c r="E365" s="494" t="str">
        <f>'[6]price list MAN'!E365</f>
        <v>CKD</v>
      </c>
      <c r="F365" s="11" t="str">
        <f>'[6]price list MAN'!F365</f>
        <v>2018-06-02</v>
      </c>
      <c r="G365" s="32">
        <f>'[6]price list MAN'!G365</f>
        <v>15.8</v>
      </c>
      <c r="H365" s="26">
        <f>'[6]price list MAN'!H365</f>
        <v>43144</v>
      </c>
      <c r="I365" s="51" t="str">
        <f t="shared" si="25"/>
        <v>2018Q1</v>
      </c>
      <c r="J365" s="177">
        <f>'[6]price list MAN'!J365</f>
        <v>1380000</v>
      </c>
      <c r="K365" s="177">
        <f>'[6]price list MAN'!P365</f>
        <v>1097250</v>
      </c>
      <c r="L365" s="177">
        <f>'[6]price list MAN'!R365</f>
        <v>1045000</v>
      </c>
      <c r="M365" s="174">
        <f>'[6]price list MAN'!S365</f>
        <v>1405000</v>
      </c>
      <c r="N365" s="174">
        <f>'[6]price list MAN'!Y365</f>
        <v>1123500</v>
      </c>
      <c r="O365" s="174">
        <f>'[6]price list MAN'!AA365</f>
        <v>1070000</v>
      </c>
      <c r="P365" s="68">
        <f t="shared" si="26"/>
        <v>0.23843416370106763</v>
      </c>
      <c r="Q365" s="62" t="e">
        <f>O365-#REF!</f>
        <v>#REF!</v>
      </c>
      <c r="W365" s="210"/>
      <c r="X365" s="210"/>
      <c r="Y365" s="210"/>
      <c r="Z365" s="210"/>
      <c r="AA365" s="210"/>
      <c r="AB365" s="210"/>
      <c r="AC365" s="210"/>
      <c r="AT365" s="425" t="str">
        <f t="shared" si="27"/>
        <v>KP0004892018Q115,8</v>
      </c>
      <c r="AU365" s="64" t="str">
        <f t="shared" si="28"/>
        <v>02-2018</v>
      </c>
      <c r="BA365" s="428" t="str">
        <f t="shared" si="29"/>
        <v>WIP - 30 Days</v>
      </c>
    </row>
    <row r="366" spans="1:245">
      <c r="B366" s="36">
        <f>'[6]price list MAN'!B366</f>
        <v>49246</v>
      </c>
      <c r="C366" s="10" t="str">
        <f>'[6]price list MAN'!C366</f>
        <v>TGM-25-2806X2BL-L</v>
      </c>
      <c r="D366" s="16" t="str">
        <f>IFERROR(VLOOKUP(C366&amp;"",'[7]Retail Price List'!$A$3:$B$103,2,FALSE),"Special Order")</f>
        <v>KP000489</v>
      </c>
      <c r="E366" s="494" t="str">
        <f>'[6]price list MAN'!E366</f>
        <v>CKD</v>
      </c>
      <c r="F366" s="11" t="str">
        <f>'[6]price list MAN'!F366</f>
        <v>2018-06-09</v>
      </c>
      <c r="G366" s="32">
        <f>'[6]price list MAN'!G366</f>
        <v>15.8</v>
      </c>
      <c r="H366" s="26">
        <f>'[6]price list MAN'!H366</f>
        <v>43144</v>
      </c>
      <c r="I366" s="51" t="str">
        <f t="shared" si="25"/>
        <v>2018Q1</v>
      </c>
      <c r="J366" s="177">
        <f>'[6]price list MAN'!J366</f>
        <v>1380000</v>
      </c>
      <c r="K366" s="177">
        <f>'[6]price list MAN'!P366</f>
        <v>1097250</v>
      </c>
      <c r="L366" s="177">
        <f>'[6]price list MAN'!R366</f>
        <v>1045000</v>
      </c>
      <c r="M366" s="174">
        <f>'[6]price list MAN'!S366</f>
        <v>1405000</v>
      </c>
      <c r="N366" s="174">
        <f>'[6]price list MAN'!Y366</f>
        <v>1123500</v>
      </c>
      <c r="O366" s="174">
        <f>'[6]price list MAN'!AA366</f>
        <v>1070000</v>
      </c>
      <c r="P366" s="68">
        <f t="shared" si="26"/>
        <v>0.23843416370106763</v>
      </c>
      <c r="Q366" s="62" t="e">
        <f>O366-#REF!</f>
        <v>#REF!</v>
      </c>
      <c r="W366" s="210"/>
      <c r="X366" s="210"/>
      <c r="Y366" s="210"/>
      <c r="Z366" s="210"/>
      <c r="AA366" s="210"/>
      <c r="AB366" s="210"/>
      <c r="AC366" s="210"/>
      <c r="AT366" s="425" t="str">
        <f t="shared" si="27"/>
        <v>KP0004892018Q115,8</v>
      </c>
      <c r="AU366" s="64" t="str">
        <f t="shared" si="28"/>
        <v>02-2018</v>
      </c>
      <c r="BA366" s="428" t="str">
        <f t="shared" si="29"/>
        <v>WIP - 30 Days</v>
      </c>
    </row>
    <row r="367" spans="1:245">
      <c r="B367" s="36">
        <f>'[6]price list MAN'!B367</f>
        <v>49247</v>
      </c>
      <c r="C367" s="10" t="str">
        <f>'[6]price list MAN'!C367</f>
        <v>TGM-25-2806X2BL-L</v>
      </c>
      <c r="D367" s="16" t="str">
        <f>IFERROR(VLOOKUP(C367&amp;"",'[7]Retail Price List'!$A$3:$B$103,2,FALSE),"Special Order")</f>
        <v>KP000489</v>
      </c>
      <c r="E367" s="494" t="str">
        <f>'[6]price list MAN'!E367</f>
        <v>CKD</v>
      </c>
      <c r="F367" s="11" t="str">
        <f>'[6]price list MAN'!F367</f>
        <v>2018-06-09</v>
      </c>
      <c r="G367" s="32">
        <f>'[6]price list MAN'!G367</f>
        <v>15.8</v>
      </c>
      <c r="H367" s="26">
        <f>'[6]price list MAN'!H367</f>
        <v>43144</v>
      </c>
      <c r="I367" s="51" t="str">
        <f t="shared" si="25"/>
        <v>2018Q1</v>
      </c>
      <c r="J367" s="177">
        <f>'[6]price list MAN'!J367</f>
        <v>1380000</v>
      </c>
      <c r="K367" s="177">
        <f>'[6]price list MAN'!P367</f>
        <v>1097250</v>
      </c>
      <c r="L367" s="177">
        <f>'[6]price list MAN'!R367</f>
        <v>1045000</v>
      </c>
      <c r="M367" s="174">
        <f>'[6]price list MAN'!S367</f>
        <v>1405000</v>
      </c>
      <c r="N367" s="174">
        <f>'[6]price list MAN'!Y367</f>
        <v>1123500</v>
      </c>
      <c r="O367" s="174">
        <f>'[6]price list MAN'!AA367</f>
        <v>1070000</v>
      </c>
      <c r="P367" s="68">
        <f t="shared" si="26"/>
        <v>0.23843416370106763</v>
      </c>
      <c r="Q367" s="62" t="e">
        <f>O367-#REF!</f>
        <v>#REF!</v>
      </c>
      <c r="W367" s="210"/>
      <c r="X367" s="210"/>
      <c r="Y367" s="210"/>
      <c r="Z367" s="210"/>
      <c r="AA367" s="210"/>
      <c r="AB367" s="210"/>
      <c r="AC367" s="210"/>
      <c r="AT367" s="425" t="str">
        <f t="shared" si="27"/>
        <v>KP0004892018Q115,8</v>
      </c>
      <c r="AU367" s="64" t="str">
        <f t="shared" si="28"/>
        <v>02-2018</v>
      </c>
      <c r="BA367" s="428" t="str">
        <f t="shared" si="29"/>
        <v>WIP - 30 Days</v>
      </c>
    </row>
    <row r="368" spans="1:245">
      <c r="B368" s="36">
        <f>'[6]price list MAN'!B368</f>
        <v>49248</v>
      </c>
      <c r="C368" s="10" t="str">
        <f>'[6]price list MAN'!C368</f>
        <v>TGM-25-2806X2BL-L</v>
      </c>
      <c r="D368" s="16" t="str">
        <f>IFERROR(VLOOKUP(C368&amp;"",'[7]Retail Price List'!$A$3:$B$103,2,FALSE),"Special Order")</f>
        <v>KP000489</v>
      </c>
      <c r="E368" s="494" t="str">
        <f>'[6]price list MAN'!E368</f>
        <v>CKD</v>
      </c>
      <c r="F368" s="11" t="str">
        <f>'[6]price list MAN'!F368</f>
        <v>2018-06-09</v>
      </c>
      <c r="G368" s="32">
        <f>'[6]price list MAN'!G368</f>
        <v>15.8</v>
      </c>
      <c r="H368" s="26">
        <f>'[6]price list MAN'!H368</f>
        <v>43144</v>
      </c>
      <c r="I368" s="51" t="str">
        <f t="shared" si="25"/>
        <v>2018Q1</v>
      </c>
      <c r="J368" s="177">
        <f>'[6]price list MAN'!J368</f>
        <v>1380000</v>
      </c>
      <c r="K368" s="177">
        <f>'[6]price list MAN'!P368</f>
        <v>1097250</v>
      </c>
      <c r="L368" s="177">
        <f>'[6]price list MAN'!R368</f>
        <v>1045000</v>
      </c>
      <c r="M368" s="174">
        <f>'[6]price list MAN'!S368</f>
        <v>1405000</v>
      </c>
      <c r="N368" s="174">
        <f>'[6]price list MAN'!Y368</f>
        <v>1123500</v>
      </c>
      <c r="O368" s="174">
        <f>'[6]price list MAN'!AA368</f>
        <v>1070000</v>
      </c>
      <c r="P368" s="68">
        <f t="shared" si="26"/>
        <v>0.23843416370106763</v>
      </c>
      <c r="Q368" s="62" t="e">
        <f>O368-#REF!</f>
        <v>#REF!</v>
      </c>
      <c r="W368" s="210"/>
      <c r="X368" s="210"/>
      <c r="Y368" s="210"/>
      <c r="Z368" s="210"/>
      <c r="AA368" s="210"/>
      <c r="AB368" s="210"/>
      <c r="AC368" s="210"/>
      <c r="AT368" s="425" t="str">
        <f t="shared" si="27"/>
        <v>KP0004892018Q115,8</v>
      </c>
      <c r="AU368" s="64" t="str">
        <f t="shared" si="28"/>
        <v>02-2018</v>
      </c>
      <c r="BA368" s="428" t="str">
        <f t="shared" si="29"/>
        <v>WIP - 30 Days</v>
      </c>
    </row>
    <row r="369" spans="1:245">
      <c r="B369" s="36">
        <f>'[6]price list MAN'!B369</f>
        <v>49249</v>
      </c>
      <c r="C369" s="10" t="str">
        <f>'[6]price list MAN'!C369</f>
        <v>TGM-25-2806X2BL-L</v>
      </c>
      <c r="D369" s="16" t="str">
        <f>IFERROR(VLOOKUP(C369&amp;"",'[7]Retail Price List'!$A$3:$B$103,2,FALSE),"Special Order")</f>
        <v>KP000489</v>
      </c>
      <c r="E369" s="494" t="str">
        <f>'[6]price list MAN'!E369</f>
        <v>CKD</v>
      </c>
      <c r="F369" s="11" t="str">
        <f>'[6]price list MAN'!F369</f>
        <v>2018-06-09</v>
      </c>
      <c r="G369" s="32">
        <f>'[6]price list MAN'!G369</f>
        <v>15.8</v>
      </c>
      <c r="H369" s="26">
        <f>'[6]price list MAN'!H369</f>
        <v>43144</v>
      </c>
      <c r="I369" s="51" t="str">
        <f t="shared" si="25"/>
        <v>2018Q1</v>
      </c>
      <c r="J369" s="177">
        <f>'[6]price list MAN'!J369</f>
        <v>1380000</v>
      </c>
      <c r="K369" s="177">
        <f>'[6]price list MAN'!P369</f>
        <v>1097250</v>
      </c>
      <c r="L369" s="177">
        <f>'[6]price list MAN'!R369</f>
        <v>1045000</v>
      </c>
      <c r="M369" s="174">
        <f>'[6]price list MAN'!S369</f>
        <v>1405000</v>
      </c>
      <c r="N369" s="174">
        <f>'[6]price list MAN'!Y369</f>
        <v>1123500</v>
      </c>
      <c r="O369" s="174">
        <f>'[6]price list MAN'!AA369</f>
        <v>1070000</v>
      </c>
      <c r="P369" s="68">
        <f t="shared" si="26"/>
        <v>0.23843416370106763</v>
      </c>
      <c r="Q369" s="62" t="e">
        <f>O369-#REF!</f>
        <v>#REF!</v>
      </c>
      <c r="W369" s="210"/>
      <c r="X369" s="210"/>
      <c r="Y369" s="210"/>
      <c r="Z369" s="210"/>
      <c r="AA369" s="210"/>
      <c r="AB369" s="210"/>
      <c r="AC369" s="210"/>
      <c r="AT369" s="425" t="str">
        <f t="shared" si="27"/>
        <v>KP0004892018Q115,8</v>
      </c>
      <c r="AU369" s="64" t="str">
        <f t="shared" si="28"/>
        <v>02-2018</v>
      </c>
      <c r="BA369" s="428" t="str">
        <f t="shared" si="29"/>
        <v>WIP - 30 Days</v>
      </c>
    </row>
    <row r="370" spans="1:245">
      <c r="B370" s="36">
        <f>'[6]price list MAN'!B370</f>
        <v>49250</v>
      </c>
      <c r="C370" s="10" t="str">
        <f>'[6]price list MAN'!C370</f>
        <v>TGM-25-2806X2BL-L</v>
      </c>
      <c r="D370" s="16" t="str">
        <f>IFERROR(VLOOKUP(C370&amp;"",'[7]Retail Price List'!$A$3:$B$103,2,FALSE),"Special Order")</f>
        <v>KP000489</v>
      </c>
      <c r="E370" s="494" t="str">
        <f>'[6]price list MAN'!E370</f>
        <v>CKD</v>
      </c>
      <c r="F370" s="11" t="str">
        <f>'[6]price list MAN'!F370</f>
        <v>2018-06-16</v>
      </c>
      <c r="G370" s="32">
        <f>'[6]price list MAN'!G370</f>
        <v>15.8</v>
      </c>
      <c r="H370" s="26">
        <f>'[6]price list MAN'!H370</f>
        <v>43144</v>
      </c>
      <c r="I370" s="51" t="str">
        <f t="shared" si="25"/>
        <v>2018Q1</v>
      </c>
      <c r="J370" s="177">
        <f>'[6]price list MAN'!J370</f>
        <v>1380000</v>
      </c>
      <c r="K370" s="177">
        <f>'[6]price list MAN'!P370</f>
        <v>1097250</v>
      </c>
      <c r="L370" s="177">
        <f>'[6]price list MAN'!R370</f>
        <v>1045000</v>
      </c>
      <c r="M370" s="174">
        <f>'[6]price list MAN'!S370</f>
        <v>1405000</v>
      </c>
      <c r="N370" s="174">
        <f>'[6]price list MAN'!Y370</f>
        <v>1123500</v>
      </c>
      <c r="O370" s="174">
        <f>'[6]price list MAN'!AA370</f>
        <v>1070000</v>
      </c>
      <c r="P370" s="68">
        <f t="shared" si="26"/>
        <v>0.23843416370106763</v>
      </c>
      <c r="Q370" s="62" t="e">
        <f>O370-#REF!</f>
        <v>#REF!</v>
      </c>
      <c r="W370" s="210"/>
      <c r="X370" s="210"/>
      <c r="Y370" s="210"/>
      <c r="Z370" s="210"/>
      <c r="AA370" s="210"/>
      <c r="AB370" s="210"/>
      <c r="AC370" s="210"/>
      <c r="AT370" s="425" t="str">
        <f t="shared" si="27"/>
        <v>KP0004892018Q115,8</v>
      </c>
      <c r="AU370" s="64" t="str">
        <f t="shared" si="28"/>
        <v>02-2018</v>
      </c>
      <c r="AX370" s="433"/>
      <c r="BA370" s="428" t="str">
        <f t="shared" si="29"/>
        <v>WIP - 30 Days</v>
      </c>
    </row>
    <row r="371" spans="1:245">
      <c r="B371" s="36">
        <f>'[6]price list MAN'!B371</f>
        <v>49251</v>
      </c>
      <c r="C371" s="10" t="str">
        <f>'[6]price list MAN'!C371</f>
        <v>TGM-25-2806X2BL-L</v>
      </c>
      <c r="D371" s="16" t="str">
        <f>IFERROR(VLOOKUP(C371&amp;"",'[7]Retail Price List'!$A$3:$B$103,2,FALSE),"Special Order")</f>
        <v>KP000489</v>
      </c>
      <c r="E371" s="494" t="str">
        <f>'[6]price list MAN'!E371</f>
        <v>CKD</v>
      </c>
      <c r="F371" s="11" t="str">
        <f>'[6]price list MAN'!F371</f>
        <v>2018-06-16</v>
      </c>
      <c r="G371" s="32">
        <f>'[6]price list MAN'!G371</f>
        <v>15.8</v>
      </c>
      <c r="H371" s="26">
        <f>'[6]price list MAN'!H371</f>
        <v>43144</v>
      </c>
      <c r="I371" s="51" t="str">
        <f t="shared" si="25"/>
        <v>2018Q1</v>
      </c>
      <c r="J371" s="177">
        <f>'[6]price list MAN'!J371</f>
        <v>1380000</v>
      </c>
      <c r="K371" s="177">
        <f>'[6]price list MAN'!P371</f>
        <v>1097250</v>
      </c>
      <c r="L371" s="177">
        <f>'[6]price list MAN'!R371</f>
        <v>1045000</v>
      </c>
      <c r="M371" s="174">
        <f>'[6]price list MAN'!S371</f>
        <v>1405000</v>
      </c>
      <c r="N371" s="174">
        <f>'[6]price list MAN'!Y371</f>
        <v>1123500</v>
      </c>
      <c r="O371" s="174">
        <f>'[6]price list MAN'!AA371</f>
        <v>1070000</v>
      </c>
      <c r="P371" s="68">
        <f t="shared" si="26"/>
        <v>0.23843416370106763</v>
      </c>
      <c r="Q371" s="62" t="e">
        <f>O371-#REF!</f>
        <v>#REF!</v>
      </c>
      <c r="W371" s="210"/>
      <c r="X371" s="210"/>
      <c r="Y371" s="210"/>
      <c r="Z371" s="210"/>
      <c r="AA371" s="210"/>
      <c r="AB371" s="210"/>
      <c r="AC371" s="210"/>
      <c r="AT371" s="425" t="str">
        <f t="shared" si="27"/>
        <v>KP0004892018Q115,8</v>
      </c>
      <c r="AU371" s="64" t="str">
        <f t="shared" si="28"/>
        <v>02-2018</v>
      </c>
      <c r="BA371" s="428" t="str">
        <f t="shared" si="29"/>
        <v>WIP - 30 Days</v>
      </c>
    </row>
    <row r="372" spans="1:245">
      <c r="B372" s="36">
        <f>'[6]price list MAN'!B372</f>
        <v>49252</v>
      </c>
      <c r="C372" s="10" t="str">
        <f>'[6]price list MAN'!C372</f>
        <v>TGM-25-2806X2BL-L</v>
      </c>
      <c r="D372" s="16" t="str">
        <f>IFERROR(VLOOKUP(C372&amp;"",'[7]Retail Price List'!$A$3:$B$103,2,FALSE),"Special Order")</f>
        <v>KP000489</v>
      </c>
      <c r="E372" s="494" t="str">
        <f>'[6]price list MAN'!E372</f>
        <v>CKD</v>
      </c>
      <c r="F372" s="11" t="str">
        <f>'[6]price list MAN'!F372</f>
        <v>2018-06-16</v>
      </c>
      <c r="G372" s="32">
        <f>'[6]price list MAN'!G372</f>
        <v>15.8</v>
      </c>
      <c r="H372" s="26">
        <f>'[6]price list MAN'!H372</f>
        <v>43144</v>
      </c>
      <c r="I372" s="51" t="str">
        <f t="shared" si="25"/>
        <v>2018Q1</v>
      </c>
      <c r="J372" s="177">
        <f>'[6]price list MAN'!J372</f>
        <v>1380000</v>
      </c>
      <c r="K372" s="177">
        <f>'[6]price list MAN'!P372</f>
        <v>1097250</v>
      </c>
      <c r="L372" s="177">
        <f>'[6]price list MAN'!R372</f>
        <v>1045000</v>
      </c>
      <c r="M372" s="174">
        <f>'[6]price list MAN'!S372</f>
        <v>1405000</v>
      </c>
      <c r="N372" s="174">
        <f>'[6]price list MAN'!Y372</f>
        <v>1123500</v>
      </c>
      <c r="O372" s="174">
        <f>'[6]price list MAN'!AA372</f>
        <v>1070000</v>
      </c>
      <c r="P372" s="68">
        <f t="shared" si="26"/>
        <v>0.23843416370106763</v>
      </c>
      <c r="Q372" s="62" t="e">
        <f>O372-#REF!</f>
        <v>#REF!</v>
      </c>
      <c r="W372" s="210"/>
      <c r="X372" s="210"/>
      <c r="Y372" s="210"/>
      <c r="Z372" s="210"/>
      <c r="AA372" s="210"/>
      <c r="AB372" s="210"/>
      <c r="AC372" s="210"/>
      <c r="AT372" s="425" t="str">
        <f t="shared" si="27"/>
        <v>KP0004892018Q115,8</v>
      </c>
      <c r="AU372" s="64" t="str">
        <f t="shared" si="28"/>
        <v>02-2018</v>
      </c>
      <c r="BA372" s="428" t="str">
        <f t="shared" si="29"/>
        <v>WIP - 30 Days</v>
      </c>
    </row>
    <row r="373" spans="1:245">
      <c r="B373" s="36">
        <f>'[6]price list MAN'!B373</f>
        <v>49253</v>
      </c>
      <c r="C373" s="10" t="str">
        <f>'[6]price list MAN'!C373</f>
        <v>TGM-25-2806X2BL-L</v>
      </c>
      <c r="D373" s="16" t="str">
        <f>IFERROR(VLOOKUP(C373&amp;"",'[7]Retail Price List'!$A$3:$B$103,2,FALSE),"Special Order")</f>
        <v>KP000489</v>
      </c>
      <c r="E373" s="494" t="str">
        <f>'[6]price list MAN'!E373</f>
        <v>CKD</v>
      </c>
      <c r="F373" s="11" t="str">
        <f>'[6]price list MAN'!F373</f>
        <v>2018-06-16</v>
      </c>
      <c r="G373" s="32">
        <f>'[6]price list MAN'!G373</f>
        <v>15.8</v>
      </c>
      <c r="H373" s="26">
        <f>'[6]price list MAN'!H373</f>
        <v>43144</v>
      </c>
      <c r="I373" s="51" t="str">
        <f t="shared" si="25"/>
        <v>2018Q1</v>
      </c>
      <c r="J373" s="177">
        <f>'[6]price list MAN'!J373</f>
        <v>1380000</v>
      </c>
      <c r="K373" s="177">
        <f>'[6]price list MAN'!P373</f>
        <v>1097250</v>
      </c>
      <c r="L373" s="177">
        <f>'[6]price list MAN'!R373</f>
        <v>1045000</v>
      </c>
      <c r="M373" s="174">
        <f>'[6]price list MAN'!S373</f>
        <v>1405000</v>
      </c>
      <c r="N373" s="174">
        <f>'[6]price list MAN'!Y373</f>
        <v>1123500</v>
      </c>
      <c r="O373" s="174">
        <f>'[6]price list MAN'!AA373</f>
        <v>1070000</v>
      </c>
      <c r="P373" s="68">
        <f t="shared" si="26"/>
        <v>0.23843416370106763</v>
      </c>
      <c r="Q373" s="62" t="e">
        <f>O373-#REF!</f>
        <v>#REF!</v>
      </c>
      <c r="W373" s="210"/>
      <c r="X373" s="210"/>
      <c r="Y373" s="210"/>
      <c r="Z373" s="210"/>
      <c r="AA373" s="210"/>
      <c r="AB373" s="210"/>
      <c r="AC373" s="210"/>
      <c r="AT373" s="425" t="str">
        <f t="shared" si="27"/>
        <v>KP0004892018Q115,8</v>
      </c>
      <c r="AU373" s="64" t="str">
        <f t="shared" si="28"/>
        <v>02-2018</v>
      </c>
      <c r="BA373" s="428" t="str">
        <f t="shared" si="29"/>
        <v>WIP - 30 Days</v>
      </c>
    </row>
    <row r="374" spans="1:245">
      <c r="B374" s="36" t="str">
        <f>'[6]price list MAN'!B374</f>
        <v>N65-0839</v>
      </c>
      <c r="C374" s="10" t="str">
        <f>'[6]price list MAN'!C374</f>
        <v>TGM-25-2806X2BL-L</v>
      </c>
      <c r="D374" s="16" t="str">
        <f>IFERROR(VLOOKUP(C374&amp;"",'[7]Retail Price List'!$A$3:$B$103,2,FALSE),"Special Order")</f>
        <v>KP000489</v>
      </c>
      <c r="E374" s="494" t="str">
        <f>'[6]price list MAN'!E374</f>
        <v>CKD</v>
      </c>
      <c r="F374" s="11" t="str">
        <f>'[6]price list MAN'!F374</f>
        <v>2018-03-30</v>
      </c>
      <c r="G374" s="32">
        <f>'[6]price list MAN'!G374</f>
        <v>15.3</v>
      </c>
      <c r="H374" s="26">
        <f>'[6]price list MAN'!H374</f>
        <v>42978</v>
      </c>
      <c r="I374" s="51" t="str">
        <f t="shared" si="25"/>
        <v>2017Q3</v>
      </c>
      <c r="J374" s="177">
        <f>'[6]price list MAN'!J374</f>
        <v>1380000</v>
      </c>
      <c r="K374" s="177">
        <f>'[6]price list MAN'!P374</f>
        <v>1048950</v>
      </c>
      <c r="L374" s="177">
        <f>'[6]price list MAN'!R374</f>
        <v>999000</v>
      </c>
      <c r="M374" s="174">
        <f>'[6]price list MAN'!S374</f>
        <v>1405000</v>
      </c>
      <c r="N374" s="174">
        <f>'[6]price list MAN'!Y374</f>
        <v>1075200</v>
      </c>
      <c r="O374" s="174">
        <f>'[6]price list MAN'!AA374</f>
        <v>1024000</v>
      </c>
      <c r="P374" s="68">
        <f t="shared" si="26"/>
        <v>0.27117437722419929</v>
      </c>
      <c r="Q374" s="62" t="e">
        <f>O374-#REF!</f>
        <v>#REF!</v>
      </c>
      <c r="W374" s="210"/>
      <c r="X374" s="210"/>
      <c r="Y374" s="210"/>
      <c r="Z374" s="210"/>
      <c r="AA374" s="210"/>
      <c r="AB374" s="210"/>
      <c r="AC374" s="210"/>
      <c r="AT374" s="425" t="str">
        <f t="shared" si="27"/>
        <v>KP0004892017Q315,3</v>
      </c>
      <c r="AU374" s="64" t="str">
        <f t="shared" si="28"/>
        <v>08-2017</v>
      </c>
      <c r="BA374" s="428" t="str">
        <f t="shared" si="29"/>
        <v>WIP - 30 Days</v>
      </c>
    </row>
    <row r="375" spans="1:245">
      <c r="B375" s="36" t="str">
        <f>'[6]price list MAN'!B375</f>
        <v>N65-0840</v>
      </c>
      <c r="C375" s="10" t="str">
        <f>'[6]price list MAN'!C375</f>
        <v>TGM-25-2806X2BL-L</v>
      </c>
      <c r="D375" s="16" t="str">
        <f>IFERROR(VLOOKUP(C375&amp;"",'[7]Retail Price List'!$A$3:$B$103,2,FALSE),"Special Order")</f>
        <v>KP000489</v>
      </c>
      <c r="E375" s="494" t="str">
        <f>'[6]price list MAN'!E375</f>
        <v>CKD</v>
      </c>
      <c r="F375" s="11" t="str">
        <f>'[6]price list MAN'!F375</f>
        <v>2018-03-30</v>
      </c>
      <c r="G375" s="32">
        <f>'[6]price list MAN'!G375</f>
        <v>15.3</v>
      </c>
      <c r="H375" s="26">
        <f>'[6]price list MAN'!H375</f>
        <v>42978</v>
      </c>
      <c r="I375" s="51" t="str">
        <f t="shared" si="25"/>
        <v>2017Q3</v>
      </c>
      <c r="J375" s="177">
        <f>'[6]price list MAN'!J375</f>
        <v>1380000</v>
      </c>
      <c r="K375" s="177">
        <f>'[6]price list MAN'!P375</f>
        <v>1048950</v>
      </c>
      <c r="L375" s="177">
        <f>'[6]price list MAN'!R375</f>
        <v>999000</v>
      </c>
      <c r="M375" s="174">
        <f>'[6]price list MAN'!S375</f>
        <v>1405000</v>
      </c>
      <c r="N375" s="174">
        <f>'[6]price list MAN'!Y375</f>
        <v>1075200</v>
      </c>
      <c r="O375" s="174">
        <f>'[6]price list MAN'!AA375</f>
        <v>1024000</v>
      </c>
      <c r="P375" s="68">
        <f t="shared" si="26"/>
        <v>0.27117437722419929</v>
      </c>
      <c r="Q375" s="62" t="e">
        <f>O375-#REF!</f>
        <v>#REF!</v>
      </c>
      <c r="W375" s="210"/>
      <c r="X375" s="210"/>
      <c r="Y375" s="210"/>
      <c r="Z375" s="210"/>
      <c r="AA375" s="210"/>
      <c r="AB375" s="210"/>
      <c r="AC375" s="210"/>
      <c r="AT375" s="425" t="str">
        <f t="shared" si="27"/>
        <v>KP0004892017Q315,3</v>
      </c>
      <c r="AU375" s="64" t="str">
        <f t="shared" si="28"/>
        <v>08-2017</v>
      </c>
      <c r="BA375" s="428" t="str">
        <f t="shared" si="29"/>
        <v>WIP - 30 Days</v>
      </c>
    </row>
    <row r="376" spans="1:245">
      <c r="B376" s="36" t="str">
        <f>'[6]price list MAN'!B376</f>
        <v>N65-0875</v>
      </c>
      <c r="C376" s="10" t="str">
        <f>'[6]price list MAN'!C376</f>
        <v>TGM-25-2806X2BL-L</v>
      </c>
      <c r="D376" s="16" t="str">
        <f>IFERROR(VLOOKUP(C376&amp;"",'[7]Retail Price List'!$A$3:$B$103,2,FALSE),"Special Order")</f>
        <v>KP000489</v>
      </c>
      <c r="E376" s="494" t="str">
        <f>'[6]price list MAN'!E376</f>
        <v>SOLD</v>
      </c>
      <c r="F376" s="11">
        <f>'[6]price list MAN'!F376</f>
        <v>28</v>
      </c>
      <c r="G376" s="32">
        <f>'[6]price list MAN'!G376</f>
        <v>14.7</v>
      </c>
      <c r="H376" s="26">
        <f>'[6]price list MAN'!H376</f>
        <v>42937</v>
      </c>
      <c r="I376" s="51" t="str">
        <f t="shared" si="25"/>
        <v>201707Q3</v>
      </c>
      <c r="J376" s="177">
        <f>'[6]price list MAN'!J376</f>
        <v>1380000</v>
      </c>
      <c r="K376" s="177">
        <f>'[6]price list MAN'!P376</f>
        <v>1097250</v>
      </c>
      <c r="L376" s="177">
        <f>'[6]price list MAN'!R376</f>
        <v>1045000</v>
      </c>
      <c r="M376" s="174">
        <f>'[6]price list MAN'!S376</f>
        <v>1405000</v>
      </c>
      <c r="N376" s="174">
        <f>'[6]price list MAN'!Y376</f>
        <v>1123500</v>
      </c>
      <c r="O376" s="174">
        <f>'[6]price list MAN'!AA376</f>
        <v>1070000</v>
      </c>
      <c r="P376" s="68">
        <f t="shared" si="26"/>
        <v>0.23843416370106763</v>
      </c>
      <c r="Q376" s="62" t="e">
        <f>O376-#REF!</f>
        <v>#REF!</v>
      </c>
      <c r="W376" s="210"/>
      <c r="X376" s="210"/>
      <c r="Y376" s="210"/>
      <c r="Z376" s="210"/>
      <c r="AA376" s="210"/>
      <c r="AB376" s="210"/>
      <c r="AC376" s="210"/>
      <c r="AT376" s="425" t="str">
        <f t="shared" si="27"/>
        <v>KP000489201707Q314,7</v>
      </c>
      <c r="AU376" s="64" t="str">
        <f t="shared" si="28"/>
        <v>07-2017</v>
      </c>
      <c r="BA376" s="428" t="str">
        <f t="shared" si="29"/>
        <v>WIP - 30 Days</v>
      </c>
    </row>
    <row r="377" spans="1:245">
      <c r="B377" s="36" t="str">
        <f>'[6]price list MAN'!B377</f>
        <v>N65-0876</v>
      </c>
      <c r="C377" s="10" t="str">
        <f>'[6]price list MAN'!C377</f>
        <v>TGM-25-2806X2BL-L</v>
      </c>
      <c r="D377" s="16" t="str">
        <f>IFERROR(VLOOKUP(C377&amp;"",'[7]Retail Price List'!$A$3:$B$103,2,FALSE),"Special Order")</f>
        <v>KP000489</v>
      </c>
      <c r="E377" s="494" t="str">
        <f>'[6]price list MAN'!E377</f>
        <v>SOLD</v>
      </c>
      <c r="F377" s="11">
        <f>'[6]price list MAN'!F377</f>
        <v>17</v>
      </c>
      <c r="G377" s="32">
        <f>'[6]price list MAN'!G377</f>
        <v>14.7</v>
      </c>
      <c r="H377" s="26">
        <f>'[6]price list MAN'!H377</f>
        <v>42937</v>
      </c>
      <c r="I377" s="51" t="str">
        <f t="shared" si="25"/>
        <v>201707Q3</v>
      </c>
      <c r="J377" s="177">
        <f>'[6]price list MAN'!J377</f>
        <v>1380000</v>
      </c>
      <c r="K377" s="177">
        <f>'[6]price list MAN'!P377</f>
        <v>1097250</v>
      </c>
      <c r="L377" s="177">
        <f>'[6]price list MAN'!R377</f>
        <v>1045000</v>
      </c>
      <c r="M377" s="174">
        <f>'[6]price list MAN'!S377</f>
        <v>1405000</v>
      </c>
      <c r="N377" s="174">
        <f>'[6]price list MAN'!Y377</f>
        <v>1123500</v>
      </c>
      <c r="O377" s="174">
        <f>'[6]price list MAN'!AA377</f>
        <v>1070000</v>
      </c>
      <c r="P377" s="68">
        <f t="shared" si="26"/>
        <v>0.23843416370106763</v>
      </c>
      <c r="Q377" s="62" t="e">
        <f>O377-#REF!</f>
        <v>#REF!</v>
      </c>
      <c r="W377" s="210"/>
      <c r="X377" s="210"/>
      <c r="Y377" s="210"/>
      <c r="Z377" s="210"/>
      <c r="AA377" s="210"/>
      <c r="AB377" s="210"/>
      <c r="AC377" s="210"/>
      <c r="AT377" s="425" t="str">
        <f t="shared" si="27"/>
        <v>KP000489201707Q314,7</v>
      </c>
      <c r="AU377" s="64" t="str">
        <f t="shared" si="28"/>
        <v>07-2017</v>
      </c>
      <c r="BA377" s="428" t="str">
        <f t="shared" si="29"/>
        <v>WIP - 30 Days</v>
      </c>
    </row>
    <row r="378" spans="1:245" s="4" customFormat="1">
      <c r="A378" s="41"/>
      <c r="B378" s="36" t="str">
        <f>'[6]price list MAN'!B378</f>
        <v>N65-0877</v>
      </c>
      <c r="C378" s="10" t="str">
        <f>'[6]price list MAN'!C378</f>
        <v>TGM-25-2806X2BL-L</v>
      </c>
      <c r="D378" s="16" t="str">
        <f>IFERROR(VLOOKUP(C378&amp;"",'[7]Retail Price List'!$A$3:$B$103,2,FALSE),"Special Order")</f>
        <v>KP000489</v>
      </c>
      <c r="E378" s="494" t="str">
        <f>'[6]price list MAN'!E378</f>
        <v>CKD</v>
      </c>
      <c r="F378" s="11" t="str">
        <f>'[6]price list MAN'!F378</f>
        <v>2018-02-08</v>
      </c>
      <c r="G378" s="32">
        <f>'[6]price list MAN'!G378</f>
        <v>14.7</v>
      </c>
      <c r="H378" s="26">
        <f>'[6]price list MAN'!H378</f>
        <v>42937</v>
      </c>
      <c r="I378" s="51" t="str">
        <f t="shared" si="25"/>
        <v>201707Q3</v>
      </c>
      <c r="J378" s="177">
        <f>'[6]price list MAN'!J378</f>
        <v>1380000</v>
      </c>
      <c r="K378" s="177">
        <f>'[6]price list MAN'!P378</f>
        <v>1097250</v>
      </c>
      <c r="L378" s="177">
        <f>'[6]price list MAN'!R378</f>
        <v>1045000</v>
      </c>
      <c r="M378" s="174">
        <f>'[6]price list MAN'!S378</f>
        <v>1405000</v>
      </c>
      <c r="N378" s="174">
        <f>'[6]price list MAN'!Y378</f>
        <v>1123500</v>
      </c>
      <c r="O378" s="174">
        <f>'[6]price list MAN'!AA378</f>
        <v>1070000</v>
      </c>
      <c r="P378" s="68">
        <f t="shared" si="26"/>
        <v>0.23843416370106763</v>
      </c>
      <c r="Q378" s="62" t="e">
        <f>O378-#REF!</f>
        <v>#REF!</v>
      </c>
      <c r="R378" s="63" t="e">
        <f>SUM(Q357:Q377)/SUM(O357:O377)</f>
        <v>#REF!</v>
      </c>
      <c r="S378" s="64"/>
      <c r="T378" s="64"/>
      <c r="U378" s="64"/>
      <c r="V378" s="64"/>
      <c r="W378" s="210"/>
      <c r="X378" s="210"/>
      <c r="Y378" s="210"/>
      <c r="Z378" s="210"/>
      <c r="AA378" s="210"/>
      <c r="AB378" s="210"/>
      <c r="AC378" s="210"/>
      <c r="AD378" s="54"/>
      <c r="AE378" s="54"/>
      <c r="AF378" s="54"/>
      <c r="AG378" s="5"/>
      <c r="AH378" s="5"/>
      <c r="AI378" s="5"/>
      <c r="AJ378" s="5"/>
      <c r="AK378" s="5"/>
      <c r="AL378" s="5"/>
      <c r="AM378" s="5"/>
      <c r="AN378" s="5"/>
      <c r="AO378" s="5"/>
      <c r="AP378" s="5"/>
      <c r="AQ378" s="5"/>
      <c r="AR378" s="5"/>
      <c r="AS378" s="5"/>
      <c r="AT378" s="425" t="str">
        <f t="shared" si="27"/>
        <v>KP000489201707Q314,7</v>
      </c>
      <c r="AU378" s="64" t="str">
        <f t="shared" si="28"/>
        <v>07-2017</v>
      </c>
      <c r="AV378" s="64"/>
      <c r="AW378" s="64"/>
      <c r="AX378" s="64"/>
      <c r="AY378" s="64"/>
      <c r="AZ378" s="64"/>
      <c r="BA378" s="428" t="str">
        <f t="shared" si="29"/>
        <v>WIP - 30 Days</v>
      </c>
      <c r="BB378" s="169"/>
      <c r="BC378" s="169"/>
      <c r="BD378" s="169"/>
      <c r="BE378" s="41"/>
      <c r="BF378" s="41"/>
      <c r="BG378" s="41"/>
      <c r="BH378" s="41"/>
      <c r="BI378" s="41"/>
      <c r="BJ378" s="41"/>
      <c r="BK378" s="41"/>
      <c r="BL378" s="41"/>
      <c r="BM378" s="41"/>
      <c r="BN378" s="41"/>
      <c r="BO378" s="41"/>
      <c r="BP378" s="41"/>
      <c r="BQ378" s="41"/>
      <c r="BR378" s="41"/>
      <c r="BS378" s="41"/>
      <c r="BT378" s="41"/>
      <c r="BU378" s="41"/>
      <c r="BV378" s="41"/>
      <c r="BW378" s="41"/>
      <c r="BX378" s="41"/>
      <c r="BY378" s="41"/>
      <c r="BZ378" s="41"/>
      <c r="CA378" s="41"/>
      <c r="CB378" s="41"/>
      <c r="CC378" s="41"/>
      <c r="CD378" s="41"/>
      <c r="CE378" s="41"/>
      <c r="CF378" s="41"/>
      <c r="CG378" s="41"/>
      <c r="CH378" s="41"/>
      <c r="CI378" s="41"/>
      <c r="CJ378" s="41"/>
      <c r="CK378" s="41"/>
      <c r="CL378" s="41"/>
      <c r="CM378" s="41"/>
      <c r="CN378" s="41"/>
      <c r="CO378" s="41"/>
      <c r="CP378" s="41"/>
      <c r="CQ378" s="41"/>
      <c r="CR378" s="41"/>
      <c r="CS378" s="41"/>
      <c r="CT378" s="41"/>
      <c r="CU378" s="41"/>
      <c r="CV378" s="41"/>
      <c r="CW378" s="41"/>
      <c r="CX378" s="41"/>
      <c r="CY378" s="41"/>
      <c r="CZ378" s="41"/>
      <c r="DA378" s="41"/>
      <c r="DB378" s="41"/>
      <c r="DC378" s="41"/>
      <c r="DD378" s="41"/>
      <c r="DE378" s="41"/>
      <c r="DF378" s="41"/>
      <c r="DG378" s="41"/>
      <c r="DH378" s="41"/>
      <c r="DI378" s="41"/>
      <c r="DJ378" s="41"/>
      <c r="DK378" s="41"/>
      <c r="DL378" s="41"/>
      <c r="DM378" s="41"/>
      <c r="DN378" s="41"/>
      <c r="DO378" s="41"/>
      <c r="DP378" s="41"/>
      <c r="DQ378" s="41"/>
      <c r="DR378" s="41"/>
      <c r="DS378" s="41"/>
      <c r="DT378" s="41"/>
      <c r="DU378" s="41"/>
      <c r="DV378" s="41"/>
      <c r="DW378" s="41"/>
      <c r="DX378" s="41"/>
      <c r="DY378" s="41"/>
      <c r="DZ378" s="41"/>
      <c r="EA378" s="41"/>
      <c r="EB378" s="41"/>
      <c r="EC378" s="41"/>
      <c r="ED378" s="41"/>
      <c r="EE378" s="41"/>
      <c r="EF378" s="41"/>
      <c r="EG378" s="41"/>
      <c r="EH378" s="41"/>
      <c r="EI378" s="41"/>
      <c r="EJ378" s="41"/>
      <c r="EK378" s="41"/>
      <c r="EL378" s="41"/>
      <c r="EM378" s="41"/>
      <c r="EN378" s="41"/>
      <c r="EO378" s="41"/>
      <c r="EP378" s="41"/>
      <c r="EQ378" s="41"/>
      <c r="ER378" s="41"/>
      <c r="ES378" s="41"/>
      <c r="ET378" s="41"/>
      <c r="EU378" s="41"/>
      <c r="EV378" s="41"/>
      <c r="EW378" s="41"/>
      <c r="EX378" s="41"/>
      <c r="EY378" s="41"/>
      <c r="EZ378" s="41"/>
      <c r="FA378" s="41"/>
      <c r="FB378" s="41"/>
      <c r="FC378" s="41"/>
      <c r="FD378" s="41"/>
      <c r="FE378" s="41"/>
      <c r="FF378" s="41"/>
      <c r="FG378" s="41"/>
      <c r="FH378" s="41"/>
      <c r="FI378" s="41"/>
      <c r="FJ378" s="41"/>
      <c r="FK378" s="41"/>
      <c r="FL378" s="41"/>
      <c r="FM378" s="41"/>
      <c r="FN378" s="41"/>
      <c r="FO378" s="41"/>
      <c r="FP378" s="41"/>
      <c r="FQ378" s="41"/>
      <c r="FR378" s="41"/>
      <c r="FS378" s="41"/>
      <c r="FT378" s="41"/>
      <c r="FU378" s="41"/>
      <c r="FV378" s="41"/>
      <c r="FW378" s="41"/>
      <c r="FX378" s="41"/>
      <c r="FY378" s="41"/>
      <c r="FZ378" s="41"/>
      <c r="GA378" s="41"/>
      <c r="GB378" s="41"/>
      <c r="GC378" s="41"/>
      <c r="GD378" s="41"/>
      <c r="GE378" s="41"/>
      <c r="GF378" s="41"/>
      <c r="GG378" s="41"/>
      <c r="GH378" s="41"/>
      <c r="GI378" s="41"/>
      <c r="GJ378" s="41"/>
      <c r="GK378" s="41"/>
      <c r="GL378" s="41"/>
      <c r="GM378" s="41"/>
      <c r="GN378" s="41"/>
      <c r="GO378" s="41"/>
      <c r="GP378" s="41"/>
      <c r="GQ378" s="41"/>
      <c r="GR378" s="41"/>
      <c r="GS378" s="41"/>
      <c r="GT378" s="41"/>
      <c r="GU378" s="41"/>
      <c r="GV378" s="41"/>
      <c r="GW378" s="41"/>
      <c r="GX378" s="41"/>
      <c r="GY378" s="41"/>
      <c r="GZ378" s="41"/>
      <c r="HA378" s="41"/>
      <c r="HB378" s="41"/>
      <c r="HC378" s="41"/>
      <c r="HD378" s="41"/>
      <c r="HE378" s="41"/>
      <c r="HF378" s="41"/>
      <c r="HG378" s="41"/>
      <c r="HH378" s="41"/>
      <c r="HI378" s="41"/>
      <c r="HJ378" s="41"/>
      <c r="HK378" s="41"/>
      <c r="HL378" s="41"/>
      <c r="HM378" s="41"/>
      <c r="HN378" s="41"/>
      <c r="HO378" s="41"/>
      <c r="HP378" s="41"/>
      <c r="HQ378" s="41"/>
      <c r="HR378" s="41"/>
      <c r="HS378" s="41"/>
      <c r="HT378" s="41"/>
      <c r="HU378" s="41"/>
      <c r="HV378" s="41"/>
      <c r="HW378" s="41"/>
      <c r="HX378" s="41"/>
      <c r="HY378" s="41"/>
      <c r="HZ378" s="41"/>
      <c r="IA378" s="41"/>
      <c r="IB378" s="41"/>
      <c r="IC378" s="41"/>
      <c r="ID378" s="41"/>
      <c r="IE378" s="41"/>
      <c r="IF378" s="41"/>
      <c r="IG378" s="41"/>
      <c r="IH378" s="41"/>
      <c r="II378" s="41"/>
      <c r="IJ378" s="41"/>
      <c r="IK378" s="41"/>
    </row>
    <row r="379" spans="1:245">
      <c r="B379" s="36" t="str">
        <f>'[6]price list MAN'!B379</f>
        <v>N65-0878</v>
      </c>
      <c r="C379" s="10" t="str">
        <f>'[6]price list MAN'!C379</f>
        <v>TGM-25-2806X2BL-L</v>
      </c>
      <c r="D379" s="16" t="str">
        <f>IFERROR(VLOOKUP(C379&amp;"",'[7]Retail Price List'!$A$3:$B$103,2,FALSE),"Special Order")</f>
        <v>KP000489</v>
      </c>
      <c r="E379" s="494" t="str">
        <f>'[6]price list MAN'!E379</f>
        <v>SOLD</v>
      </c>
      <c r="F379" s="11">
        <f>'[6]price list MAN'!F379</f>
        <v>6</v>
      </c>
      <c r="G379" s="32">
        <f>'[6]price list MAN'!G379</f>
        <v>14.7</v>
      </c>
      <c r="H379" s="26">
        <f>'[6]price list MAN'!H379</f>
        <v>42937</v>
      </c>
      <c r="I379" s="51" t="str">
        <f t="shared" si="25"/>
        <v>201707Q3</v>
      </c>
      <c r="J379" s="177">
        <f>'[6]price list MAN'!J379</f>
        <v>1380000</v>
      </c>
      <c r="K379" s="177">
        <f>'[6]price list MAN'!P379</f>
        <v>1097250</v>
      </c>
      <c r="L379" s="177">
        <f>'[6]price list MAN'!R379</f>
        <v>1045000</v>
      </c>
      <c r="M379" s="174">
        <f>'[6]price list MAN'!S379</f>
        <v>1405000</v>
      </c>
      <c r="N379" s="174">
        <f>'[6]price list MAN'!Y379</f>
        <v>1123500</v>
      </c>
      <c r="O379" s="174">
        <f>'[6]price list MAN'!AA379</f>
        <v>1070000</v>
      </c>
      <c r="P379" s="68">
        <f t="shared" si="26"/>
        <v>0.23843416370106763</v>
      </c>
      <c r="Q379" s="62" t="e">
        <f>O379-#REF!</f>
        <v>#REF!</v>
      </c>
      <c r="S379" s="64" t="s">
        <v>9</v>
      </c>
      <c r="T379" s="64" t="s">
        <v>10</v>
      </c>
      <c r="U379" s="64" t="s">
        <v>11</v>
      </c>
      <c r="W379" s="210"/>
      <c r="X379" s="210"/>
      <c r="Y379" s="210"/>
      <c r="Z379" s="210"/>
      <c r="AA379" s="210"/>
      <c r="AB379" s="210"/>
      <c r="AC379" s="210"/>
      <c r="AT379" s="425" t="str">
        <f t="shared" si="27"/>
        <v>KP000489201707Q314,7</v>
      </c>
      <c r="AU379" s="64" t="str">
        <f t="shared" si="28"/>
        <v>07-2017</v>
      </c>
      <c r="BA379" s="428" t="str">
        <f t="shared" si="29"/>
        <v>WIP - 30 Days</v>
      </c>
    </row>
    <row r="380" spans="1:245">
      <c r="B380" s="36" t="str">
        <f>'[6]price list MAN'!B380</f>
        <v>N65-0881</v>
      </c>
      <c r="C380" s="10" t="str">
        <f>'[6]price list MAN'!C380</f>
        <v>TGM-25-2806X2BL-L</v>
      </c>
      <c r="D380" s="16" t="str">
        <f>IFERROR(VLOOKUP(C380&amp;"",'[7]Retail Price List'!$A$3:$B$103,2,FALSE),"Special Order")</f>
        <v>KP000489</v>
      </c>
      <c r="E380" s="494" t="str">
        <f>'[6]price list MAN'!E380</f>
        <v>CKD</v>
      </c>
      <c r="F380" s="11" t="str">
        <f>'[6]price list MAN'!F380</f>
        <v>2018-03-30</v>
      </c>
      <c r="G380" s="32">
        <f>'[6]price list MAN'!G380</f>
        <v>14.7</v>
      </c>
      <c r="H380" s="26">
        <f>'[6]price list MAN'!H380</f>
        <v>42947</v>
      </c>
      <c r="I380" s="51" t="str">
        <f t="shared" si="25"/>
        <v>201707Q3</v>
      </c>
      <c r="J380" s="177">
        <f>'[6]price list MAN'!J380</f>
        <v>1380000</v>
      </c>
      <c r="K380" s="177">
        <f>'[6]price list MAN'!P380</f>
        <v>1048950</v>
      </c>
      <c r="L380" s="177">
        <f>'[6]price list MAN'!R380</f>
        <v>999000</v>
      </c>
      <c r="M380" s="174">
        <f>'[6]price list MAN'!S380</f>
        <v>1405000</v>
      </c>
      <c r="N380" s="174">
        <f>'[6]price list MAN'!Y380</f>
        <v>1075200</v>
      </c>
      <c r="O380" s="174">
        <f>'[6]price list MAN'!AA380</f>
        <v>1024000</v>
      </c>
      <c r="P380" s="68">
        <f t="shared" si="26"/>
        <v>0.27117437722419929</v>
      </c>
      <c r="Q380" s="62" t="e">
        <f>O380-#REF!</f>
        <v>#REF!</v>
      </c>
      <c r="S380" s="64">
        <v>-0.1</v>
      </c>
      <c r="T380" s="64">
        <v>-11.3</v>
      </c>
      <c r="U380" s="64">
        <v>-2.8</v>
      </c>
      <c r="W380" s="210"/>
      <c r="X380" s="210"/>
      <c r="Y380" s="210"/>
      <c r="Z380" s="210"/>
      <c r="AA380" s="210"/>
      <c r="AB380" s="210"/>
      <c r="AC380" s="210"/>
      <c r="AT380" s="425" t="str">
        <f t="shared" si="27"/>
        <v>KP000489201707Q314,7</v>
      </c>
      <c r="AU380" s="64" t="str">
        <f t="shared" si="28"/>
        <v>07-2017</v>
      </c>
      <c r="BA380" s="428" t="str">
        <f t="shared" si="29"/>
        <v>WIP - 30 Days</v>
      </c>
    </row>
    <row r="381" spans="1:245">
      <c r="B381" s="36" t="str">
        <f>'[6]price list MAN'!B381</f>
        <v>N65-0882</v>
      </c>
      <c r="C381" s="10" t="str">
        <f>'[6]price list MAN'!C381</f>
        <v>TGM-25-2806X2BL-L</v>
      </c>
      <c r="D381" s="16" t="str">
        <f>IFERROR(VLOOKUP(C381&amp;"",'[7]Retail Price List'!$A$3:$B$103,2,FALSE),"Special Order")</f>
        <v>KP000489</v>
      </c>
      <c r="E381" s="494" t="str">
        <f>'[6]price list MAN'!E381</f>
        <v>CKD</v>
      </c>
      <c r="F381" s="11" t="str">
        <f>'[6]price list MAN'!F381</f>
        <v>2018-03-30</v>
      </c>
      <c r="G381" s="32">
        <f>'[6]price list MAN'!G381</f>
        <v>14.7</v>
      </c>
      <c r="H381" s="26">
        <f>'[6]price list MAN'!H381</f>
        <v>42947</v>
      </c>
      <c r="I381" s="51" t="str">
        <f t="shared" si="25"/>
        <v>201707Q3</v>
      </c>
      <c r="J381" s="177">
        <f>'[6]price list MAN'!J381</f>
        <v>1380000</v>
      </c>
      <c r="K381" s="177">
        <f>'[6]price list MAN'!P381</f>
        <v>1097250</v>
      </c>
      <c r="L381" s="177">
        <f>'[6]price list MAN'!R381</f>
        <v>1045000</v>
      </c>
      <c r="M381" s="174">
        <f>'[6]price list MAN'!S381</f>
        <v>1405000</v>
      </c>
      <c r="N381" s="174">
        <f>'[6]price list MAN'!Y381</f>
        <v>1123500</v>
      </c>
      <c r="O381" s="174">
        <f>'[6]price list MAN'!AA381</f>
        <v>1070000</v>
      </c>
      <c r="P381" s="68">
        <f t="shared" si="26"/>
        <v>0.23843416370106763</v>
      </c>
      <c r="Q381" s="62" t="e">
        <f>O381-#REF!</f>
        <v>#REF!</v>
      </c>
      <c r="S381" s="64">
        <v>-4.7</v>
      </c>
      <c r="T381" s="64">
        <v>-7.1</v>
      </c>
      <c r="U381" s="64">
        <v>-5.8</v>
      </c>
      <c r="W381" s="210"/>
      <c r="X381" s="210"/>
      <c r="Y381" s="210"/>
      <c r="Z381" s="210"/>
      <c r="AA381" s="210"/>
      <c r="AB381" s="210"/>
      <c r="AC381" s="210"/>
      <c r="AT381" s="425" t="str">
        <f t="shared" si="27"/>
        <v>KP000489201707Q314,7</v>
      </c>
      <c r="AU381" s="64" t="str">
        <f t="shared" si="28"/>
        <v>07-2017</v>
      </c>
      <c r="BA381" s="428" t="str">
        <f t="shared" si="29"/>
        <v>WIP - 30 Days</v>
      </c>
    </row>
    <row r="382" spans="1:245">
      <c r="B382" s="36" t="str">
        <f>'[6]price list MAN'!B382</f>
        <v>N65-0885</v>
      </c>
      <c r="C382" s="10" t="str">
        <f>'[6]price list MAN'!C382</f>
        <v>TGM-25-2806X2BL-L</v>
      </c>
      <c r="D382" s="16" t="str">
        <f>IFERROR(VLOOKUP(C382&amp;"",'[7]Retail Price List'!$A$3:$B$103,2,FALSE),"Special Order")</f>
        <v>KP000489</v>
      </c>
      <c r="E382" s="494" t="str">
        <f>'[6]price list MAN'!E382</f>
        <v>CKD</v>
      </c>
      <c r="F382" s="11" t="str">
        <f>'[6]price list MAN'!F382</f>
        <v>2018-03-30</v>
      </c>
      <c r="G382" s="32">
        <f>'[6]price list MAN'!G382</f>
        <v>15.3</v>
      </c>
      <c r="H382" s="26">
        <f>'[6]price list MAN'!H382</f>
        <v>42978</v>
      </c>
      <c r="I382" s="51" t="str">
        <f t="shared" si="25"/>
        <v>2017Q3</v>
      </c>
      <c r="J382" s="177">
        <f>'[6]price list MAN'!J382</f>
        <v>1380000</v>
      </c>
      <c r="K382" s="177">
        <f>'[6]price list MAN'!P382</f>
        <v>1097250</v>
      </c>
      <c r="L382" s="177">
        <f>'[6]price list MAN'!R382</f>
        <v>1045000</v>
      </c>
      <c r="M382" s="174">
        <f>'[6]price list MAN'!S382</f>
        <v>1405000</v>
      </c>
      <c r="N382" s="174">
        <f>'[6]price list MAN'!Y382</f>
        <v>1123500</v>
      </c>
      <c r="O382" s="174">
        <f>'[6]price list MAN'!AA382</f>
        <v>1070000</v>
      </c>
      <c r="P382" s="68">
        <f t="shared" si="26"/>
        <v>0.23843416370106763</v>
      </c>
      <c r="Q382" s="62" t="e">
        <f>O382-#REF!</f>
        <v>#REF!</v>
      </c>
      <c r="S382" s="64">
        <f>COUNT(#REF!)</f>
        <v>0</v>
      </c>
      <c r="W382" s="210"/>
      <c r="X382" s="210"/>
      <c r="Y382" s="210"/>
      <c r="Z382" s="210"/>
      <c r="AA382" s="210"/>
      <c r="AB382" s="210"/>
      <c r="AC382" s="210"/>
      <c r="AT382" s="425" t="str">
        <f t="shared" si="27"/>
        <v>KP0004892017Q315,3</v>
      </c>
      <c r="AU382" s="64" t="str">
        <f t="shared" si="28"/>
        <v>08-2017</v>
      </c>
      <c r="BA382" s="428" t="str">
        <f t="shared" si="29"/>
        <v>WIP - 30 Days</v>
      </c>
    </row>
    <row r="383" spans="1:245">
      <c r="B383" s="36" t="str">
        <f>'[6]price list MAN'!B383</f>
        <v>N65-0887</v>
      </c>
      <c r="C383" s="10" t="str">
        <f>'[6]price list MAN'!C383</f>
        <v>TGM-25-2806X2BL-L</v>
      </c>
      <c r="D383" s="16" t="str">
        <f>IFERROR(VLOOKUP(C383&amp;"",'[7]Retail Price List'!$A$3:$B$103,2,FALSE),"Special Order")</f>
        <v>KP000489</v>
      </c>
      <c r="E383" s="494" t="str">
        <f>'[6]price list MAN'!E383</f>
        <v>CKD</v>
      </c>
      <c r="F383" s="11" t="str">
        <f>'[6]price list MAN'!F383</f>
        <v>2018-04-30</v>
      </c>
      <c r="G383" s="32">
        <f>'[6]price list MAN'!G383</f>
        <v>15.3</v>
      </c>
      <c r="H383" s="26">
        <f>'[6]price list MAN'!H383</f>
        <v>42978</v>
      </c>
      <c r="I383" s="51" t="str">
        <f t="shared" si="25"/>
        <v>2017Q3</v>
      </c>
      <c r="J383" s="177">
        <f>'[6]price list MAN'!J383</f>
        <v>1380000</v>
      </c>
      <c r="K383" s="177">
        <f>'[6]price list MAN'!P383</f>
        <v>1048950</v>
      </c>
      <c r="L383" s="177">
        <f>'[6]price list MAN'!R383</f>
        <v>999000</v>
      </c>
      <c r="M383" s="174">
        <f>'[6]price list MAN'!S383</f>
        <v>1405000</v>
      </c>
      <c r="N383" s="174">
        <f>'[6]price list MAN'!Y383</f>
        <v>1075200</v>
      </c>
      <c r="O383" s="174">
        <f>'[6]price list MAN'!AA383</f>
        <v>1024000</v>
      </c>
      <c r="P383" s="68">
        <f t="shared" si="26"/>
        <v>0.27117437722419929</v>
      </c>
      <c r="Q383" s="62" t="e">
        <f>O383-#REF!</f>
        <v>#REF!</v>
      </c>
      <c r="S383" s="62" t="e">
        <f>+AVERAGE(#REF!)</f>
        <v>#REF!</v>
      </c>
      <c r="W383" s="210"/>
      <c r="X383" s="210"/>
      <c r="Y383" s="210"/>
      <c r="Z383" s="210"/>
      <c r="AA383" s="210"/>
      <c r="AB383" s="210"/>
      <c r="AC383" s="210"/>
      <c r="AT383" s="425" t="str">
        <f t="shared" si="27"/>
        <v>KP0004892017Q315,3</v>
      </c>
      <c r="AU383" s="64" t="str">
        <f t="shared" si="28"/>
        <v>08-2017</v>
      </c>
      <c r="BA383" s="428" t="str">
        <f t="shared" si="29"/>
        <v>WIP - 30 Days</v>
      </c>
    </row>
    <row r="384" spans="1:245">
      <c r="B384" s="36" t="str">
        <f>'[6]price list MAN'!B384</f>
        <v>N65-0931</v>
      </c>
      <c r="C384" s="10" t="str">
        <f>'[6]price list MAN'!C384</f>
        <v>TGM-25-2806X2BL-L</v>
      </c>
      <c r="D384" s="16" t="str">
        <f>IFERROR(VLOOKUP(C384&amp;"",'[7]Retail Price List'!$A$3:$B$103,2,FALSE),"Special Order")</f>
        <v>KP000489</v>
      </c>
      <c r="E384" s="494" t="str">
        <f>'[6]price list MAN'!E384</f>
        <v>CKD</v>
      </c>
      <c r="F384" s="11" t="str">
        <f>'[6]price list MAN'!F384</f>
        <v>2018-04-30</v>
      </c>
      <c r="G384" s="32">
        <f>'[6]price list MAN'!G384</f>
        <v>15.3</v>
      </c>
      <c r="H384" s="26">
        <f>'[6]price list MAN'!H384</f>
        <v>42978</v>
      </c>
      <c r="I384" s="51" t="str">
        <f t="shared" si="25"/>
        <v>2017Q3</v>
      </c>
      <c r="J384" s="177">
        <f>'[6]price list MAN'!J384</f>
        <v>1380000</v>
      </c>
      <c r="K384" s="177">
        <f>'[6]price list MAN'!P384</f>
        <v>1048950</v>
      </c>
      <c r="L384" s="177">
        <f>'[6]price list MAN'!R384</f>
        <v>999000</v>
      </c>
      <c r="M384" s="174">
        <f>'[6]price list MAN'!S384</f>
        <v>1405000</v>
      </c>
      <c r="N384" s="174">
        <f>'[6]price list MAN'!Y384</f>
        <v>1075200</v>
      </c>
      <c r="O384" s="174">
        <f>'[6]price list MAN'!AA384</f>
        <v>1024000</v>
      </c>
      <c r="P384" s="68">
        <f t="shared" si="26"/>
        <v>0.27117437722419929</v>
      </c>
      <c r="Q384" s="62" t="e">
        <f>O384-#REF!</f>
        <v>#REF!</v>
      </c>
      <c r="W384" s="210"/>
      <c r="X384" s="210"/>
      <c r="Y384" s="210"/>
      <c r="Z384" s="210"/>
      <c r="AA384" s="210"/>
      <c r="AB384" s="210"/>
      <c r="AC384" s="210"/>
      <c r="AT384" s="425" t="str">
        <f t="shared" si="27"/>
        <v>KP0004892017Q315,3</v>
      </c>
      <c r="AU384" s="64" t="str">
        <f t="shared" si="28"/>
        <v>08-2017</v>
      </c>
      <c r="BA384" s="428" t="str">
        <f t="shared" si="29"/>
        <v>WIP - 30 Days</v>
      </c>
    </row>
    <row r="385" spans="1:245">
      <c r="B385" s="36" t="str">
        <f>'[6]price list MAN'!B385</f>
        <v>N65-0933</v>
      </c>
      <c r="C385" s="10" t="str">
        <f>'[6]price list MAN'!C385</f>
        <v>TGM-25-2806X2BL-L</v>
      </c>
      <c r="D385" s="16" t="str">
        <f>IFERROR(VLOOKUP(C385&amp;"",'[7]Retail Price List'!$A$3:$B$103,2,FALSE),"Special Order")</f>
        <v>KP000489</v>
      </c>
      <c r="E385" s="494" t="str">
        <f>'[6]price list MAN'!E385</f>
        <v>CKD</v>
      </c>
      <c r="F385" s="11" t="str">
        <f>'[6]price list MAN'!F385</f>
        <v>2018-04-30</v>
      </c>
      <c r="G385" s="32">
        <f>'[6]price list MAN'!G385</f>
        <v>15.3</v>
      </c>
      <c r="H385" s="26">
        <f>'[6]price list MAN'!H385</f>
        <v>42978</v>
      </c>
      <c r="I385" s="51" t="str">
        <f t="shared" si="25"/>
        <v>2017Q3</v>
      </c>
      <c r="J385" s="177">
        <f>'[6]price list MAN'!J385</f>
        <v>1380000</v>
      </c>
      <c r="K385" s="177">
        <f>'[6]price list MAN'!P385</f>
        <v>1048950</v>
      </c>
      <c r="L385" s="177">
        <f>'[6]price list MAN'!R385</f>
        <v>999000</v>
      </c>
      <c r="M385" s="174">
        <f>'[6]price list MAN'!S385</f>
        <v>1405000</v>
      </c>
      <c r="N385" s="174">
        <f>'[6]price list MAN'!Y385</f>
        <v>1075200</v>
      </c>
      <c r="O385" s="174">
        <f>'[6]price list MAN'!AA385</f>
        <v>1024000</v>
      </c>
      <c r="P385" s="68">
        <f t="shared" si="26"/>
        <v>0.27117437722419929</v>
      </c>
      <c r="Q385" s="62" t="e">
        <f>O385-#REF!</f>
        <v>#REF!</v>
      </c>
      <c r="W385" s="210"/>
      <c r="X385" s="210"/>
      <c r="Y385" s="210"/>
      <c r="Z385" s="210"/>
      <c r="AA385" s="210"/>
      <c r="AB385" s="210"/>
      <c r="AC385" s="210"/>
      <c r="AT385" s="425" t="str">
        <f t="shared" si="27"/>
        <v>KP0004892017Q315,3</v>
      </c>
      <c r="AU385" s="64" t="str">
        <f t="shared" si="28"/>
        <v>08-2017</v>
      </c>
      <c r="BA385" s="428" t="str">
        <f t="shared" si="29"/>
        <v>WIP - 30 Days</v>
      </c>
    </row>
    <row r="386" spans="1:245">
      <c r="B386" s="36" t="str">
        <f>'[6]price list MAN'!B386</f>
        <v>N65-0936</v>
      </c>
      <c r="C386" s="10" t="str">
        <f>'[6]price list MAN'!C386</f>
        <v>TGM-25-2806X2BL-L</v>
      </c>
      <c r="D386" s="16" t="str">
        <f>IFERROR(VLOOKUP(C386&amp;"",'[7]Retail Price List'!$A$3:$B$103,2,FALSE),"Special Order")</f>
        <v>KP000489</v>
      </c>
      <c r="E386" s="494" t="str">
        <f>'[6]price list MAN'!E386</f>
        <v>CKD</v>
      </c>
      <c r="F386" s="11" t="str">
        <f>'[6]price list MAN'!F386</f>
        <v>2018-04-30</v>
      </c>
      <c r="G386" s="32">
        <f>'[6]price list MAN'!G386</f>
        <v>15.3</v>
      </c>
      <c r="H386" s="26">
        <f>'[6]price list MAN'!H386</f>
        <v>42978</v>
      </c>
      <c r="I386" s="51" t="str">
        <f t="shared" si="25"/>
        <v>2017Q3</v>
      </c>
      <c r="J386" s="177">
        <f>'[6]price list MAN'!J386</f>
        <v>1380000</v>
      </c>
      <c r="K386" s="177">
        <f>'[6]price list MAN'!P386</f>
        <v>1048950</v>
      </c>
      <c r="L386" s="177">
        <f>'[6]price list MAN'!R386</f>
        <v>999000</v>
      </c>
      <c r="M386" s="174">
        <f>'[6]price list MAN'!S386</f>
        <v>1405000</v>
      </c>
      <c r="N386" s="174">
        <f>'[6]price list MAN'!Y386</f>
        <v>1075200</v>
      </c>
      <c r="O386" s="174">
        <f>'[6]price list MAN'!AA386</f>
        <v>1024000</v>
      </c>
      <c r="P386" s="68">
        <f t="shared" si="26"/>
        <v>0.27117437722419929</v>
      </c>
      <c r="Q386" s="62" t="e">
        <f>O386-#REF!</f>
        <v>#REF!</v>
      </c>
      <c r="W386" s="210"/>
      <c r="X386" s="210"/>
      <c r="Y386" s="210"/>
      <c r="Z386" s="210"/>
      <c r="AA386" s="210"/>
      <c r="AB386" s="210"/>
      <c r="AC386" s="210"/>
      <c r="AT386" s="425" t="str">
        <f t="shared" si="27"/>
        <v>KP0004892017Q315,3</v>
      </c>
      <c r="AU386" s="64" t="str">
        <f t="shared" si="28"/>
        <v>08-2017</v>
      </c>
      <c r="BA386" s="428" t="str">
        <f t="shared" si="29"/>
        <v>WIP - 30 Days</v>
      </c>
    </row>
    <row r="387" spans="1:245" s="4" customFormat="1">
      <c r="A387" s="41"/>
      <c r="B387" s="36" t="str">
        <f>'[6]price list MAN'!B387</f>
        <v>N65-1031</v>
      </c>
      <c r="C387" s="10" t="str">
        <f>'[6]price list MAN'!C387</f>
        <v>TGM-25-2806X2BL-L</v>
      </c>
      <c r="D387" s="16" t="str">
        <f>IFERROR(VLOOKUP(C387&amp;"",'[7]Retail Price List'!$A$3:$B$103,2,FALSE),"Special Order")</f>
        <v>KP000489</v>
      </c>
      <c r="E387" s="494" t="str">
        <f>'[6]price list MAN'!E387</f>
        <v>CKD</v>
      </c>
      <c r="F387" s="11" t="str">
        <f>'[6]price list MAN'!F387</f>
        <v>2018-03-30</v>
      </c>
      <c r="G387" s="32">
        <f>'[6]price list MAN'!G387</f>
        <v>14.7</v>
      </c>
      <c r="H387" s="26">
        <f>'[6]price list MAN'!H387</f>
        <v>42947</v>
      </c>
      <c r="I387" s="51" t="str">
        <f t="shared" si="25"/>
        <v>201707Q3</v>
      </c>
      <c r="J387" s="177">
        <f>'[6]price list MAN'!J387</f>
        <v>1380000</v>
      </c>
      <c r="K387" s="177">
        <f>'[6]price list MAN'!P387</f>
        <v>1097250</v>
      </c>
      <c r="L387" s="177">
        <f>'[6]price list MAN'!R387</f>
        <v>1045000</v>
      </c>
      <c r="M387" s="174">
        <f>'[6]price list MAN'!S387</f>
        <v>1405000</v>
      </c>
      <c r="N387" s="174">
        <f>'[6]price list MAN'!Y387</f>
        <v>1123500</v>
      </c>
      <c r="O387" s="174">
        <f>'[6]price list MAN'!AA387</f>
        <v>1070000</v>
      </c>
      <c r="P387" s="68">
        <f t="shared" si="26"/>
        <v>0.23843416370106763</v>
      </c>
      <c r="Q387" s="62" t="e">
        <f>O387-#REF!</f>
        <v>#REF!</v>
      </c>
      <c r="R387" s="63" t="e">
        <f>SUM(Q379:Q385)/SUM(O379:O385)</f>
        <v>#REF!</v>
      </c>
      <c r="S387" s="64"/>
      <c r="T387" s="64"/>
      <c r="U387" s="64"/>
      <c r="V387" s="64"/>
      <c r="W387" s="210"/>
      <c r="X387" s="210"/>
      <c r="Y387" s="210"/>
      <c r="Z387" s="210"/>
      <c r="AA387" s="210"/>
      <c r="AB387" s="210"/>
      <c r="AC387" s="210"/>
      <c r="AD387" s="54"/>
      <c r="AE387" s="54"/>
      <c r="AF387" s="54"/>
      <c r="AG387" s="5"/>
      <c r="AH387" s="5"/>
      <c r="AI387" s="5"/>
      <c r="AJ387" s="5"/>
      <c r="AK387" s="5"/>
      <c r="AL387" s="5"/>
      <c r="AM387" s="5"/>
      <c r="AN387" s="5"/>
      <c r="AO387" s="5"/>
      <c r="AP387" s="5"/>
      <c r="AQ387" s="5"/>
      <c r="AR387" s="5"/>
      <c r="AS387" s="5"/>
      <c r="AT387" s="425" t="str">
        <f t="shared" si="27"/>
        <v>KP000489201707Q314,7</v>
      </c>
      <c r="AU387" s="64" t="str">
        <f t="shared" si="28"/>
        <v>07-2017</v>
      </c>
      <c r="AV387" s="64"/>
      <c r="AW387" s="64"/>
      <c r="AX387" s="64"/>
      <c r="AY387" s="64"/>
      <c r="AZ387" s="64"/>
      <c r="BA387" s="428" t="str">
        <f t="shared" si="29"/>
        <v>WIP - 30 Days</v>
      </c>
      <c r="BB387" s="169"/>
      <c r="BC387" s="169"/>
      <c r="BD387" s="169"/>
      <c r="BE387" s="41"/>
      <c r="BF387" s="41"/>
      <c r="BG387" s="41"/>
      <c r="BH387" s="41"/>
      <c r="BI387" s="41"/>
      <c r="BJ387" s="41"/>
      <c r="BK387" s="41"/>
      <c r="BL387" s="41"/>
      <c r="BM387" s="41"/>
      <c r="BN387" s="41"/>
      <c r="BO387" s="41"/>
      <c r="BP387" s="41"/>
      <c r="BQ387" s="41"/>
      <c r="BR387" s="41"/>
      <c r="BS387" s="41"/>
      <c r="BT387" s="41"/>
      <c r="BU387" s="41"/>
      <c r="BV387" s="41"/>
      <c r="BW387" s="41"/>
      <c r="BX387" s="41"/>
      <c r="BY387" s="41"/>
      <c r="BZ387" s="41"/>
      <c r="CA387" s="41"/>
      <c r="CB387" s="41"/>
      <c r="CC387" s="41"/>
      <c r="CD387" s="41"/>
      <c r="CE387" s="41"/>
      <c r="CF387" s="41"/>
      <c r="CG387" s="41"/>
      <c r="CH387" s="41"/>
      <c r="CI387" s="41"/>
      <c r="CJ387" s="41"/>
      <c r="CK387" s="41"/>
      <c r="CL387" s="41"/>
      <c r="CM387" s="41"/>
      <c r="CN387" s="41"/>
      <c r="CO387" s="41"/>
      <c r="CP387" s="41"/>
      <c r="CQ387" s="41"/>
      <c r="CR387" s="41"/>
      <c r="CS387" s="41"/>
      <c r="CT387" s="41"/>
      <c r="CU387" s="41"/>
      <c r="CV387" s="41"/>
      <c r="CW387" s="41"/>
      <c r="CX387" s="41"/>
      <c r="CY387" s="41"/>
      <c r="CZ387" s="41"/>
      <c r="DA387" s="41"/>
      <c r="DB387" s="41"/>
      <c r="DC387" s="41"/>
      <c r="DD387" s="41"/>
      <c r="DE387" s="41"/>
      <c r="DF387" s="41"/>
      <c r="DG387" s="41"/>
      <c r="DH387" s="41"/>
      <c r="DI387" s="41"/>
      <c r="DJ387" s="41"/>
      <c r="DK387" s="41"/>
      <c r="DL387" s="41"/>
      <c r="DM387" s="41"/>
      <c r="DN387" s="41"/>
      <c r="DO387" s="41"/>
      <c r="DP387" s="41"/>
      <c r="DQ387" s="41"/>
      <c r="DR387" s="41"/>
      <c r="DS387" s="41"/>
      <c r="DT387" s="41"/>
      <c r="DU387" s="41"/>
      <c r="DV387" s="41"/>
      <c r="DW387" s="41"/>
      <c r="DX387" s="41"/>
      <c r="DY387" s="41"/>
      <c r="DZ387" s="41"/>
      <c r="EA387" s="41"/>
      <c r="EB387" s="41"/>
      <c r="EC387" s="41"/>
      <c r="ED387" s="41"/>
      <c r="EE387" s="41"/>
      <c r="EF387" s="41"/>
      <c r="EG387" s="41"/>
      <c r="EH387" s="41"/>
      <c r="EI387" s="41"/>
      <c r="EJ387" s="41"/>
      <c r="EK387" s="41"/>
      <c r="EL387" s="41"/>
      <c r="EM387" s="41"/>
      <c r="EN387" s="41"/>
      <c r="EO387" s="41"/>
      <c r="EP387" s="41"/>
      <c r="EQ387" s="41"/>
      <c r="ER387" s="41"/>
      <c r="ES387" s="41"/>
      <c r="ET387" s="41"/>
      <c r="EU387" s="41"/>
      <c r="EV387" s="41"/>
      <c r="EW387" s="41"/>
      <c r="EX387" s="41"/>
      <c r="EY387" s="41"/>
      <c r="EZ387" s="41"/>
      <c r="FA387" s="41"/>
      <c r="FB387" s="41"/>
      <c r="FC387" s="41"/>
      <c r="FD387" s="41"/>
      <c r="FE387" s="41"/>
      <c r="FF387" s="41"/>
      <c r="FG387" s="41"/>
      <c r="FH387" s="41"/>
      <c r="FI387" s="41"/>
      <c r="FJ387" s="41"/>
      <c r="FK387" s="41"/>
      <c r="FL387" s="41"/>
      <c r="FM387" s="41"/>
      <c r="FN387" s="41"/>
      <c r="FO387" s="41"/>
      <c r="FP387" s="41"/>
      <c r="FQ387" s="41"/>
      <c r="FR387" s="41"/>
      <c r="FS387" s="41"/>
      <c r="FT387" s="41"/>
      <c r="FU387" s="41"/>
      <c r="FV387" s="41"/>
      <c r="FW387" s="41"/>
      <c r="FX387" s="41"/>
      <c r="FY387" s="41"/>
      <c r="FZ387" s="41"/>
      <c r="GA387" s="41"/>
      <c r="GB387" s="41"/>
      <c r="GC387" s="41"/>
      <c r="GD387" s="41"/>
      <c r="GE387" s="41"/>
      <c r="GF387" s="41"/>
      <c r="GG387" s="41"/>
      <c r="GH387" s="41"/>
      <c r="GI387" s="41"/>
      <c r="GJ387" s="41"/>
      <c r="GK387" s="41"/>
      <c r="GL387" s="41"/>
      <c r="GM387" s="41"/>
      <c r="GN387" s="41"/>
      <c r="GO387" s="41"/>
      <c r="GP387" s="41"/>
      <c r="GQ387" s="41"/>
      <c r="GR387" s="41"/>
      <c r="GS387" s="41"/>
      <c r="GT387" s="41"/>
      <c r="GU387" s="41"/>
      <c r="GV387" s="41"/>
      <c r="GW387" s="41"/>
      <c r="GX387" s="41"/>
      <c r="GY387" s="41"/>
      <c r="GZ387" s="41"/>
      <c r="HA387" s="41"/>
      <c r="HB387" s="41"/>
      <c r="HC387" s="41"/>
      <c r="HD387" s="41"/>
      <c r="HE387" s="41"/>
      <c r="HF387" s="41"/>
      <c r="HG387" s="41"/>
      <c r="HH387" s="41"/>
      <c r="HI387" s="41"/>
      <c r="HJ387" s="41"/>
      <c r="HK387" s="41"/>
      <c r="HL387" s="41"/>
      <c r="HM387" s="41"/>
      <c r="HN387" s="41"/>
      <c r="HO387" s="41"/>
      <c r="HP387" s="41"/>
      <c r="HQ387" s="41"/>
      <c r="HR387" s="41"/>
      <c r="HS387" s="41"/>
      <c r="HT387" s="41"/>
      <c r="HU387" s="41"/>
      <c r="HV387" s="41"/>
      <c r="HW387" s="41"/>
      <c r="HX387" s="41"/>
      <c r="HY387" s="41"/>
      <c r="HZ387" s="41"/>
      <c r="IA387" s="41"/>
      <c r="IB387" s="41"/>
      <c r="IC387" s="41"/>
      <c r="ID387" s="41"/>
      <c r="IE387" s="41"/>
      <c r="IF387" s="41"/>
      <c r="IG387" s="41"/>
      <c r="IH387" s="41"/>
      <c r="II387" s="41"/>
      <c r="IJ387" s="41"/>
      <c r="IK387" s="41"/>
    </row>
    <row r="388" spans="1:245">
      <c r="B388" s="36" t="str">
        <f>'[6]price list MAN'!B388</f>
        <v>N65-1032</v>
      </c>
      <c r="C388" s="10" t="str">
        <f>'[6]price list MAN'!C388</f>
        <v>TGM-25-2806X2BL-L</v>
      </c>
      <c r="D388" s="16" t="str">
        <f>IFERROR(VLOOKUP(C388&amp;"",'[7]Retail Price List'!$A$3:$B$103,2,FALSE),"Special Order")</f>
        <v>KP000489</v>
      </c>
      <c r="E388" s="494" t="str">
        <f>'[6]price list MAN'!E388</f>
        <v>CKD</v>
      </c>
      <c r="F388" s="11" t="str">
        <f>'[6]price list MAN'!F388</f>
        <v>2018-03-30</v>
      </c>
      <c r="G388" s="32">
        <f>'[6]price list MAN'!G388</f>
        <v>14.7</v>
      </c>
      <c r="H388" s="26">
        <f>'[6]price list MAN'!H388</f>
        <v>42947</v>
      </c>
      <c r="I388" s="51" t="str">
        <f t="shared" si="25"/>
        <v>201707Q3</v>
      </c>
      <c r="J388" s="177">
        <f>'[6]price list MAN'!J388</f>
        <v>1380000</v>
      </c>
      <c r="K388" s="177">
        <f>'[6]price list MAN'!P388</f>
        <v>1097250</v>
      </c>
      <c r="L388" s="177">
        <f>'[6]price list MAN'!R388</f>
        <v>1045000</v>
      </c>
      <c r="M388" s="174">
        <f>'[6]price list MAN'!S388</f>
        <v>1405000</v>
      </c>
      <c r="N388" s="174">
        <f>'[6]price list MAN'!Y388</f>
        <v>1123500</v>
      </c>
      <c r="O388" s="174">
        <f>'[6]price list MAN'!AA388</f>
        <v>1070000</v>
      </c>
      <c r="P388" s="68">
        <f t="shared" si="26"/>
        <v>0.23843416370106763</v>
      </c>
      <c r="Q388" s="62" t="e">
        <f>O388-#REF!</f>
        <v>#REF!</v>
      </c>
      <c r="S388" s="64" t="s">
        <v>9</v>
      </c>
      <c r="T388" s="64" t="s">
        <v>10</v>
      </c>
      <c r="U388" s="64" t="s">
        <v>11</v>
      </c>
      <c r="W388" s="210"/>
      <c r="X388" s="210"/>
      <c r="Y388" s="210"/>
      <c r="Z388" s="210"/>
      <c r="AA388" s="210"/>
      <c r="AB388" s="210"/>
      <c r="AC388" s="210"/>
      <c r="AT388" s="425" t="str">
        <f t="shared" si="27"/>
        <v>KP000489201707Q314,7</v>
      </c>
      <c r="AU388" s="64" t="str">
        <f t="shared" si="28"/>
        <v>07-2017</v>
      </c>
      <c r="BA388" s="428" t="str">
        <f t="shared" si="29"/>
        <v>WIP - 30 Days</v>
      </c>
    </row>
    <row r="389" spans="1:245">
      <c r="B389" s="36" t="str">
        <f>'[6]price list MAN'!B389</f>
        <v>N65-1034</v>
      </c>
      <c r="C389" s="10" t="str">
        <f>'[6]price list MAN'!C389</f>
        <v>TGM-25-2806X2BL-L</v>
      </c>
      <c r="D389" s="16" t="str">
        <f>IFERROR(VLOOKUP(C389&amp;"",'[7]Retail Price List'!$A$3:$B$103,2,FALSE),"Special Order")</f>
        <v>KP000489</v>
      </c>
      <c r="E389" s="494" t="str">
        <f>'[6]price list MAN'!E389</f>
        <v>CKD</v>
      </c>
      <c r="F389" s="11" t="str">
        <f>'[6]price list MAN'!F389</f>
        <v>2018-04-30</v>
      </c>
      <c r="G389" s="32">
        <f>'[6]price list MAN'!G389</f>
        <v>15.3</v>
      </c>
      <c r="H389" s="26">
        <f>'[6]price list MAN'!H389</f>
        <v>42978</v>
      </c>
      <c r="I389" s="51" t="str">
        <f t="shared" ref="I389:I452" si="30">IFERROR(VLOOKUP(AU389,$AW$5:$AY$40,3,FALSE),"")</f>
        <v>2017Q3</v>
      </c>
      <c r="J389" s="177">
        <f>'[6]price list MAN'!J389</f>
        <v>1380000</v>
      </c>
      <c r="K389" s="177">
        <f>'[6]price list MAN'!P389</f>
        <v>1097250</v>
      </c>
      <c r="L389" s="177">
        <f>'[6]price list MAN'!R389</f>
        <v>1045000</v>
      </c>
      <c r="M389" s="174">
        <f>'[6]price list MAN'!S389</f>
        <v>1405000</v>
      </c>
      <c r="N389" s="174">
        <f>'[6]price list MAN'!Y389</f>
        <v>1123500</v>
      </c>
      <c r="O389" s="174">
        <f>'[6]price list MAN'!AA389</f>
        <v>1070000</v>
      </c>
      <c r="P389" s="68">
        <f t="shared" ref="P389:P452" si="31">(M389-O389)/M389</f>
        <v>0.23843416370106763</v>
      </c>
      <c r="Q389" s="62" t="e">
        <f>O389-#REF!</f>
        <v>#REF!</v>
      </c>
      <c r="S389" s="64">
        <v>0.6</v>
      </c>
      <c r="T389" s="64">
        <v>-4.7</v>
      </c>
      <c r="U389" s="64">
        <v>-1.6</v>
      </c>
      <c r="W389" s="210"/>
      <c r="X389" s="210"/>
      <c r="Y389" s="210"/>
      <c r="Z389" s="210"/>
      <c r="AA389" s="210"/>
      <c r="AB389" s="210"/>
      <c r="AC389" s="210"/>
      <c r="AT389" s="425" t="str">
        <f t="shared" ref="AT389:AT452" si="32">D389&amp;I389&amp;G389</f>
        <v>KP0004892017Q315,3</v>
      </c>
      <c r="AU389" s="64" t="str">
        <f t="shared" ref="AU389:AU452" si="33">IF(MONTH(H389)&lt;10,0&amp;MONTH(H389)&amp;"-"&amp;YEAR(H389),MONTH(H389)&amp;"-"&amp;YEAR(H389))</f>
        <v>08-2017</v>
      </c>
      <c r="BA389" s="428" t="str">
        <f t="shared" ref="BA389:BA452" si="34">IF(B389=0,"",IF(AND(F389&gt;=31,F389&lt;=120),"31-120 Days",IF(AND(F389&gt;=121,F389&lt;=365),"121-365 Days",IF(OR(E389="CKD",F389&lt;=30),"WIP - 30 Days","&gt;365 Days"))))</f>
        <v>WIP - 30 Days</v>
      </c>
    </row>
    <row r="390" spans="1:245">
      <c r="B390" s="36" t="str">
        <f>'[6]price list MAN'!B390</f>
        <v>N65-1037</v>
      </c>
      <c r="C390" s="10" t="str">
        <f>'[6]price list MAN'!C390</f>
        <v>TGM-25-2806X2BL-L</v>
      </c>
      <c r="D390" s="16" t="str">
        <f>IFERROR(VLOOKUP(C390&amp;"",'[7]Retail Price List'!$A$3:$B$103,2,FALSE),"Special Order")</f>
        <v>KP000489</v>
      </c>
      <c r="E390" s="494" t="str">
        <f>'[6]price list MAN'!E390</f>
        <v>CKD</v>
      </c>
      <c r="F390" s="11" t="str">
        <f>'[6]price list MAN'!F390</f>
        <v>2018-04-30</v>
      </c>
      <c r="G390" s="32">
        <f>'[6]price list MAN'!G390</f>
        <v>15.3</v>
      </c>
      <c r="H390" s="26">
        <f>'[6]price list MAN'!H390</f>
        <v>42978</v>
      </c>
      <c r="I390" s="51" t="str">
        <f t="shared" si="30"/>
        <v>2017Q3</v>
      </c>
      <c r="J390" s="177">
        <f>'[6]price list MAN'!J390</f>
        <v>1380000</v>
      </c>
      <c r="K390" s="177">
        <f>'[6]price list MAN'!P390</f>
        <v>1097250</v>
      </c>
      <c r="L390" s="177">
        <f>'[6]price list MAN'!R390</f>
        <v>1045000</v>
      </c>
      <c r="M390" s="174">
        <f>'[6]price list MAN'!S390</f>
        <v>1405000</v>
      </c>
      <c r="N390" s="174">
        <f>'[6]price list MAN'!Y390</f>
        <v>1123500</v>
      </c>
      <c r="O390" s="174">
        <f>'[6]price list MAN'!AA390</f>
        <v>1070000</v>
      </c>
      <c r="P390" s="68">
        <f t="shared" si="31"/>
        <v>0.23843416370106763</v>
      </c>
      <c r="Q390" s="62" t="e">
        <f>O390-#REF!</f>
        <v>#REF!</v>
      </c>
      <c r="W390" s="210"/>
      <c r="X390" s="210"/>
      <c r="Y390" s="210"/>
      <c r="Z390" s="210"/>
      <c r="AA390" s="210"/>
      <c r="AB390" s="210"/>
      <c r="AC390" s="210"/>
      <c r="AT390" s="425" t="str">
        <f t="shared" si="32"/>
        <v>KP0004892017Q315,3</v>
      </c>
      <c r="AU390" s="64" t="str">
        <f t="shared" si="33"/>
        <v>08-2017</v>
      </c>
      <c r="BA390" s="428" t="str">
        <f t="shared" si="34"/>
        <v>WIP - 30 Days</v>
      </c>
    </row>
    <row r="391" spans="1:245">
      <c r="B391" s="36" t="str">
        <f>'[6]price list MAN'!B391</f>
        <v>N65-1038</v>
      </c>
      <c r="C391" s="10" t="str">
        <f>'[6]price list MAN'!C391</f>
        <v>TGM-25-2806X2BL-L</v>
      </c>
      <c r="D391" s="16" t="str">
        <f>IFERROR(VLOOKUP(C391&amp;"",'[7]Retail Price List'!$A$3:$B$103,2,FALSE),"Special Order")</f>
        <v>KP000489</v>
      </c>
      <c r="E391" s="494" t="str">
        <f>'[6]price list MAN'!E391</f>
        <v>CKD</v>
      </c>
      <c r="F391" s="11" t="str">
        <f>'[6]price list MAN'!F391</f>
        <v>2018-04-30</v>
      </c>
      <c r="G391" s="32">
        <f>'[6]price list MAN'!G391</f>
        <v>15.3</v>
      </c>
      <c r="H391" s="26">
        <f>'[6]price list MAN'!H391</f>
        <v>42978</v>
      </c>
      <c r="I391" s="51" t="str">
        <f t="shared" si="30"/>
        <v>2017Q3</v>
      </c>
      <c r="J391" s="177">
        <f>'[6]price list MAN'!J391</f>
        <v>1380000</v>
      </c>
      <c r="K391" s="177">
        <f>'[6]price list MAN'!P391</f>
        <v>1097250</v>
      </c>
      <c r="L391" s="177">
        <f>'[6]price list MAN'!R391</f>
        <v>1045000</v>
      </c>
      <c r="M391" s="174">
        <f>'[6]price list MAN'!S391</f>
        <v>1405000</v>
      </c>
      <c r="N391" s="174">
        <f>'[6]price list MAN'!Y391</f>
        <v>1123500</v>
      </c>
      <c r="O391" s="174">
        <f>'[6]price list MAN'!AA391</f>
        <v>1070000</v>
      </c>
      <c r="P391" s="68">
        <f t="shared" si="31"/>
        <v>0.23843416370106763</v>
      </c>
      <c r="Q391" s="62" t="e">
        <f>O391-#REF!</f>
        <v>#REF!</v>
      </c>
      <c r="S391" s="64">
        <f>COUNT(#REF!)</f>
        <v>0</v>
      </c>
      <c r="W391" s="210"/>
      <c r="X391" s="210"/>
      <c r="Y391" s="210"/>
      <c r="Z391" s="210"/>
      <c r="AA391" s="210"/>
      <c r="AB391" s="210"/>
      <c r="AC391" s="210"/>
      <c r="AT391" s="425" t="str">
        <f t="shared" si="32"/>
        <v>KP0004892017Q315,3</v>
      </c>
      <c r="AU391" s="64" t="str">
        <f t="shared" si="33"/>
        <v>08-2017</v>
      </c>
      <c r="BA391" s="428" t="str">
        <f t="shared" si="34"/>
        <v>WIP - 30 Days</v>
      </c>
    </row>
    <row r="392" spans="1:245">
      <c r="B392" s="36" t="str">
        <f>'[6]price list MAN'!B392</f>
        <v>N65-1071</v>
      </c>
      <c r="C392" s="10" t="str">
        <f>'[6]price list MAN'!C392</f>
        <v>TGM-25-2806X2BL-L</v>
      </c>
      <c r="D392" s="16" t="str">
        <f>IFERROR(VLOOKUP(C392&amp;"",'[7]Retail Price List'!$A$3:$B$103,2,FALSE),"Special Order")</f>
        <v>KP000489</v>
      </c>
      <c r="E392" s="494" t="str">
        <f>'[6]price list MAN'!E392</f>
        <v>CKD</v>
      </c>
      <c r="F392" s="11" t="str">
        <f>'[6]price list MAN'!F392</f>
        <v>2018-04-30</v>
      </c>
      <c r="G392" s="32">
        <f>'[6]price list MAN'!G392</f>
        <v>15.3</v>
      </c>
      <c r="H392" s="26">
        <f>'[6]price list MAN'!H392</f>
        <v>42978</v>
      </c>
      <c r="I392" s="51" t="str">
        <f t="shared" si="30"/>
        <v>2017Q3</v>
      </c>
      <c r="J392" s="177">
        <f>'[6]price list MAN'!J392</f>
        <v>1380000</v>
      </c>
      <c r="K392" s="177">
        <f>'[6]price list MAN'!P392</f>
        <v>1097250</v>
      </c>
      <c r="L392" s="177">
        <f>'[6]price list MAN'!R392</f>
        <v>1045000</v>
      </c>
      <c r="M392" s="174">
        <f>'[6]price list MAN'!S392</f>
        <v>1405000</v>
      </c>
      <c r="N392" s="174">
        <f>'[6]price list MAN'!Y392</f>
        <v>1123500</v>
      </c>
      <c r="O392" s="174">
        <f>'[6]price list MAN'!AA392</f>
        <v>1070000</v>
      </c>
      <c r="P392" s="68">
        <f t="shared" si="31"/>
        <v>0.23843416370106763</v>
      </c>
      <c r="Q392" s="62" t="e">
        <f>O392-#REF!</f>
        <v>#REF!</v>
      </c>
      <c r="S392" s="62" t="e">
        <f>+AVERAGE(#REF!)</f>
        <v>#REF!</v>
      </c>
      <c r="W392" s="210"/>
      <c r="X392" s="210"/>
      <c r="Y392" s="210"/>
      <c r="Z392" s="210"/>
      <c r="AA392" s="210"/>
      <c r="AB392" s="210"/>
      <c r="AC392" s="210"/>
      <c r="AT392" s="425" t="str">
        <f t="shared" si="32"/>
        <v>KP0004892017Q315,3</v>
      </c>
      <c r="AU392" s="64" t="str">
        <f t="shared" si="33"/>
        <v>08-2017</v>
      </c>
      <c r="BA392" s="428" t="str">
        <f t="shared" si="34"/>
        <v>WIP - 30 Days</v>
      </c>
    </row>
    <row r="393" spans="1:245">
      <c r="B393" s="36" t="str">
        <f>'[6]price list MAN'!B393</f>
        <v>N65-1076</v>
      </c>
      <c r="C393" s="10" t="str">
        <f>'[6]price list MAN'!C393</f>
        <v>TGM-25-2806X2BL-L</v>
      </c>
      <c r="D393" s="16" t="str">
        <f>IFERROR(VLOOKUP(C393&amp;"",'[7]Retail Price List'!$A$3:$B$103,2,FALSE),"Special Order")</f>
        <v>KP000489</v>
      </c>
      <c r="E393" s="494" t="str">
        <f>'[6]price list MAN'!E393</f>
        <v>CKD</v>
      </c>
      <c r="F393" s="11" t="str">
        <f>'[6]price list MAN'!F393</f>
        <v>2018-04-30</v>
      </c>
      <c r="G393" s="32">
        <f>'[6]price list MAN'!G393</f>
        <v>15.3</v>
      </c>
      <c r="H393" s="26">
        <f>'[6]price list MAN'!H393</f>
        <v>42978</v>
      </c>
      <c r="I393" s="51" t="str">
        <f t="shared" si="30"/>
        <v>2017Q3</v>
      </c>
      <c r="J393" s="177">
        <f>'[6]price list MAN'!J393</f>
        <v>1380000</v>
      </c>
      <c r="K393" s="177">
        <f>'[6]price list MAN'!P393</f>
        <v>1097250</v>
      </c>
      <c r="L393" s="177">
        <f>'[6]price list MAN'!R393</f>
        <v>1045000</v>
      </c>
      <c r="M393" s="174">
        <f>'[6]price list MAN'!S393</f>
        <v>1405000</v>
      </c>
      <c r="N393" s="174">
        <f>'[6]price list MAN'!Y393</f>
        <v>1123500</v>
      </c>
      <c r="O393" s="174">
        <f>'[6]price list MAN'!AA393</f>
        <v>1070000</v>
      </c>
      <c r="P393" s="68">
        <f t="shared" si="31"/>
        <v>0.23843416370106763</v>
      </c>
      <c r="Q393" s="62" t="e">
        <f>O393-#REF!</f>
        <v>#REF!</v>
      </c>
      <c r="W393" s="210"/>
      <c r="X393" s="210"/>
      <c r="Y393" s="210"/>
      <c r="Z393" s="210"/>
      <c r="AA393" s="210"/>
      <c r="AB393" s="210"/>
      <c r="AC393" s="210"/>
      <c r="AT393" s="425" t="str">
        <f t="shared" si="32"/>
        <v>KP0004892017Q315,3</v>
      </c>
      <c r="AU393" s="64" t="str">
        <f t="shared" si="33"/>
        <v>08-2017</v>
      </c>
      <c r="BA393" s="428" t="str">
        <f t="shared" si="34"/>
        <v>WIP - 30 Days</v>
      </c>
    </row>
    <row r="394" spans="1:245">
      <c r="B394" s="36" t="str">
        <f>'[6]price list MAN'!B394</f>
        <v>N65-1078</v>
      </c>
      <c r="C394" s="10" t="str">
        <f>'[6]price list MAN'!C394</f>
        <v>TGM-25-2806X2BL-L</v>
      </c>
      <c r="D394" s="16" t="str">
        <f>IFERROR(VLOOKUP(C394&amp;"",'[7]Retail Price List'!$A$3:$B$103,2,FALSE),"Special Order")</f>
        <v>KP000489</v>
      </c>
      <c r="E394" s="494" t="str">
        <f>'[6]price list MAN'!E394</f>
        <v>CKD</v>
      </c>
      <c r="F394" s="11" t="str">
        <f>'[6]price list MAN'!F394</f>
        <v>2018-04-30</v>
      </c>
      <c r="G394" s="32">
        <f>'[6]price list MAN'!G394</f>
        <v>15.3</v>
      </c>
      <c r="H394" s="26">
        <f>'[6]price list MAN'!H394</f>
        <v>42978</v>
      </c>
      <c r="I394" s="51" t="str">
        <f t="shared" si="30"/>
        <v>2017Q3</v>
      </c>
      <c r="J394" s="177">
        <f>'[6]price list MAN'!J394</f>
        <v>1380000</v>
      </c>
      <c r="K394" s="177">
        <f>'[6]price list MAN'!P394</f>
        <v>1097250</v>
      </c>
      <c r="L394" s="177">
        <f>'[6]price list MAN'!R394</f>
        <v>1045000</v>
      </c>
      <c r="M394" s="174">
        <f>'[6]price list MAN'!S394</f>
        <v>1405000</v>
      </c>
      <c r="N394" s="174">
        <f>'[6]price list MAN'!Y394</f>
        <v>1123500</v>
      </c>
      <c r="O394" s="174">
        <f>'[6]price list MAN'!AA394</f>
        <v>1070000</v>
      </c>
      <c r="P394" s="68">
        <f t="shared" si="31"/>
        <v>0.23843416370106763</v>
      </c>
      <c r="Q394" s="62" t="e">
        <f>O394-#REF!</f>
        <v>#REF!</v>
      </c>
      <c r="W394" s="210"/>
      <c r="X394" s="210"/>
      <c r="Y394" s="210"/>
      <c r="Z394" s="210"/>
      <c r="AA394" s="210"/>
      <c r="AB394" s="210"/>
      <c r="AC394" s="210"/>
      <c r="AT394" s="425" t="str">
        <f t="shared" si="32"/>
        <v>KP0004892017Q315,3</v>
      </c>
      <c r="AU394" s="64" t="str">
        <f t="shared" si="33"/>
        <v>08-2017</v>
      </c>
      <c r="BA394" s="428" t="str">
        <f t="shared" si="34"/>
        <v>WIP - 30 Days</v>
      </c>
    </row>
    <row r="395" spans="1:245">
      <c r="B395" s="36" t="str">
        <f>'[6]price list MAN'!B395</f>
        <v>N65-1081</v>
      </c>
      <c r="C395" s="10" t="str">
        <f>'[6]price list MAN'!C395</f>
        <v>TGM-25-2806X2BL-L</v>
      </c>
      <c r="D395" s="16" t="str">
        <f>IFERROR(VLOOKUP(C395&amp;"",'[7]Retail Price List'!$A$3:$B$103,2,FALSE),"Special Order")</f>
        <v>KP000489</v>
      </c>
      <c r="E395" s="494" t="str">
        <f>'[6]price list MAN'!E395</f>
        <v>CKD</v>
      </c>
      <c r="F395" s="11" t="str">
        <f>'[6]price list MAN'!F395</f>
        <v>2018-03-30</v>
      </c>
      <c r="G395" s="32">
        <f>'[6]price list MAN'!G395</f>
        <v>15.3</v>
      </c>
      <c r="H395" s="26">
        <f>'[6]price list MAN'!H395</f>
        <v>42978</v>
      </c>
      <c r="I395" s="51" t="str">
        <f t="shared" si="30"/>
        <v>2017Q3</v>
      </c>
      <c r="J395" s="177">
        <f>'[6]price list MAN'!J395</f>
        <v>1380000</v>
      </c>
      <c r="K395" s="177">
        <f>'[6]price list MAN'!P395</f>
        <v>1097250</v>
      </c>
      <c r="L395" s="177">
        <f>'[6]price list MAN'!R395</f>
        <v>1045000</v>
      </c>
      <c r="M395" s="174">
        <f>'[6]price list MAN'!S395</f>
        <v>1405000</v>
      </c>
      <c r="N395" s="174">
        <f>'[6]price list MAN'!Y395</f>
        <v>1123500</v>
      </c>
      <c r="O395" s="174">
        <f>'[6]price list MAN'!AA395</f>
        <v>1070000</v>
      </c>
      <c r="P395" s="68">
        <f t="shared" si="31"/>
        <v>0.23843416370106763</v>
      </c>
      <c r="Q395" s="62" t="e">
        <f>O395-#REF!</f>
        <v>#REF!</v>
      </c>
      <c r="W395" s="210"/>
      <c r="X395" s="210"/>
      <c r="Y395" s="210"/>
      <c r="Z395" s="210"/>
      <c r="AA395" s="210"/>
      <c r="AB395" s="210"/>
      <c r="AC395" s="210"/>
      <c r="AT395" s="425" t="str">
        <f t="shared" si="32"/>
        <v>KP0004892017Q315,3</v>
      </c>
      <c r="AU395" s="64" t="str">
        <f t="shared" si="33"/>
        <v>08-2017</v>
      </c>
      <c r="BA395" s="428" t="str">
        <f t="shared" si="34"/>
        <v>WIP - 30 Days</v>
      </c>
    </row>
    <row r="396" spans="1:245">
      <c r="B396" s="36" t="str">
        <f>'[6]price list MAN'!B396</f>
        <v>N65-1124</v>
      </c>
      <c r="C396" s="10" t="str">
        <f>'[6]price list MAN'!C396</f>
        <v>TGM-25-2806X2BL-L</v>
      </c>
      <c r="D396" s="16" t="str">
        <f>IFERROR(VLOOKUP(C396&amp;"",'[7]Retail Price List'!$A$3:$B$103,2,FALSE),"Special Order")</f>
        <v>KP000489</v>
      </c>
      <c r="E396" s="494" t="str">
        <f>'[6]price list MAN'!E396</f>
        <v>CKD</v>
      </c>
      <c r="F396" s="11" t="str">
        <f>'[6]price list MAN'!F396</f>
        <v>2018-03-30</v>
      </c>
      <c r="G396" s="32">
        <f>'[6]price list MAN'!G396</f>
        <v>15.3</v>
      </c>
      <c r="H396" s="26">
        <f>'[6]price list MAN'!H396</f>
        <v>42978</v>
      </c>
      <c r="I396" s="51" t="str">
        <f t="shared" si="30"/>
        <v>2017Q3</v>
      </c>
      <c r="J396" s="177">
        <f>'[6]price list MAN'!J396</f>
        <v>1380000</v>
      </c>
      <c r="K396" s="177">
        <f>'[6]price list MAN'!P396</f>
        <v>1097250</v>
      </c>
      <c r="L396" s="177">
        <f>'[6]price list MAN'!R396</f>
        <v>1045000</v>
      </c>
      <c r="M396" s="174">
        <f>'[6]price list MAN'!S396</f>
        <v>1405000</v>
      </c>
      <c r="N396" s="174">
        <f>'[6]price list MAN'!Y396</f>
        <v>1123500</v>
      </c>
      <c r="O396" s="174">
        <f>'[6]price list MAN'!AA396</f>
        <v>1070000</v>
      </c>
      <c r="P396" s="68">
        <f t="shared" si="31"/>
        <v>0.23843416370106763</v>
      </c>
      <c r="Q396" s="62" t="e">
        <f>O396-#REF!</f>
        <v>#REF!</v>
      </c>
      <c r="W396" s="210"/>
      <c r="X396" s="210"/>
      <c r="Y396" s="210"/>
      <c r="Z396" s="210"/>
      <c r="AA396" s="210"/>
      <c r="AB396" s="210"/>
      <c r="AC396" s="210"/>
      <c r="AT396" s="425" t="str">
        <f t="shared" si="32"/>
        <v>KP0004892017Q315,3</v>
      </c>
      <c r="AU396" s="64" t="str">
        <f t="shared" si="33"/>
        <v>08-2017</v>
      </c>
      <c r="BA396" s="428" t="str">
        <f t="shared" si="34"/>
        <v>WIP - 30 Days</v>
      </c>
    </row>
    <row r="397" spans="1:245">
      <c r="B397" s="36" t="str">
        <f>'[6]price list MAN'!B397</f>
        <v>N65-1128</v>
      </c>
      <c r="C397" s="10" t="str">
        <f>'[6]price list MAN'!C397</f>
        <v>TGM-25-2806X2BL-L</v>
      </c>
      <c r="D397" s="16" t="str">
        <f>IFERROR(VLOOKUP(C397&amp;"",'[7]Retail Price List'!$A$3:$B$103,2,FALSE),"Special Order")</f>
        <v>KP000489</v>
      </c>
      <c r="E397" s="494" t="str">
        <f>'[6]price list MAN'!E397</f>
        <v>CKD</v>
      </c>
      <c r="F397" s="11" t="str">
        <f>'[6]price list MAN'!F397</f>
        <v>2018-03-30</v>
      </c>
      <c r="G397" s="32">
        <f>'[6]price list MAN'!G397</f>
        <v>15.3</v>
      </c>
      <c r="H397" s="26">
        <f>'[6]price list MAN'!H397</f>
        <v>42978</v>
      </c>
      <c r="I397" s="51" t="str">
        <f t="shared" si="30"/>
        <v>2017Q3</v>
      </c>
      <c r="J397" s="177">
        <f>'[6]price list MAN'!J397</f>
        <v>1380000</v>
      </c>
      <c r="K397" s="177">
        <f>'[6]price list MAN'!P397</f>
        <v>1097250</v>
      </c>
      <c r="L397" s="177">
        <f>'[6]price list MAN'!R397</f>
        <v>1045000</v>
      </c>
      <c r="M397" s="174">
        <f>'[6]price list MAN'!S397</f>
        <v>1405000</v>
      </c>
      <c r="N397" s="174">
        <f>'[6]price list MAN'!Y397</f>
        <v>1123500</v>
      </c>
      <c r="O397" s="174">
        <f>'[6]price list MAN'!AA397</f>
        <v>1070000</v>
      </c>
      <c r="P397" s="68">
        <f t="shared" si="31"/>
        <v>0.23843416370106763</v>
      </c>
      <c r="Q397" s="62" t="e">
        <f>O397-#REF!</f>
        <v>#REF!</v>
      </c>
      <c r="W397" s="210"/>
      <c r="X397" s="210"/>
      <c r="Y397" s="210"/>
      <c r="Z397" s="210"/>
      <c r="AA397" s="210"/>
      <c r="AB397" s="210"/>
      <c r="AC397" s="210"/>
      <c r="AT397" s="425" t="str">
        <f t="shared" si="32"/>
        <v>KP0004892017Q315,3</v>
      </c>
      <c r="AU397" s="64" t="str">
        <f t="shared" si="33"/>
        <v>08-2017</v>
      </c>
      <c r="BA397" s="428" t="str">
        <f t="shared" si="34"/>
        <v>WIP - 30 Days</v>
      </c>
    </row>
    <row r="398" spans="1:245">
      <c r="B398" s="36" t="str">
        <f>'[6]price list MAN'!B398</f>
        <v>N65-1129</v>
      </c>
      <c r="C398" s="10" t="str">
        <f>'[6]price list MAN'!C398</f>
        <v>TGM-25-2806X2BL-L</v>
      </c>
      <c r="D398" s="16" t="str">
        <f>IFERROR(VLOOKUP(C398&amp;"",'[7]Retail Price List'!$A$3:$B$103,2,FALSE),"Special Order")</f>
        <v>KP000489</v>
      </c>
      <c r="E398" s="494" t="str">
        <f>'[6]price list MAN'!E398</f>
        <v>CKD</v>
      </c>
      <c r="F398" s="11" t="str">
        <f>'[6]price list MAN'!F398</f>
        <v>2018-03-30</v>
      </c>
      <c r="G398" s="32">
        <f>'[6]price list MAN'!G398</f>
        <v>15.3</v>
      </c>
      <c r="H398" s="26">
        <f>'[6]price list MAN'!H398</f>
        <v>42978</v>
      </c>
      <c r="I398" s="51" t="str">
        <f t="shared" si="30"/>
        <v>2017Q3</v>
      </c>
      <c r="J398" s="177">
        <f>'[6]price list MAN'!J398</f>
        <v>1380000</v>
      </c>
      <c r="K398" s="177">
        <f>'[6]price list MAN'!P398</f>
        <v>1097250</v>
      </c>
      <c r="L398" s="177">
        <f>'[6]price list MAN'!R398</f>
        <v>1045000</v>
      </c>
      <c r="M398" s="174">
        <f>'[6]price list MAN'!S398</f>
        <v>1405000</v>
      </c>
      <c r="N398" s="174">
        <f>'[6]price list MAN'!Y398</f>
        <v>1123500</v>
      </c>
      <c r="O398" s="174">
        <f>'[6]price list MAN'!AA398</f>
        <v>1070000</v>
      </c>
      <c r="P398" s="68">
        <f t="shared" si="31"/>
        <v>0.23843416370106763</v>
      </c>
      <c r="Q398" s="62" t="e">
        <f>O398-#REF!</f>
        <v>#REF!</v>
      </c>
      <c r="W398" s="210"/>
      <c r="X398" s="210"/>
      <c r="Y398" s="210"/>
      <c r="Z398" s="210"/>
      <c r="AA398" s="210"/>
      <c r="AB398" s="210"/>
      <c r="AC398" s="210"/>
      <c r="AT398" s="425" t="str">
        <f t="shared" si="32"/>
        <v>KP0004892017Q315,3</v>
      </c>
      <c r="AU398" s="64" t="str">
        <f t="shared" si="33"/>
        <v>08-2017</v>
      </c>
      <c r="BA398" s="428" t="str">
        <f t="shared" si="34"/>
        <v>WIP - 30 Days</v>
      </c>
    </row>
    <row r="399" spans="1:245">
      <c r="B399" s="36" t="str">
        <f>'[6]price list MAN'!B399</f>
        <v>N65-1135</v>
      </c>
      <c r="C399" s="10" t="str">
        <f>'[6]price list MAN'!C399</f>
        <v>TGM-25-2806X2BL-L</v>
      </c>
      <c r="D399" s="16" t="str">
        <f>IFERROR(VLOOKUP(C399&amp;"",'[7]Retail Price List'!$A$3:$B$103,2,FALSE),"Special Order")</f>
        <v>KP000489</v>
      </c>
      <c r="E399" s="494" t="str">
        <f>'[6]price list MAN'!E399</f>
        <v>CKD</v>
      </c>
      <c r="F399" s="11" t="str">
        <f>'[6]price list MAN'!F399</f>
        <v>2018-03-30</v>
      </c>
      <c r="G399" s="32">
        <f>'[6]price list MAN'!G399</f>
        <v>15.3</v>
      </c>
      <c r="H399" s="26">
        <f>'[6]price list MAN'!H399</f>
        <v>42978</v>
      </c>
      <c r="I399" s="51" t="str">
        <f t="shared" si="30"/>
        <v>2017Q3</v>
      </c>
      <c r="J399" s="177">
        <f>'[6]price list MAN'!J399</f>
        <v>1380000</v>
      </c>
      <c r="K399" s="177">
        <f>'[6]price list MAN'!P399</f>
        <v>1097250</v>
      </c>
      <c r="L399" s="177">
        <f>'[6]price list MAN'!R399</f>
        <v>1045000</v>
      </c>
      <c r="M399" s="174">
        <f>'[6]price list MAN'!S399</f>
        <v>1405000</v>
      </c>
      <c r="N399" s="174">
        <f>'[6]price list MAN'!Y399</f>
        <v>1123500</v>
      </c>
      <c r="O399" s="174">
        <f>'[6]price list MAN'!AA399</f>
        <v>1070000</v>
      </c>
      <c r="P399" s="68">
        <f t="shared" si="31"/>
        <v>0.23843416370106763</v>
      </c>
      <c r="Q399" s="62" t="e">
        <f>O399-#REF!</f>
        <v>#REF!</v>
      </c>
      <c r="W399" s="210"/>
      <c r="X399" s="210"/>
      <c r="Y399" s="210"/>
      <c r="Z399" s="210"/>
      <c r="AA399" s="210"/>
      <c r="AB399" s="210"/>
      <c r="AC399" s="210"/>
      <c r="AT399" s="425" t="str">
        <f t="shared" si="32"/>
        <v>KP0004892017Q315,3</v>
      </c>
      <c r="AU399" s="64" t="str">
        <f t="shared" si="33"/>
        <v>08-2017</v>
      </c>
      <c r="BA399" s="428" t="str">
        <f t="shared" si="34"/>
        <v>WIP - 30 Days</v>
      </c>
    </row>
    <row r="400" spans="1:245">
      <c r="B400" s="36" t="str">
        <f>'[6]price list MAN'!B400</f>
        <v>N65-1136</v>
      </c>
      <c r="C400" s="10" t="str">
        <f>'[6]price list MAN'!C400</f>
        <v>TGM-25-2806X2BL-L</v>
      </c>
      <c r="D400" s="16" t="str">
        <f>IFERROR(VLOOKUP(C400&amp;"",'[7]Retail Price List'!$A$3:$B$103,2,FALSE),"Special Order")</f>
        <v>KP000489</v>
      </c>
      <c r="E400" s="494" t="str">
        <f>'[6]price list MAN'!E400</f>
        <v>CKD</v>
      </c>
      <c r="F400" s="11" t="str">
        <f>'[6]price list MAN'!F400</f>
        <v>2018-03-30</v>
      </c>
      <c r="G400" s="32">
        <f>'[6]price list MAN'!G400</f>
        <v>15.3</v>
      </c>
      <c r="H400" s="26">
        <f>'[6]price list MAN'!H400</f>
        <v>42978</v>
      </c>
      <c r="I400" s="51" t="str">
        <f t="shared" si="30"/>
        <v>2017Q3</v>
      </c>
      <c r="J400" s="177">
        <f>'[6]price list MAN'!J400</f>
        <v>1380000</v>
      </c>
      <c r="K400" s="177">
        <f>'[6]price list MAN'!P400</f>
        <v>1097250</v>
      </c>
      <c r="L400" s="177">
        <f>'[6]price list MAN'!R400</f>
        <v>1045000</v>
      </c>
      <c r="M400" s="174">
        <f>'[6]price list MAN'!S400</f>
        <v>1405000</v>
      </c>
      <c r="N400" s="174">
        <f>'[6]price list MAN'!Y400</f>
        <v>1123500</v>
      </c>
      <c r="O400" s="174">
        <f>'[6]price list MAN'!AA400</f>
        <v>1070000</v>
      </c>
      <c r="P400" s="68">
        <f t="shared" si="31"/>
        <v>0.23843416370106763</v>
      </c>
      <c r="Q400" s="62" t="e">
        <f>O400-#REF!</f>
        <v>#REF!</v>
      </c>
      <c r="W400" s="210"/>
      <c r="X400" s="210"/>
      <c r="Y400" s="210"/>
      <c r="Z400" s="210"/>
      <c r="AA400" s="210"/>
      <c r="AB400" s="210"/>
      <c r="AC400" s="210"/>
      <c r="AT400" s="425" t="str">
        <f t="shared" si="32"/>
        <v>KP0004892017Q315,3</v>
      </c>
      <c r="AU400" s="64" t="str">
        <f t="shared" si="33"/>
        <v>08-2017</v>
      </c>
      <c r="BA400" s="428" t="str">
        <f t="shared" si="34"/>
        <v>WIP - 30 Days</v>
      </c>
    </row>
    <row r="401" spans="2:53">
      <c r="B401" s="36" t="str">
        <f>'[6]price list MAN'!B401</f>
        <v>N65-1137</v>
      </c>
      <c r="C401" s="10" t="str">
        <f>'[6]price list MAN'!C401</f>
        <v>TGM-25-2806X2BL-L</v>
      </c>
      <c r="D401" s="16" t="str">
        <f>IFERROR(VLOOKUP(C401&amp;"",'[7]Retail Price List'!$A$3:$B$103,2,FALSE),"Special Order")</f>
        <v>KP000489</v>
      </c>
      <c r="E401" s="494" t="str">
        <f>'[6]price list MAN'!E401</f>
        <v>CKD</v>
      </c>
      <c r="F401" s="11" t="str">
        <f>'[6]price list MAN'!F401</f>
        <v>2018-04-30</v>
      </c>
      <c r="G401" s="32">
        <f>'[6]price list MAN'!G401</f>
        <v>15.3</v>
      </c>
      <c r="H401" s="26">
        <f>'[6]price list MAN'!H401</f>
        <v>42978</v>
      </c>
      <c r="I401" s="51" t="str">
        <f t="shared" si="30"/>
        <v>2017Q3</v>
      </c>
      <c r="J401" s="177">
        <f>'[6]price list MAN'!J401</f>
        <v>1380000</v>
      </c>
      <c r="K401" s="177">
        <f>'[6]price list MAN'!P401</f>
        <v>1097250</v>
      </c>
      <c r="L401" s="177">
        <f>'[6]price list MAN'!R401</f>
        <v>1045000</v>
      </c>
      <c r="M401" s="174">
        <f>'[6]price list MAN'!S401</f>
        <v>1405000</v>
      </c>
      <c r="N401" s="174">
        <f>'[6]price list MAN'!Y401</f>
        <v>1123500</v>
      </c>
      <c r="O401" s="174">
        <f>'[6]price list MAN'!AA401</f>
        <v>1070000</v>
      </c>
      <c r="P401" s="68">
        <f t="shared" si="31"/>
        <v>0.23843416370106763</v>
      </c>
      <c r="Q401" s="62" t="e">
        <f>O401-#REF!</f>
        <v>#REF!</v>
      </c>
      <c r="W401" s="210"/>
      <c r="X401" s="210"/>
      <c r="Y401" s="210"/>
      <c r="Z401" s="210"/>
      <c r="AA401" s="210"/>
      <c r="AB401" s="210"/>
      <c r="AC401" s="210"/>
      <c r="AT401" s="425" t="str">
        <f t="shared" si="32"/>
        <v>KP0004892017Q315,3</v>
      </c>
      <c r="AU401" s="64" t="str">
        <f t="shared" si="33"/>
        <v>08-2017</v>
      </c>
      <c r="BA401" s="428" t="str">
        <f t="shared" si="34"/>
        <v>WIP - 30 Days</v>
      </c>
    </row>
    <row r="402" spans="2:53">
      <c r="B402" s="36" t="str">
        <f>'[6]price list MAN'!B402</f>
        <v>N65-1150</v>
      </c>
      <c r="C402" s="10" t="str">
        <f>'[6]price list MAN'!C402</f>
        <v>TGM-25-2806X2BL-L</v>
      </c>
      <c r="D402" s="16" t="str">
        <f>IFERROR(VLOOKUP(C402&amp;"",'[7]Retail Price List'!$A$3:$B$103,2,FALSE),"Special Order")</f>
        <v>KP000489</v>
      </c>
      <c r="E402" s="494" t="str">
        <f>'[6]price list MAN'!E402</f>
        <v>CKD</v>
      </c>
      <c r="F402" s="11" t="str">
        <f>'[6]price list MAN'!F402</f>
        <v>2018-02-28</v>
      </c>
      <c r="G402" s="32">
        <f>'[6]price list MAN'!G402</f>
        <v>14.7</v>
      </c>
      <c r="H402" s="26">
        <f>'[6]price list MAN'!H402</f>
        <v>42947</v>
      </c>
      <c r="I402" s="51" t="str">
        <f t="shared" si="30"/>
        <v>201707Q3</v>
      </c>
      <c r="J402" s="177">
        <f>'[6]price list MAN'!J402</f>
        <v>1380000</v>
      </c>
      <c r="K402" s="177">
        <f>'[6]price list MAN'!P402</f>
        <v>1097250</v>
      </c>
      <c r="L402" s="177">
        <f>'[6]price list MAN'!R402</f>
        <v>1045000</v>
      </c>
      <c r="M402" s="174">
        <f>'[6]price list MAN'!S402</f>
        <v>1405000</v>
      </c>
      <c r="N402" s="174">
        <f>'[6]price list MAN'!Y402</f>
        <v>1123500</v>
      </c>
      <c r="O402" s="174">
        <f>'[6]price list MAN'!AA402</f>
        <v>1070000</v>
      </c>
      <c r="P402" s="68">
        <f t="shared" si="31"/>
        <v>0.23843416370106763</v>
      </c>
      <c r="Q402" s="62" t="e">
        <f>O402-#REF!</f>
        <v>#REF!</v>
      </c>
      <c r="W402" s="210"/>
      <c r="X402" s="210"/>
      <c r="Y402" s="210"/>
      <c r="Z402" s="210"/>
      <c r="AA402" s="210"/>
      <c r="AB402" s="210"/>
      <c r="AC402" s="210"/>
      <c r="AT402" s="425" t="str">
        <f t="shared" si="32"/>
        <v>KP000489201707Q314,7</v>
      </c>
      <c r="AU402" s="64" t="str">
        <f t="shared" si="33"/>
        <v>07-2017</v>
      </c>
      <c r="BA402" s="428" t="str">
        <f t="shared" si="34"/>
        <v>WIP - 30 Days</v>
      </c>
    </row>
    <row r="403" spans="2:53">
      <c r="B403" s="36" t="str">
        <f>'[6]price list MAN'!B403</f>
        <v>N65-1210</v>
      </c>
      <c r="C403" s="10" t="str">
        <f>'[6]price list MAN'!C403</f>
        <v>TGM-25-2806X2BL-L</v>
      </c>
      <c r="D403" s="16" t="str">
        <f>IFERROR(VLOOKUP(C403&amp;"",'[7]Retail Price List'!$A$3:$B$103,2,FALSE),"Special Order")</f>
        <v>KP000489</v>
      </c>
      <c r="E403" s="494" t="str">
        <f>'[6]price list MAN'!E403</f>
        <v>CKD</v>
      </c>
      <c r="F403" s="11" t="str">
        <f>'[6]price list MAN'!F403</f>
        <v>2018-02-27</v>
      </c>
      <c r="G403" s="32">
        <f>'[6]price list MAN'!G403</f>
        <v>14.7</v>
      </c>
      <c r="H403" s="26">
        <f>'[6]price list MAN'!H403</f>
        <v>42947</v>
      </c>
      <c r="I403" s="51" t="str">
        <f t="shared" si="30"/>
        <v>201707Q3</v>
      </c>
      <c r="J403" s="177">
        <f>'[6]price list MAN'!J403</f>
        <v>1380000</v>
      </c>
      <c r="K403" s="177">
        <f>'[6]price list MAN'!P403</f>
        <v>1097250</v>
      </c>
      <c r="L403" s="177">
        <f>'[6]price list MAN'!R403</f>
        <v>1045000</v>
      </c>
      <c r="M403" s="174">
        <f>'[6]price list MAN'!S403</f>
        <v>1405000</v>
      </c>
      <c r="N403" s="174">
        <f>'[6]price list MAN'!Y403</f>
        <v>1123500</v>
      </c>
      <c r="O403" s="174">
        <f>'[6]price list MAN'!AA403</f>
        <v>1070000</v>
      </c>
      <c r="P403" s="68">
        <f t="shared" si="31"/>
        <v>0.23843416370106763</v>
      </c>
      <c r="Q403" s="62" t="e">
        <f>O403-#REF!</f>
        <v>#REF!</v>
      </c>
      <c r="W403" s="210"/>
      <c r="X403" s="210"/>
      <c r="Y403" s="210"/>
      <c r="Z403" s="210"/>
      <c r="AA403" s="210"/>
      <c r="AB403" s="210"/>
      <c r="AC403" s="210"/>
      <c r="AT403" s="425" t="str">
        <f t="shared" si="32"/>
        <v>KP000489201707Q314,7</v>
      </c>
      <c r="AU403" s="64" t="str">
        <f t="shared" si="33"/>
        <v>07-2017</v>
      </c>
      <c r="BA403" s="428" t="str">
        <f t="shared" si="34"/>
        <v>WIP - 30 Days</v>
      </c>
    </row>
    <row r="404" spans="2:53">
      <c r="B404" s="36" t="str">
        <f>'[6]price list MAN'!B404</f>
        <v>N65-1214</v>
      </c>
      <c r="C404" s="10" t="str">
        <f>'[6]price list MAN'!C404</f>
        <v>TGM-25-2806X2BL-L</v>
      </c>
      <c r="D404" s="16" t="str">
        <f>IFERROR(VLOOKUP(C404&amp;"",'[7]Retail Price List'!$A$3:$B$103,2,FALSE),"Special Order")</f>
        <v>KP000489</v>
      </c>
      <c r="E404" s="494" t="str">
        <f>'[6]price list MAN'!E404</f>
        <v>CKD</v>
      </c>
      <c r="F404" s="11" t="str">
        <f>'[6]price list MAN'!F404</f>
        <v>2018-02-28</v>
      </c>
      <c r="G404" s="32">
        <f>'[6]price list MAN'!G404</f>
        <v>14.7</v>
      </c>
      <c r="H404" s="26">
        <f>'[6]price list MAN'!H404</f>
        <v>42947</v>
      </c>
      <c r="I404" s="51" t="str">
        <f t="shared" si="30"/>
        <v>201707Q3</v>
      </c>
      <c r="J404" s="177">
        <f>'[6]price list MAN'!J404</f>
        <v>1380000</v>
      </c>
      <c r="K404" s="177">
        <f>'[6]price list MAN'!P404</f>
        <v>1097250</v>
      </c>
      <c r="L404" s="177">
        <f>'[6]price list MAN'!R404</f>
        <v>1045000</v>
      </c>
      <c r="M404" s="174">
        <f>'[6]price list MAN'!S404</f>
        <v>1405000</v>
      </c>
      <c r="N404" s="174">
        <f>'[6]price list MAN'!Y404</f>
        <v>1123500</v>
      </c>
      <c r="O404" s="174">
        <f>'[6]price list MAN'!AA404</f>
        <v>1070000</v>
      </c>
      <c r="P404" s="68">
        <f t="shared" si="31"/>
        <v>0.23843416370106763</v>
      </c>
      <c r="Q404" s="62" t="e">
        <f>O404-#REF!</f>
        <v>#REF!</v>
      </c>
      <c r="W404" s="210"/>
      <c r="X404" s="210"/>
      <c r="Y404" s="210"/>
      <c r="Z404" s="210"/>
      <c r="AA404" s="210"/>
      <c r="AB404" s="210"/>
      <c r="AC404" s="210"/>
      <c r="AT404" s="425" t="str">
        <f t="shared" si="32"/>
        <v>KP000489201707Q314,7</v>
      </c>
      <c r="AU404" s="64" t="str">
        <f t="shared" si="33"/>
        <v>07-2017</v>
      </c>
      <c r="BA404" s="428" t="str">
        <f t="shared" si="34"/>
        <v>WIP - 30 Days</v>
      </c>
    </row>
    <row r="405" spans="2:53">
      <c r="B405" s="36" t="str">
        <f>'[6]price list MAN'!B405</f>
        <v>N65-1215</v>
      </c>
      <c r="C405" s="10" t="str">
        <f>'[6]price list MAN'!C405</f>
        <v>TGM-25-2806X2BL-L</v>
      </c>
      <c r="D405" s="16" t="str">
        <f>IFERROR(VLOOKUP(C405&amp;"",'[7]Retail Price List'!$A$3:$B$103,2,FALSE),"Special Order")</f>
        <v>KP000489</v>
      </c>
      <c r="E405" s="494" t="str">
        <f>'[6]price list MAN'!E405</f>
        <v>CKD</v>
      </c>
      <c r="F405" s="11" t="str">
        <f>'[6]price list MAN'!F405</f>
        <v>2018-02-28</v>
      </c>
      <c r="G405" s="32">
        <f>'[6]price list MAN'!G405</f>
        <v>14.7</v>
      </c>
      <c r="H405" s="26">
        <f>'[6]price list MAN'!H405</f>
        <v>42947</v>
      </c>
      <c r="I405" s="51" t="str">
        <f t="shared" si="30"/>
        <v>201707Q3</v>
      </c>
      <c r="J405" s="177">
        <f>'[6]price list MAN'!J405</f>
        <v>1380000</v>
      </c>
      <c r="K405" s="177">
        <f>'[6]price list MAN'!P405</f>
        <v>1097250</v>
      </c>
      <c r="L405" s="177">
        <f>'[6]price list MAN'!R405</f>
        <v>1045000</v>
      </c>
      <c r="M405" s="174">
        <f>'[6]price list MAN'!S405</f>
        <v>1405000</v>
      </c>
      <c r="N405" s="174">
        <f>'[6]price list MAN'!Y405</f>
        <v>1123500</v>
      </c>
      <c r="O405" s="174">
        <f>'[6]price list MAN'!AA405</f>
        <v>1070000</v>
      </c>
      <c r="P405" s="68">
        <f t="shared" si="31"/>
        <v>0.23843416370106763</v>
      </c>
      <c r="Q405" s="62" t="e">
        <f>O405-#REF!</f>
        <v>#REF!</v>
      </c>
      <c r="W405" s="210"/>
      <c r="X405" s="210"/>
      <c r="Y405" s="210"/>
      <c r="Z405" s="210"/>
      <c r="AA405" s="210"/>
      <c r="AB405" s="210"/>
      <c r="AC405" s="210"/>
      <c r="AT405" s="425" t="str">
        <f t="shared" si="32"/>
        <v>KP000489201707Q314,7</v>
      </c>
      <c r="AU405" s="64" t="str">
        <f t="shared" si="33"/>
        <v>07-2017</v>
      </c>
      <c r="BA405" s="428" t="str">
        <f t="shared" si="34"/>
        <v>WIP - 30 Days</v>
      </c>
    </row>
    <row r="406" spans="2:53">
      <c r="B406" s="36" t="str">
        <f>'[6]price list MAN'!B406</f>
        <v>N65-1216</v>
      </c>
      <c r="C406" s="10" t="str">
        <f>'[6]price list MAN'!C406</f>
        <v>TGM-25-2806X2BL-L</v>
      </c>
      <c r="D406" s="16" t="str">
        <f>IFERROR(VLOOKUP(C406&amp;"",'[7]Retail Price List'!$A$3:$B$103,2,FALSE),"Special Order")</f>
        <v>KP000489</v>
      </c>
      <c r="E406" s="494" t="str">
        <f>'[6]price list MAN'!E406</f>
        <v>CKD</v>
      </c>
      <c r="F406" s="11" t="str">
        <f>'[6]price list MAN'!F406</f>
        <v>2018-02-28</v>
      </c>
      <c r="G406" s="32">
        <f>'[6]price list MAN'!G406</f>
        <v>14.7</v>
      </c>
      <c r="H406" s="26">
        <f>'[6]price list MAN'!H406</f>
        <v>42947</v>
      </c>
      <c r="I406" s="51" t="str">
        <f t="shared" si="30"/>
        <v>201707Q3</v>
      </c>
      <c r="J406" s="177">
        <f>'[6]price list MAN'!J406</f>
        <v>1380000</v>
      </c>
      <c r="K406" s="177">
        <f>'[6]price list MAN'!P406</f>
        <v>1097250</v>
      </c>
      <c r="L406" s="177">
        <f>'[6]price list MAN'!R406</f>
        <v>1045000</v>
      </c>
      <c r="M406" s="174">
        <f>'[6]price list MAN'!S406</f>
        <v>1405000</v>
      </c>
      <c r="N406" s="174">
        <f>'[6]price list MAN'!Y406</f>
        <v>1123500</v>
      </c>
      <c r="O406" s="174">
        <f>'[6]price list MAN'!AA406</f>
        <v>1070000</v>
      </c>
      <c r="P406" s="68">
        <f t="shared" si="31"/>
        <v>0.23843416370106763</v>
      </c>
      <c r="Q406" s="62" t="e">
        <f>O406-#REF!</f>
        <v>#REF!</v>
      </c>
      <c r="W406" s="210"/>
      <c r="X406" s="210"/>
      <c r="Y406" s="210"/>
      <c r="Z406" s="210"/>
      <c r="AA406" s="210"/>
      <c r="AB406" s="210"/>
      <c r="AC406" s="210"/>
      <c r="AT406" s="425" t="str">
        <f t="shared" si="32"/>
        <v>KP000489201707Q314,7</v>
      </c>
      <c r="AU406" s="64" t="str">
        <f t="shared" si="33"/>
        <v>07-2017</v>
      </c>
      <c r="BA406" s="428" t="str">
        <f t="shared" si="34"/>
        <v>WIP - 30 Days</v>
      </c>
    </row>
    <row r="407" spans="2:53">
      <c r="B407" s="36" t="str">
        <f>'[6]price list MAN'!B407</f>
        <v>N65-1217</v>
      </c>
      <c r="C407" s="10" t="str">
        <f>'[6]price list MAN'!C407</f>
        <v>TGM-25-2806X2BL-L</v>
      </c>
      <c r="D407" s="16" t="str">
        <f>IFERROR(VLOOKUP(C407&amp;"",'[7]Retail Price List'!$A$3:$B$103,2,FALSE),"Special Order")</f>
        <v>KP000489</v>
      </c>
      <c r="E407" s="494" t="str">
        <f>'[6]price list MAN'!E407</f>
        <v>CKD</v>
      </c>
      <c r="F407" s="11" t="str">
        <f>'[6]price list MAN'!F407</f>
        <v>2018-02-28</v>
      </c>
      <c r="G407" s="32">
        <f>'[6]price list MAN'!G407</f>
        <v>14.7</v>
      </c>
      <c r="H407" s="26">
        <f>'[6]price list MAN'!H407</f>
        <v>42947</v>
      </c>
      <c r="I407" s="51" t="str">
        <f t="shared" si="30"/>
        <v>201707Q3</v>
      </c>
      <c r="J407" s="177">
        <f>'[6]price list MAN'!J407</f>
        <v>1380000</v>
      </c>
      <c r="K407" s="177">
        <f>'[6]price list MAN'!P407</f>
        <v>1097250</v>
      </c>
      <c r="L407" s="177">
        <f>'[6]price list MAN'!R407</f>
        <v>1045000</v>
      </c>
      <c r="M407" s="174">
        <f>'[6]price list MAN'!S407</f>
        <v>1405000</v>
      </c>
      <c r="N407" s="174">
        <f>'[6]price list MAN'!Y407</f>
        <v>1123500</v>
      </c>
      <c r="O407" s="174">
        <f>'[6]price list MAN'!AA407</f>
        <v>1070000</v>
      </c>
      <c r="P407" s="68">
        <f t="shared" si="31"/>
        <v>0.23843416370106763</v>
      </c>
      <c r="Q407" s="62" t="e">
        <f>O407-#REF!</f>
        <v>#REF!</v>
      </c>
      <c r="W407" s="210"/>
      <c r="X407" s="210"/>
      <c r="Y407" s="210"/>
      <c r="Z407" s="210"/>
      <c r="AA407" s="210"/>
      <c r="AB407" s="210"/>
      <c r="AC407" s="210"/>
      <c r="AT407" s="425" t="str">
        <f t="shared" si="32"/>
        <v>KP000489201707Q314,7</v>
      </c>
      <c r="AU407" s="64" t="str">
        <f t="shared" si="33"/>
        <v>07-2017</v>
      </c>
      <c r="BA407" s="428" t="str">
        <f t="shared" si="34"/>
        <v>WIP - 30 Days</v>
      </c>
    </row>
    <row r="408" spans="2:53">
      <c r="B408" s="36" t="str">
        <f>'[6]price list MAN'!B408</f>
        <v>N65-1218</v>
      </c>
      <c r="C408" s="10" t="str">
        <f>'[6]price list MAN'!C408</f>
        <v>TGM-25-2806X2BL-L</v>
      </c>
      <c r="D408" s="16" t="str">
        <f>IFERROR(VLOOKUP(C408&amp;"",'[7]Retail Price List'!$A$3:$B$103,2,FALSE),"Special Order")</f>
        <v>KP000489</v>
      </c>
      <c r="E408" s="494" t="str">
        <f>'[6]price list MAN'!E408</f>
        <v>CKD</v>
      </c>
      <c r="F408" s="11" t="str">
        <f>'[6]price list MAN'!F408</f>
        <v>2018-02-28</v>
      </c>
      <c r="G408" s="32">
        <f>'[6]price list MAN'!G408</f>
        <v>14.7</v>
      </c>
      <c r="H408" s="26">
        <f>'[6]price list MAN'!H408</f>
        <v>42947</v>
      </c>
      <c r="I408" s="51" t="str">
        <f t="shared" si="30"/>
        <v>201707Q3</v>
      </c>
      <c r="J408" s="177">
        <f>'[6]price list MAN'!J408</f>
        <v>1380000</v>
      </c>
      <c r="K408" s="177">
        <f>'[6]price list MAN'!P408</f>
        <v>1097250</v>
      </c>
      <c r="L408" s="177">
        <f>'[6]price list MAN'!R408</f>
        <v>1045000</v>
      </c>
      <c r="M408" s="174">
        <f>'[6]price list MAN'!S408</f>
        <v>1405000</v>
      </c>
      <c r="N408" s="174">
        <f>'[6]price list MAN'!Y408</f>
        <v>1123500</v>
      </c>
      <c r="O408" s="174">
        <f>'[6]price list MAN'!AA408</f>
        <v>1070000</v>
      </c>
      <c r="P408" s="68">
        <f t="shared" si="31"/>
        <v>0.23843416370106763</v>
      </c>
      <c r="Q408" s="62" t="e">
        <f>O408-#REF!</f>
        <v>#REF!</v>
      </c>
      <c r="W408" s="210"/>
      <c r="X408" s="210"/>
      <c r="Y408" s="210"/>
      <c r="Z408" s="210"/>
      <c r="AA408" s="210"/>
      <c r="AB408" s="210"/>
      <c r="AC408" s="210"/>
      <c r="AT408" s="425" t="str">
        <f t="shared" si="32"/>
        <v>KP000489201707Q314,7</v>
      </c>
      <c r="AU408" s="64" t="str">
        <f t="shared" si="33"/>
        <v>07-2017</v>
      </c>
      <c r="BA408" s="428" t="str">
        <f t="shared" si="34"/>
        <v>WIP - 30 Days</v>
      </c>
    </row>
    <row r="409" spans="2:53">
      <c r="B409" s="36" t="str">
        <f>'[6]price list MAN'!B409</f>
        <v>N65-1222</v>
      </c>
      <c r="C409" s="10" t="str">
        <f>'[6]price list MAN'!C409</f>
        <v>TGM-25-2806X2BL-L</v>
      </c>
      <c r="D409" s="16" t="str">
        <f>IFERROR(VLOOKUP(C409&amp;"",'[7]Retail Price List'!$A$3:$B$103,2,FALSE),"Special Order")</f>
        <v>KP000489</v>
      </c>
      <c r="E409" s="494" t="str">
        <f>'[6]price list MAN'!E409</f>
        <v>CKD</v>
      </c>
      <c r="F409" s="11" t="str">
        <f>'[6]price list MAN'!F409</f>
        <v>2018-02-27</v>
      </c>
      <c r="G409" s="32">
        <f>'[6]price list MAN'!G409</f>
        <v>14.7</v>
      </c>
      <c r="H409" s="26">
        <f>'[6]price list MAN'!H409</f>
        <v>42947</v>
      </c>
      <c r="I409" s="51" t="str">
        <f t="shared" si="30"/>
        <v>201707Q3</v>
      </c>
      <c r="J409" s="177">
        <f>'[6]price list MAN'!J409</f>
        <v>1380000</v>
      </c>
      <c r="K409" s="177">
        <f>'[6]price list MAN'!P409</f>
        <v>1097250</v>
      </c>
      <c r="L409" s="177">
        <f>'[6]price list MAN'!R409</f>
        <v>1045000</v>
      </c>
      <c r="M409" s="174">
        <f>'[6]price list MAN'!S409</f>
        <v>1405000</v>
      </c>
      <c r="N409" s="174">
        <f>'[6]price list MAN'!Y409</f>
        <v>1123500</v>
      </c>
      <c r="O409" s="174">
        <f>'[6]price list MAN'!AA409</f>
        <v>1070000</v>
      </c>
      <c r="P409" s="68">
        <f t="shared" si="31"/>
        <v>0.23843416370106763</v>
      </c>
      <c r="Q409" s="62" t="e">
        <f>O409-#REF!</f>
        <v>#REF!</v>
      </c>
      <c r="W409" s="210"/>
      <c r="X409" s="210"/>
      <c r="Y409" s="210"/>
      <c r="Z409" s="210"/>
      <c r="AA409" s="210"/>
      <c r="AB409" s="210"/>
      <c r="AC409" s="210"/>
      <c r="AT409" s="425" t="str">
        <f t="shared" si="32"/>
        <v>KP000489201707Q314,7</v>
      </c>
      <c r="AU409" s="64" t="str">
        <f t="shared" si="33"/>
        <v>07-2017</v>
      </c>
      <c r="BA409" s="428" t="str">
        <f t="shared" si="34"/>
        <v>WIP - 30 Days</v>
      </c>
    </row>
    <row r="410" spans="2:53">
      <c r="B410" s="36" t="str">
        <f>'[6]price list MAN'!B410</f>
        <v>N65-1225</v>
      </c>
      <c r="C410" s="10" t="str">
        <f>'[6]price list MAN'!C410</f>
        <v>TGM-25-2806X2BL-L</v>
      </c>
      <c r="D410" s="16" t="str">
        <f>IFERROR(VLOOKUP(C410&amp;"",'[7]Retail Price List'!$A$3:$B$103,2,FALSE),"Special Order")</f>
        <v>KP000489</v>
      </c>
      <c r="E410" s="494" t="str">
        <f>'[6]price list MAN'!E410</f>
        <v>CKD</v>
      </c>
      <c r="F410" s="11" t="str">
        <f>'[6]price list MAN'!F410</f>
        <v>2018-02-27</v>
      </c>
      <c r="G410" s="32">
        <f>'[6]price list MAN'!G410</f>
        <v>15.3</v>
      </c>
      <c r="H410" s="26">
        <f>'[6]price list MAN'!H410</f>
        <v>42978</v>
      </c>
      <c r="I410" s="51" t="str">
        <f t="shared" si="30"/>
        <v>2017Q3</v>
      </c>
      <c r="J410" s="177">
        <f>'[6]price list MAN'!J410</f>
        <v>1380000</v>
      </c>
      <c r="K410" s="177">
        <f>'[6]price list MAN'!P410</f>
        <v>1097250</v>
      </c>
      <c r="L410" s="177">
        <f>'[6]price list MAN'!R410</f>
        <v>1045000</v>
      </c>
      <c r="M410" s="174">
        <f>'[6]price list MAN'!S410</f>
        <v>1405000</v>
      </c>
      <c r="N410" s="174">
        <f>'[6]price list MAN'!Y410</f>
        <v>1123500</v>
      </c>
      <c r="O410" s="174">
        <f>'[6]price list MAN'!AA410</f>
        <v>1070000</v>
      </c>
      <c r="P410" s="68">
        <f t="shared" si="31"/>
        <v>0.23843416370106763</v>
      </c>
      <c r="Q410" s="62" t="e">
        <f>O410-#REF!</f>
        <v>#REF!</v>
      </c>
      <c r="W410" s="210"/>
      <c r="X410" s="210"/>
      <c r="Y410" s="210"/>
      <c r="Z410" s="210"/>
      <c r="AA410" s="210"/>
      <c r="AB410" s="210"/>
      <c r="AC410" s="210"/>
      <c r="AT410" s="425" t="str">
        <f t="shared" si="32"/>
        <v>KP0004892017Q315,3</v>
      </c>
      <c r="AU410" s="64" t="str">
        <f t="shared" si="33"/>
        <v>08-2017</v>
      </c>
      <c r="BA410" s="428" t="str">
        <f t="shared" si="34"/>
        <v>WIP - 30 Days</v>
      </c>
    </row>
    <row r="411" spans="2:53">
      <c r="B411" s="36" t="str">
        <f>'[6]price list MAN'!B411</f>
        <v>N65-1226</v>
      </c>
      <c r="C411" s="10" t="str">
        <f>'[6]price list MAN'!C411</f>
        <v>TGM-25-2806X2BL-L</v>
      </c>
      <c r="D411" s="16" t="str">
        <f>IFERROR(VLOOKUP(C411&amp;"",'[7]Retail Price List'!$A$3:$B$103,2,FALSE),"Special Order")</f>
        <v>KP000489</v>
      </c>
      <c r="E411" s="494" t="str">
        <f>'[6]price list MAN'!E411</f>
        <v>CKD</v>
      </c>
      <c r="F411" s="11" t="str">
        <f>'[6]price list MAN'!F411</f>
        <v>2018-02-28</v>
      </c>
      <c r="G411" s="32">
        <f>'[6]price list MAN'!G411</f>
        <v>15.3</v>
      </c>
      <c r="H411" s="26">
        <f>'[6]price list MAN'!H411</f>
        <v>42978</v>
      </c>
      <c r="I411" s="51" t="str">
        <f t="shared" si="30"/>
        <v>2017Q3</v>
      </c>
      <c r="J411" s="177">
        <f>'[6]price list MAN'!J411</f>
        <v>1380000</v>
      </c>
      <c r="K411" s="177">
        <f>'[6]price list MAN'!P411</f>
        <v>1097250</v>
      </c>
      <c r="L411" s="177">
        <f>'[6]price list MAN'!R411</f>
        <v>1045000</v>
      </c>
      <c r="M411" s="174">
        <f>'[6]price list MAN'!S411</f>
        <v>1405000</v>
      </c>
      <c r="N411" s="174">
        <f>'[6]price list MAN'!Y411</f>
        <v>1123500</v>
      </c>
      <c r="O411" s="174">
        <f>'[6]price list MAN'!AA411</f>
        <v>1070000</v>
      </c>
      <c r="P411" s="68">
        <f t="shared" si="31"/>
        <v>0.23843416370106763</v>
      </c>
      <c r="Q411" s="62" t="e">
        <f>O411-#REF!</f>
        <v>#REF!</v>
      </c>
      <c r="W411" s="210"/>
      <c r="X411" s="210"/>
      <c r="Y411" s="210"/>
      <c r="Z411" s="210"/>
      <c r="AA411" s="210"/>
      <c r="AB411" s="210"/>
      <c r="AC411" s="210"/>
      <c r="AT411" s="425" t="str">
        <f t="shared" si="32"/>
        <v>KP0004892017Q315,3</v>
      </c>
      <c r="AU411" s="64" t="str">
        <f t="shared" si="33"/>
        <v>08-2017</v>
      </c>
      <c r="BA411" s="428" t="str">
        <f t="shared" si="34"/>
        <v>WIP - 30 Days</v>
      </c>
    </row>
    <row r="412" spans="2:53">
      <c r="B412" s="36" t="str">
        <f>'[6]price list MAN'!B412</f>
        <v>N65-1227</v>
      </c>
      <c r="C412" s="10" t="str">
        <f>'[6]price list MAN'!C412</f>
        <v>TGM-25-2806X2BL-L</v>
      </c>
      <c r="D412" s="16" t="str">
        <f>IFERROR(VLOOKUP(C412&amp;"",'[7]Retail Price List'!$A$3:$B$103,2,FALSE),"Special Order")</f>
        <v>KP000489</v>
      </c>
      <c r="E412" s="494" t="str">
        <f>'[6]price list MAN'!E412</f>
        <v>CKD</v>
      </c>
      <c r="F412" s="11" t="str">
        <f>'[6]price list MAN'!F412</f>
        <v>2018-02-26</v>
      </c>
      <c r="G412" s="32">
        <f>'[6]price list MAN'!G412</f>
        <v>15.3</v>
      </c>
      <c r="H412" s="26">
        <f>'[6]price list MAN'!H412</f>
        <v>42978</v>
      </c>
      <c r="I412" s="51" t="str">
        <f t="shared" si="30"/>
        <v>2017Q3</v>
      </c>
      <c r="J412" s="177">
        <f>'[6]price list MAN'!J412</f>
        <v>1380000</v>
      </c>
      <c r="K412" s="177">
        <f>'[6]price list MAN'!P412</f>
        <v>1097250</v>
      </c>
      <c r="L412" s="177">
        <f>'[6]price list MAN'!R412</f>
        <v>1045000</v>
      </c>
      <c r="M412" s="174">
        <f>'[6]price list MAN'!S412</f>
        <v>1405000</v>
      </c>
      <c r="N412" s="174">
        <f>'[6]price list MAN'!Y412</f>
        <v>1123500</v>
      </c>
      <c r="O412" s="174">
        <f>'[6]price list MAN'!AA412</f>
        <v>1070000</v>
      </c>
      <c r="P412" s="68">
        <f t="shared" si="31"/>
        <v>0.23843416370106763</v>
      </c>
      <c r="Q412" s="62" t="e">
        <f>O412-#REF!</f>
        <v>#REF!</v>
      </c>
      <c r="W412" s="210"/>
      <c r="X412" s="210"/>
      <c r="Y412" s="210"/>
      <c r="Z412" s="210"/>
      <c r="AA412" s="210"/>
      <c r="AB412" s="210"/>
      <c r="AC412" s="210"/>
      <c r="AT412" s="425" t="str">
        <f t="shared" si="32"/>
        <v>KP0004892017Q315,3</v>
      </c>
      <c r="AU412" s="64" t="str">
        <f t="shared" si="33"/>
        <v>08-2017</v>
      </c>
      <c r="BA412" s="428" t="str">
        <f t="shared" si="34"/>
        <v>WIP - 30 Days</v>
      </c>
    </row>
    <row r="413" spans="2:53">
      <c r="B413" s="36" t="str">
        <f>'[6]price list MAN'!B413</f>
        <v>N65-1252</v>
      </c>
      <c r="C413" s="10" t="str">
        <f>'[6]price list MAN'!C413</f>
        <v>TGM-25-2806X2BL-L</v>
      </c>
      <c r="D413" s="16" t="str">
        <f>IFERROR(VLOOKUP(C413&amp;"",'[7]Retail Price List'!$A$3:$B$103,2,FALSE),"Special Order")</f>
        <v>KP000489</v>
      </c>
      <c r="E413" s="494" t="str">
        <f>'[6]price list MAN'!E413</f>
        <v>CKD</v>
      </c>
      <c r="F413" s="11" t="str">
        <f>'[6]price list MAN'!F413</f>
        <v>2018-02-28</v>
      </c>
      <c r="G413" s="32">
        <f>'[6]price list MAN'!G413</f>
        <v>14.7</v>
      </c>
      <c r="H413" s="26">
        <f>'[6]price list MAN'!H413</f>
        <v>42947</v>
      </c>
      <c r="I413" s="51" t="str">
        <f t="shared" si="30"/>
        <v>201707Q3</v>
      </c>
      <c r="J413" s="177">
        <f>'[6]price list MAN'!J413</f>
        <v>1380000</v>
      </c>
      <c r="K413" s="177">
        <f>'[6]price list MAN'!P413</f>
        <v>1048950</v>
      </c>
      <c r="L413" s="177">
        <f>'[6]price list MAN'!R413</f>
        <v>999000</v>
      </c>
      <c r="M413" s="174">
        <f>'[6]price list MAN'!S413</f>
        <v>1405000</v>
      </c>
      <c r="N413" s="174">
        <f>'[6]price list MAN'!Y413</f>
        <v>1075200</v>
      </c>
      <c r="O413" s="174">
        <f>'[6]price list MAN'!AA413</f>
        <v>1024000</v>
      </c>
      <c r="P413" s="68">
        <f t="shared" si="31"/>
        <v>0.27117437722419929</v>
      </c>
      <c r="Q413" s="62" t="e">
        <f>O413-#REF!</f>
        <v>#REF!</v>
      </c>
      <c r="W413" s="210"/>
      <c r="X413" s="210"/>
      <c r="Y413" s="210"/>
      <c r="Z413" s="210"/>
      <c r="AA413" s="210"/>
      <c r="AB413" s="210"/>
      <c r="AC413" s="210"/>
      <c r="AT413" s="425" t="str">
        <f t="shared" si="32"/>
        <v>KP000489201707Q314,7</v>
      </c>
      <c r="AU413" s="64" t="str">
        <f t="shared" si="33"/>
        <v>07-2017</v>
      </c>
      <c r="BA413" s="428" t="str">
        <f t="shared" si="34"/>
        <v>WIP - 30 Days</v>
      </c>
    </row>
    <row r="414" spans="2:53">
      <c r="B414" s="36" t="str">
        <f>'[6]price list MAN'!B414</f>
        <v>N65-1253</v>
      </c>
      <c r="C414" s="10" t="str">
        <f>'[6]price list MAN'!C414</f>
        <v>TGM-25-2806X2BL-L</v>
      </c>
      <c r="D414" s="16" t="str">
        <f>IFERROR(VLOOKUP(C414&amp;"",'[7]Retail Price List'!$A$3:$B$103,2,FALSE),"Special Order")</f>
        <v>KP000489</v>
      </c>
      <c r="E414" s="494" t="str">
        <f>'[6]price list MAN'!E414</f>
        <v>CKD</v>
      </c>
      <c r="F414" s="11" t="str">
        <f>'[6]price list MAN'!F414</f>
        <v>2018-02-28</v>
      </c>
      <c r="G414" s="32">
        <f>'[6]price list MAN'!G414</f>
        <v>14.7</v>
      </c>
      <c r="H414" s="26">
        <f>'[6]price list MAN'!H414</f>
        <v>42947</v>
      </c>
      <c r="I414" s="51" t="str">
        <f t="shared" si="30"/>
        <v>201707Q3</v>
      </c>
      <c r="J414" s="177">
        <f>'[6]price list MAN'!J414</f>
        <v>1380000</v>
      </c>
      <c r="K414" s="177">
        <f>'[6]price list MAN'!P414</f>
        <v>1048950</v>
      </c>
      <c r="L414" s="177">
        <f>'[6]price list MAN'!R414</f>
        <v>999000</v>
      </c>
      <c r="M414" s="174">
        <f>'[6]price list MAN'!S414</f>
        <v>1405000</v>
      </c>
      <c r="N414" s="174">
        <f>'[6]price list MAN'!Y414</f>
        <v>1075200</v>
      </c>
      <c r="O414" s="174">
        <f>'[6]price list MAN'!AA414</f>
        <v>1024000</v>
      </c>
      <c r="P414" s="68">
        <f t="shared" si="31"/>
        <v>0.27117437722419929</v>
      </c>
      <c r="Q414" s="62" t="e">
        <f>O414-#REF!</f>
        <v>#REF!</v>
      </c>
      <c r="W414" s="210"/>
      <c r="X414" s="210"/>
      <c r="Y414" s="210"/>
      <c r="Z414" s="210"/>
      <c r="AA414" s="210"/>
      <c r="AB414" s="210"/>
      <c r="AC414" s="210"/>
      <c r="AT414" s="425" t="str">
        <f t="shared" si="32"/>
        <v>KP000489201707Q314,7</v>
      </c>
      <c r="AU414" s="64" t="str">
        <f t="shared" si="33"/>
        <v>07-2017</v>
      </c>
      <c r="BA414" s="428" t="str">
        <f t="shared" si="34"/>
        <v>WIP - 30 Days</v>
      </c>
    </row>
    <row r="415" spans="2:53">
      <c r="B415" s="36" t="str">
        <f>'[6]price list MAN'!B415</f>
        <v>N65-1254</v>
      </c>
      <c r="C415" s="10" t="str">
        <f>'[6]price list MAN'!C415</f>
        <v>TGM-25-2806X2BL-L</v>
      </c>
      <c r="D415" s="16" t="str">
        <f>IFERROR(VLOOKUP(C415&amp;"",'[7]Retail Price List'!$A$3:$B$103,2,FALSE),"Special Order")</f>
        <v>KP000489</v>
      </c>
      <c r="E415" s="494" t="str">
        <f>'[6]price list MAN'!E415</f>
        <v>CKD</v>
      </c>
      <c r="F415" s="11" t="str">
        <f>'[6]price list MAN'!F415</f>
        <v>2018-02-28</v>
      </c>
      <c r="G415" s="32">
        <f>'[6]price list MAN'!G415</f>
        <v>14.7</v>
      </c>
      <c r="H415" s="26">
        <f>'[6]price list MAN'!H415</f>
        <v>42947</v>
      </c>
      <c r="I415" s="51" t="str">
        <f t="shared" si="30"/>
        <v>201707Q3</v>
      </c>
      <c r="J415" s="177">
        <f>'[6]price list MAN'!J415</f>
        <v>1380000</v>
      </c>
      <c r="K415" s="177">
        <f>'[6]price list MAN'!P415</f>
        <v>1048950</v>
      </c>
      <c r="L415" s="177">
        <f>'[6]price list MAN'!R415</f>
        <v>999000</v>
      </c>
      <c r="M415" s="174">
        <f>'[6]price list MAN'!S415</f>
        <v>1405000</v>
      </c>
      <c r="N415" s="174">
        <f>'[6]price list MAN'!Y415</f>
        <v>1075200</v>
      </c>
      <c r="O415" s="174">
        <f>'[6]price list MAN'!AA415</f>
        <v>1024000</v>
      </c>
      <c r="P415" s="68">
        <f t="shared" si="31"/>
        <v>0.27117437722419929</v>
      </c>
      <c r="Q415" s="62" t="e">
        <f>O415-#REF!</f>
        <v>#REF!</v>
      </c>
      <c r="W415" s="210"/>
      <c r="X415" s="210"/>
      <c r="Y415" s="210"/>
      <c r="Z415" s="210"/>
      <c r="AA415" s="210"/>
      <c r="AB415" s="210"/>
      <c r="AC415" s="210"/>
      <c r="AT415" s="425" t="str">
        <f t="shared" si="32"/>
        <v>KP000489201707Q314,7</v>
      </c>
      <c r="AU415" s="64" t="str">
        <f t="shared" si="33"/>
        <v>07-2017</v>
      </c>
      <c r="BA415" s="428" t="str">
        <f t="shared" si="34"/>
        <v>WIP - 30 Days</v>
      </c>
    </row>
    <row r="416" spans="2:53">
      <c r="B416" s="36" t="str">
        <f>'[6]price list MAN'!B416</f>
        <v>N65-1263</v>
      </c>
      <c r="C416" s="10" t="str">
        <f>'[6]price list MAN'!C416</f>
        <v>TGM-25-2806X2BL-L</v>
      </c>
      <c r="D416" s="16" t="str">
        <f>IFERROR(VLOOKUP(C416&amp;"",'[7]Retail Price List'!$A$3:$B$103,2,FALSE),"Special Order")</f>
        <v>KP000489</v>
      </c>
      <c r="E416" s="494" t="str">
        <f>'[6]price list MAN'!E416</f>
        <v>CKD</v>
      </c>
      <c r="F416" s="11" t="str">
        <f>'[6]price list MAN'!F416</f>
        <v>2018-02-26</v>
      </c>
      <c r="G416" s="32">
        <f>'[6]price list MAN'!G416</f>
        <v>15.3</v>
      </c>
      <c r="H416" s="26">
        <f>'[6]price list MAN'!H416</f>
        <v>42978</v>
      </c>
      <c r="I416" s="51" t="str">
        <f t="shared" si="30"/>
        <v>2017Q3</v>
      </c>
      <c r="J416" s="177">
        <f>'[6]price list MAN'!J416</f>
        <v>1380000</v>
      </c>
      <c r="K416" s="177">
        <f>'[6]price list MAN'!P416</f>
        <v>1097250</v>
      </c>
      <c r="L416" s="177">
        <f>'[6]price list MAN'!R416</f>
        <v>1045000</v>
      </c>
      <c r="M416" s="174">
        <f>'[6]price list MAN'!S416</f>
        <v>1405000</v>
      </c>
      <c r="N416" s="174">
        <f>'[6]price list MAN'!Y416</f>
        <v>1123500</v>
      </c>
      <c r="O416" s="174">
        <f>'[6]price list MAN'!AA416</f>
        <v>1070000</v>
      </c>
      <c r="P416" s="68">
        <f t="shared" si="31"/>
        <v>0.23843416370106763</v>
      </c>
      <c r="Q416" s="62" t="e">
        <f>O416-#REF!</f>
        <v>#REF!</v>
      </c>
      <c r="W416" s="210"/>
      <c r="X416" s="210"/>
      <c r="Y416" s="210"/>
      <c r="Z416" s="210"/>
      <c r="AA416" s="210"/>
      <c r="AB416" s="210"/>
      <c r="AC416" s="210"/>
      <c r="AT416" s="425" t="str">
        <f t="shared" si="32"/>
        <v>KP0004892017Q315,3</v>
      </c>
      <c r="AU416" s="64" t="str">
        <f t="shared" si="33"/>
        <v>08-2017</v>
      </c>
      <c r="BA416" s="428" t="str">
        <f t="shared" si="34"/>
        <v>WIP - 30 Days</v>
      </c>
    </row>
    <row r="417" spans="1:245">
      <c r="B417" s="36" t="str">
        <f>'[6]price list MAN'!B417</f>
        <v>N65-1264</v>
      </c>
      <c r="C417" s="10" t="str">
        <f>'[6]price list MAN'!C417</f>
        <v>TGM-25-2806X2BL-L</v>
      </c>
      <c r="D417" s="16" t="str">
        <f>IFERROR(VLOOKUP(C417&amp;"",'[7]Retail Price List'!$A$3:$B$103,2,FALSE),"Special Order")</f>
        <v>KP000489</v>
      </c>
      <c r="E417" s="494" t="str">
        <f>'[6]price list MAN'!E417</f>
        <v>CKD</v>
      </c>
      <c r="F417" s="11" t="str">
        <f>'[6]price list MAN'!F417</f>
        <v>2018-02-26</v>
      </c>
      <c r="G417" s="32">
        <f>'[6]price list MAN'!G417</f>
        <v>15.3</v>
      </c>
      <c r="H417" s="26">
        <f>'[6]price list MAN'!H417</f>
        <v>42978</v>
      </c>
      <c r="I417" s="51" t="str">
        <f t="shared" si="30"/>
        <v>2017Q3</v>
      </c>
      <c r="J417" s="177">
        <f>'[6]price list MAN'!J417</f>
        <v>1380000</v>
      </c>
      <c r="K417" s="177">
        <f>'[6]price list MAN'!P417</f>
        <v>1097250</v>
      </c>
      <c r="L417" s="177">
        <f>'[6]price list MAN'!R417</f>
        <v>1045000</v>
      </c>
      <c r="M417" s="174">
        <f>'[6]price list MAN'!S417</f>
        <v>1405000</v>
      </c>
      <c r="N417" s="174">
        <f>'[6]price list MAN'!Y417</f>
        <v>1123500</v>
      </c>
      <c r="O417" s="174">
        <f>'[6]price list MAN'!AA417</f>
        <v>1070000</v>
      </c>
      <c r="P417" s="68">
        <f t="shared" si="31"/>
        <v>0.23843416370106763</v>
      </c>
      <c r="Q417" s="62" t="e">
        <f>O417-#REF!</f>
        <v>#REF!</v>
      </c>
      <c r="W417" s="210"/>
      <c r="X417" s="210"/>
      <c r="Y417" s="210"/>
      <c r="Z417" s="210"/>
      <c r="AA417" s="210"/>
      <c r="AB417" s="210"/>
      <c r="AC417" s="210"/>
      <c r="AT417" s="425" t="str">
        <f t="shared" si="32"/>
        <v>KP0004892017Q315,3</v>
      </c>
      <c r="AU417" s="64" t="str">
        <f t="shared" si="33"/>
        <v>08-2017</v>
      </c>
      <c r="BA417" s="428" t="str">
        <f t="shared" si="34"/>
        <v>WIP - 30 Days</v>
      </c>
    </row>
    <row r="418" spans="1:245">
      <c r="B418" s="36" t="str">
        <f>'[6]price list MAN'!B418</f>
        <v>N65-1265</v>
      </c>
      <c r="C418" s="10" t="str">
        <f>'[6]price list MAN'!C418</f>
        <v>TGM-25-2806X2BL-L</v>
      </c>
      <c r="D418" s="16" t="str">
        <f>IFERROR(VLOOKUP(C418&amp;"",'[7]Retail Price List'!$A$3:$B$103,2,FALSE),"Special Order")</f>
        <v>KP000489</v>
      </c>
      <c r="E418" s="494" t="str">
        <f>'[6]price list MAN'!E418</f>
        <v>CKD</v>
      </c>
      <c r="F418" s="11" t="str">
        <f>'[6]price list MAN'!F418</f>
        <v>2018-02-27</v>
      </c>
      <c r="G418" s="32">
        <f>'[6]price list MAN'!G418</f>
        <v>15.3</v>
      </c>
      <c r="H418" s="26">
        <f>'[6]price list MAN'!H418</f>
        <v>42978</v>
      </c>
      <c r="I418" s="51" t="str">
        <f t="shared" si="30"/>
        <v>2017Q3</v>
      </c>
      <c r="J418" s="177">
        <f>'[6]price list MAN'!J418</f>
        <v>1380000</v>
      </c>
      <c r="K418" s="177">
        <f>'[6]price list MAN'!P418</f>
        <v>1097250</v>
      </c>
      <c r="L418" s="177">
        <f>'[6]price list MAN'!R418</f>
        <v>1045000</v>
      </c>
      <c r="M418" s="174">
        <f>'[6]price list MAN'!S418</f>
        <v>1405000</v>
      </c>
      <c r="N418" s="174">
        <f>'[6]price list MAN'!Y418</f>
        <v>1123500</v>
      </c>
      <c r="O418" s="174">
        <f>'[6]price list MAN'!AA418</f>
        <v>1070000</v>
      </c>
      <c r="P418" s="68">
        <f t="shared" si="31"/>
        <v>0.23843416370106763</v>
      </c>
      <c r="Q418" s="62" t="e">
        <f>O418-#REF!</f>
        <v>#REF!</v>
      </c>
      <c r="W418" s="210"/>
      <c r="X418" s="210"/>
      <c r="Y418" s="210"/>
      <c r="Z418" s="210"/>
      <c r="AA418" s="210"/>
      <c r="AB418" s="210"/>
      <c r="AC418" s="210"/>
      <c r="AT418" s="425" t="str">
        <f t="shared" si="32"/>
        <v>KP0004892017Q315,3</v>
      </c>
      <c r="AU418" s="64" t="str">
        <f t="shared" si="33"/>
        <v>08-2017</v>
      </c>
      <c r="BA418" s="428" t="str">
        <f t="shared" si="34"/>
        <v>WIP - 30 Days</v>
      </c>
    </row>
    <row r="419" spans="1:245" s="4" customFormat="1">
      <c r="A419" s="41"/>
      <c r="B419" s="36" t="str">
        <f>'[6]price list MAN'!B419</f>
        <v>N65-1266</v>
      </c>
      <c r="C419" s="10" t="str">
        <f>'[6]price list MAN'!C419</f>
        <v>TGM-25-2806X2BL-L</v>
      </c>
      <c r="D419" s="16" t="str">
        <f>IFERROR(VLOOKUP(C419&amp;"",'[7]Retail Price List'!$A$3:$B$103,2,FALSE),"Special Order")</f>
        <v>KP000489</v>
      </c>
      <c r="E419" s="494" t="str">
        <f>'[6]price list MAN'!E419</f>
        <v>CKD</v>
      </c>
      <c r="F419" s="11" t="str">
        <f>'[6]price list MAN'!F419</f>
        <v>2018-02-28</v>
      </c>
      <c r="G419" s="32">
        <f>'[6]price list MAN'!G419</f>
        <v>15.3</v>
      </c>
      <c r="H419" s="26">
        <f>'[6]price list MAN'!H419</f>
        <v>42978</v>
      </c>
      <c r="I419" s="51" t="str">
        <f t="shared" si="30"/>
        <v>2017Q3</v>
      </c>
      <c r="J419" s="177">
        <f>'[6]price list MAN'!J419</f>
        <v>1380000</v>
      </c>
      <c r="K419" s="177">
        <f>'[6]price list MAN'!P419</f>
        <v>1097250</v>
      </c>
      <c r="L419" s="177">
        <f>'[6]price list MAN'!R419</f>
        <v>1045000</v>
      </c>
      <c r="M419" s="174">
        <f>'[6]price list MAN'!S419</f>
        <v>1405000</v>
      </c>
      <c r="N419" s="174">
        <f>'[6]price list MAN'!Y419</f>
        <v>1123500</v>
      </c>
      <c r="O419" s="174">
        <f>'[6]price list MAN'!AA419</f>
        <v>1070000</v>
      </c>
      <c r="P419" s="68">
        <f t="shared" si="31"/>
        <v>0.23843416370106763</v>
      </c>
      <c r="Q419" s="62" t="e">
        <f>O419-#REF!</f>
        <v>#REF!</v>
      </c>
      <c r="R419" s="63" t="e">
        <f>SUM(Q388:Q418)/SUM(O388:O418)</f>
        <v>#REF!</v>
      </c>
      <c r="S419" s="64"/>
      <c r="T419" s="64"/>
      <c r="U419" s="64"/>
      <c r="V419" s="64"/>
      <c r="W419" s="210"/>
      <c r="X419" s="210"/>
      <c r="Y419" s="210"/>
      <c r="Z419" s="210"/>
      <c r="AA419" s="210"/>
      <c r="AB419" s="210"/>
      <c r="AC419" s="210"/>
      <c r="AD419" s="54"/>
      <c r="AE419" s="54"/>
      <c r="AF419" s="54"/>
      <c r="AG419" s="5"/>
      <c r="AH419" s="5"/>
      <c r="AI419" s="5"/>
      <c r="AJ419" s="5"/>
      <c r="AK419" s="5"/>
      <c r="AL419" s="5"/>
      <c r="AM419" s="5"/>
      <c r="AN419" s="5"/>
      <c r="AO419" s="5"/>
      <c r="AP419" s="5"/>
      <c r="AQ419" s="5"/>
      <c r="AR419" s="5"/>
      <c r="AS419" s="5"/>
      <c r="AT419" s="425" t="str">
        <f t="shared" si="32"/>
        <v>KP0004892017Q315,3</v>
      </c>
      <c r="AU419" s="64" t="str">
        <f t="shared" si="33"/>
        <v>08-2017</v>
      </c>
      <c r="AV419" s="64"/>
      <c r="AW419" s="64"/>
      <c r="AX419" s="64"/>
      <c r="AY419" s="64"/>
      <c r="AZ419" s="64"/>
      <c r="BA419" s="428" t="str">
        <f t="shared" si="34"/>
        <v>WIP - 30 Days</v>
      </c>
      <c r="BB419" s="169"/>
      <c r="BC419" s="169"/>
      <c r="BD419" s="169"/>
      <c r="BE419" s="41"/>
      <c r="BF419" s="41"/>
      <c r="BG419" s="41"/>
      <c r="BH419" s="41"/>
      <c r="BI419" s="41"/>
      <c r="BJ419" s="41"/>
      <c r="BK419" s="41"/>
      <c r="BL419" s="41"/>
      <c r="BM419" s="41"/>
      <c r="BN419" s="41"/>
      <c r="BO419" s="41"/>
      <c r="BP419" s="41"/>
      <c r="BQ419" s="41"/>
      <c r="BR419" s="41"/>
      <c r="BS419" s="41"/>
      <c r="BT419" s="41"/>
      <c r="BU419" s="41"/>
      <c r="BV419" s="41"/>
      <c r="BW419" s="41"/>
      <c r="BX419" s="41"/>
      <c r="BY419" s="41"/>
      <c r="BZ419" s="41"/>
      <c r="CA419" s="41"/>
      <c r="CB419" s="41"/>
      <c r="CC419" s="41"/>
      <c r="CD419" s="41"/>
      <c r="CE419" s="41"/>
      <c r="CF419" s="41"/>
      <c r="CG419" s="41"/>
      <c r="CH419" s="41"/>
      <c r="CI419" s="41"/>
      <c r="CJ419" s="41"/>
      <c r="CK419" s="41"/>
      <c r="CL419" s="41"/>
      <c r="CM419" s="41"/>
      <c r="CN419" s="41"/>
      <c r="CO419" s="41"/>
      <c r="CP419" s="41"/>
      <c r="CQ419" s="41"/>
      <c r="CR419" s="41"/>
      <c r="CS419" s="41"/>
      <c r="CT419" s="41"/>
      <c r="CU419" s="41"/>
      <c r="CV419" s="41"/>
      <c r="CW419" s="41"/>
      <c r="CX419" s="41"/>
      <c r="CY419" s="41"/>
      <c r="CZ419" s="41"/>
      <c r="DA419" s="41"/>
      <c r="DB419" s="41"/>
      <c r="DC419" s="41"/>
      <c r="DD419" s="41"/>
      <c r="DE419" s="41"/>
      <c r="DF419" s="41"/>
      <c r="DG419" s="41"/>
      <c r="DH419" s="41"/>
      <c r="DI419" s="41"/>
      <c r="DJ419" s="41"/>
      <c r="DK419" s="41"/>
      <c r="DL419" s="41"/>
      <c r="DM419" s="41"/>
      <c r="DN419" s="41"/>
      <c r="DO419" s="41"/>
      <c r="DP419" s="41"/>
      <c r="DQ419" s="41"/>
      <c r="DR419" s="41"/>
      <c r="DS419" s="41"/>
      <c r="DT419" s="41"/>
      <c r="DU419" s="41"/>
      <c r="DV419" s="41"/>
      <c r="DW419" s="41"/>
      <c r="DX419" s="41"/>
      <c r="DY419" s="41"/>
      <c r="DZ419" s="41"/>
      <c r="EA419" s="41"/>
      <c r="EB419" s="41"/>
      <c r="EC419" s="41"/>
      <c r="ED419" s="41"/>
      <c r="EE419" s="41"/>
      <c r="EF419" s="41"/>
      <c r="EG419" s="41"/>
      <c r="EH419" s="41"/>
      <c r="EI419" s="41"/>
      <c r="EJ419" s="41"/>
      <c r="EK419" s="41"/>
      <c r="EL419" s="41"/>
      <c r="EM419" s="41"/>
      <c r="EN419" s="41"/>
      <c r="EO419" s="41"/>
      <c r="EP419" s="41"/>
      <c r="EQ419" s="41"/>
      <c r="ER419" s="41"/>
      <c r="ES419" s="41"/>
      <c r="ET419" s="41"/>
      <c r="EU419" s="41"/>
      <c r="EV419" s="41"/>
      <c r="EW419" s="41"/>
      <c r="EX419" s="41"/>
      <c r="EY419" s="41"/>
      <c r="EZ419" s="41"/>
      <c r="FA419" s="41"/>
      <c r="FB419" s="41"/>
      <c r="FC419" s="41"/>
      <c r="FD419" s="41"/>
      <c r="FE419" s="41"/>
      <c r="FF419" s="41"/>
      <c r="FG419" s="41"/>
      <c r="FH419" s="41"/>
      <c r="FI419" s="41"/>
      <c r="FJ419" s="41"/>
      <c r="FK419" s="41"/>
      <c r="FL419" s="41"/>
      <c r="FM419" s="41"/>
      <c r="FN419" s="41"/>
      <c r="FO419" s="41"/>
      <c r="FP419" s="41"/>
      <c r="FQ419" s="41"/>
      <c r="FR419" s="41"/>
      <c r="FS419" s="41"/>
      <c r="FT419" s="41"/>
      <c r="FU419" s="41"/>
      <c r="FV419" s="41"/>
      <c r="FW419" s="41"/>
      <c r="FX419" s="41"/>
      <c r="FY419" s="41"/>
      <c r="FZ419" s="41"/>
      <c r="GA419" s="41"/>
      <c r="GB419" s="41"/>
      <c r="GC419" s="41"/>
      <c r="GD419" s="41"/>
      <c r="GE419" s="41"/>
      <c r="GF419" s="41"/>
      <c r="GG419" s="41"/>
      <c r="GH419" s="41"/>
      <c r="GI419" s="41"/>
      <c r="GJ419" s="41"/>
      <c r="GK419" s="41"/>
      <c r="GL419" s="41"/>
      <c r="GM419" s="41"/>
      <c r="GN419" s="41"/>
      <c r="GO419" s="41"/>
      <c r="GP419" s="41"/>
      <c r="GQ419" s="41"/>
      <c r="GR419" s="41"/>
      <c r="GS419" s="41"/>
      <c r="GT419" s="41"/>
      <c r="GU419" s="41"/>
      <c r="GV419" s="41"/>
      <c r="GW419" s="41"/>
      <c r="GX419" s="41"/>
      <c r="GY419" s="41"/>
      <c r="GZ419" s="41"/>
      <c r="HA419" s="41"/>
      <c r="HB419" s="41"/>
      <c r="HC419" s="41"/>
      <c r="HD419" s="41"/>
      <c r="HE419" s="41"/>
      <c r="HF419" s="41"/>
      <c r="HG419" s="41"/>
      <c r="HH419" s="41"/>
      <c r="HI419" s="41"/>
      <c r="HJ419" s="41"/>
      <c r="HK419" s="41"/>
      <c r="HL419" s="41"/>
      <c r="HM419" s="41"/>
      <c r="HN419" s="41"/>
      <c r="HO419" s="41"/>
      <c r="HP419" s="41"/>
      <c r="HQ419" s="41"/>
      <c r="HR419" s="41"/>
      <c r="HS419" s="41"/>
      <c r="HT419" s="41"/>
      <c r="HU419" s="41"/>
      <c r="HV419" s="41"/>
      <c r="HW419" s="41"/>
      <c r="HX419" s="41"/>
      <c r="HY419" s="41"/>
      <c r="HZ419" s="41"/>
      <c r="IA419" s="41"/>
      <c r="IB419" s="41"/>
      <c r="IC419" s="41"/>
      <c r="ID419" s="41"/>
      <c r="IE419" s="41"/>
      <c r="IF419" s="41"/>
      <c r="IG419" s="41"/>
      <c r="IH419" s="41"/>
      <c r="II419" s="41"/>
      <c r="IJ419" s="41"/>
      <c r="IK419" s="41"/>
    </row>
    <row r="420" spans="1:245">
      <c r="B420" s="36" t="str">
        <f>'[6]price list MAN'!B420</f>
        <v>N65-1267</v>
      </c>
      <c r="C420" s="10" t="str">
        <f>'[6]price list MAN'!C420</f>
        <v>TGM-25-2806X2BL-L</v>
      </c>
      <c r="D420" s="16" t="str">
        <f>IFERROR(VLOOKUP(C420&amp;"",'[7]Retail Price List'!$A$3:$B$103,2,FALSE),"Special Order")</f>
        <v>KP000489</v>
      </c>
      <c r="E420" s="494" t="str">
        <f>'[6]price list MAN'!E420</f>
        <v>CKD</v>
      </c>
      <c r="F420" s="11" t="str">
        <f>'[6]price list MAN'!F420</f>
        <v>2018-03-30</v>
      </c>
      <c r="G420" s="32">
        <f>'[6]price list MAN'!G420</f>
        <v>15.3</v>
      </c>
      <c r="H420" s="26">
        <f>'[6]price list MAN'!H420</f>
        <v>42978</v>
      </c>
      <c r="I420" s="51" t="str">
        <f t="shared" si="30"/>
        <v>2017Q3</v>
      </c>
      <c r="J420" s="177">
        <f>'[6]price list MAN'!J420</f>
        <v>1380000</v>
      </c>
      <c r="K420" s="177">
        <f>'[6]price list MAN'!P420</f>
        <v>1097250</v>
      </c>
      <c r="L420" s="177">
        <f>'[6]price list MAN'!R420</f>
        <v>1045000</v>
      </c>
      <c r="M420" s="174">
        <f>'[6]price list MAN'!S420</f>
        <v>1405000</v>
      </c>
      <c r="N420" s="174">
        <f>'[6]price list MAN'!Y420</f>
        <v>1123500</v>
      </c>
      <c r="O420" s="174">
        <f>'[6]price list MAN'!AA420</f>
        <v>1070000</v>
      </c>
      <c r="P420" s="68">
        <f t="shared" si="31"/>
        <v>0.23843416370106763</v>
      </c>
      <c r="Q420" s="62" t="e">
        <f>O420-#REF!</f>
        <v>#REF!</v>
      </c>
      <c r="W420" s="210"/>
      <c r="X420" s="210"/>
      <c r="Y420" s="210"/>
      <c r="Z420" s="210"/>
      <c r="AA420" s="210"/>
      <c r="AB420" s="210"/>
      <c r="AC420" s="210"/>
      <c r="AT420" s="425" t="str">
        <f t="shared" si="32"/>
        <v>KP0004892017Q315,3</v>
      </c>
      <c r="AU420" s="64" t="str">
        <f t="shared" si="33"/>
        <v>08-2017</v>
      </c>
      <c r="BA420" s="428" t="str">
        <f t="shared" si="34"/>
        <v>WIP - 30 Days</v>
      </c>
    </row>
    <row r="421" spans="1:245">
      <c r="B421" s="36" t="str">
        <f>'[6]price list MAN'!B421</f>
        <v>N65-1272</v>
      </c>
      <c r="C421" s="10" t="str">
        <f>'[6]price list MAN'!C421</f>
        <v>TGM-25-2806X2BL-L</v>
      </c>
      <c r="D421" s="16" t="str">
        <f>IFERROR(VLOOKUP(C421&amp;"",'[7]Retail Price List'!$A$3:$B$103,2,FALSE),"Special Order")</f>
        <v>KP000489</v>
      </c>
      <c r="E421" s="494" t="str">
        <f>'[6]price list MAN'!E421</f>
        <v>CKD</v>
      </c>
      <c r="F421" s="11" t="str">
        <f>'[6]price list MAN'!F421</f>
        <v>2018-03-30</v>
      </c>
      <c r="G421" s="32">
        <f>'[6]price list MAN'!G421</f>
        <v>15.3</v>
      </c>
      <c r="H421" s="26">
        <f>'[6]price list MAN'!H421</f>
        <v>42978</v>
      </c>
      <c r="I421" s="51" t="str">
        <f t="shared" si="30"/>
        <v>2017Q3</v>
      </c>
      <c r="J421" s="177">
        <f>'[6]price list MAN'!J421</f>
        <v>1380000</v>
      </c>
      <c r="K421" s="177">
        <f>'[6]price list MAN'!P421</f>
        <v>1097250</v>
      </c>
      <c r="L421" s="177">
        <f>'[6]price list MAN'!R421</f>
        <v>1045000</v>
      </c>
      <c r="M421" s="174">
        <f>'[6]price list MAN'!S421</f>
        <v>1405000</v>
      </c>
      <c r="N421" s="174">
        <f>'[6]price list MAN'!Y421</f>
        <v>1123500</v>
      </c>
      <c r="O421" s="174">
        <f>'[6]price list MAN'!AA421</f>
        <v>1070000</v>
      </c>
      <c r="P421" s="68">
        <f t="shared" si="31"/>
        <v>0.23843416370106763</v>
      </c>
      <c r="Q421" s="62" t="e">
        <f>O421-#REF!</f>
        <v>#REF!</v>
      </c>
      <c r="W421" s="210"/>
      <c r="X421" s="210"/>
      <c r="Y421" s="210"/>
      <c r="Z421" s="210"/>
      <c r="AA421" s="210"/>
      <c r="AB421" s="210"/>
      <c r="AC421" s="210"/>
      <c r="AT421" s="425" t="str">
        <f t="shared" si="32"/>
        <v>KP0004892017Q315,3</v>
      </c>
      <c r="AU421" s="64" t="str">
        <f t="shared" si="33"/>
        <v>08-2017</v>
      </c>
      <c r="BA421" s="428" t="str">
        <f t="shared" si="34"/>
        <v>WIP - 30 Days</v>
      </c>
    </row>
    <row r="422" spans="1:245">
      <c r="B422" s="36" t="str">
        <f>'[6]price list MAN'!B422</f>
        <v>N65-1273</v>
      </c>
      <c r="C422" s="10" t="str">
        <f>'[6]price list MAN'!C422</f>
        <v>TGM-25-2806X2BL-L</v>
      </c>
      <c r="D422" s="16" t="str">
        <f>IFERROR(VLOOKUP(C422&amp;"",'[7]Retail Price List'!$A$3:$B$103,2,FALSE),"Special Order")</f>
        <v>KP000489</v>
      </c>
      <c r="E422" s="494" t="str">
        <f>'[6]price list MAN'!E422</f>
        <v>CKD</v>
      </c>
      <c r="F422" s="11" t="str">
        <f>'[6]price list MAN'!F422</f>
        <v>2018-03-30</v>
      </c>
      <c r="G422" s="32">
        <f>'[6]price list MAN'!G422</f>
        <v>15.3</v>
      </c>
      <c r="H422" s="26">
        <f>'[6]price list MAN'!H422</f>
        <v>42978</v>
      </c>
      <c r="I422" s="51" t="str">
        <f t="shared" si="30"/>
        <v>2017Q3</v>
      </c>
      <c r="J422" s="177">
        <f>'[6]price list MAN'!J422</f>
        <v>1380000</v>
      </c>
      <c r="K422" s="177">
        <f>'[6]price list MAN'!P422</f>
        <v>1097250</v>
      </c>
      <c r="L422" s="177">
        <f>'[6]price list MAN'!R422</f>
        <v>1045000</v>
      </c>
      <c r="M422" s="174">
        <f>'[6]price list MAN'!S422</f>
        <v>1405000</v>
      </c>
      <c r="N422" s="174">
        <f>'[6]price list MAN'!Y422</f>
        <v>1123500</v>
      </c>
      <c r="O422" s="174">
        <f>'[6]price list MAN'!AA422</f>
        <v>1070000</v>
      </c>
      <c r="P422" s="68">
        <f t="shared" si="31"/>
        <v>0.23843416370106763</v>
      </c>
      <c r="Q422" s="62" t="e">
        <f>O422-#REF!</f>
        <v>#REF!</v>
      </c>
      <c r="W422" s="210"/>
      <c r="X422" s="210"/>
      <c r="Y422" s="210"/>
      <c r="Z422" s="210"/>
      <c r="AA422" s="210"/>
      <c r="AB422" s="210"/>
      <c r="AC422" s="210"/>
      <c r="AT422" s="425" t="str">
        <f t="shared" si="32"/>
        <v>KP0004892017Q315,3</v>
      </c>
      <c r="AU422" s="64" t="str">
        <f t="shared" si="33"/>
        <v>08-2017</v>
      </c>
      <c r="BA422" s="428" t="str">
        <f t="shared" si="34"/>
        <v>WIP - 30 Days</v>
      </c>
    </row>
    <row r="423" spans="1:245" s="4" customFormat="1">
      <c r="A423" s="41"/>
      <c r="B423" s="36" t="str">
        <f>'[6]price list MAN'!B423</f>
        <v>N65-1274</v>
      </c>
      <c r="C423" s="10" t="str">
        <f>'[6]price list MAN'!C423</f>
        <v>TGM-25-2806X2BL-L</v>
      </c>
      <c r="D423" s="16" t="str">
        <f>IFERROR(VLOOKUP(C423&amp;"",'[7]Retail Price List'!$A$3:$B$103,2,FALSE),"Special Order")</f>
        <v>KP000489</v>
      </c>
      <c r="E423" s="494" t="str">
        <f>'[6]price list MAN'!E423</f>
        <v>CKD</v>
      </c>
      <c r="F423" s="11" t="str">
        <f>'[6]price list MAN'!F423</f>
        <v>2018-03-30</v>
      </c>
      <c r="G423" s="32">
        <f>'[6]price list MAN'!G423</f>
        <v>15.3</v>
      </c>
      <c r="H423" s="26">
        <f>'[6]price list MAN'!H423</f>
        <v>42978</v>
      </c>
      <c r="I423" s="51" t="str">
        <f t="shared" si="30"/>
        <v>2017Q3</v>
      </c>
      <c r="J423" s="177">
        <f>'[6]price list MAN'!J423</f>
        <v>1380000</v>
      </c>
      <c r="K423" s="177">
        <f>'[6]price list MAN'!P423</f>
        <v>1097250</v>
      </c>
      <c r="L423" s="177">
        <f>'[6]price list MAN'!R423</f>
        <v>1045000</v>
      </c>
      <c r="M423" s="174">
        <f>'[6]price list MAN'!S423</f>
        <v>1405000</v>
      </c>
      <c r="N423" s="174">
        <f>'[6]price list MAN'!Y423</f>
        <v>1123500</v>
      </c>
      <c r="O423" s="174">
        <f>'[6]price list MAN'!AA423</f>
        <v>1070000</v>
      </c>
      <c r="P423" s="68">
        <f t="shared" si="31"/>
        <v>0.23843416370106763</v>
      </c>
      <c r="Q423" s="62" t="e">
        <f>O423-#REF!</f>
        <v>#REF!</v>
      </c>
      <c r="R423" s="63" t="e">
        <f>SUM(Q420:Q422)/SUM(O420:O422)</f>
        <v>#REF!</v>
      </c>
      <c r="S423" s="64"/>
      <c r="T423" s="64"/>
      <c r="U423" s="64"/>
      <c r="V423" s="64"/>
      <c r="W423" s="210"/>
      <c r="X423" s="210"/>
      <c r="Y423" s="210"/>
      <c r="Z423" s="210"/>
      <c r="AA423" s="210"/>
      <c r="AB423" s="210"/>
      <c r="AC423" s="210"/>
      <c r="AD423" s="54"/>
      <c r="AE423" s="54"/>
      <c r="AF423" s="54"/>
      <c r="AG423" s="5"/>
      <c r="AH423" s="5"/>
      <c r="AI423" s="5"/>
      <c r="AJ423" s="5"/>
      <c r="AK423" s="5"/>
      <c r="AL423" s="5"/>
      <c r="AM423" s="5"/>
      <c r="AN423" s="5"/>
      <c r="AO423" s="5"/>
      <c r="AP423" s="5"/>
      <c r="AQ423" s="5"/>
      <c r="AR423" s="5"/>
      <c r="AS423" s="5"/>
      <c r="AT423" s="425" t="str">
        <f t="shared" si="32"/>
        <v>KP0004892017Q315,3</v>
      </c>
      <c r="AU423" s="64" t="str">
        <f t="shared" si="33"/>
        <v>08-2017</v>
      </c>
      <c r="AV423" s="64"/>
      <c r="AW423" s="64"/>
      <c r="AX423" s="64"/>
      <c r="AY423" s="64"/>
      <c r="AZ423" s="64"/>
      <c r="BA423" s="428" t="str">
        <f t="shared" si="34"/>
        <v>WIP - 30 Days</v>
      </c>
      <c r="BB423" s="169"/>
      <c r="BC423" s="169"/>
      <c r="BD423" s="169"/>
      <c r="BE423" s="41"/>
      <c r="BF423" s="41"/>
      <c r="BG423" s="41"/>
      <c r="BH423" s="41"/>
      <c r="BI423" s="41"/>
      <c r="BJ423" s="41"/>
      <c r="BK423" s="41"/>
      <c r="BL423" s="41"/>
      <c r="BM423" s="41"/>
      <c r="BN423" s="41"/>
      <c r="BO423" s="41"/>
      <c r="BP423" s="41"/>
      <c r="BQ423" s="41"/>
      <c r="BR423" s="41"/>
      <c r="BS423" s="41"/>
      <c r="BT423" s="41"/>
      <c r="BU423" s="41"/>
      <c r="BV423" s="41"/>
      <c r="BW423" s="41"/>
      <c r="BX423" s="41"/>
      <c r="BY423" s="41"/>
      <c r="BZ423" s="41"/>
      <c r="CA423" s="41"/>
      <c r="CB423" s="41"/>
      <c r="CC423" s="41"/>
      <c r="CD423" s="41"/>
      <c r="CE423" s="41"/>
      <c r="CF423" s="41"/>
      <c r="CG423" s="41"/>
      <c r="CH423" s="41"/>
      <c r="CI423" s="41"/>
      <c r="CJ423" s="41"/>
      <c r="CK423" s="41"/>
      <c r="CL423" s="41"/>
      <c r="CM423" s="41"/>
      <c r="CN423" s="41"/>
      <c r="CO423" s="41"/>
      <c r="CP423" s="41"/>
      <c r="CQ423" s="41"/>
      <c r="CR423" s="41"/>
      <c r="CS423" s="41"/>
      <c r="CT423" s="41"/>
      <c r="CU423" s="41"/>
      <c r="CV423" s="41"/>
      <c r="CW423" s="41"/>
      <c r="CX423" s="41"/>
      <c r="CY423" s="41"/>
      <c r="CZ423" s="41"/>
      <c r="DA423" s="41"/>
      <c r="DB423" s="41"/>
      <c r="DC423" s="41"/>
      <c r="DD423" s="41"/>
      <c r="DE423" s="41"/>
      <c r="DF423" s="41"/>
      <c r="DG423" s="41"/>
      <c r="DH423" s="41"/>
      <c r="DI423" s="41"/>
      <c r="DJ423" s="41"/>
      <c r="DK423" s="41"/>
      <c r="DL423" s="41"/>
      <c r="DM423" s="41"/>
      <c r="DN423" s="41"/>
      <c r="DO423" s="41"/>
      <c r="DP423" s="41"/>
      <c r="DQ423" s="41"/>
      <c r="DR423" s="41"/>
      <c r="DS423" s="41"/>
      <c r="DT423" s="41"/>
      <c r="DU423" s="41"/>
      <c r="DV423" s="41"/>
      <c r="DW423" s="41"/>
      <c r="DX423" s="41"/>
      <c r="DY423" s="41"/>
      <c r="DZ423" s="41"/>
      <c r="EA423" s="41"/>
      <c r="EB423" s="41"/>
      <c r="EC423" s="41"/>
      <c r="ED423" s="41"/>
      <c r="EE423" s="41"/>
      <c r="EF423" s="41"/>
      <c r="EG423" s="41"/>
      <c r="EH423" s="41"/>
      <c r="EI423" s="41"/>
      <c r="EJ423" s="41"/>
      <c r="EK423" s="41"/>
      <c r="EL423" s="41"/>
      <c r="EM423" s="41"/>
      <c r="EN423" s="41"/>
      <c r="EO423" s="41"/>
      <c r="EP423" s="41"/>
      <c r="EQ423" s="41"/>
      <c r="ER423" s="41"/>
      <c r="ES423" s="41"/>
      <c r="ET423" s="41"/>
      <c r="EU423" s="41"/>
      <c r="EV423" s="41"/>
      <c r="EW423" s="41"/>
      <c r="EX423" s="41"/>
      <c r="EY423" s="41"/>
      <c r="EZ423" s="41"/>
      <c r="FA423" s="41"/>
      <c r="FB423" s="41"/>
      <c r="FC423" s="41"/>
      <c r="FD423" s="41"/>
      <c r="FE423" s="41"/>
      <c r="FF423" s="41"/>
      <c r="FG423" s="41"/>
      <c r="FH423" s="41"/>
      <c r="FI423" s="41"/>
      <c r="FJ423" s="41"/>
      <c r="FK423" s="41"/>
      <c r="FL423" s="41"/>
      <c r="FM423" s="41"/>
      <c r="FN423" s="41"/>
      <c r="FO423" s="41"/>
      <c r="FP423" s="41"/>
      <c r="FQ423" s="41"/>
      <c r="FR423" s="41"/>
      <c r="FS423" s="41"/>
      <c r="FT423" s="41"/>
      <c r="FU423" s="41"/>
      <c r="FV423" s="41"/>
      <c r="FW423" s="41"/>
      <c r="FX423" s="41"/>
      <c r="FY423" s="41"/>
      <c r="FZ423" s="41"/>
      <c r="GA423" s="41"/>
      <c r="GB423" s="41"/>
      <c r="GC423" s="41"/>
      <c r="GD423" s="41"/>
      <c r="GE423" s="41"/>
      <c r="GF423" s="41"/>
      <c r="GG423" s="41"/>
      <c r="GH423" s="41"/>
      <c r="GI423" s="41"/>
      <c r="GJ423" s="41"/>
      <c r="GK423" s="41"/>
      <c r="GL423" s="41"/>
      <c r="GM423" s="41"/>
      <c r="GN423" s="41"/>
      <c r="GO423" s="41"/>
      <c r="GP423" s="41"/>
      <c r="GQ423" s="41"/>
      <c r="GR423" s="41"/>
      <c r="GS423" s="41"/>
      <c r="GT423" s="41"/>
      <c r="GU423" s="41"/>
      <c r="GV423" s="41"/>
      <c r="GW423" s="41"/>
      <c r="GX423" s="41"/>
      <c r="GY423" s="41"/>
      <c r="GZ423" s="41"/>
      <c r="HA423" s="41"/>
      <c r="HB423" s="41"/>
      <c r="HC423" s="41"/>
      <c r="HD423" s="41"/>
      <c r="HE423" s="41"/>
      <c r="HF423" s="41"/>
      <c r="HG423" s="41"/>
      <c r="HH423" s="41"/>
      <c r="HI423" s="41"/>
      <c r="HJ423" s="41"/>
      <c r="HK423" s="41"/>
      <c r="HL423" s="41"/>
      <c r="HM423" s="41"/>
      <c r="HN423" s="41"/>
      <c r="HO423" s="41"/>
      <c r="HP423" s="41"/>
      <c r="HQ423" s="41"/>
      <c r="HR423" s="41"/>
      <c r="HS423" s="41"/>
      <c r="HT423" s="41"/>
      <c r="HU423" s="41"/>
      <c r="HV423" s="41"/>
      <c r="HW423" s="41"/>
      <c r="HX423" s="41"/>
      <c r="HY423" s="41"/>
      <c r="HZ423" s="41"/>
      <c r="IA423" s="41"/>
      <c r="IB423" s="41"/>
      <c r="IC423" s="41"/>
      <c r="ID423" s="41"/>
      <c r="IE423" s="41"/>
      <c r="IF423" s="41"/>
      <c r="IG423" s="41"/>
      <c r="IH423" s="41"/>
      <c r="II423" s="41"/>
      <c r="IJ423" s="41"/>
      <c r="IK423" s="41"/>
    </row>
    <row r="424" spans="1:245">
      <c r="B424" s="36" t="str">
        <f>'[6]price list MAN'!B424</f>
        <v>N65-1275</v>
      </c>
      <c r="C424" s="10" t="str">
        <f>'[6]price list MAN'!C424</f>
        <v>TGM-25-2806X2BL-L</v>
      </c>
      <c r="D424" s="16" t="str">
        <f>IFERROR(VLOOKUP(C424&amp;"",'[7]Retail Price List'!$A$3:$B$103,2,FALSE),"Special Order")</f>
        <v>KP000489</v>
      </c>
      <c r="E424" s="494" t="str">
        <f>'[6]price list MAN'!E424</f>
        <v>CKD</v>
      </c>
      <c r="F424" s="11" t="str">
        <f>'[6]price list MAN'!F424</f>
        <v>2018-03-30</v>
      </c>
      <c r="G424" s="32">
        <f>'[6]price list MAN'!G424</f>
        <v>15.3</v>
      </c>
      <c r="H424" s="26">
        <f>'[6]price list MAN'!H424</f>
        <v>42978</v>
      </c>
      <c r="I424" s="51" t="str">
        <f t="shared" si="30"/>
        <v>2017Q3</v>
      </c>
      <c r="J424" s="177">
        <f>'[6]price list MAN'!J424</f>
        <v>1380000</v>
      </c>
      <c r="K424" s="177">
        <f>'[6]price list MAN'!P424</f>
        <v>1097250</v>
      </c>
      <c r="L424" s="177">
        <f>'[6]price list MAN'!R424</f>
        <v>1045000</v>
      </c>
      <c r="M424" s="174">
        <f>'[6]price list MAN'!S424</f>
        <v>1405000</v>
      </c>
      <c r="N424" s="174">
        <f>'[6]price list MAN'!Y424</f>
        <v>1123500</v>
      </c>
      <c r="O424" s="174">
        <f>'[6]price list MAN'!AA424</f>
        <v>1070000</v>
      </c>
      <c r="P424" s="68">
        <f t="shared" si="31"/>
        <v>0.23843416370106763</v>
      </c>
      <c r="Q424" s="62" t="e">
        <f>O424-#REF!</f>
        <v>#REF!</v>
      </c>
      <c r="S424" s="64" t="s">
        <v>9</v>
      </c>
      <c r="T424" s="64" t="s">
        <v>10</v>
      </c>
      <c r="U424" s="64" t="s">
        <v>11</v>
      </c>
      <c r="W424" s="210"/>
      <c r="X424" s="210"/>
      <c r="Y424" s="210"/>
      <c r="Z424" s="210"/>
      <c r="AA424" s="210"/>
      <c r="AB424" s="210"/>
      <c r="AC424" s="210"/>
      <c r="AT424" s="425" t="str">
        <f t="shared" si="32"/>
        <v>KP0004892017Q315,3</v>
      </c>
      <c r="AU424" s="64" t="str">
        <f t="shared" si="33"/>
        <v>08-2017</v>
      </c>
      <c r="AW424" s="169"/>
      <c r="AX424" s="169"/>
      <c r="AY424" s="169"/>
      <c r="BA424" s="428" t="str">
        <f t="shared" si="34"/>
        <v>WIP - 30 Days</v>
      </c>
    </row>
    <row r="425" spans="1:245" s="40" customFormat="1">
      <c r="A425" s="41"/>
      <c r="B425" s="36" t="str">
        <f>'[6]price list MAN'!B425</f>
        <v>N65-1276</v>
      </c>
      <c r="C425" s="10" t="str">
        <f>'[6]price list MAN'!C425</f>
        <v>TGM-25-2806X2BL-L</v>
      </c>
      <c r="D425" s="16" t="str">
        <f>IFERROR(VLOOKUP(C425&amp;"",'[7]Retail Price List'!$A$3:$B$103,2,FALSE),"Special Order")</f>
        <v>KP000489</v>
      </c>
      <c r="E425" s="494" t="str">
        <f>'[6]price list MAN'!E425</f>
        <v>CKD</v>
      </c>
      <c r="F425" s="11" t="str">
        <f>'[6]price list MAN'!F425</f>
        <v>2018-03-30</v>
      </c>
      <c r="G425" s="32">
        <f>'[6]price list MAN'!G425</f>
        <v>15.3</v>
      </c>
      <c r="H425" s="26">
        <f>'[6]price list MAN'!H425</f>
        <v>42978</v>
      </c>
      <c r="I425" s="51" t="str">
        <f t="shared" si="30"/>
        <v>2017Q3</v>
      </c>
      <c r="J425" s="177">
        <f>'[6]price list MAN'!J425</f>
        <v>1380000</v>
      </c>
      <c r="K425" s="177">
        <f>'[6]price list MAN'!P425</f>
        <v>1097250</v>
      </c>
      <c r="L425" s="177">
        <f>'[6]price list MAN'!R425</f>
        <v>1045000</v>
      </c>
      <c r="M425" s="174">
        <f>'[6]price list MAN'!S425</f>
        <v>1405000</v>
      </c>
      <c r="N425" s="174">
        <f>'[6]price list MAN'!Y425</f>
        <v>1123500</v>
      </c>
      <c r="O425" s="174">
        <f>'[6]price list MAN'!AA425</f>
        <v>1070000</v>
      </c>
      <c r="P425" s="166">
        <f t="shared" si="31"/>
        <v>0.23843416370106763</v>
      </c>
      <c r="Q425" s="167" t="e">
        <f>O425-#REF!</f>
        <v>#REF!</v>
      </c>
      <c r="R425" s="168"/>
      <c r="S425" s="169">
        <v>7.2</v>
      </c>
      <c r="T425" s="169">
        <v>-6.8</v>
      </c>
      <c r="U425" s="169">
        <v>-2.2999999999999998</v>
      </c>
      <c r="V425" s="169"/>
      <c r="W425" s="210"/>
      <c r="X425" s="210"/>
      <c r="Y425" s="210"/>
      <c r="Z425" s="210"/>
      <c r="AA425" s="210"/>
      <c r="AB425" s="210"/>
      <c r="AC425" s="210"/>
      <c r="AD425" s="52"/>
      <c r="AE425" s="52"/>
      <c r="AF425" s="52"/>
      <c r="AG425" s="41"/>
      <c r="AH425" s="41"/>
      <c r="AI425" s="41"/>
      <c r="AJ425" s="41"/>
      <c r="AK425" s="41"/>
      <c r="AL425" s="41"/>
      <c r="AM425" s="41"/>
      <c r="AN425" s="41"/>
      <c r="AO425" s="41"/>
      <c r="AP425" s="41"/>
      <c r="AQ425" s="41"/>
      <c r="AR425" s="41"/>
      <c r="AS425" s="41"/>
      <c r="AT425" s="425" t="str">
        <f t="shared" si="32"/>
        <v>KP0004892017Q315,3</v>
      </c>
      <c r="AU425" s="64" t="str">
        <f t="shared" si="33"/>
        <v>08-2017</v>
      </c>
      <c r="AV425" s="169"/>
      <c r="AW425" s="64"/>
      <c r="AX425" s="64"/>
      <c r="AY425" s="64"/>
      <c r="AZ425" s="169"/>
      <c r="BA425" s="428" t="str">
        <f t="shared" si="34"/>
        <v>WIP - 30 Days</v>
      </c>
      <c r="BB425" s="169"/>
      <c r="BC425" s="169"/>
      <c r="BD425" s="169"/>
      <c r="BE425" s="41"/>
      <c r="BF425" s="41"/>
      <c r="BG425" s="41"/>
      <c r="BH425" s="41"/>
      <c r="BI425" s="41"/>
      <c r="BJ425" s="41"/>
      <c r="BK425" s="41"/>
      <c r="BL425" s="41"/>
      <c r="BM425" s="41"/>
      <c r="BN425" s="41"/>
      <c r="BO425" s="41"/>
      <c r="BP425" s="41"/>
      <c r="BQ425" s="41"/>
      <c r="BR425" s="41"/>
      <c r="BS425" s="41"/>
      <c r="BT425" s="41"/>
      <c r="BU425" s="41"/>
      <c r="BV425" s="41"/>
      <c r="BW425" s="41"/>
      <c r="BX425" s="41"/>
      <c r="BY425" s="41"/>
      <c r="BZ425" s="41"/>
      <c r="CA425" s="41"/>
      <c r="CB425" s="41"/>
      <c r="CC425" s="41"/>
      <c r="CD425" s="41"/>
      <c r="CE425" s="41"/>
      <c r="CF425" s="41"/>
      <c r="CG425" s="41"/>
      <c r="CH425" s="41"/>
      <c r="CI425" s="41"/>
      <c r="CJ425" s="41"/>
      <c r="CK425" s="41"/>
      <c r="CL425" s="41"/>
      <c r="CM425" s="41"/>
      <c r="CN425" s="41"/>
      <c r="CO425" s="41"/>
      <c r="CP425" s="41"/>
      <c r="CQ425" s="41"/>
      <c r="CR425" s="41"/>
      <c r="CS425" s="41"/>
      <c r="CT425" s="41"/>
      <c r="CU425" s="41"/>
      <c r="CV425" s="41"/>
      <c r="CW425" s="41"/>
      <c r="CX425" s="41"/>
      <c r="CY425" s="41"/>
      <c r="CZ425" s="41"/>
      <c r="DA425" s="41"/>
      <c r="DB425" s="41"/>
      <c r="DC425" s="41"/>
      <c r="DD425" s="41"/>
      <c r="DE425" s="41"/>
      <c r="DF425" s="41"/>
      <c r="DG425" s="41"/>
      <c r="DH425" s="41"/>
      <c r="DI425" s="41"/>
      <c r="DJ425" s="41"/>
      <c r="DK425" s="41"/>
      <c r="DL425" s="41"/>
      <c r="DM425" s="41"/>
      <c r="DN425" s="41"/>
      <c r="DO425" s="41"/>
      <c r="DP425" s="41"/>
      <c r="DQ425" s="41"/>
      <c r="DR425" s="41"/>
      <c r="DS425" s="41"/>
      <c r="DT425" s="41"/>
      <c r="DU425" s="41"/>
      <c r="DV425" s="41"/>
      <c r="DW425" s="41"/>
      <c r="DX425" s="41"/>
      <c r="DY425" s="41"/>
      <c r="DZ425" s="41"/>
      <c r="EA425" s="41"/>
      <c r="EB425" s="41"/>
      <c r="EC425" s="41"/>
      <c r="ED425" s="41"/>
      <c r="EE425" s="41"/>
      <c r="EF425" s="41"/>
      <c r="EG425" s="41"/>
      <c r="EH425" s="41"/>
      <c r="EI425" s="41"/>
      <c r="EJ425" s="41"/>
      <c r="EK425" s="41"/>
      <c r="EL425" s="41"/>
      <c r="EM425" s="41"/>
      <c r="EN425" s="41"/>
      <c r="EO425" s="41"/>
      <c r="EP425" s="41"/>
      <c r="EQ425" s="41"/>
      <c r="ER425" s="41"/>
      <c r="ES425" s="41"/>
      <c r="ET425" s="41"/>
      <c r="EU425" s="41"/>
      <c r="EV425" s="41"/>
      <c r="EW425" s="41"/>
      <c r="EX425" s="41"/>
      <c r="EY425" s="41"/>
      <c r="EZ425" s="41"/>
      <c r="FA425" s="41"/>
      <c r="FB425" s="41"/>
      <c r="FC425" s="41"/>
      <c r="FD425" s="41"/>
      <c r="FE425" s="41"/>
      <c r="FF425" s="41"/>
      <c r="FG425" s="41"/>
      <c r="FH425" s="41"/>
      <c r="FI425" s="41"/>
      <c r="FJ425" s="41"/>
      <c r="FK425" s="41"/>
      <c r="FL425" s="41"/>
      <c r="FM425" s="41"/>
      <c r="FN425" s="41"/>
      <c r="FO425" s="41"/>
      <c r="FP425" s="41"/>
      <c r="FQ425" s="41"/>
      <c r="FR425" s="41"/>
      <c r="FS425" s="41"/>
      <c r="FT425" s="41"/>
      <c r="FU425" s="41"/>
      <c r="FV425" s="41"/>
      <c r="FW425" s="41"/>
      <c r="FX425" s="41"/>
      <c r="FY425" s="41"/>
      <c r="FZ425" s="41"/>
      <c r="GA425" s="41"/>
      <c r="GB425" s="41"/>
      <c r="GC425" s="41"/>
      <c r="GD425" s="41"/>
      <c r="GE425" s="41"/>
      <c r="GF425" s="41"/>
      <c r="GG425" s="41"/>
      <c r="GH425" s="41"/>
      <c r="GI425" s="41"/>
      <c r="GJ425" s="41"/>
      <c r="GK425" s="41"/>
      <c r="GL425" s="41"/>
      <c r="GM425" s="41"/>
      <c r="GN425" s="41"/>
      <c r="GO425" s="41"/>
      <c r="GP425" s="41"/>
      <c r="GQ425" s="41"/>
      <c r="GR425" s="41"/>
      <c r="GS425" s="41"/>
      <c r="GT425" s="41"/>
      <c r="GU425" s="41"/>
      <c r="GV425" s="41"/>
      <c r="GW425" s="41"/>
      <c r="GX425" s="41"/>
      <c r="GY425" s="41"/>
      <c r="GZ425" s="41"/>
      <c r="HA425" s="41"/>
      <c r="HB425" s="41"/>
      <c r="HC425" s="41"/>
      <c r="HD425" s="41"/>
      <c r="HE425" s="41"/>
      <c r="HF425" s="41"/>
      <c r="HG425" s="41"/>
      <c r="HH425" s="41"/>
      <c r="HI425" s="41"/>
      <c r="HJ425" s="41"/>
      <c r="HK425" s="41"/>
      <c r="HL425" s="41"/>
      <c r="HM425" s="41"/>
      <c r="HN425" s="41"/>
      <c r="HO425" s="41"/>
      <c r="HP425" s="41"/>
      <c r="HQ425" s="41"/>
      <c r="HR425" s="41"/>
      <c r="HS425" s="41"/>
      <c r="HT425" s="41"/>
      <c r="HU425" s="41"/>
      <c r="HV425" s="41"/>
      <c r="HW425" s="41"/>
      <c r="HX425" s="41"/>
      <c r="HY425" s="41"/>
      <c r="HZ425" s="41"/>
      <c r="IA425" s="41"/>
      <c r="IB425" s="41"/>
      <c r="IC425" s="41"/>
      <c r="ID425" s="41"/>
      <c r="IE425" s="41"/>
      <c r="IF425" s="41"/>
      <c r="IG425" s="41"/>
      <c r="IH425" s="41"/>
      <c r="II425" s="41"/>
      <c r="IJ425" s="41"/>
      <c r="IK425" s="41"/>
    </row>
    <row r="426" spans="1:245">
      <c r="B426" s="36" t="str">
        <f>'[6]price list MAN'!B426</f>
        <v>N65-1277</v>
      </c>
      <c r="C426" s="10" t="str">
        <f>'[6]price list MAN'!C426</f>
        <v>TGM-25-2806X2BL-L</v>
      </c>
      <c r="D426" s="16" t="str">
        <f>IFERROR(VLOOKUP(C426&amp;"",'[7]Retail Price List'!$A$3:$B$103,2,FALSE),"Special Order")</f>
        <v>KP000489</v>
      </c>
      <c r="E426" s="494" t="str">
        <f>'[6]price list MAN'!E426</f>
        <v>CKD</v>
      </c>
      <c r="F426" s="11" t="str">
        <f>'[6]price list MAN'!F426</f>
        <v>2018-03-30</v>
      </c>
      <c r="G426" s="32">
        <f>'[6]price list MAN'!G426</f>
        <v>15.3</v>
      </c>
      <c r="H426" s="26">
        <f>'[6]price list MAN'!H426</f>
        <v>42978</v>
      </c>
      <c r="I426" s="51" t="str">
        <f t="shared" si="30"/>
        <v>2017Q3</v>
      </c>
      <c r="J426" s="177">
        <f>'[6]price list MAN'!J426</f>
        <v>1380000</v>
      </c>
      <c r="K426" s="177">
        <f>'[6]price list MAN'!P426</f>
        <v>1097250</v>
      </c>
      <c r="L426" s="177">
        <f>'[6]price list MAN'!R426</f>
        <v>1045000</v>
      </c>
      <c r="M426" s="174">
        <f>'[6]price list MAN'!S426</f>
        <v>1405000</v>
      </c>
      <c r="N426" s="174">
        <f>'[6]price list MAN'!Y426</f>
        <v>1123500</v>
      </c>
      <c r="O426" s="174">
        <f>'[6]price list MAN'!AA426</f>
        <v>1070000</v>
      </c>
      <c r="P426" s="68">
        <f t="shared" si="31"/>
        <v>0.23843416370106763</v>
      </c>
      <c r="Q426" s="62" t="e">
        <f>O426-#REF!</f>
        <v>#REF!</v>
      </c>
      <c r="S426" s="64">
        <v>-3.7</v>
      </c>
      <c r="W426" s="210"/>
      <c r="X426" s="210"/>
      <c r="Y426" s="210"/>
      <c r="Z426" s="210"/>
      <c r="AA426" s="210"/>
      <c r="AB426" s="210"/>
      <c r="AC426" s="210"/>
      <c r="AT426" s="425" t="str">
        <f t="shared" si="32"/>
        <v>KP0004892017Q315,3</v>
      </c>
      <c r="AU426" s="64" t="str">
        <f t="shared" si="33"/>
        <v>08-2017</v>
      </c>
      <c r="BA426" s="428" t="str">
        <f t="shared" si="34"/>
        <v>WIP - 30 Days</v>
      </c>
    </row>
    <row r="427" spans="1:245">
      <c r="B427" s="36" t="str">
        <f>'[6]price list MAN'!B427</f>
        <v>N65-1278</v>
      </c>
      <c r="C427" s="10" t="str">
        <f>'[6]price list MAN'!C427</f>
        <v>TGM-25-2806X2BL-L</v>
      </c>
      <c r="D427" s="16" t="str">
        <f>IFERROR(VLOOKUP(C427&amp;"",'[7]Retail Price List'!$A$3:$B$103,2,FALSE),"Special Order")</f>
        <v>KP000489</v>
      </c>
      <c r="E427" s="494" t="str">
        <f>'[6]price list MAN'!E427</f>
        <v>CKD</v>
      </c>
      <c r="F427" s="11" t="str">
        <f>'[6]price list MAN'!F427</f>
        <v>2018-03-15</v>
      </c>
      <c r="G427" s="32">
        <f>'[6]price list MAN'!G427</f>
        <v>15.3</v>
      </c>
      <c r="H427" s="26">
        <f>'[6]price list MAN'!H427</f>
        <v>42978</v>
      </c>
      <c r="I427" s="51" t="str">
        <f t="shared" si="30"/>
        <v>2017Q3</v>
      </c>
      <c r="J427" s="177">
        <f>'[6]price list MAN'!J427</f>
        <v>1380000</v>
      </c>
      <c r="K427" s="177">
        <f>'[6]price list MAN'!P427</f>
        <v>1097250</v>
      </c>
      <c r="L427" s="177">
        <f>'[6]price list MAN'!R427</f>
        <v>1045000</v>
      </c>
      <c r="M427" s="174">
        <f>'[6]price list MAN'!S427</f>
        <v>1405000</v>
      </c>
      <c r="N427" s="174">
        <f>'[6]price list MAN'!Y427</f>
        <v>1123500</v>
      </c>
      <c r="O427" s="174">
        <f>'[6]price list MAN'!AA427</f>
        <v>1070000</v>
      </c>
      <c r="P427" s="68">
        <f t="shared" si="31"/>
        <v>0.23843416370106763</v>
      </c>
      <c r="Q427" s="62" t="e">
        <f>O427-#REF!</f>
        <v>#REF!</v>
      </c>
      <c r="S427" s="64">
        <f>COUNT(#REF!)</f>
        <v>0</v>
      </c>
      <c r="W427" s="210"/>
      <c r="X427" s="210"/>
      <c r="Y427" s="210"/>
      <c r="Z427" s="210"/>
      <c r="AA427" s="210"/>
      <c r="AB427" s="210"/>
      <c r="AC427" s="210"/>
      <c r="AT427" s="425" t="str">
        <f t="shared" si="32"/>
        <v>KP0004892017Q315,3</v>
      </c>
      <c r="AU427" s="64" t="str">
        <f t="shared" si="33"/>
        <v>08-2017</v>
      </c>
      <c r="BA427" s="428" t="str">
        <f t="shared" si="34"/>
        <v>WIP - 30 Days</v>
      </c>
    </row>
    <row r="428" spans="1:245">
      <c r="B428" s="36" t="str">
        <f>'[6]price list MAN'!B428</f>
        <v>N65-1279</v>
      </c>
      <c r="C428" s="10" t="str">
        <f>'[6]price list MAN'!C428</f>
        <v>TGM-25-2806X2BL-L</v>
      </c>
      <c r="D428" s="16" t="str">
        <f>IFERROR(VLOOKUP(C428&amp;"",'[7]Retail Price List'!$A$3:$B$103,2,FALSE),"Special Order")</f>
        <v>KP000489</v>
      </c>
      <c r="E428" s="494" t="str">
        <f>'[6]price list MAN'!E428</f>
        <v>CKD</v>
      </c>
      <c r="F428" s="11" t="str">
        <f>'[6]price list MAN'!F428</f>
        <v>2018-03-15</v>
      </c>
      <c r="G428" s="32">
        <f>'[6]price list MAN'!G428</f>
        <v>15.3</v>
      </c>
      <c r="H428" s="26">
        <f>'[6]price list MAN'!H428</f>
        <v>42978</v>
      </c>
      <c r="I428" s="51" t="str">
        <f t="shared" si="30"/>
        <v>2017Q3</v>
      </c>
      <c r="J428" s="177">
        <f>'[6]price list MAN'!J428</f>
        <v>1380000</v>
      </c>
      <c r="K428" s="177">
        <f>'[6]price list MAN'!P428</f>
        <v>1097250</v>
      </c>
      <c r="L428" s="177">
        <f>'[6]price list MAN'!R428</f>
        <v>1045000</v>
      </c>
      <c r="M428" s="174">
        <f>'[6]price list MAN'!S428</f>
        <v>1405000</v>
      </c>
      <c r="N428" s="174">
        <f>'[6]price list MAN'!Y428</f>
        <v>1123500</v>
      </c>
      <c r="O428" s="174">
        <f>'[6]price list MAN'!AA428</f>
        <v>1070000</v>
      </c>
      <c r="P428" s="68">
        <f t="shared" si="31"/>
        <v>0.23843416370106763</v>
      </c>
      <c r="Q428" s="62" t="e">
        <f>O428-#REF!</f>
        <v>#REF!</v>
      </c>
      <c r="S428" s="62" t="e">
        <f>+AVERAGE(#REF!)</f>
        <v>#REF!</v>
      </c>
      <c r="W428" s="210"/>
      <c r="X428" s="210"/>
      <c r="Y428" s="210"/>
      <c r="Z428" s="210"/>
      <c r="AA428" s="210"/>
      <c r="AB428" s="210"/>
      <c r="AC428" s="210"/>
      <c r="AT428" s="425" t="str">
        <f t="shared" si="32"/>
        <v>KP0004892017Q315,3</v>
      </c>
      <c r="AU428" s="64" t="str">
        <f t="shared" si="33"/>
        <v>08-2017</v>
      </c>
      <c r="BA428" s="428" t="str">
        <f t="shared" si="34"/>
        <v>WIP - 30 Days</v>
      </c>
    </row>
    <row r="429" spans="1:245">
      <c r="B429" s="36" t="str">
        <f>'[6]price list MAN'!B429</f>
        <v>N65-1281</v>
      </c>
      <c r="C429" s="10" t="str">
        <f>'[6]price list MAN'!C429</f>
        <v>TGM-25-2806X2BL-L</v>
      </c>
      <c r="D429" s="16" t="str">
        <f>IFERROR(VLOOKUP(C429&amp;"",'[7]Retail Price List'!$A$3:$B$103,2,FALSE),"Special Order")</f>
        <v>KP000489</v>
      </c>
      <c r="E429" s="494" t="str">
        <f>'[6]price list MAN'!E429</f>
        <v>CKD</v>
      </c>
      <c r="F429" s="11" t="str">
        <f>'[6]price list MAN'!F429</f>
        <v>2018-03-30</v>
      </c>
      <c r="G429" s="32">
        <f>'[6]price list MAN'!G429</f>
        <v>15.3</v>
      </c>
      <c r="H429" s="26">
        <f>'[6]price list MAN'!H429</f>
        <v>42978</v>
      </c>
      <c r="I429" s="51" t="str">
        <f t="shared" si="30"/>
        <v>2017Q3</v>
      </c>
      <c r="J429" s="177">
        <f>'[6]price list MAN'!J429</f>
        <v>1380000</v>
      </c>
      <c r="K429" s="177">
        <f>'[6]price list MAN'!P429</f>
        <v>1097250</v>
      </c>
      <c r="L429" s="177">
        <f>'[6]price list MAN'!R429</f>
        <v>1045000</v>
      </c>
      <c r="M429" s="174">
        <f>'[6]price list MAN'!S429</f>
        <v>1405000</v>
      </c>
      <c r="N429" s="174">
        <f>'[6]price list MAN'!Y429</f>
        <v>1123500</v>
      </c>
      <c r="O429" s="174">
        <f>'[6]price list MAN'!AA429</f>
        <v>1070000</v>
      </c>
      <c r="P429" s="68">
        <f t="shared" si="31"/>
        <v>0.23843416370106763</v>
      </c>
      <c r="Q429" s="62" t="e">
        <f>O429-#REF!</f>
        <v>#REF!</v>
      </c>
      <c r="W429" s="210"/>
      <c r="X429" s="210"/>
      <c r="Y429" s="210"/>
      <c r="Z429" s="210"/>
      <c r="AA429" s="210"/>
      <c r="AB429" s="210"/>
      <c r="AC429" s="210"/>
      <c r="AT429" s="425" t="str">
        <f t="shared" si="32"/>
        <v>KP0004892017Q315,3</v>
      </c>
      <c r="AU429" s="64" t="str">
        <f t="shared" si="33"/>
        <v>08-2017</v>
      </c>
      <c r="BA429" s="428" t="str">
        <f t="shared" si="34"/>
        <v>WIP - 30 Days</v>
      </c>
    </row>
    <row r="430" spans="1:245">
      <c r="B430" s="36" t="str">
        <f>'[6]price list MAN'!B430</f>
        <v>N65-1282</v>
      </c>
      <c r="C430" s="10" t="str">
        <f>'[6]price list MAN'!C430</f>
        <v>TGM-25-2806X2BL-L</v>
      </c>
      <c r="D430" s="16" t="str">
        <f>IFERROR(VLOOKUP(C430&amp;"",'[7]Retail Price List'!$A$3:$B$103,2,FALSE),"Special Order")</f>
        <v>KP000489</v>
      </c>
      <c r="E430" s="494" t="str">
        <f>'[6]price list MAN'!E430</f>
        <v>CKD</v>
      </c>
      <c r="F430" s="11" t="str">
        <f>'[6]price list MAN'!F430</f>
        <v>2018-03-30</v>
      </c>
      <c r="G430" s="32">
        <f>'[6]price list MAN'!G430</f>
        <v>15.3</v>
      </c>
      <c r="H430" s="26">
        <f>'[6]price list MAN'!H430</f>
        <v>42978</v>
      </c>
      <c r="I430" s="51" t="str">
        <f t="shared" si="30"/>
        <v>2017Q3</v>
      </c>
      <c r="J430" s="177">
        <f>'[6]price list MAN'!J430</f>
        <v>1380000</v>
      </c>
      <c r="K430" s="177">
        <f>'[6]price list MAN'!P430</f>
        <v>1097250</v>
      </c>
      <c r="L430" s="177">
        <f>'[6]price list MAN'!R430</f>
        <v>1045000</v>
      </c>
      <c r="M430" s="174">
        <f>'[6]price list MAN'!S430</f>
        <v>1405000</v>
      </c>
      <c r="N430" s="174">
        <f>'[6]price list MAN'!Y430</f>
        <v>1123500</v>
      </c>
      <c r="O430" s="174">
        <f>'[6]price list MAN'!AA430</f>
        <v>1070000</v>
      </c>
      <c r="P430" s="68">
        <f t="shared" si="31"/>
        <v>0.23843416370106763</v>
      </c>
      <c r="Q430" s="62" t="e">
        <f>O430-#REF!</f>
        <v>#REF!</v>
      </c>
      <c r="W430" s="210"/>
      <c r="X430" s="210"/>
      <c r="Y430" s="210"/>
      <c r="Z430" s="210"/>
      <c r="AA430" s="210"/>
      <c r="AB430" s="210"/>
      <c r="AC430" s="210"/>
      <c r="AT430" s="425" t="str">
        <f t="shared" si="32"/>
        <v>KP0004892017Q315,3</v>
      </c>
      <c r="AU430" s="64" t="str">
        <f t="shared" si="33"/>
        <v>08-2017</v>
      </c>
      <c r="BA430" s="428" t="str">
        <f t="shared" si="34"/>
        <v>WIP - 30 Days</v>
      </c>
    </row>
    <row r="431" spans="1:245">
      <c r="B431" s="36" t="str">
        <f>'[6]price list MAN'!B431</f>
        <v>N65-1283</v>
      </c>
      <c r="C431" s="10" t="str">
        <f>'[6]price list MAN'!C431</f>
        <v>TGM-25-2806X2BL-L</v>
      </c>
      <c r="D431" s="16" t="str">
        <f>IFERROR(VLOOKUP(C431&amp;"",'[7]Retail Price List'!$A$3:$B$103,2,FALSE),"Special Order")</f>
        <v>KP000489</v>
      </c>
      <c r="E431" s="494" t="str">
        <f>'[6]price list MAN'!E431</f>
        <v>CKD</v>
      </c>
      <c r="F431" s="11" t="str">
        <f>'[6]price list MAN'!F431</f>
        <v>2018-03-30</v>
      </c>
      <c r="G431" s="32">
        <f>'[6]price list MAN'!G431</f>
        <v>15.3</v>
      </c>
      <c r="H431" s="26">
        <f>'[6]price list MAN'!H431</f>
        <v>42978</v>
      </c>
      <c r="I431" s="51" t="str">
        <f t="shared" si="30"/>
        <v>2017Q3</v>
      </c>
      <c r="J431" s="177">
        <f>'[6]price list MAN'!J431</f>
        <v>1380000</v>
      </c>
      <c r="K431" s="177">
        <f>'[6]price list MAN'!P431</f>
        <v>1097250</v>
      </c>
      <c r="L431" s="177">
        <f>'[6]price list MAN'!R431</f>
        <v>1045000</v>
      </c>
      <c r="M431" s="174">
        <f>'[6]price list MAN'!S431</f>
        <v>1405000</v>
      </c>
      <c r="N431" s="174">
        <f>'[6]price list MAN'!Y431</f>
        <v>1123500</v>
      </c>
      <c r="O431" s="174">
        <f>'[6]price list MAN'!AA431</f>
        <v>1070000</v>
      </c>
      <c r="P431" s="68">
        <f t="shared" si="31"/>
        <v>0.23843416370106763</v>
      </c>
      <c r="Q431" s="62" t="e">
        <f>O431-#REF!</f>
        <v>#REF!</v>
      </c>
      <c r="W431" s="210"/>
      <c r="X431" s="210"/>
      <c r="Y431" s="210"/>
      <c r="Z431" s="210"/>
      <c r="AA431" s="210"/>
      <c r="AB431" s="210"/>
      <c r="AC431" s="210"/>
      <c r="AT431" s="425" t="str">
        <f t="shared" si="32"/>
        <v>KP0004892017Q315,3</v>
      </c>
      <c r="AU431" s="64" t="str">
        <f t="shared" si="33"/>
        <v>08-2017</v>
      </c>
      <c r="BA431" s="428" t="str">
        <f t="shared" si="34"/>
        <v>WIP - 30 Days</v>
      </c>
    </row>
    <row r="432" spans="1:245">
      <c r="B432" s="36" t="str">
        <f>'[6]price list MAN'!B432</f>
        <v>N65-1284</v>
      </c>
      <c r="C432" s="10" t="str">
        <f>'[6]price list MAN'!C432</f>
        <v>TGM-25-2806X2BL-L</v>
      </c>
      <c r="D432" s="16" t="str">
        <f>IFERROR(VLOOKUP(C432&amp;"",'[7]Retail Price List'!$A$3:$B$103,2,FALSE),"Special Order")</f>
        <v>KP000489</v>
      </c>
      <c r="E432" s="494" t="str">
        <f>'[6]price list MAN'!E432</f>
        <v>CKD</v>
      </c>
      <c r="F432" s="11" t="str">
        <f>'[6]price list MAN'!F432</f>
        <v>2018-03-30</v>
      </c>
      <c r="G432" s="32">
        <f>'[6]price list MAN'!G432</f>
        <v>15.3</v>
      </c>
      <c r="H432" s="26">
        <f>'[6]price list MAN'!H432</f>
        <v>42978</v>
      </c>
      <c r="I432" s="51" t="str">
        <f t="shared" si="30"/>
        <v>2017Q3</v>
      </c>
      <c r="J432" s="177">
        <f>'[6]price list MAN'!J432</f>
        <v>1380000</v>
      </c>
      <c r="K432" s="177">
        <f>'[6]price list MAN'!P432</f>
        <v>1097250</v>
      </c>
      <c r="L432" s="177">
        <f>'[6]price list MAN'!R432</f>
        <v>1045000</v>
      </c>
      <c r="M432" s="174">
        <f>'[6]price list MAN'!S432</f>
        <v>1405000</v>
      </c>
      <c r="N432" s="174">
        <f>'[6]price list MAN'!Y432</f>
        <v>1123500</v>
      </c>
      <c r="O432" s="174">
        <f>'[6]price list MAN'!AA432</f>
        <v>1070000</v>
      </c>
      <c r="P432" s="68">
        <f t="shared" si="31"/>
        <v>0.23843416370106763</v>
      </c>
      <c r="Q432" s="62" t="e">
        <f>O432-#REF!</f>
        <v>#REF!</v>
      </c>
      <c r="W432" s="210"/>
      <c r="X432" s="210"/>
      <c r="Y432" s="210"/>
      <c r="Z432" s="210"/>
      <c r="AA432" s="210"/>
      <c r="AB432" s="210"/>
      <c r="AC432" s="210"/>
      <c r="AT432" s="425" t="str">
        <f t="shared" si="32"/>
        <v>KP0004892017Q315,3</v>
      </c>
      <c r="AU432" s="64" t="str">
        <f t="shared" si="33"/>
        <v>08-2017</v>
      </c>
      <c r="BA432" s="428" t="str">
        <f t="shared" si="34"/>
        <v>WIP - 30 Days</v>
      </c>
    </row>
    <row r="433" spans="1:245">
      <c r="B433" s="36" t="str">
        <f>'[6]price list MAN'!B433</f>
        <v>TBAKP489</v>
      </c>
      <c r="C433" s="10" t="str">
        <f>'[6]price list MAN'!C433</f>
        <v>TGM-25-2806X2BL-L</v>
      </c>
      <c r="D433" s="16" t="str">
        <f>IFERROR(VLOOKUP(C433&amp;"",'[7]Retail Price List'!$A$3:$B$103,2,FALSE),"Special Order")</f>
        <v>KP000489</v>
      </c>
      <c r="E433" s="494" t="str">
        <f>'[6]price list MAN'!E433</f>
        <v>CKD</v>
      </c>
      <c r="F433" s="11" t="str">
        <f>'[6]price list MAN'!F433</f>
        <v>2018-08-19</v>
      </c>
      <c r="G433" s="32">
        <f>'[6]price list MAN'!G433</f>
        <v>15.8</v>
      </c>
      <c r="H433" s="26">
        <f>'[6]price list MAN'!H433</f>
        <v>43159</v>
      </c>
      <c r="I433" s="51" t="str">
        <f t="shared" si="30"/>
        <v>2018Q1</v>
      </c>
      <c r="J433" s="177">
        <f>'[6]price list MAN'!J433</f>
        <v>1380000</v>
      </c>
      <c r="K433" s="177">
        <f>'[6]price list MAN'!P433</f>
        <v>1097250</v>
      </c>
      <c r="L433" s="177">
        <f>'[6]price list MAN'!R433</f>
        <v>1045000</v>
      </c>
      <c r="M433" s="174">
        <f>'[6]price list MAN'!S433</f>
        <v>1405000</v>
      </c>
      <c r="N433" s="174">
        <f>'[6]price list MAN'!Y433</f>
        <v>1123500</v>
      </c>
      <c r="O433" s="174">
        <f>'[6]price list MAN'!AA433</f>
        <v>1070000</v>
      </c>
      <c r="P433" s="68">
        <f t="shared" si="31"/>
        <v>0.23843416370106763</v>
      </c>
      <c r="Q433" s="62" t="e">
        <f>O433-#REF!</f>
        <v>#REF!</v>
      </c>
      <c r="W433" s="210"/>
      <c r="X433" s="210"/>
      <c r="Y433" s="210"/>
      <c r="Z433" s="210"/>
      <c r="AA433" s="210"/>
      <c r="AB433" s="210"/>
      <c r="AC433" s="210"/>
      <c r="AT433" s="425" t="str">
        <f t="shared" si="32"/>
        <v>KP0004892018Q115,8</v>
      </c>
      <c r="AU433" s="64" t="str">
        <f t="shared" si="33"/>
        <v>02-2018</v>
      </c>
      <c r="BA433" s="428" t="str">
        <f t="shared" si="34"/>
        <v>WIP - 30 Days</v>
      </c>
    </row>
    <row r="434" spans="1:245">
      <c r="B434" s="36" t="str">
        <f>'[6]price list MAN'!B434</f>
        <v>TBAKP482</v>
      </c>
      <c r="C434" s="10" t="str">
        <f>'[6]price list MAN'!C434</f>
        <v>TGM-25-2806X2BL-LX</v>
      </c>
      <c r="D434" s="16" t="str">
        <f>IFERROR(VLOOKUP(C434&amp;"",'[7]Retail Price List'!$A$3:$B$103,2,FALSE),"Special Order")</f>
        <v>KP000482</v>
      </c>
      <c r="E434" s="494" t="str">
        <f>'[6]price list MAN'!E434</f>
        <v>CKD</v>
      </c>
      <c r="F434" s="11" t="str">
        <f>'[6]price list MAN'!F434</f>
        <v>2018-08-19</v>
      </c>
      <c r="G434" s="32">
        <f>'[6]price list MAN'!G434</f>
        <v>15.8</v>
      </c>
      <c r="H434" s="26">
        <f>'[6]price list MAN'!H434</f>
        <v>43159</v>
      </c>
      <c r="I434" s="51" t="str">
        <f t="shared" si="30"/>
        <v>2018Q1</v>
      </c>
      <c r="J434" s="177">
        <f>'[6]price list MAN'!J434</f>
        <v>1370000</v>
      </c>
      <c r="K434" s="177">
        <f>'[6]price list MAN'!P434</f>
        <v>1102500</v>
      </c>
      <c r="L434" s="177">
        <f>'[6]price list MAN'!R434</f>
        <v>1050000</v>
      </c>
      <c r="M434" s="174">
        <f>'[6]price list MAN'!S434</f>
        <v>1400000</v>
      </c>
      <c r="N434" s="174">
        <f>'[6]price list MAN'!Y434</f>
        <v>1134000</v>
      </c>
      <c r="O434" s="174">
        <f>'[6]price list MAN'!AA434</f>
        <v>1080000</v>
      </c>
      <c r="P434" s="68">
        <f t="shared" si="31"/>
        <v>0.22857142857142856</v>
      </c>
      <c r="Q434" s="62" t="e">
        <f>O434-#REF!</f>
        <v>#REF!</v>
      </c>
      <c r="W434" s="210"/>
      <c r="X434" s="210"/>
      <c r="Y434" s="210"/>
      <c r="Z434" s="210"/>
      <c r="AA434" s="210"/>
      <c r="AB434" s="210"/>
      <c r="AC434" s="210"/>
      <c r="AT434" s="425" t="str">
        <f t="shared" si="32"/>
        <v>KP0004822018Q115,8</v>
      </c>
      <c r="AU434" s="64" t="str">
        <f t="shared" si="33"/>
        <v>02-2018</v>
      </c>
      <c r="BA434" s="428" t="str">
        <f t="shared" si="34"/>
        <v>WIP - 30 Days</v>
      </c>
    </row>
    <row r="435" spans="1:245">
      <c r="B435" s="36" t="str">
        <f>'[6]price list MAN'!B435</f>
        <v>TBAKP632</v>
      </c>
      <c r="C435" s="10" t="str">
        <f>'[6]price list MAN'!C435</f>
        <v>TGS-19-3604X2BLS-L</v>
      </c>
      <c r="D435" s="16" t="str">
        <f>IFERROR(VLOOKUP(C435&amp;"",'[7]Retail Price List'!$A$3:$B$103,2,FALSE),"Special Order")</f>
        <v>KP000632</v>
      </c>
      <c r="E435" s="494" t="str">
        <f>'[6]price list MAN'!E435</f>
        <v>CKD</v>
      </c>
      <c r="F435" s="11" t="str">
        <f>'[6]price list MAN'!F435</f>
        <v>2018-08-19</v>
      </c>
      <c r="G435" s="32">
        <f>'[6]price list MAN'!G435</f>
        <v>15.8</v>
      </c>
      <c r="H435" s="26">
        <f>'[6]price list MAN'!H435</f>
        <v>43159</v>
      </c>
      <c r="I435" s="51" t="str">
        <f t="shared" si="30"/>
        <v>2018Q1</v>
      </c>
      <c r="J435" s="177">
        <f>'[6]price list MAN'!J435</f>
        <v>1370000</v>
      </c>
      <c r="K435" s="177">
        <f>'[6]price list MAN'!P435</f>
        <v>1102500</v>
      </c>
      <c r="L435" s="177">
        <f>'[6]price list MAN'!R435</f>
        <v>1050000</v>
      </c>
      <c r="M435" s="174">
        <f>'[6]price list MAN'!S435</f>
        <v>1400000</v>
      </c>
      <c r="N435" s="174">
        <f>'[6]price list MAN'!Y435</f>
        <v>1134000</v>
      </c>
      <c r="O435" s="174">
        <f>'[6]price list MAN'!AA435</f>
        <v>1080000</v>
      </c>
      <c r="P435" s="68">
        <f t="shared" si="31"/>
        <v>0.22857142857142856</v>
      </c>
      <c r="Q435" s="62" t="e">
        <f>O435-#REF!</f>
        <v>#REF!</v>
      </c>
      <c r="W435" s="210"/>
      <c r="X435" s="210"/>
      <c r="Y435" s="210"/>
      <c r="Z435" s="210"/>
      <c r="AA435" s="210"/>
      <c r="AB435" s="210"/>
      <c r="AC435" s="210"/>
      <c r="AT435" s="425" t="str">
        <f t="shared" si="32"/>
        <v>KP0006322018Q115,8</v>
      </c>
      <c r="AU435" s="64" t="str">
        <f t="shared" si="33"/>
        <v>02-2018</v>
      </c>
      <c r="BA435" s="428" t="str">
        <f t="shared" si="34"/>
        <v>WIP - 30 Days</v>
      </c>
    </row>
    <row r="436" spans="1:245">
      <c r="B436" s="36" t="str">
        <f>'[6]price list MAN'!B436</f>
        <v>TBAKP011</v>
      </c>
      <c r="C436" s="10" t="str">
        <f>'[6]price list MAN'!C436</f>
        <v>TGS-19-3604X2BLS-L - INT</v>
      </c>
      <c r="D436" s="16" t="str">
        <f>IFERROR(VLOOKUP(C436&amp;"",'[7]Retail Price List'!$A$3:$B$103,2,FALSE),"Special Order")</f>
        <v>TGS00011</v>
      </c>
      <c r="E436" s="494" t="str">
        <f>'[6]price list MAN'!E436</f>
        <v>CKD</v>
      </c>
      <c r="F436" s="11" t="str">
        <f>'[6]price list MAN'!F436</f>
        <v>2018-08-19</v>
      </c>
      <c r="G436" s="32">
        <f>'[6]price list MAN'!G436</f>
        <v>15.8</v>
      </c>
      <c r="H436" s="26">
        <f>'[6]price list MAN'!H436</f>
        <v>43159</v>
      </c>
      <c r="I436" s="51" t="str">
        <f t="shared" si="30"/>
        <v>2018Q1</v>
      </c>
      <c r="J436" s="177">
        <f>'[6]price list MAN'!J436</f>
        <v>1490000</v>
      </c>
      <c r="K436" s="177">
        <f>'[6]price list MAN'!P436</f>
        <v>1202250</v>
      </c>
      <c r="L436" s="177">
        <f>'[6]price list MAN'!R436</f>
        <v>1145000</v>
      </c>
      <c r="M436" s="174">
        <f>'[6]price list MAN'!S436</f>
        <v>1520000</v>
      </c>
      <c r="N436" s="174">
        <f>'[6]price list MAN'!Y436</f>
        <v>1233750</v>
      </c>
      <c r="O436" s="174">
        <f>'[6]price list MAN'!AA436</f>
        <v>1175000</v>
      </c>
      <c r="P436" s="68">
        <f t="shared" si="31"/>
        <v>0.22697368421052633</v>
      </c>
      <c r="Q436" s="62" t="e">
        <f>O436-#REF!</f>
        <v>#REF!</v>
      </c>
      <c r="W436" s="210"/>
      <c r="X436" s="210"/>
      <c r="Y436" s="210"/>
      <c r="Z436" s="210"/>
      <c r="AA436" s="210"/>
      <c r="AB436" s="210"/>
      <c r="AC436" s="210"/>
      <c r="AT436" s="425" t="str">
        <f t="shared" si="32"/>
        <v>TGS000112018Q115,8</v>
      </c>
      <c r="AU436" s="64" t="str">
        <f t="shared" si="33"/>
        <v>02-2018</v>
      </c>
      <c r="BA436" s="428" t="str">
        <f t="shared" si="34"/>
        <v>WIP - 30 Days</v>
      </c>
    </row>
    <row r="437" spans="1:245">
      <c r="B437" s="36" t="str">
        <f>'[6]price list MAN'!B437</f>
        <v>TBATG008</v>
      </c>
      <c r="C437" s="10" t="str">
        <f>'[6]price list MAN'!C437</f>
        <v>TGS-19-4004X2BLS-L-ALU-PTO</v>
      </c>
      <c r="D437" s="16" t="str">
        <f>IFERROR(VLOOKUP(C437&amp;"",'[7]Retail Price List'!$A$3:$B$103,2,FALSE),"Special Order")</f>
        <v>TGS00008</v>
      </c>
      <c r="E437" s="494" t="str">
        <f>'[6]price list MAN'!E437</f>
        <v>CKD</v>
      </c>
      <c r="F437" s="11" t="str">
        <f>'[6]price list MAN'!F437</f>
        <v>2018-06-18</v>
      </c>
      <c r="G437" s="32">
        <f>'[6]price list MAN'!G437</f>
        <v>15.8</v>
      </c>
      <c r="H437" s="26">
        <f>'[6]price list MAN'!H437</f>
        <v>43159</v>
      </c>
      <c r="I437" s="51" t="str">
        <f t="shared" si="30"/>
        <v>2018Q1</v>
      </c>
      <c r="J437" s="177">
        <f>'[6]price list MAN'!J437</f>
        <v>1490000</v>
      </c>
      <c r="K437" s="177">
        <f>'[6]price list MAN'!P437</f>
        <v>1249500</v>
      </c>
      <c r="L437" s="177">
        <f>'[6]price list MAN'!R437</f>
        <v>1190000</v>
      </c>
      <c r="M437" s="174">
        <f>'[6]price list MAN'!S437</f>
        <v>1545000</v>
      </c>
      <c r="N437" s="174">
        <f>'[6]price list MAN'!Y437</f>
        <v>1307250</v>
      </c>
      <c r="O437" s="174">
        <f>'[6]price list MAN'!AA437</f>
        <v>1245000</v>
      </c>
      <c r="P437" s="68">
        <f t="shared" si="31"/>
        <v>0.1941747572815534</v>
      </c>
      <c r="Q437" s="62" t="e">
        <f>O437-#REF!</f>
        <v>#REF!</v>
      </c>
      <c r="W437" s="210"/>
      <c r="X437" s="210"/>
      <c r="Y437" s="210"/>
      <c r="Z437" s="210"/>
      <c r="AA437" s="210"/>
      <c r="AB437" s="210"/>
      <c r="AC437" s="210"/>
      <c r="AT437" s="425" t="str">
        <f t="shared" si="32"/>
        <v>TGS000082018Q115,8</v>
      </c>
      <c r="AU437" s="64" t="str">
        <f t="shared" si="33"/>
        <v>02-2018</v>
      </c>
      <c r="BA437" s="428" t="str">
        <f t="shared" si="34"/>
        <v>WIP - 30 Days</v>
      </c>
    </row>
    <row r="438" spans="1:245">
      <c r="B438" s="36" t="str">
        <f>'[6]price list MAN'!B438</f>
        <v>73W-0235</v>
      </c>
      <c r="C438" s="10" t="str">
        <f>'[6]price list MAN'!C438</f>
        <v>TGS-25-4406X2BLS-LX</v>
      </c>
      <c r="D438" s="16" t="str">
        <f>IFERROR(VLOOKUP(C438&amp;"",'[7]Retail Price List'!$A$3:$B$103,2,FALSE),"Special Order")</f>
        <v>TGS00010</v>
      </c>
      <c r="E438" s="494" t="str">
        <f>'[6]price list MAN'!E438</f>
        <v>SOLD</v>
      </c>
      <c r="F438" s="11">
        <f>'[6]price list MAN'!F438</f>
        <v>99</v>
      </c>
      <c r="G438" s="32">
        <f>'[6]price list MAN'!G438</f>
        <v>14.7</v>
      </c>
      <c r="H438" s="26">
        <f>'[6]price list MAN'!H438</f>
        <v>42909</v>
      </c>
      <c r="I438" s="51" t="str">
        <f t="shared" si="30"/>
        <v>2017Q2</v>
      </c>
      <c r="J438" s="177">
        <f>'[6]price list MAN'!J438</f>
        <v>1660000</v>
      </c>
      <c r="K438" s="177">
        <f>'[6]price list MAN'!P438</f>
        <v>1354500</v>
      </c>
      <c r="L438" s="177">
        <f>'[6]price list MAN'!R438</f>
        <v>1290000</v>
      </c>
      <c r="M438" s="174">
        <f>'[6]price list MAN'!S438</f>
        <v>1715000</v>
      </c>
      <c r="N438" s="174">
        <f>'[6]price list MAN'!Y438</f>
        <v>1412250</v>
      </c>
      <c r="O438" s="174">
        <f>'[6]price list MAN'!AA438</f>
        <v>1345000</v>
      </c>
      <c r="P438" s="68">
        <f t="shared" si="31"/>
        <v>0.21574344023323616</v>
      </c>
      <c r="Q438" s="62" t="e">
        <f>O438-#REF!</f>
        <v>#REF!</v>
      </c>
      <c r="W438" s="210"/>
      <c r="X438" s="210"/>
      <c r="Y438" s="210"/>
      <c r="Z438" s="210"/>
      <c r="AA438" s="210"/>
      <c r="AB438" s="210"/>
      <c r="AC438" s="210"/>
      <c r="AT438" s="425" t="str">
        <f t="shared" si="32"/>
        <v>TGS000102017Q214,7</v>
      </c>
      <c r="AU438" s="64" t="str">
        <f t="shared" si="33"/>
        <v>06-2017</v>
      </c>
      <c r="BA438" s="428" t="str">
        <f t="shared" si="34"/>
        <v>31-120 Days</v>
      </c>
    </row>
    <row r="439" spans="1:245">
      <c r="B439" s="36" t="str">
        <f>'[6]price list MAN'!B439</f>
        <v>73W-0236</v>
      </c>
      <c r="C439" s="10" t="str">
        <f>'[6]price list MAN'!C439</f>
        <v>TGS-25-4406X2BLS-LX</v>
      </c>
      <c r="D439" s="16" t="str">
        <f>IFERROR(VLOOKUP(C439&amp;"",'[7]Retail Price List'!$A$3:$B$103,2,FALSE),"Special Order")</f>
        <v>TGS00010</v>
      </c>
      <c r="E439" s="494" t="str">
        <f>'[6]price list MAN'!E439</f>
        <v>SOLD</v>
      </c>
      <c r="F439" s="11">
        <f>'[6]price list MAN'!F439</f>
        <v>99</v>
      </c>
      <c r="G439" s="32">
        <f>'[6]price list MAN'!G439</f>
        <v>14.7</v>
      </c>
      <c r="H439" s="26">
        <f>'[6]price list MAN'!H439</f>
        <v>42909</v>
      </c>
      <c r="I439" s="51" t="str">
        <f t="shared" si="30"/>
        <v>2017Q2</v>
      </c>
      <c r="J439" s="177">
        <f>'[6]price list MAN'!J439</f>
        <v>1660000</v>
      </c>
      <c r="K439" s="177">
        <f>'[6]price list MAN'!P439</f>
        <v>1354500</v>
      </c>
      <c r="L439" s="177">
        <f>'[6]price list MAN'!R439</f>
        <v>1290000</v>
      </c>
      <c r="M439" s="174">
        <f>'[6]price list MAN'!S439</f>
        <v>1715000</v>
      </c>
      <c r="N439" s="174">
        <f>'[6]price list MAN'!Y439</f>
        <v>1412250</v>
      </c>
      <c r="O439" s="174">
        <f>'[6]price list MAN'!AA439</f>
        <v>1345000</v>
      </c>
      <c r="P439" s="68">
        <f t="shared" si="31"/>
        <v>0.21574344023323616</v>
      </c>
      <c r="Q439" s="62" t="e">
        <f>O439-#REF!</f>
        <v>#REF!</v>
      </c>
      <c r="W439" s="210"/>
      <c r="X439" s="210"/>
      <c r="Y439" s="210"/>
      <c r="Z439" s="210"/>
      <c r="AA439" s="210"/>
      <c r="AB439" s="210"/>
      <c r="AC439" s="210"/>
      <c r="AT439" s="425" t="str">
        <f t="shared" si="32"/>
        <v>TGS000102017Q214,7</v>
      </c>
      <c r="AU439" s="64" t="str">
        <f t="shared" si="33"/>
        <v>06-2017</v>
      </c>
      <c r="BA439" s="428" t="str">
        <f t="shared" si="34"/>
        <v>31-120 Days</v>
      </c>
    </row>
    <row r="440" spans="1:245">
      <c r="B440" s="36" t="str">
        <f>'[6]price list MAN'!B440</f>
        <v>73W-0237</v>
      </c>
      <c r="C440" s="10" t="str">
        <f>'[6]price list MAN'!C440</f>
        <v>TGS-25-4406X2BLS-LX</v>
      </c>
      <c r="D440" s="16" t="str">
        <f>IFERROR(VLOOKUP(C440&amp;"",'[7]Retail Price List'!$A$3:$B$103,2,FALSE),"Special Order")</f>
        <v>TGS00010</v>
      </c>
      <c r="E440" s="494" t="str">
        <f>'[6]price list MAN'!E440</f>
        <v>SOLD</v>
      </c>
      <c r="F440" s="11">
        <f>'[6]price list MAN'!F440</f>
        <v>99</v>
      </c>
      <c r="G440" s="32">
        <f>'[6]price list MAN'!G440</f>
        <v>14.7</v>
      </c>
      <c r="H440" s="26">
        <f>'[6]price list MAN'!H440</f>
        <v>42909</v>
      </c>
      <c r="I440" s="51" t="str">
        <f t="shared" si="30"/>
        <v>2017Q2</v>
      </c>
      <c r="J440" s="177">
        <f>'[6]price list MAN'!J440</f>
        <v>1660000</v>
      </c>
      <c r="K440" s="177">
        <f>'[6]price list MAN'!P440</f>
        <v>1354500</v>
      </c>
      <c r="L440" s="177">
        <f>'[6]price list MAN'!R440</f>
        <v>1290000</v>
      </c>
      <c r="M440" s="174">
        <f>'[6]price list MAN'!S440</f>
        <v>1715000</v>
      </c>
      <c r="N440" s="174">
        <f>'[6]price list MAN'!Y440</f>
        <v>1412250</v>
      </c>
      <c r="O440" s="174">
        <f>'[6]price list MAN'!AA440</f>
        <v>1345000</v>
      </c>
      <c r="P440" s="68">
        <f t="shared" si="31"/>
        <v>0.21574344023323616</v>
      </c>
      <c r="Q440" s="62" t="e">
        <f>O440-#REF!</f>
        <v>#REF!</v>
      </c>
      <c r="W440" s="210"/>
      <c r="X440" s="210"/>
      <c r="Y440" s="210"/>
      <c r="Z440" s="210"/>
      <c r="AA440" s="210"/>
      <c r="AB440" s="210"/>
      <c r="AC440" s="210"/>
      <c r="AT440" s="425" t="str">
        <f t="shared" si="32"/>
        <v>TGS000102017Q214,7</v>
      </c>
      <c r="AU440" s="64" t="str">
        <f t="shared" si="33"/>
        <v>06-2017</v>
      </c>
      <c r="BA440" s="428" t="str">
        <f t="shared" si="34"/>
        <v>31-120 Days</v>
      </c>
    </row>
    <row r="441" spans="1:245">
      <c r="B441" s="36" t="str">
        <f>'[6]price list MAN'!B441</f>
        <v>73W-0238</v>
      </c>
      <c r="C441" s="10" t="str">
        <f>'[6]price list MAN'!C441</f>
        <v>TGS-25-4406X2BLS-LX</v>
      </c>
      <c r="D441" s="16" t="str">
        <f>IFERROR(VLOOKUP(C441&amp;"",'[7]Retail Price List'!$A$3:$B$103,2,FALSE),"Special Order")</f>
        <v>TGS00010</v>
      </c>
      <c r="E441" s="494" t="str">
        <f>'[6]price list MAN'!E441</f>
        <v>SOLD</v>
      </c>
      <c r="F441" s="11">
        <f>'[6]price list MAN'!F441</f>
        <v>99</v>
      </c>
      <c r="G441" s="32">
        <f>'[6]price list MAN'!G441</f>
        <v>14.7</v>
      </c>
      <c r="H441" s="26">
        <f>'[6]price list MAN'!H441</f>
        <v>42909</v>
      </c>
      <c r="I441" s="51" t="str">
        <f t="shared" si="30"/>
        <v>2017Q2</v>
      </c>
      <c r="J441" s="177">
        <f>'[6]price list MAN'!J441</f>
        <v>1660000</v>
      </c>
      <c r="K441" s="177">
        <f>'[6]price list MAN'!P441</f>
        <v>1354500</v>
      </c>
      <c r="L441" s="177">
        <f>'[6]price list MAN'!R441</f>
        <v>1290000</v>
      </c>
      <c r="M441" s="174">
        <f>'[6]price list MAN'!S441</f>
        <v>1715000</v>
      </c>
      <c r="N441" s="174">
        <f>'[6]price list MAN'!Y441</f>
        <v>1412250</v>
      </c>
      <c r="O441" s="174">
        <f>'[6]price list MAN'!AA441</f>
        <v>1345000</v>
      </c>
      <c r="P441" s="68">
        <f t="shared" si="31"/>
        <v>0.21574344023323616</v>
      </c>
      <c r="Q441" s="62" t="e">
        <f>O441-#REF!</f>
        <v>#REF!</v>
      </c>
      <c r="W441" s="210"/>
      <c r="X441" s="210"/>
      <c r="Y441" s="210"/>
      <c r="Z441" s="210"/>
      <c r="AA441" s="210"/>
      <c r="AB441" s="210"/>
      <c r="AC441" s="210"/>
      <c r="AT441" s="425" t="str">
        <f t="shared" si="32"/>
        <v>TGS000102017Q214,7</v>
      </c>
      <c r="AU441" s="64" t="str">
        <f t="shared" si="33"/>
        <v>06-2017</v>
      </c>
      <c r="BA441" s="428" t="str">
        <f t="shared" si="34"/>
        <v>31-120 Days</v>
      </c>
    </row>
    <row r="442" spans="1:245">
      <c r="B442" s="36" t="str">
        <f>'[6]price list MAN'!B442</f>
        <v>73W-0239</v>
      </c>
      <c r="C442" s="10" t="str">
        <f>'[6]price list MAN'!C442</f>
        <v>TGS-25-4406X2BLS-LX</v>
      </c>
      <c r="D442" s="16" t="str">
        <f>IFERROR(VLOOKUP(C442&amp;"",'[7]Retail Price List'!$A$3:$B$103,2,FALSE),"Special Order")</f>
        <v>TGS00010</v>
      </c>
      <c r="E442" s="494" t="str">
        <f>'[6]price list MAN'!E442</f>
        <v>SOLD</v>
      </c>
      <c r="F442" s="11">
        <f>'[6]price list MAN'!F442</f>
        <v>104</v>
      </c>
      <c r="G442" s="32">
        <f>'[6]price list MAN'!G442</f>
        <v>14.7</v>
      </c>
      <c r="H442" s="26">
        <f>'[6]price list MAN'!H442</f>
        <v>42909</v>
      </c>
      <c r="I442" s="51" t="str">
        <f t="shared" si="30"/>
        <v>2017Q2</v>
      </c>
      <c r="J442" s="177">
        <f>'[6]price list MAN'!J442</f>
        <v>1660000</v>
      </c>
      <c r="K442" s="177">
        <f>'[6]price list MAN'!P442</f>
        <v>1354500</v>
      </c>
      <c r="L442" s="177">
        <f>'[6]price list MAN'!R442</f>
        <v>1290000</v>
      </c>
      <c r="M442" s="174">
        <f>'[6]price list MAN'!S442</f>
        <v>1715000</v>
      </c>
      <c r="N442" s="174">
        <f>'[6]price list MAN'!Y442</f>
        <v>1412250</v>
      </c>
      <c r="O442" s="174">
        <f>'[6]price list MAN'!AA442</f>
        <v>1345000</v>
      </c>
      <c r="P442" s="68">
        <f t="shared" si="31"/>
        <v>0.21574344023323616</v>
      </c>
      <c r="Q442" s="62" t="e">
        <f>O442-#REF!</f>
        <v>#REF!</v>
      </c>
      <c r="W442" s="210"/>
      <c r="X442" s="210"/>
      <c r="Y442" s="210"/>
      <c r="Z442" s="210"/>
      <c r="AA442" s="210"/>
      <c r="AB442" s="210"/>
      <c r="AC442" s="210"/>
      <c r="AT442" s="425" t="str">
        <f t="shared" si="32"/>
        <v>TGS000102017Q214,7</v>
      </c>
      <c r="AU442" s="64" t="str">
        <f t="shared" si="33"/>
        <v>06-2017</v>
      </c>
      <c r="BA442" s="428" t="str">
        <f t="shared" si="34"/>
        <v>31-120 Days</v>
      </c>
    </row>
    <row r="443" spans="1:245">
      <c r="B443" s="36" t="str">
        <f>'[6]price list MAN'!B443</f>
        <v>73W-0240</v>
      </c>
      <c r="C443" s="10" t="str">
        <f>'[6]price list MAN'!C443</f>
        <v>TGS-25-4406X2BLS-LX</v>
      </c>
      <c r="D443" s="16" t="str">
        <f>IFERROR(VLOOKUP(C443&amp;"",'[7]Retail Price List'!$A$3:$B$103,2,FALSE),"Special Order")</f>
        <v>TGS00010</v>
      </c>
      <c r="E443" s="494" t="str">
        <f>'[6]price list MAN'!E443</f>
        <v>UNSOLD</v>
      </c>
      <c r="F443" s="11">
        <f>'[6]price list MAN'!F443</f>
        <v>104</v>
      </c>
      <c r="G443" s="32">
        <f>'[6]price list MAN'!G443</f>
        <v>14.7</v>
      </c>
      <c r="H443" s="26">
        <f>'[6]price list MAN'!H443</f>
        <v>42909</v>
      </c>
      <c r="I443" s="51" t="str">
        <f t="shared" si="30"/>
        <v>2017Q2</v>
      </c>
      <c r="J443" s="177">
        <f>'[6]price list MAN'!J443</f>
        <v>1660000</v>
      </c>
      <c r="K443" s="177">
        <f>'[6]price list MAN'!P443</f>
        <v>1323000</v>
      </c>
      <c r="L443" s="177">
        <f>'[6]price list MAN'!R443</f>
        <v>1260000</v>
      </c>
      <c r="M443" s="174">
        <f>'[6]price list MAN'!S443</f>
        <v>1715000</v>
      </c>
      <c r="N443" s="174">
        <f>'[6]price list MAN'!Y443</f>
        <v>1380750</v>
      </c>
      <c r="O443" s="174">
        <f>'[6]price list MAN'!AA443</f>
        <v>1315000</v>
      </c>
      <c r="P443" s="68">
        <f t="shared" si="31"/>
        <v>0.23323615160349853</v>
      </c>
      <c r="Q443" s="62" t="e">
        <f>O443-#REF!</f>
        <v>#REF!</v>
      </c>
      <c r="W443" s="210"/>
      <c r="X443" s="210"/>
      <c r="Y443" s="210"/>
      <c r="Z443" s="210"/>
      <c r="AA443" s="210"/>
      <c r="AB443" s="210"/>
      <c r="AC443" s="210"/>
      <c r="AT443" s="425" t="str">
        <f t="shared" si="32"/>
        <v>TGS000102017Q214,7</v>
      </c>
      <c r="AU443" s="64" t="str">
        <f t="shared" si="33"/>
        <v>06-2017</v>
      </c>
      <c r="BA443" s="428" t="str">
        <f t="shared" si="34"/>
        <v>31-120 Days</v>
      </c>
    </row>
    <row r="444" spans="1:245" s="4" customFormat="1">
      <c r="A444" s="41"/>
      <c r="B444" s="36" t="str">
        <f>'[6]price list MAN'!B444</f>
        <v>TBATG010</v>
      </c>
      <c r="C444" s="10" t="str">
        <f>'[6]price list MAN'!C444</f>
        <v>TGS-25-4406X2BLS-LX</v>
      </c>
      <c r="D444" s="16" t="str">
        <f>IFERROR(VLOOKUP(C444&amp;"",'[7]Retail Price List'!$A$3:$B$103,2,FALSE),"Special Order")</f>
        <v>TGS00010</v>
      </c>
      <c r="E444" s="494" t="str">
        <f>'[6]price list MAN'!E444</f>
        <v>CKD</v>
      </c>
      <c r="F444" s="11" t="str">
        <f>'[6]price list MAN'!F444</f>
        <v>2018-06-18</v>
      </c>
      <c r="G444" s="32">
        <f>'[6]price list MAN'!G444</f>
        <v>15.8</v>
      </c>
      <c r="H444" s="26">
        <f>'[6]price list MAN'!H444</f>
        <v>43159</v>
      </c>
      <c r="I444" s="51" t="str">
        <f t="shared" si="30"/>
        <v>2018Q1</v>
      </c>
      <c r="J444" s="177">
        <f>'[6]price list MAN'!J444</f>
        <v>1660000</v>
      </c>
      <c r="K444" s="177">
        <f>'[6]price list MAN'!P444</f>
        <v>1354500</v>
      </c>
      <c r="L444" s="177">
        <f>'[6]price list MAN'!R444</f>
        <v>1290000</v>
      </c>
      <c r="M444" s="174">
        <f>'[6]price list MAN'!S444</f>
        <v>1715000</v>
      </c>
      <c r="N444" s="174">
        <f>'[6]price list MAN'!Y444</f>
        <v>1412250</v>
      </c>
      <c r="O444" s="174">
        <f>'[6]price list MAN'!AA444</f>
        <v>1345000</v>
      </c>
      <c r="P444" s="68">
        <f t="shared" si="31"/>
        <v>0.21574344023323616</v>
      </c>
      <c r="Q444" s="62" t="e">
        <f>O444-#REF!</f>
        <v>#REF!</v>
      </c>
      <c r="R444" s="63" t="e">
        <f>SUM(Q424:Q443)/SUM(O424:O443)</f>
        <v>#REF!</v>
      </c>
      <c r="S444" s="64"/>
      <c r="T444" s="64"/>
      <c r="U444" s="64"/>
      <c r="V444" s="64"/>
      <c r="W444" s="210"/>
      <c r="X444" s="210"/>
      <c r="Y444" s="210"/>
      <c r="Z444" s="210"/>
      <c r="AA444" s="210"/>
      <c r="AB444" s="210"/>
      <c r="AC444" s="210"/>
      <c r="AD444" s="54"/>
      <c r="AE444" s="54"/>
      <c r="AF444" s="54"/>
      <c r="AG444" s="5"/>
      <c r="AH444" s="5"/>
      <c r="AI444" s="5"/>
      <c r="AJ444" s="5"/>
      <c r="AK444" s="5"/>
      <c r="AL444" s="5"/>
      <c r="AM444" s="5"/>
      <c r="AN444" s="5"/>
      <c r="AO444" s="5"/>
      <c r="AP444" s="5"/>
      <c r="AQ444" s="5"/>
      <c r="AR444" s="5"/>
      <c r="AS444" s="5"/>
      <c r="AT444" s="425" t="str">
        <f t="shared" si="32"/>
        <v>TGS000102018Q115,8</v>
      </c>
      <c r="AU444" s="64" t="str">
        <f t="shared" si="33"/>
        <v>02-2018</v>
      </c>
      <c r="AV444" s="64"/>
      <c r="AW444" s="64"/>
      <c r="AX444" s="64"/>
      <c r="AY444" s="64"/>
      <c r="AZ444" s="64"/>
      <c r="BA444" s="428" t="str">
        <f t="shared" si="34"/>
        <v>WIP - 30 Days</v>
      </c>
      <c r="BB444" s="169"/>
      <c r="BC444" s="169"/>
      <c r="BD444" s="169"/>
      <c r="BE444" s="41"/>
      <c r="BF444" s="41"/>
      <c r="BG444" s="41"/>
      <c r="BH444" s="41"/>
      <c r="BI444" s="41"/>
      <c r="BJ444" s="41"/>
      <c r="BK444" s="41"/>
      <c r="BL444" s="41"/>
      <c r="BM444" s="41"/>
      <c r="BN444" s="41"/>
      <c r="BO444" s="41"/>
      <c r="BP444" s="41"/>
      <c r="BQ444" s="41"/>
      <c r="BR444" s="41"/>
      <c r="BS444" s="41"/>
      <c r="BT444" s="41"/>
      <c r="BU444" s="41"/>
      <c r="BV444" s="41"/>
      <c r="BW444" s="41"/>
      <c r="BX444" s="41"/>
      <c r="BY444" s="41"/>
      <c r="BZ444" s="41"/>
      <c r="CA444" s="41"/>
      <c r="CB444" s="41"/>
      <c r="CC444" s="41"/>
      <c r="CD444" s="41"/>
      <c r="CE444" s="41"/>
      <c r="CF444" s="41"/>
      <c r="CG444" s="41"/>
      <c r="CH444" s="41"/>
      <c r="CI444" s="41"/>
      <c r="CJ444" s="41"/>
      <c r="CK444" s="41"/>
      <c r="CL444" s="41"/>
      <c r="CM444" s="41"/>
      <c r="CN444" s="41"/>
      <c r="CO444" s="41"/>
      <c r="CP444" s="41"/>
      <c r="CQ444" s="41"/>
      <c r="CR444" s="41"/>
      <c r="CS444" s="41"/>
      <c r="CT444" s="41"/>
      <c r="CU444" s="41"/>
      <c r="CV444" s="41"/>
      <c r="CW444" s="41"/>
      <c r="CX444" s="41"/>
      <c r="CY444" s="41"/>
      <c r="CZ444" s="41"/>
      <c r="DA444" s="41"/>
      <c r="DB444" s="41"/>
      <c r="DC444" s="41"/>
      <c r="DD444" s="41"/>
      <c r="DE444" s="41"/>
      <c r="DF444" s="41"/>
      <c r="DG444" s="41"/>
      <c r="DH444" s="41"/>
      <c r="DI444" s="41"/>
      <c r="DJ444" s="41"/>
      <c r="DK444" s="41"/>
      <c r="DL444" s="41"/>
      <c r="DM444" s="41"/>
      <c r="DN444" s="41"/>
      <c r="DO444" s="41"/>
      <c r="DP444" s="41"/>
      <c r="DQ444" s="41"/>
      <c r="DR444" s="41"/>
      <c r="DS444" s="41"/>
      <c r="DT444" s="41"/>
      <c r="DU444" s="41"/>
      <c r="DV444" s="41"/>
      <c r="DW444" s="41"/>
      <c r="DX444" s="41"/>
      <c r="DY444" s="41"/>
      <c r="DZ444" s="41"/>
      <c r="EA444" s="41"/>
      <c r="EB444" s="41"/>
      <c r="EC444" s="41"/>
      <c r="ED444" s="41"/>
      <c r="EE444" s="41"/>
      <c r="EF444" s="41"/>
      <c r="EG444" s="41"/>
      <c r="EH444" s="41"/>
      <c r="EI444" s="41"/>
      <c r="EJ444" s="41"/>
      <c r="EK444" s="41"/>
      <c r="EL444" s="41"/>
      <c r="EM444" s="41"/>
      <c r="EN444" s="41"/>
      <c r="EO444" s="41"/>
      <c r="EP444" s="41"/>
      <c r="EQ444" s="41"/>
      <c r="ER444" s="41"/>
      <c r="ES444" s="41"/>
      <c r="ET444" s="41"/>
      <c r="EU444" s="41"/>
      <c r="EV444" s="41"/>
      <c r="EW444" s="41"/>
      <c r="EX444" s="41"/>
      <c r="EY444" s="41"/>
      <c r="EZ444" s="41"/>
      <c r="FA444" s="41"/>
      <c r="FB444" s="41"/>
      <c r="FC444" s="41"/>
      <c r="FD444" s="41"/>
      <c r="FE444" s="41"/>
      <c r="FF444" s="41"/>
      <c r="FG444" s="41"/>
      <c r="FH444" s="41"/>
      <c r="FI444" s="41"/>
      <c r="FJ444" s="41"/>
      <c r="FK444" s="41"/>
      <c r="FL444" s="41"/>
      <c r="FM444" s="41"/>
      <c r="FN444" s="41"/>
      <c r="FO444" s="41"/>
      <c r="FP444" s="41"/>
      <c r="FQ444" s="41"/>
      <c r="FR444" s="41"/>
      <c r="FS444" s="41"/>
      <c r="FT444" s="41"/>
      <c r="FU444" s="41"/>
      <c r="FV444" s="41"/>
      <c r="FW444" s="41"/>
      <c r="FX444" s="41"/>
      <c r="FY444" s="41"/>
      <c r="FZ444" s="41"/>
      <c r="GA444" s="41"/>
      <c r="GB444" s="41"/>
      <c r="GC444" s="41"/>
      <c r="GD444" s="41"/>
      <c r="GE444" s="41"/>
      <c r="GF444" s="41"/>
      <c r="GG444" s="41"/>
      <c r="GH444" s="41"/>
      <c r="GI444" s="41"/>
      <c r="GJ444" s="41"/>
      <c r="GK444" s="41"/>
      <c r="GL444" s="41"/>
      <c r="GM444" s="41"/>
      <c r="GN444" s="41"/>
      <c r="GO444" s="41"/>
      <c r="GP444" s="41"/>
      <c r="GQ444" s="41"/>
      <c r="GR444" s="41"/>
      <c r="GS444" s="41"/>
      <c r="GT444" s="41"/>
      <c r="GU444" s="41"/>
      <c r="GV444" s="41"/>
      <c r="GW444" s="41"/>
      <c r="GX444" s="41"/>
      <c r="GY444" s="41"/>
      <c r="GZ444" s="41"/>
      <c r="HA444" s="41"/>
      <c r="HB444" s="41"/>
      <c r="HC444" s="41"/>
      <c r="HD444" s="41"/>
      <c r="HE444" s="41"/>
      <c r="HF444" s="41"/>
      <c r="HG444" s="41"/>
      <c r="HH444" s="41"/>
      <c r="HI444" s="41"/>
      <c r="HJ444" s="41"/>
      <c r="HK444" s="41"/>
      <c r="HL444" s="41"/>
      <c r="HM444" s="41"/>
      <c r="HN444" s="41"/>
      <c r="HO444" s="41"/>
      <c r="HP444" s="41"/>
      <c r="HQ444" s="41"/>
      <c r="HR444" s="41"/>
      <c r="HS444" s="41"/>
      <c r="HT444" s="41"/>
      <c r="HU444" s="41"/>
      <c r="HV444" s="41"/>
      <c r="HW444" s="41"/>
      <c r="HX444" s="41"/>
      <c r="HY444" s="41"/>
      <c r="HZ444" s="41"/>
      <c r="IA444" s="41"/>
      <c r="IB444" s="41"/>
      <c r="IC444" s="41"/>
      <c r="ID444" s="41"/>
      <c r="IE444" s="41"/>
      <c r="IF444" s="41"/>
      <c r="IG444" s="41"/>
      <c r="IH444" s="41"/>
      <c r="II444" s="41"/>
      <c r="IJ444" s="41"/>
      <c r="IK444" s="41"/>
    </row>
    <row r="445" spans="1:245">
      <c r="B445" s="36" t="str">
        <f>'[6]price list MAN'!B445</f>
        <v>30S-7831</v>
      </c>
      <c r="C445" s="10" t="str">
        <f>'[6]price list MAN'!C445</f>
        <v>TGS-26-4206X4BLS-L-ADR-EURO6</v>
      </c>
      <c r="D445" s="16" t="str">
        <f>IFERROR(VLOOKUP(C445&amp;"",'[7]Retail Price List'!$A$3:$B$103,2,FALSE),"Special Order")</f>
        <v>TGS00016</v>
      </c>
      <c r="E445" s="494" t="str">
        <f>'[6]price list MAN'!E445</f>
        <v>CKD</v>
      </c>
      <c r="F445" s="11" t="str">
        <f>'[6]price list MAN'!F445</f>
        <v>2018-03-29</v>
      </c>
      <c r="G445" s="32">
        <f>'[6]price list MAN'!G445</f>
        <v>15.3</v>
      </c>
      <c r="H445" s="26">
        <f>'[6]price list MAN'!H445</f>
        <v>42975</v>
      </c>
      <c r="I445" s="51" t="str">
        <f t="shared" si="30"/>
        <v>2017Q3</v>
      </c>
      <c r="J445" s="177">
        <f>'[6]price list MAN'!J445</f>
        <v>1990000</v>
      </c>
      <c r="K445" s="177">
        <f>'[6]price list MAN'!P445</f>
        <v>1732500</v>
      </c>
      <c r="L445" s="177">
        <f>'[6]price list MAN'!R445</f>
        <v>1650000</v>
      </c>
      <c r="M445" s="174">
        <f>'[6]price list MAN'!S445</f>
        <v>2070000</v>
      </c>
      <c r="N445" s="174">
        <f>'[6]price list MAN'!Y445</f>
        <v>1816500</v>
      </c>
      <c r="O445" s="174">
        <f>'[6]price list MAN'!AA445</f>
        <v>1730000</v>
      </c>
      <c r="P445" s="68">
        <f t="shared" si="31"/>
        <v>0.16425120772946861</v>
      </c>
      <c r="Q445" s="62" t="e">
        <f>O445-#REF!</f>
        <v>#REF!</v>
      </c>
      <c r="S445" s="64" t="s">
        <v>9</v>
      </c>
      <c r="T445" s="64" t="s">
        <v>10</v>
      </c>
      <c r="U445" s="64" t="s">
        <v>11</v>
      </c>
      <c r="W445" s="210"/>
      <c r="X445" s="210"/>
      <c r="Y445" s="210"/>
      <c r="Z445" s="210"/>
      <c r="AA445" s="210"/>
      <c r="AB445" s="210"/>
      <c r="AC445" s="210"/>
      <c r="AT445" s="425" t="str">
        <f t="shared" si="32"/>
        <v>TGS000162017Q315,3</v>
      </c>
      <c r="AU445" s="64" t="str">
        <f t="shared" si="33"/>
        <v>08-2017</v>
      </c>
      <c r="BA445" s="428" t="str">
        <f t="shared" si="34"/>
        <v>WIP - 30 Days</v>
      </c>
    </row>
    <row r="446" spans="1:245">
      <c r="B446" s="36" t="str">
        <f>'[6]price list MAN'!B446</f>
        <v>30S-7832</v>
      </c>
      <c r="C446" s="10" t="str">
        <f>'[6]price list MAN'!C446</f>
        <v>TGS-26-4206X4BLS-L-ADR-EURO6</v>
      </c>
      <c r="D446" s="16" t="str">
        <f>IFERROR(VLOOKUP(C446&amp;"",'[7]Retail Price List'!$A$3:$B$103,2,FALSE),"Special Order")</f>
        <v>TGS00016</v>
      </c>
      <c r="E446" s="494" t="str">
        <f>'[6]price list MAN'!E446</f>
        <v>CKD</v>
      </c>
      <c r="F446" s="11" t="str">
        <f>'[6]price list MAN'!F446</f>
        <v>2018-03-29</v>
      </c>
      <c r="G446" s="32">
        <f>'[6]price list MAN'!G446</f>
        <v>15.3</v>
      </c>
      <c r="H446" s="26">
        <f>'[6]price list MAN'!H446</f>
        <v>42975</v>
      </c>
      <c r="I446" s="51" t="str">
        <f t="shared" si="30"/>
        <v>2017Q3</v>
      </c>
      <c r="J446" s="177">
        <f>'[6]price list MAN'!J446</f>
        <v>1990000</v>
      </c>
      <c r="K446" s="177">
        <f>'[6]price list MAN'!P446</f>
        <v>1732500</v>
      </c>
      <c r="L446" s="177">
        <f>'[6]price list MAN'!R446</f>
        <v>1650000</v>
      </c>
      <c r="M446" s="174">
        <f>'[6]price list MAN'!S446</f>
        <v>2070000</v>
      </c>
      <c r="N446" s="174">
        <f>'[6]price list MAN'!Y446</f>
        <v>1816500</v>
      </c>
      <c r="O446" s="174">
        <f>'[6]price list MAN'!AA446</f>
        <v>1730000</v>
      </c>
      <c r="P446" s="68">
        <f t="shared" si="31"/>
        <v>0.16425120772946861</v>
      </c>
      <c r="Q446" s="62" t="e">
        <f>O446-#REF!</f>
        <v>#REF!</v>
      </c>
      <c r="S446" s="64">
        <v>8.1999999999999993</v>
      </c>
      <c r="T446" s="64">
        <v>1</v>
      </c>
      <c r="U446" s="64">
        <v>4.3</v>
      </c>
      <c r="W446" s="210"/>
      <c r="X446" s="210"/>
      <c r="Y446" s="210"/>
      <c r="Z446" s="210"/>
      <c r="AA446" s="210"/>
      <c r="AB446" s="210"/>
      <c r="AC446" s="210"/>
      <c r="AT446" s="425" t="str">
        <f t="shared" si="32"/>
        <v>TGS000162017Q315,3</v>
      </c>
      <c r="AU446" s="64" t="str">
        <f t="shared" si="33"/>
        <v>08-2017</v>
      </c>
      <c r="BA446" s="428" t="str">
        <f t="shared" si="34"/>
        <v>WIP - 30 Days</v>
      </c>
    </row>
    <row r="447" spans="1:245">
      <c r="B447" s="36" t="str">
        <f>'[6]price list MAN'!B447</f>
        <v>30S-7833</v>
      </c>
      <c r="C447" s="10" t="str">
        <f>'[6]price list MAN'!C447</f>
        <v>TGS-26-4206X4BLS-L-ADR-EURO6</v>
      </c>
      <c r="D447" s="16" t="str">
        <f>IFERROR(VLOOKUP(C447&amp;"",'[7]Retail Price List'!$A$3:$B$103,2,FALSE),"Special Order")</f>
        <v>TGS00016</v>
      </c>
      <c r="E447" s="494" t="str">
        <f>'[6]price list MAN'!E447</f>
        <v>CKD</v>
      </c>
      <c r="F447" s="11" t="str">
        <f>'[6]price list MAN'!F447</f>
        <v>2018-03-29</v>
      </c>
      <c r="G447" s="32">
        <f>'[6]price list MAN'!G447</f>
        <v>15.3</v>
      </c>
      <c r="H447" s="26">
        <f>'[6]price list MAN'!H447</f>
        <v>42975</v>
      </c>
      <c r="I447" s="51" t="str">
        <f t="shared" si="30"/>
        <v>2017Q3</v>
      </c>
      <c r="J447" s="177">
        <f>'[6]price list MAN'!J447</f>
        <v>1990000</v>
      </c>
      <c r="K447" s="177">
        <f>'[6]price list MAN'!P447</f>
        <v>1732500</v>
      </c>
      <c r="L447" s="177">
        <f>'[6]price list MAN'!R447</f>
        <v>1650000</v>
      </c>
      <c r="M447" s="174">
        <f>'[6]price list MAN'!S447</f>
        <v>2070000</v>
      </c>
      <c r="N447" s="174">
        <f>'[6]price list MAN'!Y447</f>
        <v>1816500</v>
      </c>
      <c r="O447" s="174">
        <f>'[6]price list MAN'!AA447</f>
        <v>1730000</v>
      </c>
      <c r="P447" s="68">
        <f t="shared" si="31"/>
        <v>0.16425120772946861</v>
      </c>
      <c r="Q447" s="62" t="e">
        <f>O447-#REF!</f>
        <v>#REF!</v>
      </c>
      <c r="W447" s="210"/>
      <c r="X447" s="210"/>
      <c r="Y447" s="210"/>
      <c r="Z447" s="210"/>
      <c r="AA447" s="210"/>
      <c r="AB447" s="210"/>
      <c r="AC447" s="210"/>
      <c r="AT447" s="425" t="str">
        <f t="shared" si="32"/>
        <v>TGS000162017Q315,3</v>
      </c>
      <c r="AU447" s="64" t="str">
        <f t="shared" si="33"/>
        <v>08-2017</v>
      </c>
      <c r="BA447" s="428" t="str">
        <f t="shared" si="34"/>
        <v>WIP - 30 Days</v>
      </c>
    </row>
    <row r="448" spans="1:245">
      <c r="B448" s="36" t="str">
        <f>'[6]price list MAN'!B448</f>
        <v>TBATG016</v>
      </c>
      <c r="C448" s="10" t="str">
        <f>'[6]price list MAN'!C448</f>
        <v>TGS-26-4206X4BLS-L-ADR-EURO6</v>
      </c>
      <c r="D448" s="16" t="str">
        <f>IFERROR(VLOOKUP(C448&amp;"",'[7]Retail Price List'!$A$3:$B$103,2,FALSE),"Special Order")</f>
        <v>TGS00016</v>
      </c>
      <c r="E448" s="494" t="str">
        <f>'[6]price list MAN'!E448</f>
        <v>CKD</v>
      </c>
      <c r="F448" s="11" t="str">
        <f>'[6]price list MAN'!F448</f>
        <v>2018-06-18</v>
      </c>
      <c r="G448" s="32">
        <f>'[6]price list MAN'!G448</f>
        <v>15.8</v>
      </c>
      <c r="H448" s="26">
        <f>'[6]price list MAN'!H448</f>
        <v>43159</v>
      </c>
      <c r="I448" s="51" t="str">
        <f t="shared" si="30"/>
        <v>2018Q1</v>
      </c>
      <c r="J448" s="177">
        <f>'[6]price list MAN'!J448</f>
        <v>1990000</v>
      </c>
      <c r="K448" s="177">
        <f>'[6]price list MAN'!P448</f>
        <v>1732500</v>
      </c>
      <c r="L448" s="177">
        <f>'[6]price list MAN'!R448</f>
        <v>1650000</v>
      </c>
      <c r="M448" s="174">
        <f>'[6]price list MAN'!S448</f>
        <v>2070000</v>
      </c>
      <c r="N448" s="174">
        <f>'[6]price list MAN'!Y448</f>
        <v>1816500</v>
      </c>
      <c r="O448" s="174">
        <f>'[6]price list MAN'!AA448</f>
        <v>1730000</v>
      </c>
      <c r="P448" s="68">
        <f t="shared" si="31"/>
        <v>0.16425120772946861</v>
      </c>
      <c r="Q448" s="62" t="e">
        <f>O448-#REF!</f>
        <v>#REF!</v>
      </c>
      <c r="S448" s="64">
        <f>COUNT(#REF!)</f>
        <v>0</v>
      </c>
      <c r="W448" s="210"/>
      <c r="X448" s="210"/>
      <c r="Y448" s="210"/>
      <c r="Z448" s="210"/>
      <c r="AA448" s="210"/>
      <c r="AB448" s="210"/>
      <c r="AC448" s="210"/>
      <c r="AT448" s="425" t="str">
        <f t="shared" si="32"/>
        <v>TGS000162018Q115,8</v>
      </c>
      <c r="AU448" s="64" t="str">
        <f t="shared" si="33"/>
        <v>02-2018</v>
      </c>
      <c r="BA448" s="428" t="str">
        <f t="shared" si="34"/>
        <v>WIP - 30 Days</v>
      </c>
    </row>
    <row r="449" spans="1:245">
      <c r="B449" s="36" t="str">
        <f>'[6]price list MAN'!B449</f>
        <v>78W-1539</v>
      </c>
      <c r="C449" s="10" t="str">
        <f>'[6]price list MAN'!C449</f>
        <v>TGS-26-4406X4BLS-LX</v>
      </c>
      <c r="D449" s="16" t="str">
        <f>IFERROR(VLOOKUP(C449&amp;"",'[7]Retail Price List'!$A$3:$B$103,2,FALSE),"Special Order")</f>
        <v>KP000634</v>
      </c>
      <c r="E449" s="494" t="str">
        <f>'[6]price list MAN'!E449</f>
        <v>CKD</v>
      </c>
      <c r="F449" s="11" t="str">
        <f>'[6]price list MAN'!F449</f>
        <v>2018-03-30</v>
      </c>
      <c r="G449" s="32">
        <f>'[6]price list MAN'!G449</f>
        <v>14.7</v>
      </c>
      <c r="H449" s="26">
        <f>'[6]price list MAN'!H449</f>
        <v>42937</v>
      </c>
      <c r="I449" s="51" t="str">
        <f t="shared" si="30"/>
        <v>201707Q3</v>
      </c>
      <c r="J449" s="177">
        <f>'[6]price list MAN'!J449</f>
        <v>1790000</v>
      </c>
      <c r="K449" s="177">
        <f>'[6]price list MAN'!P449</f>
        <v>1370250</v>
      </c>
      <c r="L449" s="177">
        <f>'[6]price list MAN'!R449</f>
        <v>1305000</v>
      </c>
      <c r="M449" s="174">
        <f>'[6]price list MAN'!S449</f>
        <v>1845000</v>
      </c>
      <c r="N449" s="174">
        <f>'[6]price list MAN'!Y449</f>
        <v>1428000</v>
      </c>
      <c r="O449" s="174">
        <f>'[6]price list MAN'!AA449</f>
        <v>1360000</v>
      </c>
      <c r="P449" s="68">
        <f t="shared" si="31"/>
        <v>0.26287262872628725</v>
      </c>
      <c r="Q449" s="62" t="e">
        <f>O449-#REF!</f>
        <v>#REF!</v>
      </c>
      <c r="S449" s="62" t="e">
        <f>+AVERAGE(#REF!)</f>
        <v>#REF!</v>
      </c>
      <c r="W449" s="210"/>
      <c r="X449" s="210"/>
      <c r="Y449" s="210"/>
      <c r="Z449" s="210"/>
      <c r="AA449" s="210"/>
      <c r="AB449" s="210"/>
      <c r="AC449" s="210"/>
      <c r="AT449" s="425" t="str">
        <f t="shared" si="32"/>
        <v>KP000634201707Q314,7</v>
      </c>
      <c r="AU449" s="64" t="str">
        <f t="shared" si="33"/>
        <v>07-2017</v>
      </c>
      <c r="BA449" s="428" t="str">
        <f t="shared" si="34"/>
        <v>WIP - 30 Days</v>
      </c>
    </row>
    <row r="450" spans="1:245">
      <c r="B450" s="36" t="str">
        <f>'[6]price list MAN'!B450</f>
        <v>78W-1540</v>
      </c>
      <c r="C450" s="10" t="str">
        <f>'[6]price list MAN'!C450</f>
        <v>TGS-26-4406X4BLS-LX</v>
      </c>
      <c r="D450" s="16" t="str">
        <f>IFERROR(VLOOKUP(C450&amp;"",'[7]Retail Price List'!$A$3:$B$103,2,FALSE),"Special Order")</f>
        <v>KP000634</v>
      </c>
      <c r="E450" s="494" t="str">
        <f>'[6]price list MAN'!E450</f>
        <v>SOLD</v>
      </c>
      <c r="F450" s="11">
        <f>'[6]price list MAN'!F450</f>
        <v>27</v>
      </c>
      <c r="G450" s="32">
        <f>'[6]price list MAN'!G450</f>
        <v>14.7</v>
      </c>
      <c r="H450" s="26">
        <f>'[6]price list MAN'!H450</f>
        <v>42937</v>
      </c>
      <c r="I450" s="51" t="str">
        <f t="shared" si="30"/>
        <v>201707Q3</v>
      </c>
      <c r="J450" s="177">
        <f>'[6]price list MAN'!J450</f>
        <v>1790000</v>
      </c>
      <c r="K450" s="177">
        <f>'[6]price list MAN'!P450</f>
        <v>1370250</v>
      </c>
      <c r="L450" s="177">
        <f>'[6]price list MAN'!R450</f>
        <v>1305000</v>
      </c>
      <c r="M450" s="174">
        <f>'[6]price list MAN'!S450</f>
        <v>1845000</v>
      </c>
      <c r="N450" s="174">
        <f>'[6]price list MAN'!Y450</f>
        <v>1428000</v>
      </c>
      <c r="O450" s="174">
        <f>'[6]price list MAN'!AA450</f>
        <v>1360000</v>
      </c>
      <c r="P450" s="68">
        <f t="shared" si="31"/>
        <v>0.26287262872628725</v>
      </c>
      <c r="Q450" s="62" t="e">
        <f>O450-#REF!</f>
        <v>#REF!</v>
      </c>
      <c r="W450" s="210"/>
      <c r="X450" s="210"/>
      <c r="Y450" s="210"/>
      <c r="Z450" s="210"/>
      <c r="AA450" s="210"/>
      <c r="AB450" s="210"/>
      <c r="AC450" s="210"/>
      <c r="AT450" s="425" t="str">
        <f t="shared" si="32"/>
        <v>KP000634201707Q314,7</v>
      </c>
      <c r="AU450" s="64" t="str">
        <f t="shared" si="33"/>
        <v>07-2017</v>
      </c>
      <c r="BA450" s="428" t="str">
        <f t="shared" si="34"/>
        <v>WIP - 30 Days</v>
      </c>
    </row>
    <row r="451" spans="1:245">
      <c r="B451" s="36" t="str">
        <f>'[6]price list MAN'!B451</f>
        <v>78W-1541</v>
      </c>
      <c r="C451" s="10" t="str">
        <f>'[6]price list MAN'!C451</f>
        <v>TGS-26-4406X4BLS-LX</v>
      </c>
      <c r="D451" s="16" t="str">
        <f>IFERROR(VLOOKUP(C451&amp;"",'[7]Retail Price List'!$A$3:$B$103,2,FALSE),"Special Order")</f>
        <v>KP000634</v>
      </c>
      <c r="E451" s="494" t="str">
        <f>'[6]price list MAN'!E451</f>
        <v>SOLD</v>
      </c>
      <c r="F451" s="11">
        <f>'[6]price list MAN'!F451</f>
        <v>26</v>
      </c>
      <c r="G451" s="32">
        <f>'[6]price list MAN'!G451</f>
        <v>14.7</v>
      </c>
      <c r="H451" s="26">
        <f>'[6]price list MAN'!H451</f>
        <v>42937</v>
      </c>
      <c r="I451" s="51" t="str">
        <f t="shared" si="30"/>
        <v>201707Q3</v>
      </c>
      <c r="J451" s="177">
        <f>'[6]price list MAN'!J451</f>
        <v>1790000</v>
      </c>
      <c r="K451" s="177">
        <f>'[6]price list MAN'!P451</f>
        <v>1370250</v>
      </c>
      <c r="L451" s="177">
        <f>'[6]price list MAN'!R451</f>
        <v>1305000</v>
      </c>
      <c r="M451" s="174">
        <f>'[6]price list MAN'!S451</f>
        <v>1845000</v>
      </c>
      <c r="N451" s="174">
        <f>'[6]price list MAN'!Y451</f>
        <v>1428000</v>
      </c>
      <c r="O451" s="174">
        <f>'[6]price list MAN'!AA451</f>
        <v>1360000</v>
      </c>
      <c r="P451" s="68">
        <f t="shared" si="31"/>
        <v>0.26287262872628725</v>
      </c>
      <c r="Q451" s="62" t="e">
        <f>O451-#REF!</f>
        <v>#REF!</v>
      </c>
      <c r="W451" s="210"/>
      <c r="X451" s="210"/>
      <c r="Y451" s="210"/>
      <c r="Z451" s="210"/>
      <c r="AA451" s="210"/>
      <c r="AB451" s="210"/>
      <c r="AC451" s="210"/>
      <c r="AT451" s="425" t="str">
        <f t="shared" si="32"/>
        <v>KP000634201707Q314,7</v>
      </c>
      <c r="AU451" s="64" t="str">
        <f t="shared" si="33"/>
        <v>07-2017</v>
      </c>
      <c r="BA451" s="428" t="str">
        <f t="shared" si="34"/>
        <v>WIP - 30 Days</v>
      </c>
    </row>
    <row r="452" spans="1:245">
      <c r="B452" s="36" t="str">
        <f>'[6]price list MAN'!B452</f>
        <v>78W-1907</v>
      </c>
      <c r="C452" s="10" t="str">
        <f>'[6]price list MAN'!C452</f>
        <v>TGS-26-4406X4BLS-LX</v>
      </c>
      <c r="D452" s="16" t="str">
        <f>IFERROR(VLOOKUP(C452&amp;"",'[7]Retail Price List'!$A$3:$B$103,2,FALSE),"Special Order")</f>
        <v>KP000634</v>
      </c>
      <c r="E452" s="494" t="str">
        <f>'[6]price list MAN'!E452</f>
        <v>SOLD</v>
      </c>
      <c r="F452" s="11">
        <f>'[6]price list MAN'!F452</f>
        <v>20</v>
      </c>
      <c r="G452" s="32">
        <f>'[6]price list MAN'!G452</f>
        <v>14.7</v>
      </c>
      <c r="H452" s="26">
        <f>'[6]price list MAN'!H452</f>
        <v>42937</v>
      </c>
      <c r="I452" s="51" t="str">
        <f t="shared" si="30"/>
        <v>201707Q3</v>
      </c>
      <c r="J452" s="177">
        <f>'[6]price list MAN'!J452</f>
        <v>1790000</v>
      </c>
      <c r="K452" s="177">
        <f>'[6]price list MAN'!P452</f>
        <v>1370250</v>
      </c>
      <c r="L452" s="177">
        <f>'[6]price list MAN'!R452</f>
        <v>1305000</v>
      </c>
      <c r="M452" s="174">
        <f>'[6]price list MAN'!S452</f>
        <v>1845000</v>
      </c>
      <c r="N452" s="174">
        <f>'[6]price list MAN'!Y452</f>
        <v>1428000</v>
      </c>
      <c r="O452" s="174">
        <f>'[6]price list MAN'!AA452</f>
        <v>1360000</v>
      </c>
      <c r="P452" s="68">
        <f t="shared" si="31"/>
        <v>0.26287262872628725</v>
      </c>
      <c r="Q452" s="62" t="e">
        <f>O452-#REF!</f>
        <v>#REF!</v>
      </c>
      <c r="W452" s="210"/>
      <c r="X452" s="210"/>
      <c r="Y452" s="210"/>
      <c r="Z452" s="210"/>
      <c r="AA452" s="210"/>
      <c r="AB452" s="210"/>
      <c r="AC452" s="210"/>
      <c r="AT452" s="425" t="str">
        <f t="shared" si="32"/>
        <v>KP000634201707Q314,7</v>
      </c>
      <c r="AU452" s="64" t="str">
        <f t="shared" si="33"/>
        <v>07-2017</v>
      </c>
      <c r="AW452" s="169"/>
      <c r="AX452" s="169"/>
      <c r="AY452" s="169"/>
      <c r="BA452" s="428" t="str">
        <f t="shared" si="34"/>
        <v>WIP - 30 Days</v>
      </c>
    </row>
    <row r="453" spans="1:245" s="41" customFormat="1">
      <c r="B453" s="36" t="str">
        <f>'[6]price list MAN'!B453</f>
        <v>78W-1978</v>
      </c>
      <c r="C453" s="10" t="str">
        <f>'[6]price list MAN'!C453</f>
        <v>TGS-26-4406X4BLS-LX</v>
      </c>
      <c r="D453" s="16" t="str">
        <f>IFERROR(VLOOKUP(C453&amp;"",'[7]Retail Price List'!$A$3:$B$103,2,FALSE),"Special Order")</f>
        <v>KP000634</v>
      </c>
      <c r="E453" s="494" t="str">
        <f>'[6]price list MAN'!E453</f>
        <v>SOLD</v>
      </c>
      <c r="F453" s="11">
        <f>'[6]price list MAN'!F453</f>
        <v>20</v>
      </c>
      <c r="G453" s="32">
        <f>'[6]price list MAN'!G453</f>
        <v>14.7</v>
      </c>
      <c r="H453" s="26">
        <f>'[6]price list MAN'!H453</f>
        <v>42937</v>
      </c>
      <c r="I453" s="51" t="str">
        <f t="shared" ref="I453:I516" si="35">IFERROR(VLOOKUP(AU453,$AW$5:$AY$40,3,FALSE),"")</f>
        <v>201707Q3</v>
      </c>
      <c r="J453" s="177">
        <f>'[6]price list MAN'!J453</f>
        <v>1790000</v>
      </c>
      <c r="K453" s="177">
        <f>'[6]price list MAN'!P453</f>
        <v>1370250</v>
      </c>
      <c r="L453" s="177">
        <f>'[6]price list MAN'!R453</f>
        <v>1305000</v>
      </c>
      <c r="M453" s="174">
        <f>'[6]price list MAN'!S453</f>
        <v>1845000</v>
      </c>
      <c r="N453" s="174">
        <f>'[6]price list MAN'!Y453</f>
        <v>1428000</v>
      </c>
      <c r="O453" s="174">
        <f>'[6]price list MAN'!AA453</f>
        <v>1360000</v>
      </c>
      <c r="P453" s="166">
        <f t="shared" ref="P453:P516" si="36">(M453-O453)/M453</f>
        <v>0.26287262872628725</v>
      </c>
      <c r="Q453" s="167" t="e">
        <f>O453-#REF!</f>
        <v>#REF!</v>
      </c>
      <c r="R453" s="168"/>
      <c r="S453" s="169"/>
      <c r="T453" s="169"/>
      <c r="U453" s="169"/>
      <c r="V453" s="169"/>
      <c r="W453" s="210"/>
      <c r="X453" s="210"/>
      <c r="Y453" s="210"/>
      <c r="Z453" s="210"/>
      <c r="AA453" s="210"/>
      <c r="AB453" s="210"/>
      <c r="AC453" s="210"/>
      <c r="AD453" s="52"/>
      <c r="AE453" s="52"/>
      <c r="AF453" s="52"/>
      <c r="AT453" s="425" t="str">
        <f t="shared" ref="AT453:AT516" si="37">D453&amp;I453&amp;G453</f>
        <v>KP000634201707Q314,7</v>
      </c>
      <c r="AU453" s="64" t="str">
        <f t="shared" ref="AU453:AU516" si="38">IF(MONTH(H453)&lt;10,0&amp;MONTH(H453)&amp;"-"&amp;YEAR(H453),MONTH(H453)&amp;"-"&amp;YEAR(H453))</f>
        <v>07-2017</v>
      </c>
      <c r="AV453" s="169"/>
      <c r="AW453" s="169"/>
      <c r="AX453" s="169"/>
      <c r="AY453" s="169"/>
      <c r="AZ453" s="169"/>
      <c r="BA453" s="428" t="str">
        <f t="shared" ref="BA453:BA516" si="39">IF(B453=0,"",IF(AND(F453&gt;=31,F453&lt;=120),"31-120 Days",IF(AND(F453&gt;=121,F453&lt;=365),"121-365 Days",IF(OR(E453="CKD",F453&lt;=30),"WIP - 30 Days","&gt;365 Days"))))</f>
        <v>WIP - 30 Days</v>
      </c>
      <c r="BB453" s="169"/>
      <c r="BC453" s="169"/>
      <c r="BD453" s="169"/>
    </row>
    <row r="454" spans="1:245" s="41" customFormat="1">
      <c r="B454" s="36" t="str">
        <f>'[6]price list MAN'!B454</f>
        <v>78W-1979</v>
      </c>
      <c r="C454" s="10" t="str">
        <f>'[6]price list MAN'!C454</f>
        <v>TGS-26-4406X4BLS-LX</v>
      </c>
      <c r="D454" s="16" t="str">
        <f>IFERROR(VLOOKUP(C454&amp;"",'[7]Retail Price List'!$A$3:$B$103,2,FALSE),"Special Order")</f>
        <v>KP000634</v>
      </c>
      <c r="E454" s="494" t="str">
        <f>'[6]price list MAN'!E454</f>
        <v>SOLD</v>
      </c>
      <c r="F454" s="11">
        <f>'[6]price list MAN'!F454</f>
        <v>20</v>
      </c>
      <c r="G454" s="32">
        <f>'[6]price list MAN'!G454</f>
        <v>14.7</v>
      </c>
      <c r="H454" s="26">
        <f>'[6]price list MAN'!H454</f>
        <v>42937</v>
      </c>
      <c r="I454" s="51" t="str">
        <f t="shared" si="35"/>
        <v>201707Q3</v>
      </c>
      <c r="J454" s="177">
        <f>'[6]price list MAN'!J454</f>
        <v>1790000</v>
      </c>
      <c r="K454" s="177">
        <f>'[6]price list MAN'!P454</f>
        <v>1370250</v>
      </c>
      <c r="L454" s="177">
        <f>'[6]price list MAN'!R454</f>
        <v>1305000</v>
      </c>
      <c r="M454" s="174">
        <f>'[6]price list MAN'!S454</f>
        <v>1845000</v>
      </c>
      <c r="N454" s="174">
        <f>'[6]price list MAN'!Y454</f>
        <v>1428000</v>
      </c>
      <c r="O454" s="174">
        <f>'[6]price list MAN'!AA454</f>
        <v>1360000</v>
      </c>
      <c r="P454" s="166">
        <f t="shared" si="36"/>
        <v>0.26287262872628725</v>
      </c>
      <c r="Q454" s="167" t="e">
        <f>O454-#REF!</f>
        <v>#REF!</v>
      </c>
      <c r="R454" s="168"/>
      <c r="S454" s="169"/>
      <c r="T454" s="169"/>
      <c r="U454" s="169"/>
      <c r="V454" s="169"/>
      <c r="W454" s="210"/>
      <c r="X454" s="210"/>
      <c r="Y454" s="210"/>
      <c r="Z454" s="210"/>
      <c r="AA454" s="210"/>
      <c r="AB454" s="210"/>
      <c r="AC454" s="210"/>
      <c r="AD454" s="52"/>
      <c r="AE454" s="52"/>
      <c r="AF454" s="52"/>
      <c r="AT454" s="425" t="str">
        <f t="shared" si="37"/>
        <v>KP000634201707Q314,7</v>
      </c>
      <c r="AU454" s="64" t="str">
        <f t="shared" si="38"/>
        <v>07-2017</v>
      </c>
      <c r="AV454" s="169"/>
      <c r="AW454" s="169"/>
      <c r="AX454" s="169"/>
      <c r="AY454" s="169"/>
      <c r="AZ454" s="169"/>
      <c r="BA454" s="428" t="str">
        <f t="shared" si="39"/>
        <v>WIP - 30 Days</v>
      </c>
      <c r="BB454" s="169"/>
      <c r="BC454" s="169"/>
      <c r="BD454" s="169"/>
    </row>
    <row r="455" spans="1:245" s="41" customFormat="1">
      <c r="B455" s="36" t="str">
        <f>'[6]price list MAN'!B455</f>
        <v>78W-1981</v>
      </c>
      <c r="C455" s="10" t="str">
        <f>'[6]price list MAN'!C455</f>
        <v>TGS-26-4406X4BLS-LX</v>
      </c>
      <c r="D455" s="16" t="str">
        <f>IFERROR(VLOOKUP(C455&amp;"",'[7]Retail Price List'!$A$3:$B$103,2,FALSE),"Special Order")</f>
        <v>KP000634</v>
      </c>
      <c r="E455" s="494" t="str">
        <f>'[6]price list MAN'!E455</f>
        <v>SOLD</v>
      </c>
      <c r="F455" s="11">
        <f>'[6]price list MAN'!F455</f>
        <v>20</v>
      </c>
      <c r="G455" s="32">
        <f>'[6]price list MAN'!G455</f>
        <v>14.7</v>
      </c>
      <c r="H455" s="26">
        <f>'[6]price list MAN'!H455</f>
        <v>42937</v>
      </c>
      <c r="I455" s="51" t="str">
        <f t="shared" si="35"/>
        <v>201707Q3</v>
      </c>
      <c r="J455" s="177">
        <f>'[6]price list MAN'!J455</f>
        <v>1790000</v>
      </c>
      <c r="K455" s="177">
        <f>'[6]price list MAN'!P455</f>
        <v>1370250</v>
      </c>
      <c r="L455" s="177">
        <f>'[6]price list MAN'!R455</f>
        <v>1305000</v>
      </c>
      <c r="M455" s="174">
        <f>'[6]price list MAN'!S455</f>
        <v>1845000</v>
      </c>
      <c r="N455" s="174">
        <f>'[6]price list MAN'!Y455</f>
        <v>1428000</v>
      </c>
      <c r="O455" s="174">
        <f>'[6]price list MAN'!AA455</f>
        <v>1360000</v>
      </c>
      <c r="P455" s="166">
        <f t="shared" si="36"/>
        <v>0.26287262872628725</v>
      </c>
      <c r="Q455" s="167" t="e">
        <f>O455-#REF!</f>
        <v>#REF!</v>
      </c>
      <c r="R455" s="168"/>
      <c r="S455" s="169"/>
      <c r="T455" s="169"/>
      <c r="U455" s="169"/>
      <c r="V455" s="169"/>
      <c r="W455" s="210"/>
      <c r="X455" s="210"/>
      <c r="Y455" s="210"/>
      <c r="Z455" s="210"/>
      <c r="AA455" s="210"/>
      <c r="AB455" s="210"/>
      <c r="AC455" s="210"/>
      <c r="AD455" s="52"/>
      <c r="AE455" s="52"/>
      <c r="AF455" s="52"/>
      <c r="AT455" s="425" t="str">
        <f t="shared" si="37"/>
        <v>KP000634201707Q314,7</v>
      </c>
      <c r="AU455" s="64" t="str">
        <f t="shared" si="38"/>
        <v>07-2017</v>
      </c>
      <c r="AV455" s="169"/>
      <c r="AW455" s="64"/>
      <c r="AX455" s="64"/>
      <c r="AY455" s="64"/>
      <c r="AZ455" s="169"/>
      <c r="BA455" s="428" t="str">
        <f t="shared" si="39"/>
        <v>WIP - 30 Days</v>
      </c>
      <c r="BB455" s="169"/>
      <c r="BC455" s="169"/>
      <c r="BD455" s="169"/>
    </row>
    <row r="456" spans="1:245">
      <c r="B456" s="36" t="str">
        <f>'[6]price list MAN'!B456</f>
        <v>78W-1987</v>
      </c>
      <c r="C456" s="10" t="str">
        <f>'[6]price list MAN'!C456</f>
        <v>TGS-26-4406X4BLS-LX</v>
      </c>
      <c r="D456" s="16" t="str">
        <f>IFERROR(VLOOKUP(C456&amp;"",'[7]Retail Price List'!$A$3:$B$103,2,FALSE),"Special Order")</f>
        <v>KP000634</v>
      </c>
      <c r="E456" s="494" t="str">
        <f>'[6]price list MAN'!E456</f>
        <v>SOLD</v>
      </c>
      <c r="F456" s="11">
        <f>'[6]price list MAN'!F456</f>
        <v>20</v>
      </c>
      <c r="G456" s="32">
        <f>'[6]price list MAN'!G456</f>
        <v>14.7</v>
      </c>
      <c r="H456" s="26">
        <f>'[6]price list MAN'!H456</f>
        <v>42937</v>
      </c>
      <c r="I456" s="51" t="str">
        <f t="shared" si="35"/>
        <v>201707Q3</v>
      </c>
      <c r="J456" s="177">
        <f>'[6]price list MAN'!J456</f>
        <v>1790000</v>
      </c>
      <c r="K456" s="177">
        <f>'[6]price list MAN'!P456</f>
        <v>1370250</v>
      </c>
      <c r="L456" s="177">
        <f>'[6]price list MAN'!R456</f>
        <v>1305000</v>
      </c>
      <c r="M456" s="174">
        <f>'[6]price list MAN'!S456</f>
        <v>1845000</v>
      </c>
      <c r="N456" s="174">
        <f>'[6]price list MAN'!Y456</f>
        <v>1428000</v>
      </c>
      <c r="O456" s="174">
        <f>'[6]price list MAN'!AA456</f>
        <v>1360000</v>
      </c>
      <c r="P456" s="68">
        <f t="shared" si="36"/>
        <v>0.26287262872628725</v>
      </c>
      <c r="Q456" s="62" t="e">
        <f>O456-#REF!</f>
        <v>#REF!</v>
      </c>
      <c r="W456" s="210"/>
      <c r="X456" s="210"/>
      <c r="Y456" s="210"/>
      <c r="Z456" s="210"/>
      <c r="AA456" s="210"/>
      <c r="AB456" s="210"/>
      <c r="AC456" s="210"/>
      <c r="AT456" s="425" t="str">
        <f t="shared" si="37"/>
        <v>KP000634201707Q314,7</v>
      </c>
      <c r="AU456" s="64" t="str">
        <f t="shared" si="38"/>
        <v>07-2017</v>
      </c>
      <c r="BA456" s="428" t="str">
        <f t="shared" si="39"/>
        <v>WIP - 30 Days</v>
      </c>
    </row>
    <row r="457" spans="1:245">
      <c r="B457" s="36" t="str">
        <f>'[6]price list MAN'!B457</f>
        <v>78W-1988</v>
      </c>
      <c r="C457" s="10" t="str">
        <f>'[6]price list MAN'!C457</f>
        <v>TGS-26-4406X4BLS-LX</v>
      </c>
      <c r="D457" s="16" t="str">
        <f>IFERROR(VLOOKUP(C457&amp;"",'[7]Retail Price List'!$A$3:$B$103,2,FALSE),"Special Order")</f>
        <v>KP000634</v>
      </c>
      <c r="E457" s="494" t="str">
        <f>'[6]price list MAN'!E457</f>
        <v>SOLD</v>
      </c>
      <c r="F457" s="11">
        <f>'[6]price list MAN'!F457</f>
        <v>20</v>
      </c>
      <c r="G457" s="32">
        <f>'[6]price list MAN'!G457</f>
        <v>14.7</v>
      </c>
      <c r="H457" s="26">
        <f>'[6]price list MAN'!H457</f>
        <v>42937</v>
      </c>
      <c r="I457" s="51" t="str">
        <f t="shared" si="35"/>
        <v>201707Q3</v>
      </c>
      <c r="J457" s="177">
        <f>'[6]price list MAN'!J457</f>
        <v>1790000</v>
      </c>
      <c r="K457" s="177">
        <f>'[6]price list MAN'!P457</f>
        <v>1370250</v>
      </c>
      <c r="L457" s="177">
        <f>'[6]price list MAN'!R457</f>
        <v>1305000</v>
      </c>
      <c r="M457" s="174">
        <f>'[6]price list MAN'!S457</f>
        <v>1845000</v>
      </c>
      <c r="N457" s="174">
        <f>'[6]price list MAN'!Y457</f>
        <v>1428000</v>
      </c>
      <c r="O457" s="174">
        <f>'[6]price list MAN'!AA457</f>
        <v>1360000</v>
      </c>
      <c r="P457" s="68">
        <f t="shared" si="36"/>
        <v>0.26287262872628725</v>
      </c>
      <c r="Q457" s="62" t="e">
        <f>O457-#REF!</f>
        <v>#REF!</v>
      </c>
      <c r="W457" s="210"/>
      <c r="X457" s="210"/>
      <c r="Y457" s="210"/>
      <c r="Z457" s="210"/>
      <c r="AA457" s="210"/>
      <c r="AB457" s="210"/>
      <c r="AC457" s="210"/>
      <c r="AT457" s="425" t="str">
        <f t="shared" si="37"/>
        <v>KP000634201707Q314,7</v>
      </c>
      <c r="AU457" s="64" t="str">
        <f t="shared" si="38"/>
        <v>07-2017</v>
      </c>
      <c r="BA457" s="428" t="str">
        <f t="shared" si="39"/>
        <v>WIP - 30 Days</v>
      </c>
    </row>
    <row r="458" spans="1:245">
      <c r="B458" s="36" t="str">
        <f>'[6]price list MAN'!B458</f>
        <v>78W-3392</v>
      </c>
      <c r="C458" s="10" t="str">
        <f>'[6]price list MAN'!C458</f>
        <v>TGS-26-4406X4BLS-LX</v>
      </c>
      <c r="D458" s="16" t="str">
        <f>IFERROR(VLOOKUP(C458&amp;"",'[7]Retail Price List'!$A$3:$B$103,2,FALSE),"Special Order")</f>
        <v>KP000634</v>
      </c>
      <c r="E458" s="494" t="str">
        <f>'[6]price list MAN'!E458</f>
        <v>CKD</v>
      </c>
      <c r="F458" s="11" t="str">
        <f>'[6]price list MAN'!F458</f>
        <v>2018-06-30</v>
      </c>
      <c r="G458" s="32">
        <f>'[6]price list MAN'!G458</f>
        <v>15.3</v>
      </c>
      <c r="H458" s="26">
        <f>'[6]price list MAN'!H458</f>
        <v>42978</v>
      </c>
      <c r="I458" s="51" t="str">
        <f t="shared" si="35"/>
        <v>2017Q3</v>
      </c>
      <c r="J458" s="177">
        <f>'[6]price list MAN'!J458</f>
        <v>1790000</v>
      </c>
      <c r="K458" s="177">
        <f>'[6]price list MAN'!P458</f>
        <v>1370250</v>
      </c>
      <c r="L458" s="177">
        <f>'[6]price list MAN'!R458</f>
        <v>1305000</v>
      </c>
      <c r="M458" s="174">
        <f>'[6]price list MAN'!S458</f>
        <v>1845000</v>
      </c>
      <c r="N458" s="174">
        <f>'[6]price list MAN'!Y458</f>
        <v>1428000</v>
      </c>
      <c r="O458" s="174">
        <f>'[6]price list MAN'!AA458</f>
        <v>1360000</v>
      </c>
      <c r="P458" s="68">
        <f t="shared" si="36"/>
        <v>0.26287262872628725</v>
      </c>
      <c r="Q458" s="62" t="e">
        <f>O458-#REF!</f>
        <v>#REF!</v>
      </c>
      <c r="W458" s="210"/>
      <c r="X458" s="210"/>
      <c r="Y458" s="210"/>
      <c r="Z458" s="210"/>
      <c r="AA458" s="210"/>
      <c r="AB458" s="210"/>
      <c r="AC458" s="210"/>
      <c r="AT458" s="425" t="str">
        <f t="shared" si="37"/>
        <v>KP0006342017Q315,3</v>
      </c>
      <c r="AU458" s="64" t="str">
        <f t="shared" si="38"/>
        <v>08-2017</v>
      </c>
      <c r="BA458" s="428" t="str">
        <f t="shared" si="39"/>
        <v>WIP - 30 Days</v>
      </c>
    </row>
    <row r="459" spans="1:245">
      <c r="B459" s="36" t="str">
        <f>'[6]price list MAN'!B459</f>
        <v>78W-3393</v>
      </c>
      <c r="C459" s="10" t="str">
        <f>'[6]price list MAN'!C459</f>
        <v>TGS-26-4406X4BLS-LX</v>
      </c>
      <c r="D459" s="16" t="str">
        <f>IFERROR(VLOOKUP(C459&amp;"",'[7]Retail Price List'!$A$3:$B$103,2,FALSE),"Special Order")</f>
        <v>KP000634</v>
      </c>
      <c r="E459" s="494" t="str">
        <f>'[6]price list MAN'!E459</f>
        <v>CKD</v>
      </c>
      <c r="F459" s="11" t="str">
        <f>'[6]price list MAN'!F459</f>
        <v>2018-06-30</v>
      </c>
      <c r="G459" s="32">
        <f>'[6]price list MAN'!G459</f>
        <v>15.3</v>
      </c>
      <c r="H459" s="26">
        <f>'[6]price list MAN'!H459</f>
        <v>42978</v>
      </c>
      <c r="I459" s="51" t="str">
        <f t="shared" si="35"/>
        <v>2017Q3</v>
      </c>
      <c r="J459" s="177">
        <f>'[6]price list MAN'!J459</f>
        <v>1790000</v>
      </c>
      <c r="K459" s="177">
        <f>'[6]price list MAN'!P459</f>
        <v>1370250</v>
      </c>
      <c r="L459" s="177">
        <f>'[6]price list MAN'!R459</f>
        <v>1305000</v>
      </c>
      <c r="M459" s="174">
        <f>'[6]price list MAN'!S459</f>
        <v>1845000</v>
      </c>
      <c r="N459" s="174">
        <f>'[6]price list MAN'!Y459</f>
        <v>1428000</v>
      </c>
      <c r="O459" s="174">
        <f>'[6]price list MAN'!AA459</f>
        <v>1360000</v>
      </c>
      <c r="P459" s="68">
        <f t="shared" si="36"/>
        <v>0.26287262872628725</v>
      </c>
      <c r="Q459" s="62" t="e">
        <f>O459-#REF!</f>
        <v>#REF!</v>
      </c>
      <c r="W459" s="210"/>
      <c r="X459" s="210"/>
      <c r="Y459" s="210"/>
      <c r="Z459" s="210"/>
      <c r="AA459" s="210"/>
      <c r="AB459" s="210"/>
      <c r="AC459" s="210"/>
      <c r="AT459" s="425" t="str">
        <f t="shared" si="37"/>
        <v>KP0006342017Q315,3</v>
      </c>
      <c r="AU459" s="64" t="str">
        <f t="shared" si="38"/>
        <v>08-2017</v>
      </c>
      <c r="BA459" s="428" t="str">
        <f t="shared" si="39"/>
        <v>WIP - 30 Days</v>
      </c>
    </row>
    <row r="460" spans="1:245" s="4" customFormat="1">
      <c r="A460" s="41"/>
      <c r="B460" s="36" t="str">
        <f>'[6]price list MAN'!B460</f>
        <v>78W-3394</v>
      </c>
      <c r="C460" s="10" t="str">
        <f>'[6]price list MAN'!C460</f>
        <v>TGS-26-4406X4BLS-LX</v>
      </c>
      <c r="D460" s="16" t="str">
        <f>IFERROR(VLOOKUP(C460&amp;"",'[7]Retail Price List'!$A$3:$B$103,2,FALSE),"Special Order")</f>
        <v>KP000634</v>
      </c>
      <c r="E460" s="494" t="str">
        <f>'[6]price list MAN'!E460</f>
        <v>CKD</v>
      </c>
      <c r="F460" s="11" t="str">
        <f>'[6]price list MAN'!F460</f>
        <v>2018-06-30</v>
      </c>
      <c r="G460" s="32">
        <f>'[6]price list MAN'!G460</f>
        <v>15.3</v>
      </c>
      <c r="H460" s="26">
        <f>'[6]price list MAN'!H460</f>
        <v>42978</v>
      </c>
      <c r="I460" s="51" t="str">
        <f t="shared" si="35"/>
        <v>2017Q3</v>
      </c>
      <c r="J460" s="177">
        <f>'[6]price list MAN'!J460</f>
        <v>1790000</v>
      </c>
      <c r="K460" s="177">
        <f>'[6]price list MAN'!P460</f>
        <v>1370250</v>
      </c>
      <c r="L460" s="177">
        <f>'[6]price list MAN'!R460</f>
        <v>1305000</v>
      </c>
      <c r="M460" s="174">
        <f>'[6]price list MAN'!S460</f>
        <v>1845000</v>
      </c>
      <c r="N460" s="174">
        <f>'[6]price list MAN'!Y460</f>
        <v>1428000</v>
      </c>
      <c r="O460" s="174">
        <f>'[6]price list MAN'!AA460</f>
        <v>1360000</v>
      </c>
      <c r="P460" s="68">
        <f t="shared" si="36"/>
        <v>0.26287262872628725</v>
      </c>
      <c r="Q460" s="62" t="e">
        <f>O460-#REF!</f>
        <v>#REF!</v>
      </c>
      <c r="R460" s="63" t="e">
        <f>SUM(Q445:Q459)/SUM(O445:O459)</f>
        <v>#REF!</v>
      </c>
      <c r="S460" s="64"/>
      <c r="T460" s="64"/>
      <c r="U460" s="64"/>
      <c r="V460" s="64"/>
      <c r="W460" s="210"/>
      <c r="X460" s="210"/>
      <c r="Y460" s="210"/>
      <c r="Z460" s="210"/>
      <c r="AA460" s="210"/>
      <c r="AB460" s="210"/>
      <c r="AC460" s="210"/>
      <c r="AD460" s="54"/>
      <c r="AE460" s="54"/>
      <c r="AF460" s="54"/>
      <c r="AG460" s="5"/>
      <c r="AH460" s="5"/>
      <c r="AI460" s="5"/>
      <c r="AJ460" s="5"/>
      <c r="AK460" s="5"/>
      <c r="AL460" s="5"/>
      <c r="AM460" s="5"/>
      <c r="AN460" s="5"/>
      <c r="AO460" s="5"/>
      <c r="AP460" s="5"/>
      <c r="AQ460" s="5"/>
      <c r="AR460" s="5"/>
      <c r="AS460" s="5"/>
      <c r="AT460" s="425" t="str">
        <f t="shared" si="37"/>
        <v>KP0006342017Q315,3</v>
      </c>
      <c r="AU460" s="64" t="str">
        <f t="shared" si="38"/>
        <v>08-2017</v>
      </c>
      <c r="AV460" s="64"/>
      <c r="AW460" s="64"/>
      <c r="AX460" s="64"/>
      <c r="AY460" s="64"/>
      <c r="AZ460" s="64"/>
      <c r="BA460" s="428" t="str">
        <f t="shared" si="39"/>
        <v>WIP - 30 Days</v>
      </c>
      <c r="BB460" s="169"/>
      <c r="BC460" s="169"/>
      <c r="BD460" s="169"/>
      <c r="BE460" s="41"/>
      <c r="BF460" s="41"/>
      <c r="BG460" s="41"/>
      <c r="BH460" s="41"/>
      <c r="BI460" s="41"/>
      <c r="BJ460" s="41"/>
      <c r="BK460" s="41"/>
      <c r="BL460" s="41"/>
      <c r="BM460" s="41"/>
      <c r="BN460" s="41"/>
      <c r="BO460" s="41"/>
      <c r="BP460" s="41"/>
      <c r="BQ460" s="41"/>
      <c r="BR460" s="41"/>
      <c r="BS460" s="41"/>
      <c r="BT460" s="41"/>
      <c r="BU460" s="41"/>
      <c r="BV460" s="41"/>
      <c r="BW460" s="41"/>
      <c r="BX460" s="41"/>
      <c r="BY460" s="41"/>
      <c r="BZ460" s="41"/>
      <c r="CA460" s="41"/>
      <c r="CB460" s="41"/>
      <c r="CC460" s="41"/>
      <c r="CD460" s="41"/>
      <c r="CE460" s="41"/>
      <c r="CF460" s="41"/>
      <c r="CG460" s="41"/>
      <c r="CH460" s="41"/>
      <c r="CI460" s="41"/>
      <c r="CJ460" s="41"/>
      <c r="CK460" s="41"/>
      <c r="CL460" s="41"/>
      <c r="CM460" s="41"/>
      <c r="CN460" s="41"/>
      <c r="CO460" s="41"/>
      <c r="CP460" s="41"/>
      <c r="CQ460" s="41"/>
      <c r="CR460" s="41"/>
      <c r="CS460" s="41"/>
      <c r="CT460" s="41"/>
      <c r="CU460" s="41"/>
      <c r="CV460" s="41"/>
      <c r="CW460" s="41"/>
      <c r="CX460" s="41"/>
      <c r="CY460" s="41"/>
      <c r="CZ460" s="41"/>
      <c r="DA460" s="41"/>
      <c r="DB460" s="41"/>
      <c r="DC460" s="41"/>
      <c r="DD460" s="41"/>
      <c r="DE460" s="41"/>
      <c r="DF460" s="41"/>
      <c r="DG460" s="41"/>
      <c r="DH460" s="41"/>
      <c r="DI460" s="41"/>
      <c r="DJ460" s="41"/>
      <c r="DK460" s="41"/>
      <c r="DL460" s="41"/>
      <c r="DM460" s="41"/>
      <c r="DN460" s="41"/>
      <c r="DO460" s="41"/>
      <c r="DP460" s="41"/>
      <c r="DQ460" s="41"/>
      <c r="DR460" s="41"/>
      <c r="DS460" s="41"/>
      <c r="DT460" s="41"/>
      <c r="DU460" s="41"/>
      <c r="DV460" s="41"/>
      <c r="DW460" s="41"/>
      <c r="DX460" s="41"/>
      <c r="DY460" s="41"/>
      <c r="DZ460" s="41"/>
      <c r="EA460" s="41"/>
      <c r="EB460" s="41"/>
      <c r="EC460" s="41"/>
      <c r="ED460" s="41"/>
      <c r="EE460" s="41"/>
      <c r="EF460" s="41"/>
      <c r="EG460" s="41"/>
      <c r="EH460" s="41"/>
      <c r="EI460" s="41"/>
      <c r="EJ460" s="41"/>
      <c r="EK460" s="41"/>
      <c r="EL460" s="41"/>
      <c r="EM460" s="41"/>
      <c r="EN460" s="41"/>
      <c r="EO460" s="41"/>
      <c r="EP460" s="41"/>
      <c r="EQ460" s="41"/>
      <c r="ER460" s="41"/>
      <c r="ES460" s="41"/>
      <c r="ET460" s="41"/>
      <c r="EU460" s="41"/>
      <c r="EV460" s="41"/>
      <c r="EW460" s="41"/>
      <c r="EX460" s="41"/>
      <c r="EY460" s="41"/>
      <c r="EZ460" s="41"/>
      <c r="FA460" s="41"/>
      <c r="FB460" s="41"/>
      <c r="FC460" s="41"/>
      <c r="FD460" s="41"/>
      <c r="FE460" s="41"/>
      <c r="FF460" s="41"/>
      <c r="FG460" s="41"/>
      <c r="FH460" s="41"/>
      <c r="FI460" s="41"/>
      <c r="FJ460" s="41"/>
      <c r="FK460" s="41"/>
      <c r="FL460" s="41"/>
      <c r="FM460" s="41"/>
      <c r="FN460" s="41"/>
      <c r="FO460" s="41"/>
      <c r="FP460" s="41"/>
      <c r="FQ460" s="41"/>
      <c r="FR460" s="41"/>
      <c r="FS460" s="41"/>
      <c r="FT460" s="41"/>
      <c r="FU460" s="41"/>
      <c r="FV460" s="41"/>
      <c r="FW460" s="41"/>
      <c r="FX460" s="41"/>
      <c r="FY460" s="41"/>
      <c r="FZ460" s="41"/>
      <c r="GA460" s="41"/>
      <c r="GB460" s="41"/>
      <c r="GC460" s="41"/>
      <c r="GD460" s="41"/>
      <c r="GE460" s="41"/>
      <c r="GF460" s="41"/>
      <c r="GG460" s="41"/>
      <c r="GH460" s="41"/>
      <c r="GI460" s="41"/>
      <c r="GJ460" s="41"/>
      <c r="GK460" s="41"/>
      <c r="GL460" s="41"/>
      <c r="GM460" s="41"/>
      <c r="GN460" s="41"/>
      <c r="GO460" s="41"/>
      <c r="GP460" s="41"/>
      <c r="GQ460" s="41"/>
      <c r="GR460" s="41"/>
      <c r="GS460" s="41"/>
      <c r="GT460" s="41"/>
      <c r="GU460" s="41"/>
      <c r="GV460" s="41"/>
      <c r="GW460" s="41"/>
      <c r="GX460" s="41"/>
      <c r="GY460" s="41"/>
      <c r="GZ460" s="41"/>
      <c r="HA460" s="41"/>
      <c r="HB460" s="41"/>
      <c r="HC460" s="41"/>
      <c r="HD460" s="41"/>
      <c r="HE460" s="41"/>
      <c r="HF460" s="41"/>
      <c r="HG460" s="41"/>
      <c r="HH460" s="41"/>
      <c r="HI460" s="41"/>
      <c r="HJ460" s="41"/>
      <c r="HK460" s="41"/>
      <c r="HL460" s="41"/>
      <c r="HM460" s="41"/>
      <c r="HN460" s="41"/>
      <c r="HO460" s="41"/>
      <c r="HP460" s="41"/>
      <c r="HQ460" s="41"/>
      <c r="HR460" s="41"/>
      <c r="HS460" s="41"/>
      <c r="HT460" s="41"/>
      <c r="HU460" s="41"/>
      <c r="HV460" s="41"/>
      <c r="HW460" s="41"/>
      <c r="HX460" s="41"/>
      <c r="HY460" s="41"/>
      <c r="HZ460" s="41"/>
      <c r="IA460" s="41"/>
      <c r="IB460" s="41"/>
      <c r="IC460" s="41"/>
      <c r="ID460" s="41"/>
      <c r="IE460" s="41"/>
      <c r="IF460" s="41"/>
      <c r="IG460" s="41"/>
      <c r="IH460" s="41"/>
      <c r="II460" s="41"/>
      <c r="IJ460" s="41"/>
      <c r="IK460" s="41"/>
    </row>
    <row r="461" spans="1:245">
      <c r="B461" s="36" t="str">
        <f>'[6]price list MAN'!B461</f>
        <v>78W-3395</v>
      </c>
      <c r="C461" s="10" t="str">
        <f>'[6]price list MAN'!C461</f>
        <v>TGS-26-4406X4BLS-LX</v>
      </c>
      <c r="D461" s="16" t="str">
        <f>IFERROR(VLOOKUP(C461&amp;"",'[7]Retail Price List'!$A$3:$B$103,2,FALSE),"Special Order")</f>
        <v>KP000634</v>
      </c>
      <c r="E461" s="494" t="str">
        <f>'[6]price list MAN'!E461</f>
        <v>CKD</v>
      </c>
      <c r="F461" s="11" t="str">
        <f>'[6]price list MAN'!F461</f>
        <v>2018-06-30</v>
      </c>
      <c r="G461" s="32">
        <f>'[6]price list MAN'!G461</f>
        <v>15.3</v>
      </c>
      <c r="H461" s="26">
        <f>'[6]price list MAN'!H461</f>
        <v>42978</v>
      </c>
      <c r="I461" s="51" t="str">
        <f t="shared" si="35"/>
        <v>2017Q3</v>
      </c>
      <c r="J461" s="177">
        <f>'[6]price list MAN'!J461</f>
        <v>1790000</v>
      </c>
      <c r="K461" s="177">
        <f>'[6]price list MAN'!P461</f>
        <v>1370250</v>
      </c>
      <c r="L461" s="177">
        <f>'[6]price list MAN'!R461</f>
        <v>1305000</v>
      </c>
      <c r="M461" s="174">
        <f>'[6]price list MAN'!S461</f>
        <v>1845000</v>
      </c>
      <c r="N461" s="174">
        <f>'[6]price list MAN'!Y461</f>
        <v>1428000</v>
      </c>
      <c r="O461" s="174">
        <f>'[6]price list MAN'!AA461</f>
        <v>1360000</v>
      </c>
      <c r="P461" s="68">
        <f t="shared" si="36"/>
        <v>0.26287262872628725</v>
      </c>
      <c r="Q461" s="62" t="e">
        <f>O461-#REF!</f>
        <v>#REF!</v>
      </c>
      <c r="W461" s="210"/>
      <c r="X461" s="210"/>
      <c r="Y461" s="210"/>
      <c r="Z461" s="210"/>
      <c r="AA461" s="210"/>
      <c r="AB461" s="210"/>
      <c r="AC461" s="210"/>
      <c r="AT461" s="425" t="str">
        <f t="shared" si="37"/>
        <v>KP0006342017Q315,3</v>
      </c>
      <c r="AU461" s="64" t="str">
        <f t="shared" si="38"/>
        <v>08-2017</v>
      </c>
      <c r="BA461" s="428" t="str">
        <f t="shared" si="39"/>
        <v>WIP - 30 Days</v>
      </c>
    </row>
    <row r="462" spans="1:245">
      <c r="B462" s="36" t="str">
        <f>'[6]price list MAN'!B462</f>
        <v>78W-6117</v>
      </c>
      <c r="C462" s="10" t="str">
        <f>'[6]price list MAN'!C462</f>
        <v>TGS-26-4406X4BLS-LX</v>
      </c>
      <c r="D462" s="16" t="str">
        <f>IFERROR(VLOOKUP(C462&amp;"",'[7]Retail Price List'!$A$3:$B$103,2,FALSE),"Special Order")</f>
        <v>KP000634</v>
      </c>
      <c r="E462" s="494" t="str">
        <f>'[6]price list MAN'!E462</f>
        <v>SOLD</v>
      </c>
      <c r="F462" s="11">
        <f>'[6]price list MAN'!F462</f>
        <v>21</v>
      </c>
      <c r="G462" s="32">
        <f>'[6]price list MAN'!G462</f>
        <v>14.7</v>
      </c>
      <c r="H462" s="26">
        <f>'[6]price list MAN'!H462</f>
        <v>42937</v>
      </c>
      <c r="I462" s="51" t="str">
        <f t="shared" si="35"/>
        <v>201707Q3</v>
      </c>
      <c r="J462" s="177">
        <f>'[6]price list MAN'!J462</f>
        <v>1790000</v>
      </c>
      <c r="K462" s="177">
        <f>'[6]price list MAN'!P462</f>
        <v>1370250</v>
      </c>
      <c r="L462" s="177">
        <f>'[6]price list MAN'!R462</f>
        <v>1305000</v>
      </c>
      <c r="M462" s="174">
        <f>'[6]price list MAN'!S462</f>
        <v>1845000</v>
      </c>
      <c r="N462" s="174">
        <f>'[6]price list MAN'!Y462</f>
        <v>1428000</v>
      </c>
      <c r="O462" s="174">
        <f>'[6]price list MAN'!AA462</f>
        <v>1360000</v>
      </c>
      <c r="P462" s="68">
        <f t="shared" si="36"/>
        <v>0.26287262872628725</v>
      </c>
      <c r="Q462" s="62" t="e">
        <f>O462-#REF!</f>
        <v>#REF!</v>
      </c>
      <c r="W462" s="210"/>
      <c r="X462" s="210"/>
      <c r="Y462" s="210"/>
      <c r="Z462" s="210"/>
      <c r="AA462" s="210"/>
      <c r="AB462" s="210"/>
      <c r="AC462" s="210"/>
      <c r="AT462" s="425" t="str">
        <f t="shared" si="37"/>
        <v>KP000634201707Q314,7</v>
      </c>
      <c r="AU462" s="64" t="str">
        <f t="shared" si="38"/>
        <v>07-2017</v>
      </c>
      <c r="BA462" s="428" t="str">
        <f t="shared" si="39"/>
        <v>WIP - 30 Days</v>
      </c>
    </row>
    <row r="463" spans="1:245">
      <c r="B463" s="36" t="str">
        <f>'[6]price list MAN'!B463</f>
        <v>78W-6118</v>
      </c>
      <c r="C463" s="10" t="str">
        <f>'[6]price list MAN'!C463</f>
        <v>TGS-26-4406X4BLS-LX</v>
      </c>
      <c r="D463" s="16" t="str">
        <f>IFERROR(VLOOKUP(C463&amp;"",'[7]Retail Price List'!$A$3:$B$103,2,FALSE),"Special Order")</f>
        <v>KP000634</v>
      </c>
      <c r="E463" s="494" t="str">
        <f>'[6]price list MAN'!E463</f>
        <v>SOLD</v>
      </c>
      <c r="F463" s="11">
        <f>'[6]price list MAN'!F463</f>
        <v>21</v>
      </c>
      <c r="G463" s="32">
        <f>'[6]price list MAN'!G463</f>
        <v>14.7</v>
      </c>
      <c r="H463" s="26">
        <f>'[6]price list MAN'!H463</f>
        <v>42937</v>
      </c>
      <c r="I463" s="51" t="str">
        <f t="shared" si="35"/>
        <v>201707Q3</v>
      </c>
      <c r="J463" s="177">
        <f>'[6]price list MAN'!J463</f>
        <v>1790000</v>
      </c>
      <c r="K463" s="177">
        <f>'[6]price list MAN'!P463</f>
        <v>1370250</v>
      </c>
      <c r="L463" s="177">
        <f>'[6]price list MAN'!R463</f>
        <v>1305000</v>
      </c>
      <c r="M463" s="174">
        <f>'[6]price list MAN'!S463</f>
        <v>1845000</v>
      </c>
      <c r="N463" s="174">
        <f>'[6]price list MAN'!Y463</f>
        <v>1428000</v>
      </c>
      <c r="O463" s="174">
        <f>'[6]price list MAN'!AA463</f>
        <v>1360000</v>
      </c>
      <c r="P463" s="68">
        <f t="shared" si="36"/>
        <v>0.26287262872628725</v>
      </c>
      <c r="Q463" s="62" t="e">
        <f>O463-#REF!</f>
        <v>#REF!</v>
      </c>
      <c r="W463" s="210"/>
      <c r="X463" s="210"/>
      <c r="Y463" s="210"/>
      <c r="Z463" s="210"/>
      <c r="AA463" s="210"/>
      <c r="AB463" s="210"/>
      <c r="AC463" s="210"/>
      <c r="AT463" s="425" t="str">
        <f t="shared" si="37"/>
        <v>KP000634201707Q314,7</v>
      </c>
      <c r="AU463" s="64" t="str">
        <f t="shared" si="38"/>
        <v>07-2017</v>
      </c>
      <c r="BA463" s="428" t="str">
        <f t="shared" si="39"/>
        <v>WIP - 30 Days</v>
      </c>
    </row>
    <row r="464" spans="1:245">
      <c r="B464" s="36" t="str">
        <f>'[6]price list MAN'!B464</f>
        <v>78W-6145</v>
      </c>
      <c r="C464" s="10" t="str">
        <f>'[6]price list MAN'!C464</f>
        <v>TGS-26-4406X4BLS-LX</v>
      </c>
      <c r="D464" s="16" t="str">
        <f>IFERROR(VLOOKUP(C464&amp;"",'[7]Retail Price List'!$A$3:$B$103,2,FALSE),"Special Order")</f>
        <v>KP000634</v>
      </c>
      <c r="E464" s="494" t="str">
        <f>'[6]price list MAN'!E464</f>
        <v>SOLD</v>
      </c>
      <c r="F464" s="11">
        <f>'[6]price list MAN'!F464</f>
        <v>20</v>
      </c>
      <c r="G464" s="32">
        <f>'[6]price list MAN'!G464</f>
        <v>14.7</v>
      </c>
      <c r="H464" s="26">
        <f>'[6]price list MAN'!H464</f>
        <v>42937</v>
      </c>
      <c r="I464" s="51" t="str">
        <f t="shared" si="35"/>
        <v>201707Q3</v>
      </c>
      <c r="J464" s="177">
        <f>'[6]price list MAN'!J464</f>
        <v>1790000</v>
      </c>
      <c r="K464" s="177">
        <f>'[6]price list MAN'!P464</f>
        <v>1370250</v>
      </c>
      <c r="L464" s="177">
        <f>'[6]price list MAN'!R464</f>
        <v>1305000</v>
      </c>
      <c r="M464" s="174">
        <f>'[6]price list MAN'!S464</f>
        <v>1845000</v>
      </c>
      <c r="N464" s="174">
        <f>'[6]price list MAN'!Y464</f>
        <v>1428000</v>
      </c>
      <c r="O464" s="174">
        <f>'[6]price list MAN'!AA464</f>
        <v>1360000</v>
      </c>
      <c r="P464" s="68">
        <f t="shared" si="36"/>
        <v>0.26287262872628725</v>
      </c>
      <c r="Q464" s="62" t="e">
        <f>O464-#REF!</f>
        <v>#REF!</v>
      </c>
      <c r="W464" s="210"/>
      <c r="X464" s="210"/>
      <c r="Y464" s="210"/>
      <c r="Z464" s="210"/>
      <c r="AA464" s="210"/>
      <c r="AB464" s="210"/>
      <c r="AC464" s="210"/>
      <c r="AT464" s="425" t="str">
        <f t="shared" si="37"/>
        <v>KP000634201707Q314,7</v>
      </c>
      <c r="AU464" s="64" t="str">
        <f t="shared" si="38"/>
        <v>07-2017</v>
      </c>
      <c r="BA464" s="428" t="str">
        <f t="shared" si="39"/>
        <v>WIP - 30 Days</v>
      </c>
    </row>
    <row r="465" spans="2:53">
      <c r="B465" s="36" t="str">
        <f>'[6]price list MAN'!B465</f>
        <v>78W-6148</v>
      </c>
      <c r="C465" s="10" t="str">
        <f>'[6]price list MAN'!C465</f>
        <v>TGS-26-4406X4BLS-LX</v>
      </c>
      <c r="D465" s="16" t="str">
        <f>IFERROR(VLOOKUP(C465&amp;"",'[7]Retail Price List'!$A$3:$B$103,2,FALSE),"Special Order")</f>
        <v>KP000634</v>
      </c>
      <c r="E465" s="494" t="str">
        <f>'[6]price list MAN'!E465</f>
        <v>SOLD</v>
      </c>
      <c r="F465" s="11">
        <f>'[6]price list MAN'!F465</f>
        <v>27</v>
      </c>
      <c r="G465" s="32">
        <f>'[6]price list MAN'!G465</f>
        <v>14.7</v>
      </c>
      <c r="H465" s="26">
        <f>'[6]price list MAN'!H465</f>
        <v>42937</v>
      </c>
      <c r="I465" s="51" t="str">
        <f t="shared" si="35"/>
        <v>201707Q3</v>
      </c>
      <c r="J465" s="177">
        <f>'[6]price list MAN'!J465</f>
        <v>1790000</v>
      </c>
      <c r="K465" s="177">
        <f>'[6]price list MAN'!P465</f>
        <v>1370250</v>
      </c>
      <c r="L465" s="177">
        <f>'[6]price list MAN'!R465</f>
        <v>1305000</v>
      </c>
      <c r="M465" s="174">
        <f>'[6]price list MAN'!S465</f>
        <v>1845000</v>
      </c>
      <c r="N465" s="174">
        <f>'[6]price list MAN'!Y465</f>
        <v>1428000</v>
      </c>
      <c r="O465" s="174">
        <f>'[6]price list MAN'!AA465</f>
        <v>1360000</v>
      </c>
      <c r="P465" s="68">
        <f t="shared" si="36"/>
        <v>0.26287262872628725</v>
      </c>
      <c r="Q465" s="62" t="e">
        <f>O465-#REF!</f>
        <v>#REF!</v>
      </c>
      <c r="W465" s="210"/>
      <c r="X465" s="210"/>
      <c r="Y465" s="210"/>
      <c r="Z465" s="210"/>
      <c r="AA465" s="210"/>
      <c r="AB465" s="210"/>
      <c r="AC465" s="210"/>
      <c r="AT465" s="425" t="str">
        <f t="shared" si="37"/>
        <v>KP000634201707Q314,7</v>
      </c>
      <c r="AU465" s="64" t="str">
        <f t="shared" si="38"/>
        <v>07-2017</v>
      </c>
      <c r="BA465" s="428" t="str">
        <f t="shared" si="39"/>
        <v>WIP - 30 Days</v>
      </c>
    </row>
    <row r="466" spans="2:53">
      <c r="B466" s="36" t="str">
        <f>'[6]price list MAN'!B466</f>
        <v>78W-6196</v>
      </c>
      <c r="C466" s="10" t="str">
        <f>'[6]price list MAN'!C466</f>
        <v>TGS-26-4406X4BLS-LX</v>
      </c>
      <c r="D466" s="16" t="str">
        <f>IFERROR(VLOOKUP(C466&amp;"",'[7]Retail Price List'!$A$3:$B$103,2,FALSE),"Special Order")</f>
        <v>KP000634</v>
      </c>
      <c r="E466" s="494" t="str">
        <f>'[6]price list MAN'!E466</f>
        <v>CKD</v>
      </c>
      <c r="F466" s="11" t="str">
        <f>'[6]price list MAN'!F466</f>
        <v>2018-03-30</v>
      </c>
      <c r="G466" s="32">
        <f>'[6]price list MAN'!G466</f>
        <v>14.7</v>
      </c>
      <c r="H466" s="26">
        <f>'[6]price list MAN'!H466</f>
        <v>42947</v>
      </c>
      <c r="I466" s="51" t="str">
        <f t="shared" si="35"/>
        <v>201707Q3</v>
      </c>
      <c r="J466" s="177">
        <f>'[6]price list MAN'!J466</f>
        <v>1790000</v>
      </c>
      <c r="K466" s="177">
        <f>'[6]price list MAN'!P466</f>
        <v>1370250</v>
      </c>
      <c r="L466" s="177">
        <f>'[6]price list MAN'!R466</f>
        <v>1305000</v>
      </c>
      <c r="M466" s="174">
        <f>'[6]price list MAN'!S466</f>
        <v>1845000</v>
      </c>
      <c r="N466" s="174">
        <f>'[6]price list MAN'!Y466</f>
        <v>1428000</v>
      </c>
      <c r="O466" s="174">
        <f>'[6]price list MAN'!AA466</f>
        <v>1360000</v>
      </c>
      <c r="P466" s="68">
        <f t="shared" si="36"/>
        <v>0.26287262872628725</v>
      </c>
      <c r="Q466" s="62" t="e">
        <f>O466-#REF!</f>
        <v>#REF!</v>
      </c>
      <c r="W466" s="210"/>
      <c r="X466" s="210"/>
      <c r="Y466" s="210"/>
      <c r="Z466" s="210"/>
      <c r="AA466" s="210"/>
      <c r="AB466" s="210"/>
      <c r="AC466" s="210"/>
      <c r="AT466" s="425" t="str">
        <f t="shared" si="37"/>
        <v>KP000634201707Q314,7</v>
      </c>
      <c r="AU466" s="64" t="str">
        <f t="shared" si="38"/>
        <v>07-2017</v>
      </c>
      <c r="BA466" s="428" t="str">
        <f t="shared" si="39"/>
        <v>WIP - 30 Days</v>
      </c>
    </row>
    <row r="467" spans="2:53">
      <c r="B467" s="36" t="str">
        <f>'[6]price list MAN'!B467</f>
        <v>78W-6197</v>
      </c>
      <c r="C467" s="10" t="str">
        <f>'[6]price list MAN'!C467</f>
        <v>TGS-26-4406X4BLS-LX</v>
      </c>
      <c r="D467" s="16" t="str">
        <f>IFERROR(VLOOKUP(C467&amp;"",'[7]Retail Price List'!$A$3:$B$103,2,FALSE),"Special Order")</f>
        <v>KP000634</v>
      </c>
      <c r="E467" s="494" t="str">
        <f>'[6]price list MAN'!E467</f>
        <v>CKD</v>
      </c>
      <c r="F467" s="11" t="str">
        <f>'[6]price list MAN'!F467</f>
        <v>2018-03-30</v>
      </c>
      <c r="G467" s="32">
        <f>'[6]price list MAN'!G467</f>
        <v>14.7</v>
      </c>
      <c r="H467" s="26">
        <f>'[6]price list MAN'!H467</f>
        <v>42947</v>
      </c>
      <c r="I467" s="51" t="str">
        <f t="shared" si="35"/>
        <v>201707Q3</v>
      </c>
      <c r="J467" s="177">
        <f>'[6]price list MAN'!J467</f>
        <v>1790000</v>
      </c>
      <c r="K467" s="177">
        <f>'[6]price list MAN'!P467</f>
        <v>1370250</v>
      </c>
      <c r="L467" s="177">
        <f>'[6]price list MAN'!R467</f>
        <v>1305000</v>
      </c>
      <c r="M467" s="174">
        <f>'[6]price list MAN'!S467</f>
        <v>1845000</v>
      </c>
      <c r="N467" s="174">
        <f>'[6]price list MAN'!Y467</f>
        <v>1428000</v>
      </c>
      <c r="O467" s="174">
        <f>'[6]price list MAN'!AA467</f>
        <v>1360000</v>
      </c>
      <c r="P467" s="68">
        <f t="shared" si="36"/>
        <v>0.26287262872628725</v>
      </c>
      <c r="Q467" s="62" t="e">
        <f>O467-#REF!</f>
        <v>#REF!</v>
      </c>
      <c r="W467" s="210"/>
      <c r="X467" s="210"/>
      <c r="Y467" s="210"/>
      <c r="Z467" s="210"/>
      <c r="AA467" s="210"/>
      <c r="AB467" s="210"/>
      <c r="AC467" s="210"/>
      <c r="AT467" s="425" t="str">
        <f t="shared" si="37"/>
        <v>KP000634201707Q314,7</v>
      </c>
      <c r="AU467" s="64" t="str">
        <f t="shared" si="38"/>
        <v>07-2017</v>
      </c>
      <c r="BA467" s="428" t="str">
        <f t="shared" si="39"/>
        <v>WIP - 30 Days</v>
      </c>
    </row>
    <row r="468" spans="2:53">
      <c r="B468" s="36" t="str">
        <f>'[6]price list MAN'!B468</f>
        <v>78W-6198</v>
      </c>
      <c r="C468" s="10" t="str">
        <f>'[6]price list MAN'!C468</f>
        <v>TGS-26-4406X4BLS-LX</v>
      </c>
      <c r="D468" s="16" t="str">
        <f>IFERROR(VLOOKUP(C468&amp;"",'[7]Retail Price List'!$A$3:$B$103,2,FALSE),"Special Order")</f>
        <v>KP000634</v>
      </c>
      <c r="E468" s="494" t="str">
        <f>'[6]price list MAN'!E468</f>
        <v>CKD</v>
      </c>
      <c r="F468" s="11" t="str">
        <f>'[6]price list MAN'!F468</f>
        <v>2018-03-30</v>
      </c>
      <c r="G468" s="32">
        <f>'[6]price list MAN'!G468</f>
        <v>14.7</v>
      </c>
      <c r="H468" s="26">
        <f>'[6]price list MAN'!H468</f>
        <v>42947</v>
      </c>
      <c r="I468" s="51" t="str">
        <f t="shared" si="35"/>
        <v>201707Q3</v>
      </c>
      <c r="J468" s="177">
        <f>'[6]price list MAN'!J468</f>
        <v>1790000</v>
      </c>
      <c r="K468" s="177">
        <f>'[6]price list MAN'!P468</f>
        <v>1370250</v>
      </c>
      <c r="L468" s="177">
        <f>'[6]price list MAN'!R468</f>
        <v>1305000</v>
      </c>
      <c r="M468" s="174">
        <f>'[6]price list MAN'!S468</f>
        <v>1845000</v>
      </c>
      <c r="N468" s="174">
        <f>'[6]price list MAN'!Y468</f>
        <v>1428000</v>
      </c>
      <c r="O468" s="174">
        <f>'[6]price list MAN'!AA468</f>
        <v>1360000</v>
      </c>
      <c r="P468" s="68">
        <f t="shared" si="36"/>
        <v>0.26287262872628725</v>
      </c>
      <c r="Q468" s="62" t="e">
        <f>O468-#REF!</f>
        <v>#REF!</v>
      </c>
      <c r="W468" s="210"/>
      <c r="X468" s="210"/>
      <c r="Y468" s="210"/>
      <c r="Z468" s="210"/>
      <c r="AA468" s="210"/>
      <c r="AB468" s="210"/>
      <c r="AC468" s="210"/>
      <c r="AT468" s="425" t="str">
        <f t="shared" si="37"/>
        <v>KP000634201707Q314,7</v>
      </c>
      <c r="AU468" s="64" t="str">
        <f t="shared" si="38"/>
        <v>07-2017</v>
      </c>
      <c r="BA468" s="428" t="str">
        <f t="shared" si="39"/>
        <v>WIP - 30 Days</v>
      </c>
    </row>
    <row r="469" spans="2:53">
      <c r="B469" s="36" t="str">
        <f>'[6]price list MAN'!B469</f>
        <v>78W-6199</v>
      </c>
      <c r="C469" s="10" t="str">
        <f>'[6]price list MAN'!C469</f>
        <v>TGS-26-4406X4BLS-LX</v>
      </c>
      <c r="D469" s="16" t="str">
        <f>IFERROR(VLOOKUP(C469&amp;"",'[7]Retail Price List'!$A$3:$B$103,2,FALSE),"Special Order")</f>
        <v>KP000634</v>
      </c>
      <c r="E469" s="494" t="str">
        <f>'[6]price list MAN'!E469</f>
        <v>CKD</v>
      </c>
      <c r="F469" s="11" t="str">
        <f>'[6]price list MAN'!F469</f>
        <v>2018-04-30</v>
      </c>
      <c r="G469" s="32">
        <f>'[6]price list MAN'!G469</f>
        <v>14.7</v>
      </c>
      <c r="H469" s="26">
        <f>'[6]price list MAN'!H469</f>
        <v>42947</v>
      </c>
      <c r="I469" s="51" t="str">
        <f t="shared" si="35"/>
        <v>201707Q3</v>
      </c>
      <c r="J469" s="177">
        <f>'[6]price list MAN'!J469</f>
        <v>1790000</v>
      </c>
      <c r="K469" s="177">
        <f>'[6]price list MAN'!P469</f>
        <v>1370250</v>
      </c>
      <c r="L469" s="177">
        <f>'[6]price list MAN'!R469</f>
        <v>1305000</v>
      </c>
      <c r="M469" s="174">
        <f>'[6]price list MAN'!S469</f>
        <v>1845000</v>
      </c>
      <c r="N469" s="174">
        <f>'[6]price list MAN'!Y469</f>
        <v>1428000</v>
      </c>
      <c r="O469" s="174">
        <f>'[6]price list MAN'!AA469</f>
        <v>1360000</v>
      </c>
      <c r="P469" s="68">
        <f t="shared" si="36"/>
        <v>0.26287262872628725</v>
      </c>
      <c r="Q469" s="62" t="e">
        <f>O469-#REF!</f>
        <v>#REF!</v>
      </c>
      <c r="W469" s="210"/>
      <c r="X469" s="210"/>
      <c r="Y469" s="210"/>
      <c r="Z469" s="210"/>
      <c r="AA469" s="210"/>
      <c r="AB469" s="210"/>
      <c r="AC469" s="210"/>
      <c r="AT469" s="425" t="str">
        <f t="shared" si="37"/>
        <v>KP000634201707Q314,7</v>
      </c>
      <c r="AU469" s="64" t="str">
        <f t="shared" si="38"/>
        <v>07-2017</v>
      </c>
      <c r="BA469" s="428" t="str">
        <f t="shared" si="39"/>
        <v>WIP - 30 Days</v>
      </c>
    </row>
    <row r="470" spans="2:53">
      <c r="B470" s="36" t="str">
        <f>'[6]price list MAN'!B470</f>
        <v>78W-6200</v>
      </c>
      <c r="C470" s="10" t="str">
        <f>'[6]price list MAN'!C470</f>
        <v>TGS-26-4406X4BLS-LX</v>
      </c>
      <c r="D470" s="16" t="str">
        <f>IFERROR(VLOOKUP(C470&amp;"",'[7]Retail Price List'!$A$3:$B$103,2,FALSE),"Special Order")</f>
        <v>KP000634</v>
      </c>
      <c r="E470" s="494" t="str">
        <f>'[6]price list MAN'!E470</f>
        <v>CKD</v>
      </c>
      <c r="F470" s="11" t="str">
        <f>'[6]price list MAN'!F470</f>
        <v>2018-04-30</v>
      </c>
      <c r="G470" s="32">
        <f>'[6]price list MAN'!G470</f>
        <v>14.7</v>
      </c>
      <c r="H470" s="26">
        <f>'[6]price list MAN'!H470</f>
        <v>42947</v>
      </c>
      <c r="I470" s="51" t="str">
        <f t="shared" si="35"/>
        <v>201707Q3</v>
      </c>
      <c r="J470" s="177">
        <f>'[6]price list MAN'!J470</f>
        <v>1790000</v>
      </c>
      <c r="K470" s="177">
        <f>'[6]price list MAN'!P470</f>
        <v>1370250</v>
      </c>
      <c r="L470" s="177">
        <f>'[6]price list MAN'!R470</f>
        <v>1305000</v>
      </c>
      <c r="M470" s="174">
        <f>'[6]price list MAN'!S470</f>
        <v>1845000</v>
      </c>
      <c r="N470" s="174">
        <f>'[6]price list MAN'!Y470</f>
        <v>1428000</v>
      </c>
      <c r="O470" s="174">
        <f>'[6]price list MAN'!AA470</f>
        <v>1360000</v>
      </c>
      <c r="P470" s="68">
        <f t="shared" si="36"/>
        <v>0.26287262872628725</v>
      </c>
      <c r="Q470" s="62" t="e">
        <f>O470-#REF!</f>
        <v>#REF!</v>
      </c>
      <c r="W470" s="210"/>
      <c r="X470" s="210"/>
      <c r="Y470" s="210"/>
      <c r="Z470" s="210"/>
      <c r="AA470" s="210"/>
      <c r="AB470" s="210"/>
      <c r="AC470" s="210"/>
      <c r="AT470" s="425" t="str">
        <f t="shared" si="37"/>
        <v>KP000634201707Q314,7</v>
      </c>
      <c r="AU470" s="64" t="str">
        <f t="shared" si="38"/>
        <v>07-2017</v>
      </c>
      <c r="BA470" s="428" t="str">
        <f t="shared" si="39"/>
        <v>WIP - 30 Days</v>
      </c>
    </row>
    <row r="471" spans="2:53">
      <c r="B471" s="36" t="str">
        <f>'[6]price list MAN'!B471</f>
        <v>78W-6201</v>
      </c>
      <c r="C471" s="10" t="str">
        <f>'[6]price list MAN'!C471</f>
        <v>TGS-26-4406X4BLS-LX</v>
      </c>
      <c r="D471" s="16" t="str">
        <f>IFERROR(VLOOKUP(C471&amp;"",'[7]Retail Price List'!$A$3:$B$103,2,FALSE),"Special Order")</f>
        <v>KP000634</v>
      </c>
      <c r="E471" s="494" t="str">
        <f>'[6]price list MAN'!E471</f>
        <v>CKD</v>
      </c>
      <c r="F471" s="11" t="str">
        <f>'[6]price list MAN'!F471</f>
        <v>2018-04-30</v>
      </c>
      <c r="G471" s="32">
        <f>'[6]price list MAN'!G471</f>
        <v>14.7</v>
      </c>
      <c r="H471" s="26">
        <f>'[6]price list MAN'!H471</f>
        <v>42947</v>
      </c>
      <c r="I471" s="51" t="str">
        <f t="shared" si="35"/>
        <v>201707Q3</v>
      </c>
      <c r="J471" s="177">
        <f>'[6]price list MAN'!J471</f>
        <v>1790000</v>
      </c>
      <c r="K471" s="177">
        <f>'[6]price list MAN'!P471</f>
        <v>1370250</v>
      </c>
      <c r="L471" s="177">
        <f>'[6]price list MAN'!R471</f>
        <v>1305000</v>
      </c>
      <c r="M471" s="174">
        <f>'[6]price list MAN'!S471</f>
        <v>1845000</v>
      </c>
      <c r="N471" s="174">
        <f>'[6]price list MAN'!Y471</f>
        <v>1428000</v>
      </c>
      <c r="O471" s="174">
        <f>'[6]price list MAN'!AA471</f>
        <v>1360000</v>
      </c>
      <c r="P471" s="68">
        <f t="shared" si="36"/>
        <v>0.26287262872628725</v>
      </c>
      <c r="Q471" s="62" t="e">
        <f>O471-#REF!</f>
        <v>#REF!</v>
      </c>
      <c r="W471" s="210"/>
      <c r="X471" s="210"/>
      <c r="Y471" s="210"/>
      <c r="Z471" s="210"/>
      <c r="AA471" s="210"/>
      <c r="AB471" s="210"/>
      <c r="AC471" s="210"/>
      <c r="AT471" s="425" t="str">
        <f t="shared" si="37"/>
        <v>KP000634201707Q314,7</v>
      </c>
      <c r="AU471" s="64" t="str">
        <f t="shared" si="38"/>
        <v>07-2017</v>
      </c>
      <c r="BA471" s="428" t="str">
        <f t="shared" si="39"/>
        <v>WIP - 30 Days</v>
      </c>
    </row>
    <row r="472" spans="2:53">
      <c r="B472" s="36" t="str">
        <f>'[6]price list MAN'!B472</f>
        <v>78W-6202</v>
      </c>
      <c r="C472" s="10" t="str">
        <f>'[6]price list MAN'!C472</f>
        <v>TGS-26-4406X4BLS-LX</v>
      </c>
      <c r="D472" s="16" t="str">
        <f>IFERROR(VLOOKUP(C472&amp;"",'[7]Retail Price List'!$A$3:$B$103,2,FALSE),"Special Order")</f>
        <v>KP000634</v>
      </c>
      <c r="E472" s="494" t="str">
        <f>'[6]price list MAN'!E472</f>
        <v>CKD</v>
      </c>
      <c r="F472" s="11" t="str">
        <f>'[6]price list MAN'!F472</f>
        <v>2018-04-30</v>
      </c>
      <c r="G472" s="32">
        <f>'[6]price list MAN'!G472</f>
        <v>14.7</v>
      </c>
      <c r="H472" s="26">
        <f>'[6]price list MAN'!H472</f>
        <v>42947</v>
      </c>
      <c r="I472" s="51" t="str">
        <f t="shared" si="35"/>
        <v>201707Q3</v>
      </c>
      <c r="J472" s="177">
        <f>'[6]price list MAN'!J472</f>
        <v>1790000</v>
      </c>
      <c r="K472" s="177">
        <f>'[6]price list MAN'!P472</f>
        <v>1370250</v>
      </c>
      <c r="L472" s="177">
        <f>'[6]price list MAN'!R472</f>
        <v>1305000</v>
      </c>
      <c r="M472" s="174">
        <f>'[6]price list MAN'!S472</f>
        <v>1845000</v>
      </c>
      <c r="N472" s="174">
        <f>'[6]price list MAN'!Y472</f>
        <v>1428000</v>
      </c>
      <c r="O472" s="174">
        <f>'[6]price list MAN'!AA472</f>
        <v>1360000</v>
      </c>
      <c r="P472" s="68">
        <f t="shared" si="36"/>
        <v>0.26287262872628725</v>
      </c>
      <c r="Q472" s="62" t="e">
        <f>O472-#REF!</f>
        <v>#REF!</v>
      </c>
      <c r="W472" s="210"/>
      <c r="X472" s="210"/>
      <c r="Y472" s="210"/>
      <c r="Z472" s="210"/>
      <c r="AA472" s="210"/>
      <c r="AB472" s="210"/>
      <c r="AC472" s="210"/>
      <c r="AT472" s="425" t="str">
        <f t="shared" si="37"/>
        <v>KP000634201707Q314,7</v>
      </c>
      <c r="AU472" s="64" t="str">
        <f t="shared" si="38"/>
        <v>07-2017</v>
      </c>
      <c r="BA472" s="428" t="str">
        <f t="shared" si="39"/>
        <v>WIP - 30 Days</v>
      </c>
    </row>
    <row r="473" spans="2:53">
      <c r="B473" s="36" t="str">
        <f>'[6]price list MAN'!B473</f>
        <v>78W-6203</v>
      </c>
      <c r="C473" s="10" t="str">
        <f>'[6]price list MAN'!C473</f>
        <v>TGS-26-4406X4BLS-LX</v>
      </c>
      <c r="D473" s="16" t="str">
        <f>IFERROR(VLOOKUP(C473&amp;"",'[7]Retail Price List'!$A$3:$B$103,2,FALSE),"Special Order")</f>
        <v>KP000634</v>
      </c>
      <c r="E473" s="494" t="str">
        <f>'[6]price list MAN'!E473</f>
        <v>CKD</v>
      </c>
      <c r="F473" s="11" t="str">
        <f>'[6]price list MAN'!F473</f>
        <v>2018-04-30</v>
      </c>
      <c r="G473" s="32">
        <f>'[6]price list MAN'!G473</f>
        <v>14.7</v>
      </c>
      <c r="H473" s="26">
        <f>'[6]price list MAN'!H473</f>
        <v>42947</v>
      </c>
      <c r="I473" s="51" t="str">
        <f t="shared" si="35"/>
        <v>201707Q3</v>
      </c>
      <c r="J473" s="177">
        <f>'[6]price list MAN'!J473</f>
        <v>1790000</v>
      </c>
      <c r="K473" s="177">
        <f>'[6]price list MAN'!P473</f>
        <v>1370250</v>
      </c>
      <c r="L473" s="177">
        <f>'[6]price list MAN'!R473</f>
        <v>1305000</v>
      </c>
      <c r="M473" s="174">
        <f>'[6]price list MAN'!S473</f>
        <v>1845000</v>
      </c>
      <c r="N473" s="174">
        <f>'[6]price list MAN'!Y473</f>
        <v>1428000</v>
      </c>
      <c r="O473" s="174">
        <f>'[6]price list MAN'!AA473</f>
        <v>1360000</v>
      </c>
      <c r="P473" s="68">
        <f t="shared" si="36"/>
        <v>0.26287262872628725</v>
      </c>
      <c r="Q473" s="62" t="e">
        <f>O473-#REF!</f>
        <v>#REF!</v>
      </c>
      <c r="W473" s="210"/>
      <c r="X473" s="210"/>
      <c r="Y473" s="210"/>
      <c r="Z473" s="210"/>
      <c r="AA473" s="210"/>
      <c r="AB473" s="210"/>
      <c r="AC473" s="210"/>
      <c r="AT473" s="425" t="str">
        <f t="shared" si="37"/>
        <v>KP000634201707Q314,7</v>
      </c>
      <c r="AU473" s="64" t="str">
        <f t="shared" si="38"/>
        <v>07-2017</v>
      </c>
      <c r="BA473" s="428" t="str">
        <f t="shared" si="39"/>
        <v>WIP - 30 Days</v>
      </c>
    </row>
    <row r="474" spans="2:53">
      <c r="B474" s="36" t="str">
        <f>'[6]price list MAN'!B474</f>
        <v>78W-6204</v>
      </c>
      <c r="C474" s="10" t="str">
        <f>'[6]price list MAN'!C474</f>
        <v>TGS-26-4406X4BLS-LX</v>
      </c>
      <c r="D474" s="16" t="str">
        <f>IFERROR(VLOOKUP(C474&amp;"",'[7]Retail Price List'!$A$3:$B$103,2,FALSE),"Special Order")</f>
        <v>KP000634</v>
      </c>
      <c r="E474" s="494" t="str">
        <f>'[6]price list MAN'!E474</f>
        <v>CKD</v>
      </c>
      <c r="F474" s="11" t="str">
        <f>'[6]price list MAN'!F474</f>
        <v>2018-04-30</v>
      </c>
      <c r="G474" s="32">
        <f>'[6]price list MAN'!G474</f>
        <v>14.7</v>
      </c>
      <c r="H474" s="26">
        <f>'[6]price list MAN'!H474</f>
        <v>42947</v>
      </c>
      <c r="I474" s="51" t="str">
        <f t="shared" si="35"/>
        <v>201707Q3</v>
      </c>
      <c r="J474" s="177">
        <f>'[6]price list MAN'!J474</f>
        <v>1790000</v>
      </c>
      <c r="K474" s="177">
        <f>'[6]price list MAN'!P474</f>
        <v>1370250</v>
      </c>
      <c r="L474" s="177">
        <f>'[6]price list MAN'!R474</f>
        <v>1305000</v>
      </c>
      <c r="M474" s="174">
        <f>'[6]price list MAN'!S474</f>
        <v>1845000</v>
      </c>
      <c r="N474" s="174">
        <f>'[6]price list MAN'!Y474</f>
        <v>1428000</v>
      </c>
      <c r="O474" s="174">
        <f>'[6]price list MAN'!AA474</f>
        <v>1360000</v>
      </c>
      <c r="P474" s="68">
        <f t="shared" si="36"/>
        <v>0.26287262872628725</v>
      </c>
      <c r="Q474" s="62" t="e">
        <f>O474-#REF!</f>
        <v>#REF!</v>
      </c>
      <c r="W474" s="210"/>
      <c r="X474" s="210"/>
      <c r="Y474" s="210"/>
      <c r="Z474" s="210"/>
      <c r="AA474" s="210"/>
      <c r="AB474" s="210"/>
      <c r="AC474" s="210"/>
      <c r="AT474" s="425" t="str">
        <f t="shared" si="37"/>
        <v>KP000634201707Q314,7</v>
      </c>
      <c r="AU474" s="64" t="str">
        <f t="shared" si="38"/>
        <v>07-2017</v>
      </c>
      <c r="BA474" s="428" t="str">
        <f t="shared" si="39"/>
        <v>WIP - 30 Days</v>
      </c>
    </row>
    <row r="475" spans="2:53">
      <c r="B475" s="36" t="str">
        <f>'[6]price list MAN'!B475</f>
        <v>78W-6205</v>
      </c>
      <c r="C475" s="10" t="str">
        <f>'[6]price list MAN'!C475</f>
        <v>TGS-26-4406X4BLS-LX</v>
      </c>
      <c r="D475" s="16" t="str">
        <f>IFERROR(VLOOKUP(C475&amp;"",'[7]Retail Price List'!$A$3:$B$103,2,FALSE),"Special Order")</f>
        <v>KP000634</v>
      </c>
      <c r="E475" s="494" t="str">
        <f>'[6]price list MAN'!E475</f>
        <v>CKD</v>
      </c>
      <c r="F475" s="11" t="str">
        <f>'[6]price list MAN'!F475</f>
        <v>2018-04-30</v>
      </c>
      <c r="G475" s="32">
        <f>'[6]price list MAN'!G475</f>
        <v>14.7</v>
      </c>
      <c r="H475" s="26">
        <f>'[6]price list MAN'!H475</f>
        <v>42947</v>
      </c>
      <c r="I475" s="51" t="str">
        <f t="shared" si="35"/>
        <v>201707Q3</v>
      </c>
      <c r="J475" s="177">
        <f>'[6]price list MAN'!J475</f>
        <v>1790000</v>
      </c>
      <c r="K475" s="177">
        <f>'[6]price list MAN'!P475</f>
        <v>1370250</v>
      </c>
      <c r="L475" s="177">
        <f>'[6]price list MAN'!R475</f>
        <v>1305000</v>
      </c>
      <c r="M475" s="174">
        <f>'[6]price list MAN'!S475</f>
        <v>1845000</v>
      </c>
      <c r="N475" s="174">
        <f>'[6]price list MAN'!Y475</f>
        <v>1428000</v>
      </c>
      <c r="O475" s="174">
        <f>'[6]price list MAN'!AA475</f>
        <v>1360000</v>
      </c>
      <c r="P475" s="68">
        <f t="shared" si="36"/>
        <v>0.26287262872628725</v>
      </c>
      <c r="Q475" s="62" t="e">
        <f>O475-#REF!</f>
        <v>#REF!</v>
      </c>
      <c r="W475" s="210"/>
      <c r="X475" s="210"/>
      <c r="Y475" s="210"/>
      <c r="Z475" s="210"/>
      <c r="AA475" s="210"/>
      <c r="AB475" s="210"/>
      <c r="AC475" s="210"/>
      <c r="AT475" s="425" t="str">
        <f t="shared" si="37"/>
        <v>KP000634201707Q314,7</v>
      </c>
      <c r="AU475" s="64" t="str">
        <f t="shared" si="38"/>
        <v>07-2017</v>
      </c>
      <c r="BA475" s="428" t="str">
        <f t="shared" si="39"/>
        <v>WIP - 30 Days</v>
      </c>
    </row>
    <row r="476" spans="2:53">
      <c r="B476" s="36" t="str">
        <f>'[6]price list MAN'!B476</f>
        <v>78W-6206</v>
      </c>
      <c r="C476" s="10" t="str">
        <f>'[6]price list MAN'!C476</f>
        <v>TGS-26-4406X4BLS-LX</v>
      </c>
      <c r="D476" s="16" t="str">
        <f>IFERROR(VLOOKUP(C476&amp;"",'[7]Retail Price List'!$A$3:$B$103,2,FALSE),"Special Order")</f>
        <v>KP000634</v>
      </c>
      <c r="E476" s="494" t="str">
        <f>'[6]price list MAN'!E476</f>
        <v>CKD</v>
      </c>
      <c r="F476" s="11" t="str">
        <f>'[6]price list MAN'!F476</f>
        <v>2018-04-30</v>
      </c>
      <c r="G476" s="32">
        <f>'[6]price list MAN'!G476</f>
        <v>14.7</v>
      </c>
      <c r="H476" s="26">
        <f>'[6]price list MAN'!H476</f>
        <v>42947</v>
      </c>
      <c r="I476" s="51" t="str">
        <f t="shared" si="35"/>
        <v>201707Q3</v>
      </c>
      <c r="J476" s="177">
        <f>'[6]price list MAN'!J476</f>
        <v>1790000</v>
      </c>
      <c r="K476" s="177">
        <f>'[6]price list MAN'!P476</f>
        <v>1370250</v>
      </c>
      <c r="L476" s="177">
        <f>'[6]price list MAN'!R476</f>
        <v>1305000</v>
      </c>
      <c r="M476" s="174">
        <f>'[6]price list MAN'!S476</f>
        <v>1845000</v>
      </c>
      <c r="N476" s="174">
        <f>'[6]price list MAN'!Y476</f>
        <v>1428000</v>
      </c>
      <c r="O476" s="174">
        <f>'[6]price list MAN'!AA476</f>
        <v>1360000</v>
      </c>
      <c r="P476" s="68">
        <f t="shared" si="36"/>
        <v>0.26287262872628725</v>
      </c>
      <c r="Q476" s="62" t="e">
        <f>O476-#REF!</f>
        <v>#REF!</v>
      </c>
      <c r="W476" s="210"/>
      <c r="X476" s="210"/>
      <c r="Y476" s="210"/>
      <c r="Z476" s="210"/>
      <c r="AA476" s="210"/>
      <c r="AB476" s="210"/>
      <c r="AC476" s="210"/>
      <c r="AT476" s="425" t="str">
        <f t="shared" si="37"/>
        <v>KP000634201707Q314,7</v>
      </c>
      <c r="AU476" s="64" t="str">
        <f t="shared" si="38"/>
        <v>07-2017</v>
      </c>
      <c r="BA476" s="428" t="str">
        <f t="shared" si="39"/>
        <v>WIP - 30 Days</v>
      </c>
    </row>
    <row r="477" spans="2:53">
      <c r="B477" s="36" t="str">
        <f>'[6]price list MAN'!B477</f>
        <v>78W-6207</v>
      </c>
      <c r="C477" s="10" t="str">
        <f>'[6]price list MAN'!C477</f>
        <v>TGS-26-4406X4BLS-LX</v>
      </c>
      <c r="D477" s="16" t="str">
        <f>IFERROR(VLOOKUP(C477&amp;"",'[7]Retail Price List'!$A$3:$B$103,2,FALSE),"Special Order")</f>
        <v>KP000634</v>
      </c>
      <c r="E477" s="494" t="str">
        <f>'[6]price list MAN'!E477</f>
        <v>CKD</v>
      </c>
      <c r="F477" s="11" t="str">
        <f>'[6]price list MAN'!F477</f>
        <v>2018-06-30</v>
      </c>
      <c r="G477" s="32">
        <f>'[6]price list MAN'!G477</f>
        <v>14.7</v>
      </c>
      <c r="H477" s="26">
        <f>'[6]price list MAN'!H477</f>
        <v>42947</v>
      </c>
      <c r="I477" s="51" t="str">
        <f t="shared" si="35"/>
        <v>201707Q3</v>
      </c>
      <c r="J477" s="177">
        <f>'[6]price list MAN'!J477</f>
        <v>1790000</v>
      </c>
      <c r="K477" s="177">
        <f>'[6]price list MAN'!P477</f>
        <v>1370250</v>
      </c>
      <c r="L477" s="177">
        <f>'[6]price list MAN'!R477</f>
        <v>1305000</v>
      </c>
      <c r="M477" s="174">
        <f>'[6]price list MAN'!S477</f>
        <v>1845000</v>
      </c>
      <c r="N477" s="174">
        <f>'[6]price list MAN'!Y477</f>
        <v>1428000</v>
      </c>
      <c r="O477" s="174">
        <f>'[6]price list MAN'!AA477</f>
        <v>1360000</v>
      </c>
      <c r="P477" s="68">
        <f t="shared" si="36"/>
        <v>0.26287262872628725</v>
      </c>
      <c r="Q477" s="62" t="e">
        <f>O477-#REF!</f>
        <v>#REF!</v>
      </c>
      <c r="W477" s="210"/>
      <c r="X477" s="210"/>
      <c r="Y477" s="210"/>
      <c r="Z477" s="210"/>
      <c r="AA477" s="210"/>
      <c r="AB477" s="210"/>
      <c r="AC477" s="210"/>
      <c r="AT477" s="425" t="str">
        <f t="shared" si="37"/>
        <v>KP000634201707Q314,7</v>
      </c>
      <c r="AU477" s="64" t="str">
        <f t="shared" si="38"/>
        <v>07-2017</v>
      </c>
      <c r="BA477" s="428" t="str">
        <f t="shared" si="39"/>
        <v>WIP - 30 Days</v>
      </c>
    </row>
    <row r="478" spans="2:53">
      <c r="B478" s="36" t="str">
        <f>'[6]price list MAN'!B478</f>
        <v>78W-6208</v>
      </c>
      <c r="C478" s="10" t="str">
        <f>'[6]price list MAN'!C478</f>
        <v>TGS-26-4406X4BLS-LX</v>
      </c>
      <c r="D478" s="16" t="str">
        <f>IFERROR(VLOOKUP(C478&amp;"",'[7]Retail Price List'!$A$3:$B$103,2,FALSE),"Special Order")</f>
        <v>KP000634</v>
      </c>
      <c r="E478" s="494" t="str">
        <f>'[6]price list MAN'!E478</f>
        <v>CKD</v>
      </c>
      <c r="F478" s="11" t="str">
        <f>'[6]price list MAN'!F478</f>
        <v>2018-06-30</v>
      </c>
      <c r="G478" s="32">
        <f>'[6]price list MAN'!G478</f>
        <v>14.7</v>
      </c>
      <c r="H478" s="26">
        <f>'[6]price list MAN'!H478</f>
        <v>42947</v>
      </c>
      <c r="I478" s="51" t="str">
        <f t="shared" si="35"/>
        <v>201707Q3</v>
      </c>
      <c r="J478" s="177">
        <f>'[6]price list MAN'!J478</f>
        <v>1790000</v>
      </c>
      <c r="K478" s="177">
        <f>'[6]price list MAN'!P478</f>
        <v>1370250</v>
      </c>
      <c r="L478" s="177">
        <f>'[6]price list MAN'!R478</f>
        <v>1305000</v>
      </c>
      <c r="M478" s="174">
        <f>'[6]price list MAN'!S478</f>
        <v>1845000</v>
      </c>
      <c r="N478" s="174">
        <f>'[6]price list MAN'!Y478</f>
        <v>1428000</v>
      </c>
      <c r="O478" s="174">
        <f>'[6]price list MAN'!AA478</f>
        <v>1360000</v>
      </c>
      <c r="P478" s="68">
        <f t="shared" si="36"/>
        <v>0.26287262872628725</v>
      </c>
      <c r="Q478" s="62" t="e">
        <f>O478-#REF!</f>
        <v>#REF!</v>
      </c>
      <c r="W478" s="210"/>
      <c r="X478" s="210"/>
      <c r="Y478" s="210"/>
      <c r="Z478" s="210"/>
      <c r="AA478" s="210"/>
      <c r="AB478" s="210"/>
      <c r="AC478" s="210"/>
      <c r="AT478" s="425" t="str">
        <f t="shared" si="37"/>
        <v>KP000634201707Q314,7</v>
      </c>
      <c r="AU478" s="64" t="str">
        <f t="shared" si="38"/>
        <v>07-2017</v>
      </c>
      <c r="BA478" s="428" t="str">
        <f t="shared" si="39"/>
        <v>WIP - 30 Days</v>
      </c>
    </row>
    <row r="479" spans="2:53">
      <c r="B479" s="36" t="str">
        <f>'[6]price list MAN'!B479</f>
        <v>78W-6209</v>
      </c>
      <c r="C479" s="10" t="str">
        <f>'[6]price list MAN'!C479</f>
        <v>TGS-26-4406X4BLS-LX</v>
      </c>
      <c r="D479" s="16" t="str">
        <f>IFERROR(VLOOKUP(C479&amp;"",'[7]Retail Price List'!$A$3:$B$103,2,FALSE),"Special Order")</f>
        <v>KP000634</v>
      </c>
      <c r="E479" s="494" t="str">
        <f>'[6]price list MAN'!E479</f>
        <v>CKD</v>
      </c>
      <c r="F479" s="11" t="str">
        <f>'[6]price list MAN'!F479</f>
        <v>2018-03-30</v>
      </c>
      <c r="G479" s="32">
        <f>'[6]price list MAN'!G479</f>
        <v>14.7</v>
      </c>
      <c r="H479" s="26">
        <f>'[6]price list MAN'!H479</f>
        <v>42947</v>
      </c>
      <c r="I479" s="51" t="str">
        <f t="shared" si="35"/>
        <v>201707Q3</v>
      </c>
      <c r="J479" s="177">
        <f>'[6]price list MAN'!J479</f>
        <v>1790000</v>
      </c>
      <c r="K479" s="177">
        <f>'[6]price list MAN'!P479</f>
        <v>1370250</v>
      </c>
      <c r="L479" s="177">
        <f>'[6]price list MAN'!R479</f>
        <v>1305000</v>
      </c>
      <c r="M479" s="174">
        <f>'[6]price list MAN'!S479</f>
        <v>1845000</v>
      </c>
      <c r="N479" s="174">
        <f>'[6]price list MAN'!Y479</f>
        <v>1428000</v>
      </c>
      <c r="O479" s="174">
        <f>'[6]price list MAN'!AA479</f>
        <v>1360000</v>
      </c>
      <c r="P479" s="68">
        <f t="shared" si="36"/>
        <v>0.26287262872628725</v>
      </c>
      <c r="Q479" s="62" t="e">
        <f>O479-#REF!</f>
        <v>#REF!</v>
      </c>
      <c r="W479" s="210"/>
      <c r="X479" s="210"/>
      <c r="Y479" s="210"/>
      <c r="Z479" s="210"/>
      <c r="AA479" s="210"/>
      <c r="AB479" s="210"/>
      <c r="AC479" s="210"/>
      <c r="AT479" s="425" t="str">
        <f t="shared" si="37"/>
        <v>KP000634201707Q314,7</v>
      </c>
      <c r="AU479" s="64" t="str">
        <f t="shared" si="38"/>
        <v>07-2017</v>
      </c>
      <c r="BA479" s="428" t="str">
        <f t="shared" si="39"/>
        <v>WIP - 30 Days</v>
      </c>
    </row>
    <row r="480" spans="2:53">
      <c r="B480" s="36" t="str">
        <f>'[6]price list MAN'!B480</f>
        <v>78W-6210</v>
      </c>
      <c r="C480" s="10" t="str">
        <f>'[6]price list MAN'!C480</f>
        <v>TGS-26-4406X4BLS-LX</v>
      </c>
      <c r="D480" s="16" t="str">
        <f>IFERROR(VLOOKUP(C480&amp;"",'[7]Retail Price List'!$A$3:$B$103,2,FALSE),"Special Order")</f>
        <v>KP000634</v>
      </c>
      <c r="E480" s="494" t="str">
        <f>'[6]price list MAN'!E480</f>
        <v>CKD</v>
      </c>
      <c r="F480" s="11" t="str">
        <f>'[6]price list MAN'!F480</f>
        <v>2018-03-30</v>
      </c>
      <c r="G480" s="32">
        <f>'[6]price list MAN'!G480</f>
        <v>14.7</v>
      </c>
      <c r="H480" s="26">
        <f>'[6]price list MAN'!H480</f>
        <v>42947</v>
      </c>
      <c r="I480" s="51" t="str">
        <f t="shared" si="35"/>
        <v>201707Q3</v>
      </c>
      <c r="J480" s="177">
        <f>'[6]price list MAN'!J480</f>
        <v>1790000</v>
      </c>
      <c r="K480" s="177">
        <f>'[6]price list MAN'!P480</f>
        <v>1370250</v>
      </c>
      <c r="L480" s="177">
        <f>'[6]price list MAN'!R480</f>
        <v>1305000</v>
      </c>
      <c r="M480" s="174">
        <f>'[6]price list MAN'!S480</f>
        <v>1845000</v>
      </c>
      <c r="N480" s="174">
        <f>'[6]price list MAN'!Y480</f>
        <v>1428000</v>
      </c>
      <c r="O480" s="174">
        <f>'[6]price list MAN'!AA480</f>
        <v>1360000</v>
      </c>
      <c r="P480" s="68">
        <f t="shared" si="36"/>
        <v>0.26287262872628725</v>
      </c>
      <c r="Q480" s="62" t="e">
        <f>O480-#REF!</f>
        <v>#REF!</v>
      </c>
      <c r="W480" s="210"/>
      <c r="X480" s="210"/>
      <c r="Y480" s="210"/>
      <c r="Z480" s="210"/>
      <c r="AA480" s="210"/>
      <c r="AB480" s="210"/>
      <c r="AC480" s="210"/>
      <c r="AT480" s="425" t="str">
        <f t="shared" si="37"/>
        <v>KP000634201707Q314,7</v>
      </c>
      <c r="AU480" s="64" t="str">
        <f t="shared" si="38"/>
        <v>07-2017</v>
      </c>
      <c r="BA480" s="428" t="str">
        <f t="shared" si="39"/>
        <v>WIP - 30 Days</v>
      </c>
    </row>
    <row r="481" spans="2:53">
      <c r="B481" s="36" t="str">
        <f>'[6]price list MAN'!B481</f>
        <v>78W-6211</v>
      </c>
      <c r="C481" s="10" t="str">
        <f>'[6]price list MAN'!C481</f>
        <v>TGS-26-4406X4BLS-LX</v>
      </c>
      <c r="D481" s="16" t="str">
        <f>IFERROR(VLOOKUP(C481&amp;"",'[7]Retail Price List'!$A$3:$B$103,2,FALSE),"Special Order")</f>
        <v>KP000634</v>
      </c>
      <c r="E481" s="494" t="str">
        <f>'[6]price list MAN'!E481</f>
        <v>CKD</v>
      </c>
      <c r="F481" s="11" t="str">
        <f>'[6]price list MAN'!F481</f>
        <v>2018-04-30</v>
      </c>
      <c r="G481" s="32">
        <f>'[6]price list MAN'!G481</f>
        <v>14.7</v>
      </c>
      <c r="H481" s="26">
        <f>'[6]price list MAN'!H481</f>
        <v>42947</v>
      </c>
      <c r="I481" s="51" t="str">
        <f t="shared" si="35"/>
        <v>201707Q3</v>
      </c>
      <c r="J481" s="177">
        <f>'[6]price list MAN'!J481</f>
        <v>1790000</v>
      </c>
      <c r="K481" s="177">
        <f>'[6]price list MAN'!P481</f>
        <v>1370250</v>
      </c>
      <c r="L481" s="177">
        <f>'[6]price list MAN'!R481</f>
        <v>1305000</v>
      </c>
      <c r="M481" s="174">
        <f>'[6]price list MAN'!S481</f>
        <v>1845000</v>
      </c>
      <c r="N481" s="174">
        <f>'[6]price list MAN'!Y481</f>
        <v>1428000</v>
      </c>
      <c r="O481" s="174">
        <f>'[6]price list MAN'!AA481</f>
        <v>1360000</v>
      </c>
      <c r="P481" s="68">
        <f t="shared" si="36"/>
        <v>0.26287262872628725</v>
      </c>
      <c r="Q481" s="62" t="e">
        <f>O481-#REF!</f>
        <v>#REF!</v>
      </c>
      <c r="W481" s="210"/>
      <c r="X481" s="210"/>
      <c r="Y481" s="210"/>
      <c r="Z481" s="210"/>
      <c r="AA481" s="210"/>
      <c r="AB481" s="210"/>
      <c r="AC481" s="210"/>
      <c r="AT481" s="425" t="str">
        <f t="shared" si="37"/>
        <v>KP000634201707Q314,7</v>
      </c>
      <c r="AU481" s="64" t="str">
        <f t="shared" si="38"/>
        <v>07-2017</v>
      </c>
      <c r="BA481" s="428" t="str">
        <f t="shared" si="39"/>
        <v>WIP - 30 Days</v>
      </c>
    </row>
    <row r="482" spans="2:53">
      <c r="B482" s="36" t="str">
        <f>'[6]price list MAN'!B482</f>
        <v>78W-6212</v>
      </c>
      <c r="C482" s="10" t="str">
        <f>'[6]price list MAN'!C482</f>
        <v>TGS-26-4406X4BLS-LX</v>
      </c>
      <c r="D482" s="16" t="str">
        <f>IFERROR(VLOOKUP(C482&amp;"",'[7]Retail Price List'!$A$3:$B$103,2,FALSE),"Special Order")</f>
        <v>KP000634</v>
      </c>
      <c r="E482" s="494" t="str">
        <f>'[6]price list MAN'!E482</f>
        <v>CKD</v>
      </c>
      <c r="F482" s="11" t="str">
        <f>'[6]price list MAN'!F482</f>
        <v>2018-04-30</v>
      </c>
      <c r="G482" s="32">
        <f>'[6]price list MAN'!G482</f>
        <v>14.7</v>
      </c>
      <c r="H482" s="26">
        <f>'[6]price list MAN'!H482</f>
        <v>42947</v>
      </c>
      <c r="I482" s="51" t="str">
        <f t="shared" si="35"/>
        <v>201707Q3</v>
      </c>
      <c r="J482" s="177">
        <f>'[6]price list MAN'!J482</f>
        <v>1790000</v>
      </c>
      <c r="K482" s="177">
        <f>'[6]price list MAN'!P482</f>
        <v>1370250</v>
      </c>
      <c r="L482" s="177">
        <f>'[6]price list MAN'!R482</f>
        <v>1305000</v>
      </c>
      <c r="M482" s="174">
        <f>'[6]price list MAN'!S482</f>
        <v>1845000</v>
      </c>
      <c r="N482" s="174">
        <f>'[6]price list MAN'!Y482</f>
        <v>1428000</v>
      </c>
      <c r="O482" s="174">
        <f>'[6]price list MAN'!AA482</f>
        <v>1360000</v>
      </c>
      <c r="P482" s="68">
        <f t="shared" si="36"/>
        <v>0.26287262872628725</v>
      </c>
      <c r="Q482" s="62" t="e">
        <f>O482-#REF!</f>
        <v>#REF!</v>
      </c>
      <c r="W482" s="210"/>
      <c r="X482" s="210"/>
      <c r="Y482" s="210"/>
      <c r="Z482" s="210"/>
      <c r="AA482" s="210"/>
      <c r="AB482" s="210"/>
      <c r="AC482" s="210"/>
      <c r="AT482" s="425" t="str">
        <f t="shared" si="37"/>
        <v>KP000634201707Q314,7</v>
      </c>
      <c r="AU482" s="64" t="str">
        <f t="shared" si="38"/>
        <v>07-2017</v>
      </c>
      <c r="BA482" s="428" t="str">
        <f t="shared" si="39"/>
        <v>WIP - 30 Days</v>
      </c>
    </row>
    <row r="483" spans="2:53">
      <c r="B483" s="36" t="str">
        <f>'[6]price list MAN'!B483</f>
        <v>78W-6213</v>
      </c>
      <c r="C483" s="10" t="str">
        <f>'[6]price list MAN'!C483</f>
        <v>TGS-26-4406X4BLS-LX</v>
      </c>
      <c r="D483" s="16" t="str">
        <f>IFERROR(VLOOKUP(C483&amp;"",'[7]Retail Price List'!$A$3:$B$103,2,FALSE),"Special Order")</f>
        <v>KP000634</v>
      </c>
      <c r="E483" s="494" t="str">
        <f>'[6]price list MAN'!E483</f>
        <v>CKD</v>
      </c>
      <c r="F483" s="11" t="str">
        <f>'[6]price list MAN'!F483</f>
        <v>2018-04-30</v>
      </c>
      <c r="G483" s="32">
        <f>'[6]price list MAN'!G483</f>
        <v>14.7</v>
      </c>
      <c r="H483" s="26">
        <f>'[6]price list MAN'!H483</f>
        <v>42947</v>
      </c>
      <c r="I483" s="51" t="str">
        <f t="shared" si="35"/>
        <v>201707Q3</v>
      </c>
      <c r="J483" s="177">
        <f>'[6]price list MAN'!J483</f>
        <v>1790000</v>
      </c>
      <c r="K483" s="177">
        <f>'[6]price list MAN'!P483</f>
        <v>1370250</v>
      </c>
      <c r="L483" s="177">
        <f>'[6]price list MAN'!R483</f>
        <v>1305000</v>
      </c>
      <c r="M483" s="174">
        <f>'[6]price list MAN'!S483</f>
        <v>1845000</v>
      </c>
      <c r="N483" s="174">
        <f>'[6]price list MAN'!Y483</f>
        <v>1428000</v>
      </c>
      <c r="O483" s="174">
        <f>'[6]price list MAN'!AA483</f>
        <v>1360000</v>
      </c>
      <c r="P483" s="68">
        <f t="shared" si="36"/>
        <v>0.26287262872628725</v>
      </c>
      <c r="Q483" s="62" t="e">
        <f>O483-#REF!</f>
        <v>#REF!</v>
      </c>
      <c r="W483" s="210"/>
      <c r="X483" s="210"/>
      <c r="Y483" s="210"/>
      <c r="Z483" s="210"/>
      <c r="AA483" s="210"/>
      <c r="AB483" s="210"/>
      <c r="AC483" s="210"/>
      <c r="AT483" s="425" t="str">
        <f t="shared" si="37"/>
        <v>KP000634201707Q314,7</v>
      </c>
      <c r="AU483" s="64" t="str">
        <f t="shared" si="38"/>
        <v>07-2017</v>
      </c>
      <c r="BA483" s="428" t="str">
        <f t="shared" si="39"/>
        <v>WIP - 30 Days</v>
      </c>
    </row>
    <row r="484" spans="2:53">
      <c r="B484" s="36" t="str">
        <f>'[6]price list MAN'!B484</f>
        <v>78W-6214</v>
      </c>
      <c r="C484" s="10" t="str">
        <f>'[6]price list MAN'!C484</f>
        <v>TGS-26-4406X4BLS-LX</v>
      </c>
      <c r="D484" s="16" t="str">
        <f>IFERROR(VLOOKUP(C484&amp;"",'[7]Retail Price List'!$A$3:$B$103,2,FALSE),"Special Order")</f>
        <v>KP000634</v>
      </c>
      <c r="E484" s="494" t="str">
        <f>'[6]price list MAN'!E484</f>
        <v>CKD</v>
      </c>
      <c r="F484" s="11" t="str">
        <f>'[6]price list MAN'!F484</f>
        <v>2018-04-30</v>
      </c>
      <c r="G484" s="32">
        <f>'[6]price list MAN'!G484</f>
        <v>14.7</v>
      </c>
      <c r="H484" s="26">
        <f>'[6]price list MAN'!H484</f>
        <v>42947</v>
      </c>
      <c r="I484" s="51" t="str">
        <f t="shared" si="35"/>
        <v>201707Q3</v>
      </c>
      <c r="J484" s="177">
        <f>'[6]price list MAN'!J484</f>
        <v>1790000</v>
      </c>
      <c r="K484" s="177">
        <f>'[6]price list MAN'!P484</f>
        <v>1370250</v>
      </c>
      <c r="L484" s="177">
        <f>'[6]price list MAN'!R484</f>
        <v>1305000</v>
      </c>
      <c r="M484" s="174">
        <f>'[6]price list MAN'!S484</f>
        <v>1845000</v>
      </c>
      <c r="N484" s="174">
        <f>'[6]price list MAN'!Y484</f>
        <v>1428000</v>
      </c>
      <c r="O484" s="174">
        <f>'[6]price list MAN'!AA484</f>
        <v>1360000</v>
      </c>
      <c r="P484" s="68">
        <f t="shared" si="36"/>
        <v>0.26287262872628725</v>
      </c>
      <c r="Q484" s="62" t="e">
        <f>O484-#REF!</f>
        <v>#REF!</v>
      </c>
      <c r="W484" s="210"/>
      <c r="X484" s="210"/>
      <c r="Y484" s="210"/>
      <c r="Z484" s="210"/>
      <c r="AA484" s="210"/>
      <c r="AB484" s="210"/>
      <c r="AC484" s="210"/>
      <c r="AT484" s="425" t="str">
        <f t="shared" si="37"/>
        <v>KP000634201707Q314,7</v>
      </c>
      <c r="AU484" s="64" t="str">
        <f t="shared" si="38"/>
        <v>07-2017</v>
      </c>
      <c r="BA484" s="428" t="str">
        <f t="shared" si="39"/>
        <v>WIP - 30 Days</v>
      </c>
    </row>
    <row r="485" spans="2:53">
      <c r="B485" s="36" t="str">
        <f>'[6]price list MAN'!B485</f>
        <v>78W-6215</v>
      </c>
      <c r="C485" s="10" t="str">
        <f>'[6]price list MAN'!C485</f>
        <v>TGS-26-4406X4BLS-LX</v>
      </c>
      <c r="D485" s="16" t="str">
        <f>IFERROR(VLOOKUP(C485&amp;"",'[7]Retail Price List'!$A$3:$B$103,2,FALSE),"Special Order")</f>
        <v>KP000634</v>
      </c>
      <c r="E485" s="494" t="str">
        <f>'[6]price list MAN'!E485</f>
        <v>CKD</v>
      </c>
      <c r="F485" s="11" t="str">
        <f>'[6]price list MAN'!F485</f>
        <v>2018-04-30</v>
      </c>
      <c r="G485" s="32">
        <f>'[6]price list MAN'!G485</f>
        <v>14.7</v>
      </c>
      <c r="H485" s="26">
        <f>'[6]price list MAN'!H485</f>
        <v>42947</v>
      </c>
      <c r="I485" s="51" t="str">
        <f t="shared" si="35"/>
        <v>201707Q3</v>
      </c>
      <c r="J485" s="177">
        <f>'[6]price list MAN'!J485</f>
        <v>1790000</v>
      </c>
      <c r="K485" s="177">
        <f>'[6]price list MAN'!P485</f>
        <v>1370250</v>
      </c>
      <c r="L485" s="177">
        <f>'[6]price list MAN'!R485</f>
        <v>1305000</v>
      </c>
      <c r="M485" s="174">
        <f>'[6]price list MAN'!S485</f>
        <v>1845000</v>
      </c>
      <c r="N485" s="174">
        <f>'[6]price list MAN'!Y485</f>
        <v>1428000</v>
      </c>
      <c r="O485" s="174">
        <f>'[6]price list MAN'!AA485</f>
        <v>1360000</v>
      </c>
      <c r="P485" s="68">
        <f t="shared" si="36"/>
        <v>0.26287262872628725</v>
      </c>
      <c r="Q485" s="62" t="e">
        <f>O485-#REF!</f>
        <v>#REF!</v>
      </c>
      <c r="W485" s="210"/>
      <c r="X485" s="210"/>
      <c r="Y485" s="210"/>
      <c r="Z485" s="210"/>
      <c r="AA485" s="210"/>
      <c r="AB485" s="210"/>
      <c r="AC485" s="210"/>
      <c r="AT485" s="425" t="str">
        <f t="shared" si="37"/>
        <v>KP000634201707Q314,7</v>
      </c>
      <c r="AU485" s="64" t="str">
        <f t="shared" si="38"/>
        <v>07-2017</v>
      </c>
      <c r="BA485" s="428" t="str">
        <f t="shared" si="39"/>
        <v>WIP - 30 Days</v>
      </c>
    </row>
    <row r="486" spans="2:53">
      <c r="B486" s="36" t="str">
        <f>'[6]price list MAN'!B486</f>
        <v>78W-6224</v>
      </c>
      <c r="C486" s="10" t="str">
        <f>'[6]price list MAN'!C486</f>
        <v>TGS-26-4406X4BLS-LX</v>
      </c>
      <c r="D486" s="16" t="str">
        <f>IFERROR(VLOOKUP(C486&amp;"",'[7]Retail Price List'!$A$3:$B$103,2,FALSE),"Special Order")</f>
        <v>KP000634</v>
      </c>
      <c r="E486" s="494" t="str">
        <f>'[6]price list MAN'!E486</f>
        <v>CKD</v>
      </c>
      <c r="F486" s="11" t="str">
        <f>'[6]price list MAN'!F486</f>
        <v>2018-04-30</v>
      </c>
      <c r="G486" s="32">
        <f>'[6]price list MAN'!G486</f>
        <v>14.7</v>
      </c>
      <c r="H486" s="26">
        <f>'[6]price list MAN'!H486</f>
        <v>42947</v>
      </c>
      <c r="I486" s="51" t="str">
        <f t="shared" si="35"/>
        <v>201707Q3</v>
      </c>
      <c r="J486" s="177">
        <f>'[6]price list MAN'!J486</f>
        <v>1790000</v>
      </c>
      <c r="K486" s="177">
        <f>'[6]price list MAN'!P486</f>
        <v>1370250</v>
      </c>
      <c r="L486" s="177">
        <f>'[6]price list MAN'!R486</f>
        <v>1305000</v>
      </c>
      <c r="M486" s="174">
        <f>'[6]price list MAN'!S486</f>
        <v>1845000</v>
      </c>
      <c r="N486" s="174">
        <f>'[6]price list MAN'!Y486</f>
        <v>1428000</v>
      </c>
      <c r="O486" s="174">
        <f>'[6]price list MAN'!AA486</f>
        <v>1360000</v>
      </c>
      <c r="P486" s="68">
        <f t="shared" si="36"/>
        <v>0.26287262872628725</v>
      </c>
      <c r="Q486" s="62" t="e">
        <f>O486-#REF!</f>
        <v>#REF!</v>
      </c>
      <c r="W486" s="210"/>
      <c r="X486" s="210"/>
      <c r="Y486" s="210"/>
      <c r="Z486" s="210"/>
      <c r="AA486" s="210"/>
      <c r="AB486" s="210"/>
      <c r="AC486" s="210"/>
      <c r="AT486" s="425" t="str">
        <f t="shared" si="37"/>
        <v>KP000634201707Q314,7</v>
      </c>
      <c r="AU486" s="64" t="str">
        <f t="shared" si="38"/>
        <v>07-2017</v>
      </c>
      <c r="BA486" s="428" t="str">
        <f t="shared" si="39"/>
        <v>WIP - 30 Days</v>
      </c>
    </row>
    <row r="487" spans="2:53">
      <c r="B487" s="36" t="str">
        <f>'[6]price list MAN'!B487</f>
        <v>78W-6225</v>
      </c>
      <c r="C487" s="10" t="str">
        <f>'[6]price list MAN'!C487</f>
        <v>TGS-26-4406X4BLS-LX</v>
      </c>
      <c r="D487" s="16" t="str">
        <f>IFERROR(VLOOKUP(C487&amp;"",'[7]Retail Price List'!$A$3:$B$103,2,FALSE),"Special Order")</f>
        <v>KP000634</v>
      </c>
      <c r="E487" s="494" t="str">
        <f>'[6]price list MAN'!E487</f>
        <v>CKD</v>
      </c>
      <c r="F487" s="11" t="str">
        <f>'[6]price list MAN'!F487</f>
        <v>2018-04-30</v>
      </c>
      <c r="G487" s="32">
        <f>'[6]price list MAN'!G487</f>
        <v>14.7</v>
      </c>
      <c r="H487" s="26">
        <f>'[6]price list MAN'!H487</f>
        <v>42947</v>
      </c>
      <c r="I487" s="51" t="str">
        <f t="shared" si="35"/>
        <v>201707Q3</v>
      </c>
      <c r="J487" s="177">
        <f>'[6]price list MAN'!J487</f>
        <v>1790000</v>
      </c>
      <c r="K487" s="177">
        <f>'[6]price list MAN'!P487</f>
        <v>1370250</v>
      </c>
      <c r="L487" s="177">
        <f>'[6]price list MAN'!R487</f>
        <v>1305000</v>
      </c>
      <c r="M487" s="174">
        <f>'[6]price list MAN'!S487</f>
        <v>1845000</v>
      </c>
      <c r="N487" s="174">
        <f>'[6]price list MAN'!Y487</f>
        <v>1428000</v>
      </c>
      <c r="O487" s="174">
        <f>'[6]price list MAN'!AA487</f>
        <v>1360000</v>
      </c>
      <c r="P487" s="68">
        <f t="shared" si="36"/>
        <v>0.26287262872628725</v>
      </c>
      <c r="Q487" s="62" t="e">
        <f>O487-#REF!</f>
        <v>#REF!</v>
      </c>
      <c r="W487" s="210"/>
      <c r="X487" s="210"/>
      <c r="Y487" s="210"/>
      <c r="Z487" s="210"/>
      <c r="AA487" s="210"/>
      <c r="AB487" s="210"/>
      <c r="AC487" s="210"/>
      <c r="AT487" s="425" t="str">
        <f t="shared" si="37"/>
        <v>KP000634201707Q314,7</v>
      </c>
      <c r="AU487" s="64" t="str">
        <f t="shared" si="38"/>
        <v>07-2017</v>
      </c>
      <c r="BA487" s="428" t="str">
        <f t="shared" si="39"/>
        <v>WIP - 30 Days</v>
      </c>
    </row>
    <row r="488" spans="2:53">
      <c r="B488" s="36" t="str">
        <f>'[6]price list MAN'!B488</f>
        <v>78W-6226</v>
      </c>
      <c r="C488" s="10" t="str">
        <f>'[6]price list MAN'!C488</f>
        <v>TGS-26-4406X4BLS-LX</v>
      </c>
      <c r="D488" s="16" t="str">
        <f>IFERROR(VLOOKUP(C488&amp;"",'[7]Retail Price List'!$A$3:$B$103,2,FALSE),"Special Order")</f>
        <v>KP000634</v>
      </c>
      <c r="E488" s="494" t="str">
        <f>'[6]price list MAN'!E488</f>
        <v>CKD</v>
      </c>
      <c r="F488" s="11" t="str">
        <f>'[6]price list MAN'!F488</f>
        <v>2018-04-30</v>
      </c>
      <c r="G488" s="32">
        <f>'[6]price list MAN'!G488</f>
        <v>14.7</v>
      </c>
      <c r="H488" s="26">
        <f>'[6]price list MAN'!H488</f>
        <v>42947</v>
      </c>
      <c r="I488" s="51" t="str">
        <f t="shared" si="35"/>
        <v>201707Q3</v>
      </c>
      <c r="J488" s="177">
        <f>'[6]price list MAN'!J488</f>
        <v>1790000</v>
      </c>
      <c r="K488" s="177">
        <f>'[6]price list MAN'!P488</f>
        <v>1370250</v>
      </c>
      <c r="L488" s="177">
        <f>'[6]price list MAN'!R488</f>
        <v>1305000</v>
      </c>
      <c r="M488" s="174">
        <f>'[6]price list MAN'!S488</f>
        <v>1845000</v>
      </c>
      <c r="N488" s="174">
        <f>'[6]price list MAN'!Y488</f>
        <v>1428000</v>
      </c>
      <c r="O488" s="174">
        <f>'[6]price list MAN'!AA488</f>
        <v>1360000</v>
      </c>
      <c r="P488" s="68">
        <f t="shared" si="36"/>
        <v>0.26287262872628725</v>
      </c>
      <c r="Q488" s="62" t="e">
        <f>O488-#REF!</f>
        <v>#REF!</v>
      </c>
      <c r="W488" s="210"/>
      <c r="X488" s="210"/>
      <c r="Y488" s="210"/>
      <c r="Z488" s="210"/>
      <c r="AA488" s="210"/>
      <c r="AB488" s="210"/>
      <c r="AC488" s="210"/>
      <c r="AT488" s="425" t="str">
        <f t="shared" si="37"/>
        <v>KP000634201707Q314,7</v>
      </c>
      <c r="AU488" s="64" t="str">
        <f t="shared" si="38"/>
        <v>07-2017</v>
      </c>
      <c r="BA488" s="428" t="str">
        <f t="shared" si="39"/>
        <v>WIP - 30 Days</v>
      </c>
    </row>
    <row r="489" spans="2:53">
      <c r="B489" s="36" t="str">
        <f>'[6]price list MAN'!B489</f>
        <v>78W-6227</v>
      </c>
      <c r="C489" s="10" t="str">
        <f>'[6]price list MAN'!C489</f>
        <v>TGS-26-4406X4BLS-LX</v>
      </c>
      <c r="D489" s="16" t="str">
        <f>IFERROR(VLOOKUP(C489&amp;"",'[7]Retail Price List'!$A$3:$B$103,2,FALSE),"Special Order")</f>
        <v>KP000634</v>
      </c>
      <c r="E489" s="494" t="str">
        <f>'[6]price list MAN'!E489</f>
        <v>CKD</v>
      </c>
      <c r="F489" s="11" t="str">
        <f>'[6]price list MAN'!F489</f>
        <v>2018-04-30</v>
      </c>
      <c r="G489" s="32">
        <f>'[6]price list MAN'!G489</f>
        <v>14.7</v>
      </c>
      <c r="H489" s="26">
        <f>'[6]price list MAN'!H489</f>
        <v>42947</v>
      </c>
      <c r="I489" s="51" t="str">
        <f t="shared" si="35"/>
        <v>201707Q3</v>
      </c>
      <c r="J489" s="177">
        <f>'[6]price list MAN'!J489</f>
        <v>1790000</v>
      </c>
      <c r="K489" s="177">
        <f>'[6]price list MAN'!P489</f>
        <v>1370250</v>
      </c>
      <c r="L489" s="177">
        <f>'[6]price list MAN'!R489</f>
        <v>1305000</v>
      </c>
      <c r="M489" s="174">
        <f>'[6]price list MAN'!S489</f>
        <v>1845000</v>
      </c>
      <c r="N489" s="174">
        <f>'[6]price list MAN'!Y489</f>
        <v>1428000</v>
      </c>
      <c r="O489" s="174">
        <f>'[6]price list MAN'!AA489</f>
        <v>1360000</v>
      </c>
      <c r="P489" s="68">
        <f t="shared" si="36"/>
        <v>0.26287262872628725</v>
      </c>
      <c r="Q489" s="62" t="e">
        <f>O489-#REF!</f>
        <v>#REF!</v>
      </c>
      <c r="W489" s="210"/>
      <c r="X489" s="210"/>
      <c r="Y489" s="210"/>
      <c r="Z489" s="210"/>
      <c r="AA489" s="210"/>
      <c r="AB489" s="210"/>
      <c r="AC489" s="210"/>
      <c r="AT489" s="425" t="str">
        <f t="shared" si="37"/>
        <v>KP000634201707Q314,7</v>
      </c>
      <c r="AU489" s="64" t="str">
        <f t="shared" si="38"/>
        <v>07-2017</v>
      </c>
      <c r="BA489" s="428" t="str">
        <f t="shared" si="39"/>
        <v>WIP - 30 Days</v>
      </c>
    </row>
    <row r="490" spans="2:53">
      <c r="B490" s="36" t="str">
        <f>'[6]price list MAN'!B490</f>
        <v>78W-6228</v>
      </c>
      <c r="C490" s="10" t="str">
        <f>'[6]price list MAN'!C490</f>
        <v>TGS-26-4406X4BLS-LX</v>
      </c>
      <c r="D490" s="16" t="str">
        <f>IFERROR(VLOOKUP(C490&amp;"",'[7]Retail Price List'!$A$3:$B$103,2,FALSE),"Special Order")</f>
        <v>KP000634</v>
      </c>
      <c r="E490" s="494" t="str">
        <f>'[6]price list MAN'!E490</f>
        <v>CKD</v>
      </c>
      <c r="F490" s="11" t="str">
        <f>'[6]price list MAN'!F490</f>
        <v>2018-06-30</v>
      </c>
      <c r="G490" s="32">
        <f>'[6]price list MAN'!G490</f>
        <v>14.7</v>
      </c>
      <c r="H490" s="26">
        <f>'[6]price list MAN'!H490</f>
        <v>42947</v>
      </c>
      <c r="I490" s="51" t="str">
        <f t="shared" si="35"/>
        <v>201707Q3</v>
      </c>
      <c r="J490" s="177">
        <f>'[6]price list MAN'!J490</f>
        <v>1790000</v>
      </c>
      <c r="K490" s="177">
        <f>'[6]price list MAN'!P490</f>
        <v>1370250</v>
      </c>
      <c r="L490" s="177">
        <f>'[6]price list MAN'!R490</f>
        <v>1305000</v>
      </c>
      <c r="M490" s="174">
        <f>'[6]price list MAN'!S490</f>
        <v>1845000</v>
      </c>
      <c r="N490" s="174">
        <f>'[6]price list MAN'!Y490</f>
        <v>1428000</v>
      </c>
      <c r="O490" s="174">
        <f>'[6]price list MAN'!AA490</f>
        <v>1360000</v>
      </c>
      <c r="P490" s="68">
        <f t="shared" si="36"/>
        <v>0.26287262872628725</v>
      </c>
      <c r="Q490" s="62" t="e">
        <f>O490-#REF!</f>
        <v>#REF!</v>
      </c>
      <c r="W490" s="210"/>
      <c r="X490" s="210"/>
      <c r="Y490" s="210"/>
      <c r="Z490" s="210"/>
      <c r="AA490" s="210"/>
      <c r="AB490" s="210"/>
      <c r="AC490" s="210"/>
      <c r="AT490" s="425" t="str">
        <f t="shared" si="37"/>
        <v>KP000634201707Q314,7</v>
      </c>
      <c r="AU490" s="64" t="str">
        <f t="shared" si="38"/>
        <v>07-2017</v>
      </c>
      <c r="BA490" s="428" t="str">
        <f t="shared" si="39"/>
        <v>WIP - 30 Days</v>
      </c>
    </row>
    <row r="491" spans="2:53">
      <c r="B491" s="36" t="str">
        <f>'[6]price list MAN'!B491</f>
        <v>78W-6229</v>
      </c>
      <c r="C491" s="10" t="str">
        <f>'[6]price list MAN'!C491</f>
        <v>TGS-26-4406X4BLS-LX</v>
      </c>
      <c r="D491" s="16" t="str">
        <f>IFERROR(VLOOKUP(C491&amp;"",'[7]Retail Price List'!$A$3:$B$103,2,FALSE),"Special Order")</f>
        <v>KP000634</v>
      </c>
      <c r="E491" s="494" t="str">
        <f>'[6]price list MAN'!E491</f>
        <v>CKD</v>
      </c>
      <c r="F491" s="11" t="str">
        <f>'[6]price list MAN'!F491</f>
        <v>2018-06-30</v>
      </c>
      <c r="G491" s="32">
        <f>'[6]price list MAN'!G491</f>
        <v>14.7</v>
      </c>
      <c r="H491" s="26">
        <f>'[6]price list MAN'!H491</f>
        <v>42947</v>
      </c>
      <c r="I491" s="51" t="str">
        <f t="shared" si="35"/>
        <v>201707Q3</v>
      </c>
      <c r="J491" s="177">
        <f>'[6]price list MAN'!J491</f>
        <v>1790000</v>
      </c>
      <c r="K491" s="177">
        <f>'[6]price list MAN'!P491</f>
        <v>1370250</v>
      </c>
      <c r="L491" s="177">
        <f>'[6]price list MAN'!R491</f>
        <v>1305000</v>
      </c>
      <c r="M491" s="174">
        <f>'[6]price list MAN'!S491</f>
        <v>1845000</v>
      </c>
      <c r="N491" s="174">
        <f>'[6]price list MAN'!Y491</f>
        <v>1428000</v>
      </c>
      <c r="O491" s="174">
        <f>'[6]price list MAN'!AA491</f>
        <v>1360000</v>
      </c>
      <c r="P491" s="68">
        <f t="shared" si="36"/>
        <v>0.26287262872628725</v>
      </c>
      <c r="Q491" s="62" t="e">
        <f>O491-#REF!</f>
        <v>#REF!</v>
      </c>
      <c r="W491" s="210"/>
      <c r="X491" s="210"/>
      <c r="Y491" s="210"/>
      <c r="Z491" s="210"/>
      <c r="AA491" s="210"/>
      <c r="AB491" s="210"/>
      <c r="AC491" s="210"/>
      <c r="AT491" s="425" t="str">
        <f t="shared" si="37"/>
        <v>KP000634201707Q314,7</v>
      </c>
      <c r="AU491" s="64" t="str">
        <f t="shared" si="38"/>
        <v>07-2017</v>
      </c>
      <c r="BA491" s="428" t="str">
        <f t="shared" si="39"/>
        <v>WIP - 30 Days</v>
      </c>
    </row>
    <row r="492" spans="2:53">
      <c r="B492" s="36" t="str">
        <f>'[6]price list MAN'!B492</f>
        <v>78W-6230</v>
      </c>
      <c r="C492" s="10" t="str">
        <f>'[6]price list MAN'!C492</f>
        <v>TGS-26-4406X4BLS-LX</v>
      </c>
      <c r="D492" s="16" t="str">
        <f>IFERROR(VLOOKUP(C492&amp;"",'[7]Retail Price List'!$A$3:$B$103,2,FALSE),"Special Order")</f>
        <v>KP000634</v>
      </c>
      <c r="E492" s="494" t="str">
        <f>'[6]price list MAN'!E492</f>
        <v>CKD</v>
      </c>
      <c r="F492" s="11" t="str">
        <f>'[6]price list MAN'!F492</f>
        <v>2018-06-30</v>
      </c>
      <c r="G492" s="32">
        <f>'[6]price list MAN'!G492</f>
        <v>14.7</v>
      </c>
      <c r="H492" s="26">
        <f>'[6]price list MAN'!H492</f>
        <v>42947</v>
      </c>
      <c r="I492" s="51" t="str">
        <f t="shared" si="35"/>
        <v>201707Q3</v>
      </c>
      <c r="J492" s="177">
        <f>'[6]price list MAN'!J492</f>
        <v>1790000</v>
      </c>
      <c r="K492" s="177">
        <f>'[6]price list MAN'!P492</f>
        <v>1370250</v>
      </c>
      <c r="L492" s="177">
        <f>'[6]price list MAN'!R492</f>
        <v>1305000</v>
      </c>
      <c r="M492" s="174">
        <f>'[6]price list MAN'!S492</f>
        <v>1845000</v>
      </c>
      <c r="N492" s="174">
        <f>'[6]price list MAN'!Y492</f>
        <v>1428000</v>
      </c>
      <c r="O492" s="174">
        <f>'[6]price list MAN'!AA492</f>
        <v>1360000</v>
      </c>
      <c r="P492" s="68">
        <f t="shared" si="36"/>
        <v>0.26287262872628725</v>
      </c>
      <c r="Q492" s="62" t="e">
        <f>O492-#REF!</f>
        <v>#REF!</v>
      </c>
      <c r="W492" s="210"/>
      <c r="X492" s="210"/>
      <c r="Y492" s="210"/>
      <c r="Z492" s="210"/>
      <c r="AA492" s="210"/>
      <c r="AB492" s="210"/>
      <c r="AC492" s="210"/>
      <c r="AT492" s="425" t="str">
        <f t="shared" si="37"/>
        <v>KP000634201707Q314,7</v>
      </c>
      <c r="AU492" s="64" t="str">
        <f t="shared" si="38"/>
        <v>07-2017</v>
      </c>
      <c r="BA492" s="428" t="str">
        <f t="shared" si="39"/>
        <v>WIP - 30 Days</v>
      </c>
    </row>
    <row r="493" spans="2:53">
      <c r="B493" s="36" t="str">
        <f>'[6]price list MAN'!B493</f>
        <v>78W-6231</v>
      </c>
      <c r="C493" s="10" t="str">
        <f>'[6]price list MAN'!C493</f>
        <v>TGS-26-4406X4BLS-LX</v>
      </c>
      <c r="D493" s="16" t="str">
        <f>IFERROR(VLOOKUP(C493&amp;"",'[7]Retail Price List'!$A$3:$B$103,2,FALSE),"Special Order")</f>
        <v>KP000634</v>
      </c>
      <c r="E493" s="494" t="str">
        <f>'[6]price list MAN'!E493</f>
        <v>CKD</v>
      </c>
      <c r="F493" s="11" t="str">
        <f>'[6]price list MAN'!F493</f>
        <v>2018-06-30</v>
      </c>
      <c r="G493" s="32">
        <f>'[6]price list MAN'!G493</f>
        <v>14.7</v>
      </c>
      <c r="H493" s="26">
        <f>'[6]price list MAN'!H493</f>
        <v>42947</v>
      </c>
      <c r="I493" s="51" t="str">
        <f t="shared" si="35"/>
        <v>201707Q3</v>
      </c>
      <c r="J493" s="177">
        <f>'[6]price list MAN'!J493</f>
        <v>1790000</v>
      </c>
      <c r="K493" s="177">
        <f>'[6]price list MAN'!P493</f>
        <v>1370250</v>
      </c>
      <c r="L493" s="177">
        <f>'[6]price list MAN'!R493</f>
        <v>1305000</v>
      </c>
      <c r="M493" s="174">
        <f>'[6]price list MAN'!S493</f>
        <v>1845000</v>
      </c>
      <c r="N493" s="174">
        <f>'[6]price list MAN'!Y493</f>
        <v>1428000</v>
      </c>
      <c r="O493" s="174">
        <f>'[6]price list MAN'!AA493</f>
        <v>1360000</v>
      </c>
      <c r="P493" s="68">
        <f t="shared" si="36"/>
        <v>0.26287262872628725</v>
      </c>
      <c r="Q493" s="62" t="e">
        <f>O493-#REF!</f>
        <v>#REF!</v>
      </c>
      <c r="W493" s="210"/>
      <c r="X493" s="210"/>
      <c r="Y493" s="210"/>
      <c r="Z493" s="210"/>
      <c r="AA493" s="210"/>
      <c r="AB493" s="210"/>
      <c r="AC493" s="210"/>
      <c r="AT493" s="425" t="str">
        <f t="shared" si="37"/>
        <v>KP000634201707Q314,7</v>
      </c>
      <c r="AU493" s="64" t="str">
        <f t="shared" si="38"/>
        <v>07-2017</v>
      </c>
      <c r="BA493" s="428" t="str">
        <f t="shared" si="39"/>
        <v>WIP - 30 Days</v>
      </c>
    </row>
    <row r="494" spans="2:53">
      <c r="B494" s="36" t="str">
        <f>'[6]price list MAN'!B494</f>
        <v>78W-6232</v>
      </c>
      <c r="C494" s="10" t="str">
        <f>'[6]price list MAN'!C494</f>
        <v>TGS-26-4406X4BLS-LX</v>
      </c>
      <c r="D494" s="16" t="str">
        <f>IFERROR(VLOOKUP(C494&amp;"",'[7]Retail Price List'!$A$3:$B$103,2,FALSE),"Special Order")</f>
        <v>KP000634</v>
      </c>
      <c r="E494" s="494" t="str">
        <f>'[6]price list MAN'!E494</f>
        <v>CKD</v>
      </c>
      <c r="F494" s="11" t="str">
        <f>'[6]price list MAN'!F494</f>
        <v>2018-06-30</v>
      </c>
      <c r="G494" s="32">
        <f>'[6]price list MAN'!G494</f>
        <v>14.7</v>
      </c>
      <c r="H494" s="26">
        <f>'[6]price list MAN'!H494</f>
        <v>42947</v>
      </c>
      <c r="I494" s="51" t="str">
        <f t="shared" si="35"/>
        <v>201707Q3</v>
      </c>
      <c r="J494" s="177">
        <f>'[6]price list MAN'!J494</f>
        <v>1790000</v>
      </c>
      <c r="K494" s="177">
        <f>'[6]price list MAN'!P494</f>
        <v>1370250</v>
      </c>
      <c r="L494" s="177">
        <f>'[6]price list MAN'!R494</f>
        <v>1305000</v>
      </c>
      <c r="M494" s="174">
        <f>'[6]price list MAN'!S494</f>
        <v>1845000</v>
      </c>
      <c r="N494" s="174">
        <f>'[6]price list MAN'!Y494</f>
        <v>1428000</v>
      </c>
      <c r="O494" s="174">
        <f>'[6]price list MAN'!AA494</f>
        <v>1360000</v>
      </c>
      <c r="P494" s="68">
        <f t="shared" si="36"/>
        <v>0.26287262872628725</v>
      </c>
      <c r="Q494" s="62" t="e">
        <f>O494-#REF!</f>
        <v>#REF!</v>
      </c>
      <c r="W494" s="210"/>
      <c r="X494" s="210"/>
      <c r="Y494" s="210"/>
      <c r="Z494" s="210"/>
      <c r="AA494" s="210"/>
      <c r="AB494" s="210"/>
      <c r="AC494" s="210"/>
      <c r="AT494" s="425" t="str">
        <f t="shared" si="37"/>
        <v>KP000634201707Q314,7</v>
      </c>
      <c r="AU494" s="64" t="str">
        <f t="shared" si="38"/>
        <v>07-2017</v>
      </c>
      <c r="BA494" s="428" t="str">
        <f t="shared" si="39"/>
        <v>WIP - 30 Days</v>
      </c>
    </row>
    <row r="495" spans="2:53">
      <c r="B495" s="36" t="str">
        <f>'[6]price list MAN'!B495</f>
        <v>78W-6233</v>
      </c>
      <c r="C495" s="10" t="str">
        <f>'[6]price list MAN'!C495</f>
        <v>TGS-26-4406X4BLS-LX</v>
      </c>
      <c r="D495" s="16" t="str">
        <f>IFERROR(VLOOKUP(C495&amp;"",'[7]Retail Price List'!$A$3:$B$103,2,FALSE),"Special Order")</f>
        <v>KP000634</v>
      </c>
      <c r="E495" s="494" t="str">
        <f>'[6]price list MAN'!E495</f>
        <v>CKD</v>
      </c>
      <c r="F495" s="11" t="str">
        <f>'[6]price list MAN'!F495</f>
        <v>2018-05-30</v>
      </c>
      <c r="G495" s="32">
        <f>'[6]price list MAN'!G495</f>
        <v>14.7</v>
      </c>
      <c r="H495" s="26">
        <f>'[6]price list MAN'!H495</f>
        <v>42947</v>
      </c>
      <c r="I495" s="51" t="str">
        <f t="shared" si="35"/>
        <v>201707Q3</v>
      </c>
      <c r="J495" s="177">
        <f>'[6]price list MAN'!J495</f>
        <v>1790000</v>
      </c>
      <c r="K495" s="177">
        <f>'[6]price list MAN'!P495</f>
        <v>1370250</v>
      </c>
      <c r="L495" s="177">
        <f>'[6]price list MAN'!R495</f>
        <v>1305000</v>
      </c>
      <c r="M495" s="174">
        <f>'[6]price list MAN'!S495</f>
        <v>1845000</v>
      </c>
      <c r="N495" s="174">
        <f>'[6]price list MAN'!Y495</f>
        <v>1428000</v>
      </c>
      <c r="O495" s="174">
        <f>'[6]price list MAN'!AA495</f>
        <v>1360000</v>
      </c>
      <c r="P495" s="68">
        <f t="shared" si="36"/>
        <v>0.26287262872628725</v>
      </c>
      <c r="Q495" s="62" t="e">
        <f>O495-#REF!</f>
        <v>#REF!</v>
      </c>
      <c r="W495" s="210"/>
      <c r="X495" s="210"/>
      <c r="Y495" s="210"/>
      <c r="Z495" s="210"/>
      <c r="AA495" s="210"/>
      <c r="AB495" s="210"/>
      <c r="AC495" s="210"/>
      <c r="AT495" s="425" t="str">
        <f t="shared" si="37"/>
        <v>KP000634201707Q314,7</v>
      </c>
      <c r="AU495" s="64" t="str">
        <f t="shared" si="38"/>
        <v>07-2017</v>
      </c>
      <c r="BA495" s="428" t="str">
        <f t="shared" si="39"/>
        <v>WIP - 30 Days</v>
      </c>
    </row>
    <row r="496" spans="2:53">
      <c r="B496" s="36" t="str">
        <f>'[6]price list MAN'!B496</f>
        <v>78W-6234</v>
      </c>
      <c r="C496" s="10" t="str">
        <f>'[6]price list MAN'!C496</f>
        <v>TGS-26-4406X4BLS-LX</v>
      </c>
      <c r="D496" s="16" t="str">
        <f>IFERROR(VLOOKUP(C496&amp;"",'[7]Retail Price List'!$A$3:$B$103,2,FALSE),"Special Order")</f>
        <v>KP000634</v>
      </c>
      <c r="E496" s="494" t="str">
        <f>'[6]price list MAN'!E496</f>
        <v>CKD</v>
      </c>
      <c r="F496" s="11" t="str">
        <f>'[6]price list MAN'!F496</f>
        <v>2018-05-30</v>
      </c>
      <c r="G496" s="32">
        <f>'[6]price list MAN'!G496</f>
        <v>14.7</v>
      </c>
      <c r="H496" s="26">
        <f>'[6]price list MAN'!H496</f>
        <v>42947</v>
      </c>
      <c r="I496" s="51" t="str">
        <f t="shared" si="35"/>
        <v>201707Q3</v>
      </c>
      <c r="J496" s="177">
        <f>'[6]price list MAN'!J496</f>
        <v>1790000</v>
      </c>
      <c r="K496" s="177">
        <f>'[6]price list MAN'!P496</f>
        <v>1370250</v>
      </c>
      <c r="L496" s="177">
        <f>'[6]price list MAN'!R496</f>
        <v>1305000</v>
      </c>
      <c r="M496" s="174">
        <f>'[6]price list MAN'!S496</f>
        <v>1845000</v>
      </c>
      <c r="N496" s="174">
        <f>'[6]price list MAN'!Y496</f>
        <v>1428000</v>
      </c>
      <c r="O496" s="174">
        <f>'[6]price list MAN'!AA496</f>
        <v>1360000</v>
      </c>
      <c r="P496" s="68">
        <f t="shared" si="36"/>
        <v>0.26287262872628725</v>
      </c>
      <c r="Q496" s="62" t="e">
        <f>O496-#REF!</f>
        <v>#REF!</v>
      </c>
      <c r="W496" s="210"/>
      <c r="X496" s="210"/>
      <c r="Y496" s="210"/>
      <c r="Z496" s="210"/>
      <c r="AA496" s="210"/>
      <c r="AB496" s="210"/>
      <c r="AC496" s="210"/>
      <c r="AT496" s="425" t="str">
        <f t="shared" si="37"/>
        <v>KP000634201707Q314,7</v>
      </c>
      <c r="AU496" s="64" t="str">
        <f t="shared" si="38"/>
        <v>07-2017</v>
      </c>
      <c r="BA496" s="428" t="str">
        <f t="shared" si="39"/>
        <v>WIP - 30 Days</v>
      </c>
    </row>
    <row r="497" spans="2:53">
      <c r="B497" s="36" t="str">
        <f>'[6]price list MAN'!B497</f>
        <v>78W-6235</v>
      </c>
      <c r="C497" s="10" t="str">
        <f>'[6]price list MAN'!C497</f>
        <v>TGS-26-4406X4BLS-LX</v>
      </c>
      <c r="D497" s="16" t="str">
        <f>IFERROR(VLOOKUP(C497&amp;"",'[7]Retail Price List'!$A$3:$B$103,2,FALSE),"Special Order")</f>
        <v>KP000634</v>
      </c>
      <c r="E497" s="494" t="str">
        <f>'[6]price list MAN'!E497</f>
        <v>CKD</v>
      </c>
      <c r="F497" s="11" t="str">
        <f>'[6]price list MAN'!F497</f>
        <v>2018-05-30</v>
      </c>
      <c r="G497" s="32">
        <f>'[6]price list MAN'!G497</f>
        <v>14.7</v>
      </c>
      <c r="H497" s="26">
        <f>'[6]price list MAN'!H497</f>
        <v>42947</v>
      </c>
      <c r="I497" s="51" t="str">
        <f t="shared" si="35"/>
        <v>201707Q3</v>
      </c>
      <c r="J497" s="177">
        <f>'[6]price list MAN'!J497</f>
        <v>1790000</v>
      </c>
      <c r="K497" s="177">
        <f>'[6]price list MAN'!P497</f>
        <v>1370250</v>
      </c>
      <c r="L497" s="177">
        <f>'[6]price list MAN'!R497</f>
        <v>1305000</v>
      </c>
      <c r="M497" s="174">
        <f>'[6]price list MAN'!S497</f>
        <v>1845000</v>
      </c>
      <c r="N497" s="174">
        <f>'[6]price list MAN'!Y497</f>
        <v>1428000</v>
      </c>
      <c r="O497" s="174">
        <f>'[6]price list MAN'!AA497</f>
        <v>1360000</v>
      </c>
      <c r="P497" s="68">
        <f t="shared" si="36"/>
        <v>0.26287262872628725</v>
      </c>
      <c r="Q497" s="62" t="e">
        <f>O497-#REF!</f>
        <v>#REF!</v>
      </c>
      <c r="W497" s="210"/>
      <c r="X497" s="210"/>
      <c r="Y497" s="210"/>
      <c r="Z497" s="210"/>
      <c r="AA497" s="210"/>
      <c r="AB497" s="210"/>
      <c r="AC497" s="210"/>
      <c r="AT497" s="425" t="str">
        <f t="shared" si="37"/>
        <v>KP000634201707Q314,7</v>
      </c>
      <c r="AU497" s="64" t="str">
        <f t="shared" si="38"/>
        <v>07-2017</v>
      </c>
      <c r="BA497" s="428" t="str">
        <f t="shared" si="39"/>
        <v>WIP - 30 Days</v>
      </c>
    </row>
    <row r="498" spans="2:53">
      <c r="B498" s="36" t="str">
        <f>'[6]price list MAN'!B498</f>
        <v>78W-6236</v>
      </c>
      <c r="C498" s="10" t="str">
        <f>'[6]price list MAN'!C498</f>
        <v>TGS-26-4406X4BLS-LX</v>
      </c>
      <c r="D498" s="16" t="str">
        <f>IFERROR(VLOOKUP(C498&amp;"",'[7]Retail Price List'!$A$3:$B$103,2,FALSE),"Special Order")</f>
        <v>KP000634</v>
      </c>
      <c r="E498" s="494" t="str">
        <f>'[6]price list MAN'!E498</f>
        <v>CKD</v>
      </c>
      <c r="F498" s="11" t="str">
        <f>'[6]price list MAN'!F498</f>
        <v>2018-05-30</v>
      </c>
      <c r="G498" s="32">
        <f>'[6]price list MAN'!G498</f>
        <v>14.7</v>
      </c>
      <c r="H498" s="26">
        <f>'[6]price list MAN'!H498</f>
        <v>42947</v>
      </c>
      <c r="I498" s="51" t="str">
        <f t="shared" si="35"/>
        <v>201707Q3</v>
      </c>
      <c r="J498" s="177">
        <f>'[6]price list MAN'!J498</f>
        <v>1790000</v>
      </c>
      <c r="K498" s="177">
        <f>'[6]price list MAN'!P498</f>
        <v>1370250</v>
      </c>
      <c r="L498" s="177">
        <f>'[6]price list MAN'!R498</f>
        <v>1305000</v>
      </c>
      <c r="M498" s="174">
        <f>'[6]price list MAN'!S498</f>
        <v>1845000</v>
      </c>
      <c r="N498" s="174">
        <f>'[6]price list MAN'!Y498</f>
        <v>1428000</v>
      </c>
      <c r="O498" s="174">
        <f>'[6]price list MAN'!AA498</f>
        <v>1360000</v>
      </c>
      <c r="P498" s="68">
        <f t="shared" si="36"/>
        <v>0.26287262872628725</v>
      </c>
      <c r="Q498" s="62" t="e">
        <f>O498-#REF!</f>
        <v>#REF!</v>
      </c>
      <c r="W498" s="210"/>
      <c r="X498" s="210"/>
      <c r="Y498" s="210"/>
      <c r="Z498" s="210"/>
      <c r="AA498" s="210"/>
      <c r="AB498" s="210"/>
      <c r="AC498" s="210"/>
      <c r="AT498" s="425" t="str">
        <f t="shared" si="37"/>
        <v>KP000634201707Q314,7</v>
      </c>
      <c r="AU498" s="64" t="str">
        <f t="shared" si="38"/>
        <v>07-2017</v>
      </c>
      <c r="BA498" s="428" t="str">
        <f t="shared" si="39"/>
        <v>WIP - 30 Days</v>
      </c>
    </row>
    <row r="499" spans="2:53">
      <c r="B499" s="36" t="str">
        <f>'[6]price list MAN'!B499</f>
        <v>78W-6237</v>
      </c>
      <c r="C499" s="10" t="str">
        <f>'[6]price list MAN'!C499</f>
        <v>TGS-26-4406X4BLS-LX</v>
      </c>
      <c r="D499" s="16" t="str">
        <f>IFERROR(VLOOKUP(C499&amp;"",'[7]Retail Price List'!$A$3:$B$103,2,FALSE),"Special Order")</f>
        <v>KP000634</v>
      </c>
      <c r="E499" s="494" t="str">
        <f>'[6]price list MAN'!E499</f>
        <v>CKD</v>
      </c>
      <c r="F499" s="11" t="str">
        <f>'[6]price list MAN'!F499</f>
        <v>2018-05-30</v>
      </c>
      <c r="G499" s="32">
        <f>'[6]price list MAN'!G499</f>
        <v>14.7</v>
      </c>
      <c r="H499" s="26">
        <f>'[6]price list MAN'!H499</f>
        <v>42947</v>
      </c>
      <c r="I499" s="51" t="str">
        <f t="shared" si="35"/>
        <v>201707Q3</v>
      </c>
      <c r="J499" s="177">
        <f>'[6]price list MAN'!J499</f>
        <v>1790000</v>
      </c>
      <c r="K499" s="177">
        <f>'[6]price list MAN'!P499</f>
        <v>1370250</v>
      </c>
      <c r="L499" s="177">
        <f>'[6]price list MAN'!R499</f>
        <v>1305000</v>
      </c>
      <c r="M499" s="174">
        <f>'[6]price list MAN'!S499</f>
        <v>1845000</v>
      </c>
      <c r="N499" s="174">
        <f>'[6]price list MAN'!Y499</f>
        <v>1428000</v>
      </c>
      <c r="O499" s="174">
        <f>'[6]price list MAN'!AA499</f>
        <v>1360000</v>
      </c>
      <c r="P499" s="68">
        <f t="shared" si="36"/>
        <v>0.26287262872628725</v>
      </c>
      <c r="Q499" s="62" t="e">
        <f>O499-#REF!</f>
        <v>#REF!</v>
      </c>
      <c r="W499" s="210"/>
      <c r="X499" s="210"/>
      <c r="Y499" s="210"/>
      <c r="Z499" s="210"/>
      <c r="AA499" s="210"/>
      <c r="AB499" s="210"/>
      <c r="AC499" s="210"/>
      <c r="AT499" s="425" t="str">
        <f t="shared" si="37"/>
        <v>KP000634201707Q314,7</v>
      </c>
      <c r="AU499" s="64" t="str">
        <f t="shared" si="38"/>
        <v>07-2017</v>
      </c>
      <c r="BA499" s="428" t="str">
        <f t="shared" si="39"/>
        <v>WIP - 30 Days</v>
      </c>
    </row>
    <row r="500" spans="2:53">
      <c r="B500" s="36" t="str">
        <f>'[6]price list MAN'!B500</f>
        <v>78W-6238</v>
      </c>
      <c r="C500" s="10" t="str">
        <f>'[6]price list MAN'!C500</f>
        <v>TGS-26-4406X4BLS-LX</v>
      </c>
      <c r="D500" s="16" t="str">
        <f>IFERROR(VLOOKUP(C500&amp;"",'[7]Retail Price List'!$A$3:$B$103,2,FALSE),"Special Order")</f>
        <v>KP000634</v>
      </c>
      <c r="E500" s="494" t="str">
        <f>'[6]price list MAN'!E500</f>
        <v>CKD</v>
      </c>
      <c r="F500" s="11" t="str">
        <f>'[6]price list MAN'!F500</f>
        <v>2018-05-30</v>
      </c>
      <c r="G500" s="32">
        <f>'[6]price list MAN'!G500</f>
        <v>14.7</v>
      </c>
      <c r="H500" s="26">
        <f>'[6]price list MAN'!H500</f>
        <v>42947</v>
      </c>
      <c r="I500" s="51" t="str">
        <f t="shared" si="35"/>
        <v>201707Q3</v>
      </c>
      <c r="J500" s="177">
        <f>'[6]price list MAN'!J500</f>
        <v>1790000</v>
      </c>
      <c r="K500" s="177">
        <f>'[6]price list MAN'!P500</f>
        <v>1370250</v>
      </c>
      <c r="L500" s="177">
        <f>'[6]price list MAN'!R500</f>
        <v>1305000</v>
      </c>
      <c r="M500" s="174">
        <f>'[6]price list MAN'!S500</f>
        <v>1845000</v>
      </c>
      <c r="N500" s="174">
        <f>'[6]price list MAN'!Y500</f>
        <v>1428000</v>
      </c>
      <c r="O500" s="174">
        <f>'[6]price list MAN'!AA500</f>
        <v>1360000</v>
      </c>
      <c r="P500" s="68">
        <f t="shared" si="36"/>
        <v>0.26287262872628725</v>
      </c>
      <c r="Q500" s="62" t="e">
        <f>O500-#REF!</f>
        <v>#REF!</v>
      </c>
      <c r="W500" s="210"/>
      <c r="X500" s="210"/>
      <c r="Y500" s="210"/>
      <c r="Z500" s="210"/>
      <c r="AA500" s="210"/>
      <c r="AB500" s="210"/>
      <c r="AC500" s="210"/>
      <c r="AT500" s="425" t="str">
        <f t="shared" si="37"/>
        <v>KP000634201707Q314,7</v>
      </c>
      <c r="AU500" s="64" t="str">
        <f t="shared" si="38"/>
        <v>07-2017</v>
      </c>
      <c r="BA500" s="428" t="str">
        <f t="shared" si="39"/>
        <v>WIP - 30 Days</v>
      </c>
    </row>
    <row r="501" spans="2:53">
      <c r="B501" s="36" t="str">
        <f>'[6]price list MAN'!B501</f>
        <v>78W-6239</v>
      </c>
      <c r="C501" s="10" t="str">
        <f>'[6]price list MAN'!C501</f>
        <v>TGS-26-4406X4BLS-LX</v>
      </c>
      <c r="D501" s="16" t="str">
        <f>IFERROR(VLOOKUP(C501&amp;"",'[7]Retail Price List'!$A$3:$B$103,2,FALSE),"Special Order")</f>
        <v>KP000634</v>
      </c>
      <c r="E501" s="494" t="str">
        <f>'[6]price list MAN'!E501</f>
        <v>CKD</v>
      </c>
      <c r="F501" s="11" t="str">
        <f>'[6]price list MAN'!F501</f>
        <v>2018-05-30</v>
      </c>
      <c r="G501" s="32">
        <f>'[6]price list MAN'!G501</f>
        <v>14.7</v>
      </c>
      <c r="H501" s="26">
        <f>'[6]price list MAN'!H501</f>
        <v>42947</v>
      </c>
      <c r="I501" s="51" t="str">
        <f t="shared" si="35"/>
        <v>201707Q3</v>
      </c>
      <c r="J501" s="177">
        <f>'[6]price list MAN'!J501</f>
        <v>1790000</v>
      </c>
      <c r="K501" s="177">
        <f>'[6]price list MAN'!P501</f>
        <v>1370250</v>
      </c>
      <c r="L501" s="177">
        <f>'[6]price list MAN'!R501</f>
        <v>1305000</v>
      </c>
      <c r="M501" s="174">
        <f>'[6]price list MAN'!S501</f>
        <v>1845000</v>
      </c>
      <c r="N501" s="174">
        <f>'[6]price list MAN'!Y501</f>
        <v>1428000</v>
      </c>
      <c r="O501" s="174">
        <f>'[6]price list MAN'!AA501</f>
        <v>1360000</v>
      </c>
      <c r="P501" s="68">
        <f t="shared" si="36"/>
        <v>0.26287262872628725</v>
      </c>
      <c r="Q501" s="62" t="e">
        <f>O501-#REF!</f>
        <v>#REF!</v>
      </c>
      <c r="W501" s="210"/>
      <c r="X501" s="210"/>
      <c r="Y501" s="210"/>
      <c r="Z501" s="210"/>
      <c r="AA501" s="210"/>
      <c r="AB501" s="210"/>
      <c r="AC501" s="210"/>
      <c r="AT501" s="425" t="str">
        <f t="shared" si="37"/>
        <v>KP000634201707Q314,7</v>
      </c>
      <c r="AU501" s="64" t="str">
        <f t="shared" si="38"/>
        <v>07-2017</v>
      </c>
      <c r="BA501" s="428" t="str">
        <f t="shared" si="39"/>
        <v>WIP - 30 Days</v>
      </c>
    </row>
    <row r="502" spans="2:53">
      <c r="B502" s="36" t="str">
        <f>'[6]price list MAN'!B502</f>
        <v>78W-6240</v>
      </c>
      <c r="C502" s="10" t="str">
        <f>'[6]price list MAN'!C502</f>
        <v>TGS-26-4406X4BLS-LX</v>
      </c>
      <c r="D502" s="16" t="str">
        <f>IFERROR(VLOOKUP(C502&amp;"",'[7]Retail Price List'!$A$3:$B$103,2,FALSE),"Special Order")</f>
        <v>KP000634</v>
      </c>
      <c r="E502" s="494" t="str">
        <f>'[6]price list MAN'!E502</f>
        <v>CKD</v>
      </c>
      <c r="F502" s="11" t="str">
        <f>'[6]price list MAN'!F502</f>
        <v>2018-04-30</v>
      </c>
      <c r="G502" s="32">
        <f>'[6]price list MAN'!G502</f>
        <v>14.7</v>
      </c>
      <c r="H502" s="26">
        <f>'[6]price list MAN'!H502</f>
        <v>42947</v>
      </c>
      <c r="I502" s="51" t="str">
        <f t="shared" si="35"/>
        <v>201707Q3</v>
      </c>
      <c r="J502" s="177">
        <f>'[6]price list MAN'!J502</f>
        <v>1790000</v>
      </c>
      <c r="K502" s="177">
        <f>'[6]price list MAN'!P502</f>
        <v>1370250</v>
      </c>
      <c r="L502" s="177">
        <f>'[6]price list MAN'!R502</f>
        <v>1305000</v>
      </c>
      <c r="M502" s="174">
        <f>'[6]price list MAN'!S502</f>
        <v>1845000</v>
      </c>
      <c r="N502" s="174">
        <f>'[6]price list MAN'!Y502</f>
        <v>1428000</v>
      </c>
      <c r="O502" s="174">
        <f>'[6]price list MAN'!AA502</f>
        <v>1360000</v>
      </c>
      <c r="P502" s="68">
        <f t="shared" si="36"/>
        <v>0.26287262872628725</v>
      </c>
      <c r="Q502" s="62" t="e">
        <f>O502-#REF!</f>
        <v>#REF!</v>
      </c>
      <c r="W502" s="210"/>
      <c r="X502" s="210"/>
      <c r="Y502" s="210"/>
      <c r="Z502" s="210"/>
      <c r="AA502" s="210"/>
      <c r="AB502" s="210"/>
      <c r="AC502" s="210"/>
      <c r="AT502" s="425" t="str">
        <f t="shared" si="37"/>
        <v>KP000634201707Q314,7</v>
      </c>
      <c r="AU502" s="64" t="str">
        <f t="shared" si="38"/>
        <v>07-2017</v>
      </c>
      <c r="BA502" s="428" t="str">
        <f t="shared" si="39"/>
        <v>WIP - 30 Days</v>
      </c>
    </row>
    <row r="503" spans="2:53">
      <c r="B503" s="36" t="str">
        <f>'[6]price list MAN'!B503</f>
        <v>78W-6241</v>
      </c>
      <c r="C503" s="10" t="str">
        <f>'[6]price list MAN'!C503</f>
        <v>TGS-26-4406X4BLS-LX</v>
      </c>
      <c r="D503" s="16" t="str">
        <f>IFERROR(VLOOKUP(C503&amp;"",'[7]Retail Price List'!$A$3:$B$103,2,FALSE),"Special Order")</f>
        <v>KP000634</v>
      </c>
      <c r="E503" s="494" t="str">
        <f>'[6]price list MAN'!E503</f>
        <v>CKD</v>
      </c>
      <c r="F503" s="11" t="str">
        <f>'[6]price list MAN'!F503</f>
        <v>2018-04-30</v>
      </c>
      <c r="G503" s="32">
        <f>'[6]price list MAN'!G503</f>
        <v>14.7</v>
      </c>
      <c r="H503" s="26">
        <f>'[6]price list MAN'!H503</f>
        <v>42947</v>
      </c>
      <c r="I503" s="51" t="str">
        <f t="shared" si="35"/>
        <v>201707Q3</v>
      </c>
      <c r="J503" s="177">
        <f>'[6]price list MAN'!J503</f>
        <v>1790000</v>
      </c>
      <c r="K503" s="177">
        <f>'[6]price list MAN'!P503</f>
        <v>1370250</v>
      </c>
      <c r="L503" s="177">
        <f>'[6]price list MAN'!R503</f>
        <v>1305000</v>
      </c>
      <c r="M503" s="174">
        <f>'[6]price list MAN'!S503</f>
        <v>1845000</v>
      </c>
      <c r="N503" s="174">
        <f>'[6]price list MAN'!Y503</f>
        <v>1428000</v>
      </c>
      <c r="O503" s="174">
        <f>'[6]price list MAN'!AA503</f>
        <v>1360000</v>
      </c>
      <c r="P503" s="68">
        <f t="shared" si="36"/>
        <v>0.26287262872628725</v>
      </c>
      <c r="Q503" s="62" t="e">
        <f>O503-#REF!</f>
        <v>#REF!</v>
      </c>
      <c r="W503" s="210"/>
      <c r="X503" s="210"/>
      <c r="Y503" s="210"/>
      <c r="Z503" s="210"/>
      <c r="AA503" s="210"/>
      <c r="AB503" s="210"/>
      <c r="AC503" s="210"/>
      <c r="AT503" s="425" t="str">
        <f t="shared" si="37"/>
        <v>KP000634201707Q314,7</v>
      </c>
      <c r="AU503" s="64" t="str">
        <f t="shared" si="38"/>
        <v>07-2017</v>
      </c>
      <c r="BA503" s="428" t="str">
        <f t="shared" si="39"/>
        <v>WIP - 30 Days</v>
      </c>
    </row>
    <row r="504" spans="2:53">
      <c r="B504" s="36" t="str">
        <f>'[6]price list MAN'!B504</f>
        <v>78W-6242</v>
      </c>
      <c r="C504" s="10" t="str">
        <f>'[6]price list MAN'!C504</f>
        <v>TGS-26-4406X4BLS-LX</v>
      </c>
      <c r="D504" s="16" t="str">
        <f>IFERROR(VLOOKUP(C504&amp;"",'[7]Retail Price List'!$A$3:$B$103,2,FALSE),"Special Order")</f>
        <v>KP000634</v>
      </c>
      <c r="E504" s="494" t="str">
        <f>'[6]price list MAN'!E504</f>
        <v>CKD</v>
      </c>
      <c r="F504" s="11" t="str">
        <f>'[6]price list MAN'!F504</f>
        <v>2018-03-30</v>
      </c>
      <c r="G504" s="32">
        <f>'[6]price list MAN'!G504</f>
        <v>14.7</v>
      </c>
      <c r="H504" s="26">
        <f>'[6]price list MAN'!H504</f>
        <v>42947</v>
      </c>
      <c r="I504" s="51" t="str">
        <f t="shared" si="35"/>
        <v>201707Q3</v>
      </c>
      <c r="J504" s="177">
        <f>'[6]price list MAN'!J504</f>
        <v>1790000</v>
      </c>
      <c r="K504" s="177">
        <f>'[6]price list MAN'!P504</f>
        <v>1370250</v>
      </c>
      <c r="L504" s="177">
        <f>'[6]price list MAN'!R504</f>
        <v>1305000</v>
      </c>
      <c r="M504" s="174">
        <f>'[6]price list MAN'!S504</f>
        <v>1845000</v>
      </c>
      <c r="N504" s="174">
        <f>'[6]price list MAN'!Y504</f>
        <v>1428000</v>
      </c>
      <c r="O504" s="174">
        <f>'[6]price list MAN'!AA504</f>
        <v>1360000</v>
      </c>
      <c r="P504" s="68">
        <f t="shared" si="36"/>
        <v>0.26287262872628725</v>
      </c>
      <c r="Q504" s="62" t="e">
        <f>O504-#REF!</f>
        <v>#REF!</v>
      </c>
      <c r="W504" s="210"/>
      <c r="X504" s="210"/>
      <c r="Y504" s="210"/>
      <c r="Z504" s="210"/>
      <c r="AA504" s="210"/>
      <c r="AB504" s="210"/>
      <c r="AC504" s="210"/>
      <c r="AT504" s="425" t="str">
        <f t="shared" si="37"/>
        <v>KP000634201707Q314,7</v>
      </c>
      <c r="AU504" s="64" t="str">
        <f t="shared" si="38"/>
        <v>07-2017</v>
      </c>
      <c r="BA504" s="428" t="str">
        <f t="shared" si="39"/>
        <v>WIP - 30 Days</v>
      </c>
    </row>
    <row r="505" spans="2:53">
      <c r="B505" s="36" t="str">
        <f>'[6]price list MAN'!B505</f>
        <v>78W-6243</v>
      </c>
      <c r="C505" s="10" t="str">
        <f>'[6]price list MAN'!C505</f>
        <v>TGS-26-4406X4BLS-LX</v>
      </c>
      <c r="D505" s="16" t="str">
        <f>IFERROR(VLOOKUP(C505&amp;"",'[7]Retail Price List'!$A$3:$B$103,2,FALSE),"Special Order")</f>
        <v>KP000634</v>
      </c>
      <c r="E505" s="494" t="str">
        <f>'[6]price list MAN'!E505</f>
        <v>CKD</v>
      </c>
      <c r="F505" s="11" t="str">
        <f>'[6]price list MAN'!F505</f>
        <v>2018-03-30</v>
      </c>
      <c r="G505" s="32">
        <f>'[6]price list MAN'!G505</f>
        <v>14.7</v>
      </c>
      <c r="H505" s="26">
        <f>'[6]price list MAN'!H505</f>
        <v>42947</v>
      </c>
      <c r="I505" s="51" t="str">
        <f t="shared" si="35"/>
        <v>201707Q3</v>
      </c>
      <c r="J505" s="177">
        <f>'[6]price list MAN'!J505</f>
        <v>1790000</v>
      </c>
      <c r="K505" s="177">
        <f>'[6]price list MAN'!P505</f>
        <v>1370250</v>
      </c>
      <c r="L505" s="177">
        <f>'[6]price list MAN'!R505</f>
        <v>1305000</v>
      </c>
      <c r="M505" s="174">
        <f>'[6]price list MAN'!S505</f>
        <v>1845000</v>
      </c>
      <c r="N505" s="174">
        <f>'[6]price list MAN'!Y505</f>
        <v>1428000</v>
      </c>
      <c r="O505" s="174">
        <f>'[6]price list MAN'!AA505</f>
        <v>1360000</v>
      </c>
      <c r="P505" s="68">
        <f t="shared" si="36"/>
        <v>0.26287262872628725</v>
      </c>
      <c r="Q505" s="62" t="e">
        <f>O505-#REF!</f>
        <v>#REF!</v>
      </c>
      <c r="W505" s="210"/>
      <c r="X505" s="210"/>
      <c r="Y505" s="210"/>
      <c r="Z505" s="210"/>
      <c r="AA505" s="210"/>
      <c r="AB505" s="210"/>
      <c r="AC505" s="210"/>
      <c r="AT505" s="425" t="str">
        <f t="shared" si="37"/>
        <v>KP000634201707Q314,7</v>
      </c>
      <c r="AU505" s="64" t="str">
        <f t="shared" si="38"/>
        <v>07-2017</v>
      </c>
      <c r="BA505" s="428" t="str">
        <f t="shared" si="39"/>
        <v>WIP - 30 Days</v>
      </c>
    </row>
    <row r="506" spans="2:53">
      <c r="B506" s="36" t="str">
        <f>'[6]price list MAN'!B506</f>
        <v>78W-6244</v>
      </c>
      <c r="C506" s="10" t="str">
        <f>'[6]price list MAN'!C506</f>
        <v>TGS-26-4406X4BLS-LX</v>
      </c>
      <c r="D506" s="16" t="str">
        <f>IFERROR(VLOOKUP(C506&amp;"",'[7]Retail Price List'!$A$3:$B$103,2,FALSE),"Special Order")</f>
        <v>KP000634</v>
      </c>
      <c r="E506" s="494" t="str">
        <f>'[6]price list MAN'!E506</f>
        <v>CKD</v>
      </c>
      <c r="F506" s="11" t="str">
        <f>'[6]price list MAN'!F506</f>
        <v>2018-03-30</v>
      </c>
      <c r="G506" s="32">
        <f>'[6]price list MAN'!G506</f>
        <v>15.3</v>
      </c>
      <c r="H506" s="26">
        <f>'[6]price list MAN'!H506</f>
        <v>42978</v>
      </c>
      <c r="I506" s="51" t="str">
        <f t="shared" si="35"/>
        <v>2017Q3</v>
      </c>
      <c r="J506" s="177">
        <f>'[6]price list MAN'!J506</f>
        <v>1790000</v>
      </c>
      <c r="K506" s="177">
        <f>'[6]price list MAN'!P506</f>
        <v>1370250</v>
      </c>
      <c r="L506" s="177">
        <f>'[6]price list MAN'!R506</f>
        <v>1305000</v>
      </c>
      <c r="M506" s="174">
        <f>'[6]price list MAN'!S506</f>
        <v>1845000</v>
      </c>
      <c r="N506" s="174">
        <f>'[6]price list MAN'!Y506</f>
        <v>1428000</v>
      </c>
      <c r="O506" s="174">
        <f>'[6]price list MAN'!AA506</f>
        <v>1360000</v>
      </c>
      <c r="P506" s="68">
        <f t="shared" si="36"/>
        <v>0.26287262872628725</v>
      </c>
      <c r="Q506" s="62" t="e">
        <f>O506-#REF!</f>
        <v>#REF!</v>
      </c>
      <c r="W506" s="210"/>
      <c r="X506" s="210"/>
      <c r="Y506" s="210"/>
      <c r="Z506" s="210"/>
      <c r="AA506" s="210"/>
      <c r="AB506" s="210"/>
      <c r="AC506" s="210"/>
      <c r="AT506" s="425" t="str">
        <f t="shared" si="37"/>
        <v>KP0006342017Q315,3</v>
      </c>
      <c r="AU506" s="64" t="str">
        <f t="shared" si="38"/>
        <v>08-2017</v>
      </c>
      <c r="BA506" s="428" t="str">
        <f t="shared" si="39"/>
        <v>WIP - 30 Days</v>
      </c>
    </row>
    <row r="507" spans="2:53">
      <c r="B507" s="36" t="str">
        <f>'[6]price list MAN'!B507</f>
        <v>78W-6245</v>
      </c>
      <c r="C507" s="10" t="str">
        <f>'[6]price list MAN'!C507</f>
        <v>TGS-26-4406X4BLS-LX</v>
      </c>
      <c r="D507" s="16" t="str">
        <f>IFERROR(VLOOKUP(C507&amp;"",'[7]Retail Price List'!$A$3:$B$103,2,FALSE),"Special Order")</f>
        <v>KP000634</v>
      </c>
      <c r="E507" s="494" t="str">
        <f>'[6]price list MAN'!E507</f>
        <v>BOOKED: 2018-02-06</v>
      </c>
      <c r="F507" s="11">
        <f>'[6]price list MAN'!F507</f>
        <v>22</v>
      </c>
      <c r="G507" s="32">
        <f>'[6]price list MAN'!G507</f>
        <v>15.3</v>
      </c>
      <c r="H507" s="26">
        <f>'[6]price list MAN'!H507</f>
        <v>42978</v>
      </c>
      <c r="I507" s="51" t="str">
        <f t="shared" si="35"/>
        <v>2017Q3</v>
      </c>
      <c r="J507" s="177">
        <f>'[6]price list MAN'!J507</f>
        <v>1790000</v>
      </c>
      <c r="K507" s="177">
        <f>'[6]price list MAN'!P507</f>
        <v>1370250</v>
      </c>
      <c r="L507" s="177">
        <f>'[6]price list MAN'!R507</f>
        <v>1305000</v>
      </c>
      <c r="M507" s="174">
        <f>'[6]price list MAN'!S507</f>
        <v>1845000</v>
      </c>
      <c r="N507" s="174">
        <f>'[6]price list MAN'!Y507</f>
        <v>1428000</v>
      </c>
      <c r="O507" s="174">
        <f>'[6]price list MAN'!AA507</f>
        <v>1360000</v>
      </c>
      <c r="P507" s="68">
        <f t="shared" si="36"/>
        <v>0.26287262872628725</v>
      </c>
      <c r="Q507" s="62" t="e">
        <f>O507-#REF!</f>
        <v>#REF!</v>
      </c>
      <c r="W507" s="210"/>
      <c r="X507" s="210"/>
      <c r="Y507" s="210"/>
      <c r="Z507" s="210"/>
      <c r="AA507" s="210"/>
      <c r="AB507" s="210"/>
      <c r="AC507" s="210"/>
      <c r="AT507" s="425" t="str">
        <f t="shared" si="37"/>
        <v>KP0006342017Q315,3</v>
      </c>
      <c r="AU507" s="64" t="str">
        <f t="shared" si="38"/>
        <v>08-2017</v>
      </c>
      <c r="BA507" s="428" t="str">
        <f t="shared" si="39"/>
        <v>WIP - 30 Days</v>
      </c>
    </row>
    <row r="508" spans="2:53">
      <c r="B508" s="36" t="str">
        <f>'[6]price list MAN'!B508</f>
        <v>78W-6246</v>
      </c>
      <c r="C508" s="10" t="str">
        <f>'[6]price list MAN'!C508</f>
        <v>TGS-26-4406X4BLS-LX</v>
      </c>
      <c r="D508" s="16" t="str">
        <f>IFERROR(VLOOKUP(C508&amp;"",'[7]Retail Price List'!$A$3:$B$103,2,FALSE),"Special Order")</f>
        <v>KP000634</v>
      </c>
      <c r="E508" s="494" t="str">
        <f>'[6]price list MAN'!E508</f>
        <v>SOLD</v>
      </c>
      <c r="F508" s="11">
        <f>'[6]price list MAN'!F508</f>
        <v>6</v>
      </c>
      <c r="G508" s="32">
        <f>'[6]price list MAN'!G508</f>
        <v>15.3</v>
      </c>
      <c r="H508" s="26">
        <f>'[6]price list MAN'!H508</f>
        <v>42978</v>
      </c>
      <c r="I508" s="51" t="str">
        <f t="shared" si="35"/>
        <v>2017Q3</v>
      </c>
      <c r="J508" s="177">
        <f>'[6]price list MAN'!J508</f>
        <v>1790000</v>
      </c>
      <c r="K508" s="177">
        <f>'[6]price list MAN'!P508</f>
        <v>1370250</v>
      </c>
      <c r="L508" s="177">
        <f>'[6]price list MAN'!R508</f>
        <v>1305000</v>
      </c>
      <c r="M508" s="174">
        <f>'[6]price list MAN'!S508</f>
        <v>1845000</v>
      </c>
      <c r="N508" s="174">
        <f>'[6]price list MAN'!Y508</f>
        <v>1428000</v>
      </c>
      <c r="O508" s="174">
        <f>'[6]price list MAN'!AA508</f>
        <v>1360000</v>
      </c>
      <c r="P508" s="68">
        <f t="shared" si="36"/>
        <v>0.26287262872628725</v>
      </c>
      <c r="Q508" s="62" t="e">
        <f>O508-#REF!</f>
        <v>#REF!</v>
      </c>
      <c r="W508" s="210"/>
      <c r="X508" s="210"/>
      <c r="Y508" s="210"/>
      <c r="Z508" s="210"/>
      <c r="AA508" s="210"/>
      <c r="AB508" s="210"/>
      <c r="AC508" s="210"/>
      <c r="AT508" s="425" t="str">
        <f t="shared" si="37"/>
        <v>KP0006342017Q315,3</v>
      </c>
      <c r="AU508" s="64" t="str">
        <f t="shared" si="38"/>
        <v>08-2017</v>
      </c>
      <c r="BA508" s="428" t="str">
        <f t="shared" si="39"/>
        <v>WIP - 30 Days</v>
      </c>
    </row>
    <row r="509" spans="2:53">
      <c r="B509" s="36" t="str">
        <f>'[6]price list MAN'!B509</f>
        <v>78W-6247</v>
      </c>
      <c r="C509" s="10" t="str">
        <f>'[6]price list MAN'!C509</f>
        <v>TGS-26-4406X4BLS-LX</v>
      </c>
      <c r="D509" s="16" t="str">
        <f>IFERROR(VLOOKUP(C509&amp;"",'[7]Retail Price List'!$A$3:$B$103,2,FALSE),"Special Order")</f>
        <v>KP000634</v>
      </c>
      <c r="E509" s="494" t="str">
        <f>'[6]price list MAN'!E509</f>
        <v>CKD</v>
      </c>
      <c r="F509" s="11" t="str">
        <f>'[6]price list MAN'!F509</f>
        <v>2018-02-09</v>
      </c>
      <c r="G509" s="32">
        <f>'[6]price list MAN'!G509</f>
        <v>15.3</v>
      </c>
      <c r="H509" s="26">
        <f>'[6]price list MAN'!H509</f>
        <v>42978</v>
      </c>
      <c r="I509" s="51" t="str">
        <f t="shared" si="35"/>
        <v>2017Q3</v>
      </c>
      <c r="J509" s="177">
        <f>'[6]price list MAN'!J509</f>
        <v>1790000</v>
      </c>
      <c r="K509" s="177">
        <f>'[6]price list MAN'!P509</f>
        <v>1370250</v>
      </c>
      <c r="L509" s="177">
        <f>'[6]price list MAN'!R509</f>
        <v>1305000</v>
      </c>
      <c r="M509" s="174">
        <f>'[6]price list MAN'!S509</f>
        <v>1845000</v>
      </c>
      <c r="N509" s="174">
        <f>'[6]price list MAN'!Y509</f>
        <v>1428000</v>
      </c>
      <c r="O509" s="174">
        <f>'[6]price list MAN'!AA509</f>
        <v>1360000</v>
      </c>
      <c r="P509" s="68">
        <f t="shared" si="36"/>
        <v>0.26287262872628725</v>
      </c>
      <c r="Q509" s="62" t="e">
        <f>O509-#REF!</f>
        <v>#REF!</v>
      </c>
      <c r="W509" s="210"/>
      <c r="X509" s="210"/>
      <c r="Y509" s="210"/>
      <c r="Z509" s="210"/>
      <c r="AA509" s="210"/>
      <c r="AB509" s="210"/>
      <c r="AC509" s="210"/>
      <c r="AT509" s="425" t="str">
        <f t="shared" si="37"/>
        <v>KP0006342017Q315,3</v>
      </c>
      <c r="AU509" s="64" t="str">
        <f t="shared" si="38"/>
        <v>08-2017</v>
      </c>
      <c r="BA509" s="428" t="str">
        <f t="shared" si="39"/>
        <v>WIP - 30 Days</v>
      </c>
    </row>
    <row r="510" spans="2:53">
      <c r="B510" s="36" t="str">
        <f>'[6]price list MAN'!B510</f>
        <v>78W-6248</v>
      </c>
      <c r="C510" s="10" t="str">
        <f>'[6]price list MAN'!C510</f>
        <v>TGS-26-4406X4BLS-LX</v>
      </c>
      <c r="D510" s="16" t="str">
        <f>IFERROR(VLOOKUP(C510&amp;"",'[7]Retail Price List'!$A$3:$B$103,2,FALSE),"Special Order")</f>
        <v>KP000634</v>
      </c>
      <c r="E510" s="494" t="str">
        <f>'[6]price list MAN'!E510</f>
        <v>SOLD</v>
      </c>
      <c r="F510" s="11">
        <f>'[6]price list MAN'!F510</f>
        <v>22</v>
      </c>
      <c r="G510" s="32">
        <f>'[6]price list MAN'!G510</f>
        <v>15.3</v>
      </c>
      <c r="H510" s="26">
        <f>'[6]price list MAN'!H510</f>
        <v>42978</v>
      </c>
      <c r="I510" s="51" t="str">
        <f t="shared" si="35"/>
        <v>2017Q3</v>
      </c>
      <c r="J510" s="177">
        <f>'[6]price list MAN'!J510</f>
        <v>1790000</v>
      </c>
      <c r="K510" s="177">
        <f>'[6]price list MAN'!P510</f>
        <v>1370250</v>
      </c>
      <c r="L510" s="177">
        <f>'[6]price list MAN'!R510</f>
        <v>1305000</v>
      </c>
      <c r="M510" s="174">
        <f>'[6]price list MAN'!S510</f>
        <v>1845000</v>
      </c>
      <c r="N510" s="174">
        <f>'[6]price list MAN'!Y510</f>
        <v>1428000</v>
      </c>
      <c r="O510" s="174">
        <f>'[6]price list MAN'!AA510</f>
        <v>1360000</v>
      </c>
      <c r="P510" s="68">
        <f t="shared" si="36"/>
        <v>0.26287262872628725</v>
      </c>
      <c r="Q510" s="62" t="e">
        <f>O510-#REF!</f>
        <v>#REF!</v>
      </c>
      <c r="W510" s="210"/>
      <c r="X510" s="210"/>
      <c r="Y510" s="210"/>
      <c r="Z510" s="210"/>
      <c r="AA510" s="210"/>
      <c r="AB510" s="210"/>
      <c r="AC510" s="210"/>
      <c r="AT510" s="425" t="str">
        <f t="shared" si="37"/>
        <v>KP0006342017Q315,3</v>
      </c>
      <c r="AU510" s="64" t="str">
        <f t="shared" si="38"/>
        <v>08-2017</v>
      </c>
      <c r="BA510" s="428" t="str">
        <f t="shared" si="39"/>
        <v>WIP - 30 Days</v>
      </c>
    </row>
    <row r="511" spans="2:53">
      <c r="B511" s="36" t="str">
        <f>'[6]price list MAN'!B511</f>
        <v>78W-6249</v>
      </c>
      <c r="C511" s="10" t="str">
        <f>'[6]price list MAN'!C511</f>
        <v>TGS-26-4406X4BLS-LX</v>
      </c>
      <c r="D511" s="16" t="str">
        <f>IFERROR(VLOOKUP(C511&amp;"",'[7]Retail Price List'!$A$3:$B$103,2,FALSE),"Special Order")</f>
        <v>KP000634</v>
      </c>
      <c r="E511" s="494" t="str">
        <f>'[6]price list MAN'!E511</f>
        <v>SOLD</v>
      </c>
      <c r="F511" s="11">
        <f>'[6]price list MAN'!F511</f>
        <v>27</v>
      </c>
      <c r="G511" s="32">
        <f>'[6]price list MAN'!G511</f>
        <v>15.3</v>
      </c>
      <c r="H511" s="26">
        <f>'[6]price list MAN'!H511</f>
        <v>42978</v>
      </c>
      <c r="I511" s="51" t="str">
        <f t="shared" si="35"/>
        <v>2017Q3</v>
      </c>
      <c r="J511" s="177">
        <f>'[6]price list MAN'!J511</f>
        <v>1790000</v>
      </c>
      <c r="K511" s="177">
        <f>'[6]price list MAN'!P511</f>
        <v>1370250</v>
      </c>
      <c r="L511" s="177">
        <f>'[6]price list MAN'!R511</f>
        <v>1305000</v>
      </c>
      <c r="M511" s="174">
        <f>'[6]price list MAN'!S511</f>
        <v>1845000</v>
      </c>
      <c r="N511" s="174">
        <f>'[6]price list MAN'!Y511</f>
        <v>1428000</v>
      </c>
      <c r="O511" s="174">
        <f>'[6]price list MAN'!AA511</f>
        <v>1360000</v>
      </c>
      <c r="P511" s="68">
        <f t="shared" si="36"/>
        <v>0.26287262872628725</v>
      </c>
      <c r="Q511" s="62" t="e">
        <f>O511-#REF!</f>
        <v>#REF!</v>
      </c>
      <c r="W511" s="210"/>
      <c r="X511" s="210"/>
      <c r="Y511" s="210"/>
      <c r="Z511" s="210"/>
      <c r="AA511" s="210"/>
      <c r="AB511" s="210"/>
      <c r="AC511" s="210"/>
      <c r="AT511" s="425" t="str">
        <f t="shared" si="37"/>
        <v>KP0006342017Q315,3</v>
      </c>
      <c r="AU511" s="64" t="str">
        <f t="shared" si="38"/>
        <v>08-2017</v>
      </c>
      <c r="BA511" s="428" t="str">
        <f t="shared" si="39"/>
        <v>WIP - 30 Days</v>
      </c>
    </row>
    <row r="512" spans="2:53">
      <c r="B512" s="36" t="str">
        <f>'[6]price list MAN'!B512</f>
        <v>78W-6250</v>
      </c>
      <c r="C512" s="10" t="str">
        <f>'[6]price list MAN'!C512</f>
        <v>TGS-26-4406X4BLS-LX</v>
      </c>
      <c r="D512" s="16" t="str">
        <f>IFERROR(VLOOKUP(C512&amp;"",'[7]Retail Price List'!$A$3:$B$103,2,FALSE),"Special Order")</f>
        <v>KP000634</v>
      </c>
      <c r="E512" s="494" t="str">
        <f>'[6]price list MAN'!E512</f>
        <v>SOLD</v>
      </c>
      <c r="F512" s="11">
        <f>'[6]price list MAN'!F512</f>
        <v>27</v>
      </c>
      <c r="G512" s="32">
        <f>'[6]price list MAN'!G512</f>
        <v>15.3</v>
      </c>
      <c r="H512" s="26">
        <f>'[6]price list MAN'!H512</f>
        <v>42978</v>
      </c>
      <c r="I512" s="51" t="str">
        <f t="shared" si="35"/>
        <v>2017Q3</v>
      </c>
      <c r="J512" s="177">
        <f>'[6]price list MAN'!J512</f>
        <v>1790000</v>
      </c>
      <c r="K512" s="177">
        <f>'[6]price list MAN'!P512</f>
        <v>1370250</v>
      </c>
      <c r="L512" s="177">
        <f>'[6]price list MAN'!R512</f>
        <v>1305000</v>
      </c>
      <c r="M512" s="174">
        <f>'[6]price list MAN'!S512</f>
        <v>1845000</v>
      </c>
      <c r="N512" s="174">
        <f>'[6]price list MAN'!Y512</f>
        <v>1428000</v>
      </c>
      <c r="O512" s="174">
        <f>'[6]price list MAN'!AA512</f>
        <v>1360000</v>
      </c>
      <c r="P512" s="68">
        <f t="shared" si="36"/>
        <v>0.26287262872628725</v>
      </c>
      <c r="Q512" s="62" t="e">
        <f>O512-#REF!</f>
        <v>#REF!</v>
      </c>
      <c r="W512" s="210"/>
      <c r="X512" s="210"/>
      <c r="Y512" s="210"/>
      <c r="Z512" s="210"/>
      <c r="AA512" s="210"/>
      <c r="AB512" s="210"/>
      <c r="AC512" s="210"/>
      <c r="AT512" s="425" t="str">
        <f t="shared" si="37"/>
        <v>KP0006342017Q315,3</v>
      </c>
      <c r="AU512" s="64" t="str">
        <f t="shared" si="38"/>
        <v>08-2017</v>
      </c>
      <c r="BA512" s="428" t="str">
        <f t="shared" si="39"/>
        <v>WIP - 30 Days</v>
      </c>
    </row>
    <row r="513" spans="2:53">
      <c r="B513" s="36" t="str">
        <f>'[6]price list MAN'!B513</f>
        <v>78W-6251</v>
      </c>
      <c r="C513" s="10" t="str">
        <f>'[6]price list MAN'!C513</f>
        <v>TGS-26-4406X4BLS-LX</v>
      </c>
      <c r="D513" s="16" t="str">
        <f>IFERROR(VLOOKUP(C513&amp;"",'[7]Retail Price List'!$A$3:$B$103,2,FALSE),"Special Order")</f>
        <v>KP000634</v>
      </c>
      <c r="E513" s="494" t="str">
        <f>'[6]price list MAN'!E513</f>
        <v>SOLD</v>
      </c>
      <c r="F513" s="11">
        <f>'[6]price list MAN'!F513</f>
        <v>26</v>
      </c>
      <c r="G513" s="32">
        <f>'[6]price list MAN'!G513</f>
        <v>15.3</v>
      </c>
      <c r="H513" s="26">
        <f>'[6]price list MAN'!H513</f>
        <v>42978</v>
      </c>
      <c r="I513" s="51" t="str">
        <f t="shared" si="35"/>
        <v>2017Q3</v>
      </c>
      <c r="J513" s="177">
        <f>'[6]price list MAN'!J513</f>
        <v>1790000</v>
      </c>
      <c r="K513" s="177">
        <f>'[6]price list MAN'!P513</f>
        <v>1370250</v>
      </c>
      <c r="L513" s="177">
        <f>'[6]price list MAN'!R513</f>
        <v>1305000</v>
      </c>
      <c r="M513" s="174">
        <f>'[6]price list MAN'!S513</f>
        <v>1845000</v>
      </c>
      <c r="N513" s="174">
        <f>'[6]price list MAN'!Y513</f>
        <v>1428000</v>
      </c>
      <c r="O513" s="174">
        <f>'[6]price list MAN'!AA513</f>
        <v>1360000</v>
      </c>
      <c r="P513" s="68">
        <f t="shared" si="36"/>
        <v>0.26287262872628725</v>
      </c>
      <c r="Q513" s="62" t="e">
        <f>O513-#REF!</f>
        <v>#REF!</v>
      </c>
      <c r="W513" s="210"/>
      <c r="X513" s="210"/>
      <c r="Y513" s="210"/>
      <c r="Z513" s="210"/>
      <c r="AA513" s="210"/>
      <c r="AB513" s="210"/>
      <c r="AC513" s="210"/>
      <c r="AT513" s="425" t="str">
        <f t="shared" si="37"/>
        <v>KP0006342017Q315,3</v>
      </c>
      <c r="AU513" s="64" t="str">
        <f t="shared" si="38"/>
        <v>08-2017</v>
      </c>
      <c r="BA513" s="428" t="str">
        <f t="shared" si="39"/>
        <v>WIP - 30 Days</v>
      </c>
    </row>
    <row r="514" spans="2:53">
      <c r="B514" s="36" t="str">
        <f>'[6]price list MAN'!B514</f>
        <v>78W-6252</v>
      </c>
      <c r="C514" s="10" t="str">
        <f>'[6]price list MAN'!C514</f>
        <v>TGS-26-4406X4BLS-LX</v>
      </c>
      <c r="D514" s="16" t="str">
        <f>IFERROR(VLOOKUP(C514&amp;"",'[7]Retail Price List'!$A$3:$B$103,2,FALSE),"Special Order")</f>
        <v>KP000634</v>
      </c>
      <c r="E514" s="494" t="str">
        <f>'[6]price list MAN'!E514</f>
        <v>CKD</v>
      </c>
      <c r="F514" s="11" t="str">
        <f>'[6]price list MAN'!F514</f>
        <v>2018-03-30</v>
      </c>
      <c r="G514" s="32">
        <f>'[6]price list MAN'!G514</f>
        <v>15.3</v>
      </c>
      <c r="H514" s="26">
        <f>'[6]price list MAN'!H514</f>
        <v>42978</v>
      </c>
      <c r="I514" s="51" t="str">
        <f t="shared" si="35"/>
        <v>2017Q3</v>
      </c>
      <c r="J514" s="177">
        <f>'[6]price list MAN'!J514</f>
        <v>1790000</v>
      </c>
      <c r="K514" s="177">
        <f>'[6]price list MAN'!P514</f>
        <v>1370250</v>
      </c>
      <c r="L514" s="177">
        <f>'[6]price list MAN'!R514</f>
        <v>1305000</v>
      </c>
      <c r="M514" s="174">
        <f>'[6]price list MAN'!S514</f>
        <v>1845000</v>
      </c>
      <c r="N514" s="174">
        <f>'[6]price list MAN'!Y514</f>
        <v>1428000</v>
      </c>
      <c r="O514" s="174">
        <f>'[6]price list MAN'!AA514</f>
        <v>1360000</v>
      </c>
      <c r="P514" s="68">
        <f t="shared" si="36"/>
        <v>0.26287262872628725</v>
      </c>
      <c r="Q514" s="62" t="e">
        <f>O514-#REF!</f>
        <v>#REF!</v>
      </c>
      <c r="W514" s="210"/>
      <c r="X514" s="210"/>
      <c r="Y514" s="210"/>
      <c r="Z514" s="210"/>
      <c r="AA514" s="210"/>
      <c r="AB514" s="210"/>
      <c r="AC514" s="210"/>
      <c r="AT514" s="425" t="str">
        <f t="shared" si="37"/>
        <v>KP0006342017Q315,3</v>
      </c>
      <c r="AU514" s="64" t="str">
        <f t="shared" si="38"/>
        <v>08-2017</v>
      </c>
      <c r="BA514" s="428" t="str">
        <f t="shared" si="39"/>
        <v>WIP - 30 Days</v>
      </c>
    </row>
    <row r="515" spans="2:53">
      <c r="B515" s="36" t="str">
        <f>'[6]price list MAN'!B515</f>
        <v>78W-6253</v>
      </c>
      <c r="C515" s="10" t="str">
        <f>'[6]price list MAN'!C515</f>
        <v>TGS-26-4406X4BLS-LX</v>
      </c>
      <c r="D515" s="16" t="str">
        <f>IFERROR(VLOOKUP(C515&amp;"",'[7]Retail Price List'!$A$3:$B$103,2,FALSE),"Special Order")</f>
        <v>KP000634</v>
      </c>
      <c r="E515" s="494" t="str">
        <f>'[6]price list MAN'!E515</f>
        <v>CKD</v>
      </c>
      <c r="F515" s="11" t="str">
        <f>'[6]price list MAN'!F515</f>
        <v>2018-03-30</v>
      </c>
      <c r="G515" s="32">
        <f>'[6]price list MAN'!G515</f>
        <v>15.3</v>
      </c>
      <c r="H515" s="26">
        <f>'[6]price list MAN'!H515</f>
        <v>42978</v>
      </c>
      <c r="I515" s="51" t="str">
        <f t="shared" si="35"/>
        <v>2017Q3</v>
      </c>
      <c r="J515" s="177">
        <f>'[6]price list MAN'!J515</f>
        <v>1790000</v>
      </c>
      <c r="K515" s="177">
        <f>'[6]price list MAN'!P515</f>
        <v>1370250</v>
      </c>
      <c r="L515" s="177">
        <f>'[6]price list MAN'!R515</f>
        <v>1305000</v>
      </c>
      <c r="M515" s="174">
        <f>'[6]price list MAN'!S515</f>
        <v>1845000</v>
      </c>
      <c r="N515" s="174">
        <f>'[6]price list MAN'!Y515</f>
        <v>1428000</v>
      </c>
      <c r="O515" s="174">
        <f>'[6]price list MAN'!AA515</f>
        <v>1360000</v>
      </c>
      <c r="P515" s="68">
        <f t="shared" si="36"/>
        <v>0.26287262872628725</v>
      </c>
      <c r="Q515" s="62" t="e">
        <f>O515-#REF!</f>
        <v>#REF!</v>
      </c>
      <c r="W515" s="210"/>
      <c r="X515" s="210"/>
      <c r="Y515" s="210"/>
      <c r="Z515" s="210"/>
      <c r="AA515" s="210"/>
      <c r="AB515" s="210"/>
      <c r="AC515" s="210"/>
      <c r="AT515" s="425" t="str">
        <f t="shared" si="37"/>
        <v>KP0006342017Q315,3</v>
      </c>
      <c r="AU515" s="64" t="str">
        <f t="shared" si="38"/>
        <v>08-2017</v>
      </c>
      <c r="BA515" s="428" t="str">
        <f t="shared" si="39"/>
        <v>WIP - 30 Days</v>
      </c>
    </row>
    <row r="516" spans="2:53">
      <c r="B516" s="36" t="str">
        <f>'[6]price list MAN'!B516</f>
        <v>78W-6254</v>
      </c>
      <c r="C516" s="10" t="str">
        <f>'[6]price list MAN'!C516</f>
        <v>TGS-26-4406X4BLS-LX</v>
      </c>
      <c r="D516" s="16" t="str">
        <f>IFERROR(VLOOKUP(C516&amp;"",'[7]Retail Price List'!$A$3:$B$103,2,FALSE),"Special Order")</f>
        <v>KP000634</v>
      </c>
      <c r="E516" s="494" t="str">
        <f>'[6]price list MAN'!E516</f>
        <v>CKD</v>
      </c>
      <c r="F516" s="11" t="str">
        <f>'[6]price list MAN'!F516</f>
        <v>2018-03-30</v>
      </c>
      <c r="G516" s="32">
        <f>'[6]price list MAN'!G516</f>
        <v>15.3</v>
      </c>
      <c r="H516" s="26">
        <f>'[6]price list MAN'!H516</f>
        <v>42978</v>
      </c>
      <c r="I516" s="51" t="str">
        <f t="shared" si="35"/>
        <v>2017Q3</v>
      </c>
      <c r="J516" s="177">
        <f>'[6]price list MAN'!J516</f>
        <v>1790000</v>
      </c>
      <c r="K516" s="177">
        <f>'[6]price list MAN'!P516</f>
        <v>1370250</v>
      </c>
      <c r="L516" s="177">
        <f>'[6]price list MAN'!R516</f>
        <v>1305000</v>
      </c>
      <c r="M516" s="174">
        <f>'[6]price list MAN'!S516</f>
        <v>1845000</v>
      </c>
      <c r="N516" s="174">
        <f>'[6]price list MAN'!Y516</f>
        <v>1428000</v>
      </c>
      <c r="O516" s="174">
        <f>'[6]price list MAN'!AA516</f>
        <v>1360000</v>
      </c>
      <c r="P516" s="68">
        <f t="shared" si="36"/>
        <v>0.26287262872628725</v>
      </c>
      <c r="Q516" s="62" t="e">
        <f>O516-#REF!</f>
        <v>#REF!</v>
      </c>
      <c r="W516" s="210"/>
      <c r="X516" s="210"/>
      <c r="Y516" s="210"/>
      <c r="Z516" s="210"/>
      <c r="AA516" s="210"/>
      <c r="AB516" s="210"/>
      <c r="AC516" s="210"/>
      <c r="AT516" s="425" t="str">
        <f t="shared" si="37"/>
        <v>KP0006342017Q315,3</v>
      </c>
      <c r="AU516" s="64" t="str">
        <f t="shared" si="38"/>
        <v>08-2017</v>
      </c>
      <c r="BA516" s="428" t="str">
        <f t="shared" si="39"/>
        <v>WIP - 30 Days</v>
      </c>
    </row>
    <row r="517" spans="2:53">
      <c r="B517" s="36" t="str">
        <f>'[6]price list MAN'!B517</f>
        <v>78W-6255</v>
      </c>
      <c r="C517" s="10" t="str">
        <f>'[6]price list MAN'!C517</f>
        <v>TGS-26-4406X4BLS-LX</v>
      </c>
      <c r="D517" s="16" t="str">
        <f>IFERROR(VLOOKUP(C517&amp;"",'[7]Retail Price List'!$A$3:$B$103,2,FALSE),"Special Order")</f>
        <v>KP000634</v>
      </c>
      <c r="E517" s="494" t="str">
        <f>'[6]price list MAN'!E517</f>
        <v>CKD</v>
      </c>
      <c r="F517" s="11" t="str">
        <f>'[6]price list MAN'!F517</f>
        <v>2018-03-30</v>
      </c>
      <c r="G517" s="32">
        <f>'[6]price list MAN'!G517</f>
        <v>15.3</v>
      </c>
      <c r="H517" s="26">
        <f>'[6]price list MAN'!H517</f>
        <v>42978</v>
      </c>
      <c r="I517" s="51" t="str">
        <f t="shared" ref="I517:I580" si="40">IFERROR(VLOOKUP(AU517,$AW$5:$AY$40,3,FALSE),"")</f>
        <v>2017Q3</v>
      </c>
      <c r="J517" s="177">
        <f>'[6]price list MAN'!J517</f>
        <v>1790000</v>
      </c>
      <c r="K517" s="177">
        <f>'[6]price list MAN'!P517</f>
        <v>1370250</v>
      </c>
      <c r="L517" s="177">
        <f>'[6]price list MAN'!R517</f>
        <v>1305000</v>
      </c>
      <c r="M517" s="174">
        <f>'[6]price list MAN'!S517</f>
        <v>1845000</v>
      </c>
      <c r="N517" s="174">
        <f>'[6]price list MAN'!Y517</f>
        <v>1428000</v>
      </c>
      <c r="O517" s="174">
        <f>'[6]price list MAN'!AA517</f>
        <v>1360000</v>
      </c>
      <c r="P517" s="68">
        <f t="shared" ref="P517:P580" si="41">(M517-O517)/M517</f>
        <v>0.26287262872628725</v>
      </c>
      <c r="Q517" s="62" t="e">
        <f>O517-#REF!</f>
        <v>#REF!</v>
      </c>
      <c r="W517" s="210"/>
      <c r="X517" s="210"/>
      <c r="Y517" s="210"/>
      <c r="Z517" s="210"/>
      <c r="AA517" s="210"/>
      <c r="AB517" s="210"/>
      <c r="AC517" s="210"/>
      <c r="AT517" s="425" t="str">
        <f t="shared" ref="AT517:AT580" si="42">D517&amp;I517&amp;G517</f>
        <v>KP0006342017Q315,3</v>
      </c>
      <c r="AU517" s="64" t="str">
        <f t="shared" ref="AU517:AU580" si="43">IF(MONTH(H517)&lt;10,0&amp;MONTH(H517)&amp;"-"&amp;YEAR(H517),MONTH(H517)&amp;"-"&amp;YEAR(H517))</f>
        <v>08-2017</v>
      </c>
      <c r="BA517" s="428" t="str">
        <f t="shared" ref="BA517:BA580" si="44">IF(B517=0,"",IF(AND(F517&gt;=31,F517&lt;=120),"31-120 Days",IF(AND(F517&gt;=121,F517&lt;=365),"121-365 Days",IF(OR(E517="CKD",F517&lt;=30),"WIP - 30 Days","&gt;365 Days"))))</f>
        <v>WIP - 30 Days</v>
      </c>
    </row>
    <row r="518" spans="2:53">
      <c r="B518" s="36" t="str">
        <f>'[6]price list MAN'!B518</f>
        <v>78W-6256</v>
      </c>
      <c r="C518" s="10" t="str">
        <f>'[6]price list MAN'!C518</f>
        <v>TGS-26-4406X4BLS-LX</v>
      </c>
      <c r="D518" s="16" t="str">
        <f>IFERROR(VLOOKUP(C518&amp;"",'[7]Retail Price List'!$A$3:$B$103,2,FALSE),"Special Order")</f>
        <v>KP000634</v>
      </c>
      <c r="E518" s="494" t="str">
        <f>'[6]price list MAN'!E518</f>
        <v>CKD</v>
      </c>
      <c r="F518" s="11" t="str">
        <f>'[6]price list MAN'!F518</f>
        <v>2018-03-30</v>
      </c>
      <c r="G518" s="32">
        <f>'[6]price list MAN'!G518</f>
        <v>15.3</v>
      </c>
      <c r="H518" s="26">
        <f>'[6]price list MAN'!H518</f>
        <v>42978</v>
      </c>
      <c r="I518" s="51" t="str">
        <f t="shared" si="40"/>
        <v>2017Q3</v>
      </c>
      <c r="J518" s="177">
        <f>'[6]price list MAN'!J518</f>
        <v>1790000</v>
      </c>
      <c r="K518" s="177">
        <f>'[6]price list MAN'!P518</f>
        <v>1370250</v>
      </c>
      <c r="L518" s="177">
        <f>'[6]price list MAN'!R518</f>
        <v>1305000</v>
      </c>
      <c r="M518" s="174">
        <f>'[6]price list MAN'!S518</f>
        <v>1845000</v>
      </c>
      <c r="N518" s="174">
        <f>'[6]price list MAN'!Y518</f>
        <v>1428000</v>
      </c>
      <c r="O518" s="174">
        <f>'[6]price list MAN'!AA518</f>
        <v>1360000</v>
      </c>
      <c r="P518" s="68">
        <f t="shared" si="41"/>
        <v>0.26287262872628725</v>
      </c>
      <c r="Q518" s="62" t="e">
        <f>O518-#REF!</f>
        <v>#REF!</v>
      </c>
      <c r="W518" s="210"/>
      <c r="X518" s="210"/>
      <c r="Y518" s="210"/>
      <c r="Z518" s="210"/>
      <c r="AA518" s="210"/>
      <c r="AB518" s="210"/>
      <c r="AC518" s="210"/>
      <c r="AT518" s="425" t="str">
        <f t="shared" si="42"/>
        <v>KP0006342017Q315,3</v>
      </c>
      <c r="AU518" s="64" t="str">
        <f t="shared" si="43"/>
        <v>08-2017</v>
      </c>
      <c r="BA518" s="428" t="str">
        <f t="shared" si="44"/>
        <v>WIP - 30 Days</v>
      </c>
    </row>
    <row r="519" spans="2:53">
      <c r="B519" s="36" t="str">
        <f>'[6]price list MAN'!B519</f>
        <v>78W-6257</v>
      </c>
      <c r="C519" s="10" t="str">
        <f>'[6]price list MAN'!C519</f>
        <v>TGS-26-4406X4BLS-LX</v>
      </c>
      <c r="D519" s="16" t="str">
        <f>IFERROR(VLOOKUP(C519&amp;"",'[7]Retail Price List'!$A$3:$B$103,2,FALSE),"Special Order")</f>
        <v>KP000634</v>
      </c>
      <c r="E519" s="494" t="str">
        <f>'[6]price list MAN'!E519</f>
        <v>CKD</v>
      </c>
      <c r="F519" s="11" t="str">
        <f>'[6]price list MAN'!F519</f>
        <v>2018-03-30</v>
      </c>
      <c r="G519" s="32">
        <f>'[6]price list MAN'!G519</f>
        <v>15.3</v>
      </c>
      <c r="H519" s="26">
        <f>'[6]price list MAN'!H519</f>
        <v>42978</v>
      </c>
      <c r="I519" s="51" t="str">
        <f t="shared" si="40"/>
        <v>2017Q3</v>
      </c>
      <c r="J519" s="177">
        <f>'[6]price list MAN'!J519</f>
        <v>1790000</v>
      </c>
      <c r="K519" s="177">
        <f>'[6]price list MAN'!P519</f>
        <v>1370250</v>
      </c>
      <c r="L519" s="177">
        <f>'[6]price list MAN'!R519</f>
        <v>1305000</v>
      </c>
      <c r="M519" s="174">
        <f>'[6]price list MAN'!S519</f>
        <v>1845000</v>
      </c>
      <c r="N519" s="174">
        <f>'[6]price list MAN'!Y519</f>
        <v>1428000</v>
      </c>
      <c r="O519" s="174">
        <f>'[6]price list MAN'!AA519</f>
        <v>1360000</v>
      </c>
      <c r="P519" s="68">
        <f t="shared" si="41"/>
        <v>0.26287262872628725</v>
      </c>
      <c r="Q519" s="62" t="e">
        <f>O519-#REF!</f>
        <v>#REF!</v>
      </c>
      <c r="W519" s="210"/>
      <c r="X519" s="210"/>
      <c r="Y519" s="210"/>
      <c r="Z519" s="210"/>
      <c r="AA519" s="210"/>
      <c r="AB519" s="210"/>
      <c r="AC519" s="210"/>
      <c r="AT519" s="425" t="str">
        <f t="shared" si="42"/>
        <v>KP0006342017Q315,3</v>
      </c>
      <c r="AU519" s="64" t="str">
        <f t="shared" si="43"/>
        <v>08-2017</v>
      </c>
      <c r="BA519" s="428" t="str">
        <f t="shared" si="44"/>
        <v>WIP - 30 Days</v>
      </c>
    </row>
    <row r="520" spans="2:53">
      <c r="B520" s="36" t="str">
        <f>'[6]price list MAN'!B520</f>
        <v>78W-6258</v>
      </c>
      <c r="C520" s="10" t="str">
        <f>'[6]price list MAN'!C520</f>
        <v>TGS-26-4406X4BLS-LX</v>
      </c>
      <c r="D520" s="16" t="str">
        <f>IFERROR(VLOOKUP(C520&amp;"",'[7]Retail Price List'!$A$3:$B$103,2,FALSE),"Special Order")</f>
        <v>KP000634</v>
      </c>
      <c r="E520" s="494" t="str">
        <f>'[6]price list MAN'!E520</f>
        <v>CKD</v>
      </c>
      <c r="F520" s="11" t="str">
        <f>'[6]price list MAN'!F520</f>
        <v>2018-03-30</v>
      </c>
      <c r="G520" s="32">
        <f>'[6]price list MAN'!G520</f>
        <v>15.3</v>
      </c>
      <c r="H520" s="26">
        <f>'[6]price list MAN'!H520</f>
        <v>42978</v>
      </c>
      <c r="I520" s="51" t="str">
        <f t="shared" si="40"/>
        <v>2017Q3</v>
      </c>
      <c r="J520" s="177">
        <f>'[6]price list MAN'!J520</f>
        <v>1790000</v>
      </c>
      <c r="K520" s="177">
        <f>'[6]price list MAN'!P520</f>
        <v>1370250</v>
      </c>
      <c r="L520" s="177">
        <f>'[6]price list MAN'!R520</f>
        <v>1305000</v>
      </c>
      <c r="M520" s="174">
        <f>'[6]price list MAN'!S520</f>
        <v>1845000</v>
      </c>
      <c r="N520" s="174">
        <f>'[6]price list MAN'!Y520</f>
        <v>1428000</v>
      </c>
      <c r="O520" s="174">
        <f>'[6]price list MAN'!AA520</f>
        <v>1360000</v>
      </c>
      <c r="P520" s="68">
        <f t="shared" si="41"/>
        <v>0.26287262872628725</v>
      </c>
      <c r="Q520" s="62" t="e">
        <f>O520-#REF!</f>
        <v>#REF!</v>
      </c>
      <c r="W520" s="210"/>
      <c r="X520" s="210"/>
      <c r="Y520" s="210"/>
      <c r="Z520" s="210"/>
      <c r="AA520" s="210"/>
      <c r="AB520" s="210"/>
      <c r="AC520" s="210"/>
      <c r="AT520" s="425" t="str">
        <f t="shared" si="42"/>
        <v>KP0006342017Q315,3</v>
      </c>
      <c r="AU520" s="64" t="str">
        <f t="shared" si="43"/>
        <v>08-2017</v>
      </c>
      <c r="BA520" s="428" t="str">
        <f t="shared" si="44"/>
        <v>WIP - 30 Days</v>
      </c>
    </row>
    <row r="521" spans="2:53">
      <c r="B521" s="36" t="str">
        <f>'[6]price list MAN'!B521</f>
        <v>78W-6259</v>
      </c>
      <c r="C521" s="10" t="str">
        <f>'[6]price list MAN'!C521</f>
        <v>TGS-26-4406X4BLS-LX</v>
      </c>
      <c r="D521" s="16" t="str">
        <f>IFERROR(VLOOKUP(C521&amp;"",'[7]Retail Price List'!$A$3:$B$103,2,FALSE),"Special Order")</f>
        <v>KP000634</v>
      </c>
      <c r="E521" s="494" t="str">
        <f>'[6]price list MAN'!E521</f>
        <v>CKD</v>
      </c>
      <c r="F521" s="11" t="str">
        <f>'[6]price list MAN'!F521</f>
        <v>2018-03-30</v>
      </c>
      <c r="G521" s="32">
        <f>'[6]price list MAN'!G521</f>
        <v>15.3</v>
      </c>
      <c r="H521" s="26">
        <f>'[6]price list MAN'!H521</f>
        <v>42978</v>
      </c>
      <c r="I521" s="51" t="str">
        <f t="shared" si="40"/>
        <v>2017Q3</v>
      </c>
      <c r="J521" s="177">
        <f>'[6]price list MAN'!J521</f>
        <v>1790000</v>
      </c>
      <c r="K521" s="177">
        <f>'[6]price list MAN'!P521</f>
        <v>1370250</v>
      </c>
      <c r="L521" s="177">
        <f>'[6]price list MAN'!R521</f>
        <v>1305000</v>
      </c>
      <c r="M521" s="174">
        <f>'[6]price list MAN'!S521</f>
        <v>1845000</v>
      </c>
      <c r="N521" s="174">
        <f>'[6]price list MAN'!Y521</f>
        <v>1428000</v>
      </c>
      <c r="O521" s="174">
        <f>'[6]price list MAN'!AA521</f>
        <v>1360000</v>
      </c>
      <c r="P521" s="68">
        <f t="shared" si="41"/>
        <v>0.26287262872628725</v>
      </c>
      <c r="Q521" s="62" t="e">
        <f>O521-#REF!</f>
        <v>#REF!</v>
      </c>
      <c r="W521" s="210"/>
      <c r="X521" s="210"/>
      <c r="Y521" s="210"/>
      <c r="Z521" s="210"/>
      <c r="AA521" s="210"/>
      <c r="AB521" s="210"/>
      <c r="AC521" s="210"/>
      <c r="AT521" s="425" t="str">
        <f t="shared" si="42"/>
        <v>KP0006342017Q315,3</v>
      </c>
      <c r="AU521" s="64" t="str">
        <f t="shared" si="43"/>
        <v>08-2017</v>
      </c>
      <c r="BA521" s="428" t="str">
        <f t="shared" si="44"/>
        <v>WIP - 30 Days</v>
      </c>
    </row>
    <row r="522" spans="2:53">
      <c r="B522" s="36" t="str">
        <f>'[6]price list MAN'!B522</f>
        <v>78W-6312</v>
      </c>
      <c r="C522" s="10" t="str">
        <f>'[6]price list MAN'!C522</f>
        <v>TGS-26-4406X4BLS-LX</v>
      </c>
      <c r="D522" s="16" t="str">
        <f>IFERROR(VLOOKUP(C522&amp;"",'[7]Retail Price List'!$A$3:$B$103,2,FALSE),"Special Order")</f>
        <v>KP000634</v>
      </c>
      <c r="E522" s="494" t="str">
        <f>'[6]price list MAN'!E522</f>
        <v>CKD</v>
      </c>
      <c r="F522" s="11" t="str">
        <f>'[6]price list MAN'!F522</f>
        <v>2018-03-30</v>
      </c>
      <c r="G522" s="32">
        <f>'[6]price list MAN'!G522</f>
        <v>15.3</v>
      </c>
      <c r="H522" s="26">
        <f>'[6]price list MAN'!H522</f>
        <v>42978</v>
      </c>
      <c r="I522" s="51" t="str">
        <f t="shared" si="40"/>
        <v>2017Q3</v>
      </c>
      <c r="J522" s="177">
        <f>'[6]price list MAN'!J522</f>
        <v>1790000</v>
      </c>
      <c r="K522" s="177">
        <f>'[6]price list MAN'!P522</f>
        <v>1370250</v>
      </c>
      <c r="L522" s="177">
        <f>'[6]price list MAN'!R522</f>
        <v>1305000</v>
      </c>
      <c r="M522" s="174">
        <f>'[6]price list MAN'!S522</f>
        <v>1845000</v>
      </c>
      <c r="N522" s="174">
        <f>'[6]price list MAN'!Y522</f>
        <v>1428000</v>
      </c>
      <c r="O522" s="174">
        <f>'[6]price list MAN'!AA522</f>
        <v>1360000</v>
      </c>
      <c r="P522" s="68">
        <f t="shared" si="41"/>
        <v>0.26287262872628725</v>
      </c>
      <c r="Q522" s="62" t="e">
        <f>O522-#REF!</f>
        <v>#REF!</v>
      </c>
      <c r="W522" s="210"/>
      <c r="X522" s="210"/>
      <c r="Y522" s="210"/>
      <c r="Z522" s="210"/>
      <c r="AA522" s="210"/>
      <c r="AB522" s="210"/>
      <c r="AC522" s="210"/>
      <c r="AT522" s="425" t="str">
        <f t="shared" si="42"/>
        <v>KP0006342017Q315,3</v>
      </c>
      <c r="AU522" s="64" t="str">
        <f t="shared" si="43"/>
        <v>08-2017</v>
      </c>
      <c r="BA522" s="428" t="str">
        <f t="shared" si="44"/>
        <v>WIP - 30 Days</v>
      </c>
    </row>
    <row r="523" spans="2:53">
      <c r="B523" s="36" t="str">
        <f>'[6]price list MAN'!B523</f>
        <v>78W-6313</v>
      </c>
      <c r="C523" s="10" t="str">
        <f>'[6]price list MAN'!C523</f>
        <v>TGS-26-4406X4BLS-LX</v>
      </c>
      <c r="D523" s="16" t="str">
        <f>IFERROR(VLOOKUP(C523&amp;"",'[7]Retail Price List'!$A$3:$B$103,2,FALSE),"Special Order")</f>
        <v>KP000634</v>
      </c>
      <c r="E523" s="494" t="str">
        <f>'[6]price list MAN'!E523</f>
        <v>CKD</v>
      </c>
      <c r="F523" s="11" t="str">
        <f>'[6]price list MAN'!F523</f>
        <v>2018-03-30</v>
      </c>
      <c r="G523" s="32">
        <f>'[6]price list MAN'!G523</f>
        <v>15.3</v>
      </c>
      <c r="H523" s="26">
        <f>'[6]price list MAN'!H523</f>
        <v>42978</v>
      </c>
      <c r="I523" s="51" t="str">
        <f t="shared" si="40"/>
        <v>2017Q3</v>
      </c>
      <c r="J523" s="177">
        <f>'[6]price list MAN'!J523</f>
        <v>1790000</v>
      </c>
      <c r="K523" s="177">
        <f>'[6]price list MAN'!P523</f>
        <v>1370250</v>
      </c>
      <c r="L523" s="177">
        <f>'[6]price list MAN'!R523</f>
        <v>1305000</v>
      </c>
      <c r="M523" s="174">
        <f>'[6]price list MAN'!S523</f>
        <v>1845000</v>
      </c>
      <c r="N523" s="174">
        <f>'[6]price list MAN'!Y523</f>
        <v>1428000</v>
      </c>
      <c r="O523" s="174">
        <f>'[6]price list MAN'!AA523</f>
        <v>1360000</v>
      </c>
      <c r="P523" s="68">
        <f t="shared" si="41"/>
        <v>0.26287262872628725</v>
      </c>
      <c r="Q523" s="62" t="e">
        <f>O523-#REF!</f>
        <v>#REF!</v>
      </c>
      <c r="W523" s="210"/>
      <c r="X523" s="210"/>
      <c r="Y523" s="210"/>
      <c r="Z523" s="210"/>
      <c r="AA523" s="210"/>
      <c r="AB523" s="210"/>
      <c r="AC523" s="210"/>
      <c r="AT523" s="425" t="str">
        <f t="shared" si="42"/>
        <v>KP0006342017Q315,3</v>
      </c>
      <c r="AU523" s="64" t="str">
        <f t="shared" si="43"/>
        <v>08-2017</v>
      </c>
      <c r="BA523" s="428" t="str">
        <f t="shared" si="44"/>
        <v>WIP - 30 Days</v>
      </c>
    </row>
    <row r="524" spans="2:53">
      <c r="B524" s="36" t="str">
        <f>'[6]price list MAN'!B524</f>
        <v>78W-6314</v>
      </c>
      <c r="C524" s="10" t="str">
        <f>'[6]price list MAN'!C524</f>
        <v>TGS-26-4406X4BLS-LX</v>
      </c>
      <c r="D524" s="16" t="str">
        <f>IFERROR(VLOOKUP(C524&amp;"",'[7]Retail Price List'!$A$3:$B$103,2,FALSE),"Special Order")</f>
        <v>KP000634</v>
      </c>
      <c r="E524" s="494" t="str">
        <f>'[6]price list MAN'!E524</f>
        <v>CKD</v>
      </c>
      <c r="F524" s="11" t="str">
        <f>'[6]price list MAN'!F524</f>
        <v>2018-03-30</v>
      </c>
      <c r="G524" s="32">
        <f>'[6]price list MAN'!G524</f>
        <v>15.3</v>
      </c>
      <c r="H524" s="26">
        <f>'[6]price list MAN'!H524</f>
        <v>42978</v>
      </c>
      <c r="I524" s="51" t="str">
        <f t="shared" si="40"/>
        <v>2017Q3</v>
      </c>
      <c r="J524" s="177">
        <f>'[6]price list MAN'!J524</f>
        <v>1790000</v>
      </c>
      <c r="K524" s="177">
        <f>'[6]price list MAN'!P524</f>
        <v>1370250</v>
      </c>
      <c r="L524" s="177">
        <f>'[6]price list MAN'!R524</f>
        <v>1305000</v>
      </c>
      <c r="M524" s="174">
        <f>'[6]price list MAN'!S524</f>
        <v>1845000</v>
      </c>
      <c r="N524" s="174">
        <f>'[6]price list MAN'!Y524</f>
        <v>1428000</v>
      </c>
      <c r="O524" s="174">
        <f>'[6]price list MAN'!AA524</f>
        <v>1360000</v>
      </c>
      <c r="P524" s="68">
        <f t="shared" si="41"/>
        <v>0.26287262872628725</v>
      </c>
      <c r="Q524" s="62" t="e">
        <f>O524-#REF!</f>
        <v>#REF!</v>
      </c>
      <c r="W524" s="210"/>
      <c r="X524" s="210"/>
      <c r="Y524" s="210"/>
      <c r="Z524" s="210"/>
      <c r="AA524" s="210"/>
      <c r="AB524" s="210"/>
      <c r="AC524" s="210"/>
      <c r="AT524" s="425" t="str">
        <f t="shared" si="42"/>
        <v>KP0006342017Q315,3</v>
      </c>
      <c r="AU524" s="64" t="str">
        <f t="shared" si="43"/>
        <v>08-2017</v>
      </c>
      <c r="BA524" s="428" t="str">
        <f t="shared" si="44"/>
        <v>WIP - 30 Days</v>
      </c>
    </row>
    <row r="525" spans="2:53">
      <c r="B525" s="36" t="str">
        <f>'[6]price list MAN'!B525</f>
        <v>78W-6315</v>
      </c>
      <c r="C525" s="10" t="str">
        <f>'[6]price list MAN'!C525</f>
        <v>TGS-26-4406X4BLS-LX</v>
      </c>
      <c r="D525" s="16" t="str">
        <f>IFERROR(VLOOKUP(C525&amp;"",'[7]Retail Price List'!$A$3:$B$103,2,FALSE),"Special Order")</f>
        <v>KP000634</v>
      </c>
      <c r="E525" s="494" t="str">
        <f>'[6]price list MAN'!E525</f>
        <v>CKD</v>
      </c>
      <c r="F525" s="11" t="str">
        <f>'[6]price list MAN'!F525</f>
        <v>2018-05-30</v>
      </c>
      <c r="G525" s="32">
        <f>'[6]price list MAN'!G525</f>
        <v>15.3</v>
      </c>
      <c r="H525" s="26">
        <f>'[6]price list MAN'!H525</f>
        <v>42978</v>
      </c>
      <c r="I525" s="51" t="str">
        <f t="shared" si="40"/>
        <v>2017Q3</v>
      </c>
      <c r="J525" s="177">
        <f>'[6]price list MAN'!J525</f>
        <v>1790000</v>
      </c>
      <c r="K525" s="177">
        <f>'[6]price list MAN'!P525</f>
        <v>1370250</v>
      </c>
      <c r="L525" s="177">
        <f>'[6]price list MAN'!R525</f>
        <v>1305000</v>
      </c>
      <c r="M525" s="174">
        <f>'[6]price list MAN'!S525</f>
        <v>1845000</v>
      </c>
      <c r="N525" s="174">
        <f>'[6]price list MAN'!Y525</f>
        <v>1428000</v>
      </c>
      <c r="O525" s="174">
        <f>'[6]price list MAN'!AA525</f>
        <v>1360000</v>
      </c>
      <c r="P525" s="68">
        <f t="shared" si="41"/>
        <v>0.26287262872628725</v>
      </c>
      <c r="Q525" s="62" t="e">
        <f>O525-#REF!</f>
        <v>#REF!</v>
      </c>
      <c r="W525" s="210"/>
      <c r="X525" s="210"/>
      <c r="Y525" s="210"/>
      <c r="Z525" s="210"/>
      <c r="AA525" s="210"/>
      <c r="AB525" s="210"/>
      <c r="AC525" s="210"/>
      <c r="AT525" s="425" t="str">
        <f t="shared" si="42"/>
        <v>KP0006342017Q315,3</v>
      </c>
      <c r="AU525" s="64" t="str">
        <f t="shared" si="43"/>
        <v>08-2017</v>
      </c>
      <c r="BA525" s="428" t="str">
        <f t="shared" si="44"/>
        <v>WIP - 30 Days</v>
      </c>
    </row>
    <row r="526" spans="2:53">
      <c r="B526" s="36" t="str">
        <f>'[6]price list MAN'!B526</f>
        <v>78W-6324</v>
      </c>
      <c r="C526" s="10" t="str">
        <f>'[6]price list MAN'!C526</f>
        <v>TGS-26-4406X4BLS-LX</v>
      </c>
      <c r="D526" s="16" t="str">
        <f>IFERROR(VLOOKUP(C526&amp;"",'[7]Retail Price List'!$A$3:$B$103,2,FALSE),"Special Order")</f>
        <v>KP000634</v>
      </c>
      <c r="E526" s="494" t="str">
        <f>'[6]price list MAN'!E526</f>
        <v>CKD</v>
      </c>
      <c r="F526" s="11" t="str">
        <f>'[6]price list MAN'!F526</f>
        <v>2018-05-30</v>
      </c>
      <c r="G526" s="32">
        <f>'[6]price list MAN'!G526</f>
        <v>15.3</v>
      </c>
      <c r="H526" s="26">
        <f>'[6]price list MAN'!H526</f>
        <v>42978</v>
      </c>
      <c r="I526" s="51" t="str">
        <f t="shared" si="40"/>
        <v>2017Q3</v>
      </c>
      <c r="J526" s="177">
        <f>'[6]price list MAN'!J526</f>
        <v>1790000</v>
      </c>
      <c r="K526" s="177">
        <f>'[6]price list MAN'!P526</f>
        <v>1370250</v>
      </c>
      <c r="L526" s="177">
        <f>'[6]price list MAN'!R526</f>
        <v>1305000</v>
      </c>
      <c r="M526" s="174">
        <f>'[6]price list MAN'!S526</f>
        <v>1845000</v>
      </c>
      <c r="N526" s="174">
        <f>'[6]price list MAN'!Y526</f>
        <v>1428000</v>
      </c>
      <c r="O526" s="174">
        <f>'[6]price list MAN'!AA526</f>
        <v>1360000</v>
      </c>
      <c r="P526" s="68">
        <f t="shared" si="41"/>
        <v>0.26287262872628725</v>
      </c>
      <c r="Q526" s="62" t="e">
        <f>O526-#REF!</f>
        <v>#REF!</v>
      </c>
      <c r="W526" s="210"/>
      <c r="X526" s="210"/>
      <c r="Y526" s="210"/>
      <c r="Z526" s="210"/>
      <c r="AA526" s="210"/>
      <c r="AB526" s="210"/>
      <c r="AC526" s="210"/>
      <c r="AT526" s="425" t="str">
        <f t="shared" si="42"/>
        <v>KP0006342017Q315,3</v>
      </c>
      <c r="AU526" s="64" t="str">
        <f t="shared" si="43"/>
        <v>08-2017</v>
      </c>
      <c r="BA526" s="428" t="str">
        <f t="shared" si="44"/>
        <v>WIP - 30 Days</v>
      </c>
    </row>
    <row r="527" spans="2:53">
      <c r="B527" s="36" t="str">
        <f>'[6]price list MAN'!B527</f>
        <v>78W-6325</v>
      </c>
      <c r="C527" s="10" t="str">
        <f>'[6]price list MAN'!C527</f>
        <v>TGS-26-4406X4BLS-LX</v>
      </c>
      <c r="D527" s="16" t="str">
        <f>IFERROR(VLOOKUP(C527&amp;"",'[7]Retail Price List'!$A$3:$B$103,2,FALSE),"Special Order")</f>
        <v>KP000634</v>
      </c>
      <c r="E527" s="494" t="str">
        <f>'[6]price list MAN'!E527</f>
        <v>CKD</v>
      </c>
      <c r="F527" s="11" t="str">
        <f>'[6]price list MAN'!F527</f>
        <v>2018-05-30</v>
      </c>
      <c r="G527" s="32">
        <f>'[6]price list MAN'!G527</f>
        <v>15.3</v>
      </c>
      <c r="H527" s="26">
        <f>'[6]price list MAN'!H527</f>
        <v>42978</v>
      </c>
      <c r="I527" s="51" t="str">
        <f t="shared" si="40"/>
        <v>2017Q3</v>
      </c>
      <c r="J527" s="177">
        <f>'[6]price list MAN'!J527</f>
        <v>1790000</v>
      </c>
      <c r="K527" s="177">
        <f>'[6]price list MAN'!P527</f>
        <v>1370250</v>
      </c>
      <c r="L527" s="177">
        <f>'[6]price list MAN'!R527</f>
        <v>1305000</v>
      </c>
      <c r="M527" s="174">
        <f>'[6]price list MAN'!S527</f>
        <v>1845000</v>
      </c>
      <c r="N527" s="174">
        <f>'[6]price list MAN'!Y527</f>
        <v>1428000</v>
      </c>
      <c r="O527" s="174">
        <f>'[6]price list MAN'!AA527</f>
        <v>1360000</v>
      </c>
      <c r="P527" s="68">
        <f t="shared" si="41"/>
        <v>0.26287262872628725</v>
      </c>
      <c r="Q527" s="62" t="e">
        <f>O527-#REF!</f>
        <v>#REF!</v>
      </c>
      <c r="W527" s="210"/>
      <c r="X527" s="210"/>
      <c r="Y527" s="210"/>
      <c r="Z527" s="210"/>
      <c r="AA527" s="210"/>
      <c r="AB527" s="210"/>
      <c r="AC527" s="210"/>
      <c r="AT527" s="425" t="str">
        <f t="shared" si="42"/>
        <v>KP0006342017Q315,3</v>
      </c>
      <c r="AU527" s="64" t="str">
        <f t="shared" si="43"/>
        <v>08-2017</v>
      </c>
      <c r="BA527" s="428" t="str">
        <f t="shared" si="44"/>
        <v>WIP - 30 Days</v>
      </c>
    </row>
    <row r="528" spans="2:53">
      <c r="B528" s="36" t="str">
        <f>'[6]price list MAN'!B528</f>
        <v>78W-6326</v>
      </c>
      <c r="C528" s="10" t="str">
        <f>'[6]price list MAN'!C528</f>
        <v>TGS-26-4406X4BLS-LX</v>
      </c>
      <c r="D528" s="16" t="str">
        <f>IFERROR(VLOOKUP(C528&amp;"",'[7]Retail Price List'!$A$3:$B$103,2,FALSE),"Special Order")</f>
        <v>KP000634</v>
      </c>
      <c r="E528" s="494" t="str">
        <f>'[6]price list MAN'!E528</f>
        <v>CKD</v>
      </c>
      <c r="F528" s="11" t="str">
        <f>'[6]price list MAN'!F528</f>
        <v>2018-05-30</v>
      </c>
      <c r="G528" s="32">
        <f>'[6]price list MAN'!G528</f>
        <v>15.3</v>
      </c>
      <c r="H528" s="26">
        <f>'[6]price list MAN'!H528</f>
        <v>42978</v>
      </c>
      <c r="I528" s="51" t="str">
        <f t="shared" si="40"/>
        <v>2017Q3</v>
      </c>
      <c r="J528" s="177">
        <f>'[6]price list MAN'!J528</f>
        <v>1790000</v>
      </c>
      <c r="K528" s="177">
        <f>'[6]price list MAN'!P528</f>
        <v>1370250</v>
      </c>
      <c r="L528" s="177">
        <f>'[6]price list MAN'!R528</f>
        <v>1305000</v>
      </c>
      <c r="M528" s="174">
        <f>'[6]price list MAN'!S528</f>
        <v>1845000</v>
      </c>
      <c r="N528" s="174">
        <f>'[6]price list MAN'!Y528</f>
        <v>1428000</v>
      </c>
      <c r="O528" s="174">
        <f>'[6]price list MAN'!AA528</f>
        <v>1360000</v>
      </c>
      <c r="P528" s="68">
        <f t="shared" si="41"/>
        <v>0.26287262872628725</v>
      </c>
      <c r="Q528" s="62" t="e">
        <f>O528-#REF!</f>
        <v>#REF!</v>
      </c>
      <c r="W528" s="210"/>
      <c r="X528" s="210"/>
      <c r="Y528" s="210"/>
      <c r="Z528" s="210"/>
      <c r="AA528" s="210"/>
      <c r="AB528" s="210"/>
      <c r="AC528" s="210"/>
      <c r="AT528" s="425" t="str">
        <f t="shared" si="42"/>
        <v>KP0006342017Q315,3</v>
      </c>
      <c r="AU528" s="64" t="str">
        <f t="shared" si="43"/>
        <v>08-2017</v>
      </c>
      <c r="BA528" s="428" t="str">
        <f t="shared" si="44"/>
        <v>WIP - 30 Days</v>
      </c>
    </row>
    <row r="529" spans="2:53">
      <c r="B529" s="36" t="str">
        <f>'[6]price list MAN'!B529</f>
        <v>78W-6327</v>
      </c>
      <c r="C529" s="10" t="str">
        <f>'[6]price list MAN'!C529</f>
        <v>TGS-26-4406X4BLS-LX</v>
      </c>
      <c r="D529" s="16" t="str">
        <f>IFERROR(VLOOKUP(C529&amp;"",'[7]Retail Price List'!$A$3:$B$103,2,FALSE),"Special Order")</f>
        <v>KP000634</v>
      </c>
      <c r="E529" s="494" t="str">
        <f>'[6]price list MAN'!E529</f>
        <v>CKD</v>
      </c>
      <c r="F529" s="11" t="str">
        <f>'[6]price list MAN'!F529</f>
        <v>2018-05-30</v>
      </c>
      <c r="G529" s="32">
        <f>'[6]price list MAN'!G529</f>
        <v>15.3</v>
      </c>
      <c r="H529" s="26">
        <f>'[6]price list MAN'!H529</f>
        <v>42978</v>
      </c>
      <c r="I529" s="51" t="str">
        <f t="shared" si="40"/>
        <v>2017Q3</v>
      </c>
      <c r="J529" s="177">
        <f>'[6]price list MAN'!J529</f>
        <v>1790000</v>
      </c>
      <c r="K529" s="177">
        <f>'[6]price list MAN'!P529</f>
        <v>1370250</v>
      </c>
      <c r="L529" s="177">
        <f>'[6]price list MAN'!R529</f>
        <v>1305000</v>
      </c>
      <c r="M529" s="174">
        <f>'[6]price list MAN'!S529</f>
        <v>1845000</v>
      </c>
      <c r="N529" s="174">
        <f>'[6]price list MAN'!Y529</f>
        <v>1428000</v>
      </c>
      <c r="O529" s="174">
        <f>'[6]price list MAN'!AA529</f>
        <v>1360000</v>
      </c>
      <c r="P529" s="68">
        <f t="shared" si="41"/>
        <v>0.26287262872628725</v>
      </c>
      <c r="Q529" s="62" t="e">
        <f>O529-#REF!</f>
        <v>#REF!</v>
      </c>
      <c r="W529" s="210"/>
      <c r="X529" s="210"/>
      <c r="Y529" s="210"/>
      <c r="Z529" s="210"/>
      <c r="AA529" s="210"/>
      <c r="AB529" s="210"/>
      <c r="AC529" s="210"/>
      <c r="AT529" s="425" t="str">
        <f t="shared" si="42"/>
        <v>KP0006342017Q315,3</v>
      </c>
      <c r="AU529" s="64" t="str">
        <f t="shared" si="43"/>
        <v>08-2017</v>
      </c>
      <c r="BA529" s="428" t="str">
        <f t="shared" si="44"/>
        <v>WIP - 30 Days</v>
      </c>
    </row>
    <row r="530" spans="2:53">
      <c r="B530" s="36" t="str">
        <f>'[6]price list MAN'!B530</f>
        <v>78W-6364</v>
      </c>
      <c r="C530" s="10" t="str">
        <f>'[6]price list MAN'!C530</f>
        <v>TGS-26-4406X4BLS-LX</v>
      </c>
      <c r="D530" s="16" t="str">
        <f>IFERROR(VLOOKUP(C530&amp;"",'[7]Retail Price List'!$A$3:$B$103,2,FALSE),"Special Order")</f>
        <v>KP000634</v>
      </c>
      <c r="E530" s="494" t="str">
        <f>'[6]price list MAN'!E530</f>
        <v>CKD</v>
      </c>
      <c r="F530" s="11" t="str">
        <f>'[6]price list MAN'!F530</f>
        <v>2018-05-30</v>
      </c>
      <c r="G530" s="32">
        <f>'[6]price list MAN'!G530</f>
        <v>15.3</v>
      </c>
      <c r="H530" s="26">
        <f>'[6]price list MAN'!H530</f>
        <v>42978</v>
      </c>
      <c r="I530" s="51" t="str">
        <f t="shared" si="40"/>
        <v>2017Q3</v>
      </c>
      <c r="J530" s="177">
        <f>'[6]price list MAN'!J530</f>
        <v>1790000</v>
      </c>
      <c r="K530" s="177">
        <f>'[6]price list MAN'!P530</f>
        <v>1370250</v>
      </c>
      <c r="L530" s="177">
        <f>'[6]price list MAN'!R530</f>
        <v>1305000</v>
      </c>
      <c r="M530" s="174">
        <f>'[6]price list MAN'!S530</f>
        <v>1845000</v>
      </c>
      <c r="N530" s="174">
        <f>'[6]price list MAN'!Y530</f>
        <v>1428000</v>
      </c>
      <c r="O530" s="174">
        <f>'[6]price list MAN'!AA530</f>
        <v>1360000</v>
      </c>
      <c r="P530" s="68">
        <f t="shared" si="41"/>
        <v>0.26287262872628725</v>
      </c>
      <c r="Q530" s="62" t="e">
        <f>O530-#REF!</f>
        <v>#REF!</v>
      </c>
      <c r="W530" s="210"/>
      <c r="X530" s="210"/>
      <c r="Y530" s="210"/>
      <c r="Z530" s="210"/>
      <c r="AA530" s="210"/>
      <c r="AB530" s="210"/>
      <c r="AC530" s="210"/>
      <c r="AT530" s="425" t="str">
        <f t="shared" si="42"/>
        <v>KP0006342017Q315,3</v>
      </c>
      <c r="AU530" s="64" t="str">
        <f t="shared" si="43"/>
        <v>08-2017</v>
      </c>
      <c r="BA530" s="428" t="str">
        <f t="shared" si="44"/>
        <v>WIP - 30 Days</v>
      </c>
    </row>
    <row r="531" spans="2:53">
      <c r="B531" s="36" t="str">
        <f>'[6]price list MAN'!B531</f>
        <v>78W-6365</v>
      </c>
      <c r="C531" s="10" t="str">
        <f>'[6]price list MAN'!C531</f>
        <v>TGS-26-4406X4BLS-LX</v>
      </c>
      <c r="D531" s="16" t="str">
        <f>IFERROR(VLOOKUP(C531&amp;"",'[7]Retail Price List'!$A$3:$B$103,2,FALSE),"Special Order")</f>
        <v>KP000634</v>
      </c>
      <c r="E531" s="494" t="str">
        <f>'[6]price list MAN'!E531</f>
        <v>CKD</v>
      </c>
      <c r="F531" s="11" t="str">
        <f>'[6]price list MAN'!F531</f>
        <v>2018-05-30</v>
      </c>
      <c r="G531" s="32">
        <f>'[6]price list MAN'!G531</f>
        <v>15.3</v>
      </c>
      <c r="H531" s="26">
        <f>'[6]price list MAN'!H531</f>
        <v>42978</v>
      </c>
      <c r="I531" s="51" t="str">
        <f t="shared" si="40"/>
        <v>2017Q3</v>
      </c>
      <c r="J531" s="177">
        <f>'[6]price list MAN'!J531</f>
        <v>1790000</v>
      </c>
      <c r="K531" s="177">
        <f>'[6]price list MAN'!P531</f>
        <v>1370250</v>
      </c>
      <c r="L531" s="177">
        <f>'[6]price list MAN'!R531</f>
        <v>1305000</v>
      </c>
      <c r="M531" s="174">
        <f>'[6]price list MAN'!S531</f>
        <v>1845000</v>
      </c>
      <c r="N531" s="174">
        <f>'[6]price list MAN'!Y531</f>
        <v>1428000</v>
      </c>
      <c r="O531" s="174">
        <f>'[6]price list MAN'!AA531</f>
        <v>1360000</v>
      </c>
      <c r="P531" s="68">
        <f t="shared" si="41"/>
        <v>0.26287262872628725</v>
      </c>
      <c r="Q531" s="62" t="e">
        <f>O531-#REF!</f>
        <v>#REF!</v>
      </c>
      <c r="W531" s="210"/>
      <c r="X531" s="210"/>
      <c r="Y531" s="210"/>
      <c r="Z531" s="210"/>
      <c r="AA531" s="210"/>
      <c r="AB531" s="210"/>
      <c r="AC531" s="210"/>
      <c r="AT531" s="425" t="str">
        <f t="shared" si="42"/>
        <v>KP0006342017Q315,3</v>
      </c>
      <c r="AU531" s="64" t="str">
        <f t="shared" si="43"/>
        <v>08-2017</v>
      </c>
      <c r="BA531" s="428" t="str">
        <f t="shared" si="44"/>
        <v>WIP - 30 Days</v>
      </c>
    </row>
    <row r="532" spans="2:53">
      <c r="B532" s="36" t="str">
        <f>'[6]price list MAN'!B532</f>
        <v>78W-6366</v>
      </c>
      <c r="C532" s="10" t="str">
        <f>'[6]price list MAN'!C532</f>
        <v>TGS-26-4406X4BLS-LX</v>
      </c>
      <c r="D532" s="16" t="str">
        <f>IFERROR(VLOOKUP(C532&amp;"",'[7]Retail Price List'!$A$3:$B$103,2,FALSE),"Special Order")</f>
        <v>KP000634</v>
      </c>
      <c r="E532" s="494" t="str">
        <f>'[6]price list MAN'!E532</f>
        <v>CKD</v>
      </c>
      <c r="F532" s="11" t="str">
        <f>'[6]price list MAN'!F532</f>
        <v>2018-05-30</v>
      </c>
      <c r="G532" s="32">
        <f>'[6]price list MAN'!G532</f>
        <v>15.3</v>
      </c>
      <c r="H532" s="26">
        <f>'[6]price list MAN'!H532</f>
        <v>42978</v>
      </c>
      <c r="I532" s="51" t="str">
        <f t="shared" si="40"/>
        <v>2017Q3</v>
      </c>
      <c r="J532" s="177">
        <f>'[6]price list MAN'!J532</f>
        <v>1790000</v>
      </c>
      <c r="K532" s="177">
        <f>'[6]price list MAN'!P532</f>
        <v>1370250</v>
      </c>
      <c r="L532" s="177">
        <f>'[6]price list MAN'!R532</f>
        <v>1305000</v>
      </c>
      <c r="M532" s="174">
        <f>'[6]price list MAN'!S532</f>
        <v>1845000</v>
      </c>
      <c r="N532" s="174">
        <f>'[6]price list MAN'!Y532</f>
        <v>1428000</v>
      </c>
      <c r="O532" s="174">
        <f>'[6]price list MAN'!AA532</f>
        <v>1360000</v>
      </c>
      <c r="P532" s="68">
        <f t="shared" si="41"/>
        <v>0.26287262872628725</v>
      </c>
      <c r="Q532" s="62" t="e">
        <f>O532-#REF!</f>
        <v>#REF!</v>
      </c>
      <c r="W532" s="210"/>
      <c r="X532" s="210"/>
      <c r="Y532" s="210"/>
      <c r="Z532" s="210"/>
      <c r="AA532" s="210"/>
      <c r="AB532" s="210"/>
      <c r="AC532" s="210"/>
      <c r="AT532" s="425" t="str">
        <f t="shared" si="42"/>
        <v>KP0006342017Q315,3</v>
      </c>
      <c r="AU532" s="64" t="str">
        <f t="shared" si="43"/>
        <v>08-2017</v>
      </c>
      <c r="BA532" s="428" t="str">
        <f t="shared" si="44"/>
        <v>WIP - 30 Days</v>
      </c>
    </row>
    <row r="533" spans="2:53">
      <c r="B533" s="36" t="str">
        <f>'[6]price list MAN'!B533</f>
        <v>78W-6367</v>
      </c>
      <c r="C533" s="10" t="str">
        <f>'[6]price list MAN'!C533</f>
        <v>TGS-26-4406X4BLS-LX</v>
      </c>
      <c r="D533" s="16" t="str">
        <f>IFERROR(VLOOKUP(C533&amp;"",'[7]Retail Price List'!$A$3:$B$103,2,FALSE),"Special Order")</f>
        <v>KP000634</v>
      </c>
      <c r="E533" s="494" t="str">
        <f>'[6]price list MAN'!E533</f>
        <v>CKD</v>
      </c>
      <c r="F533" s="11" t="str">
        <f>'[6]price list MAN'!F533</f>
        <v>2018-05-30</v>
      </c>
      <c r="G533" s="32">
        <f>'[6]price list MAN'!G533</f>
        <v>15.3</v>
      </c>
      <c r="H533" s="26">
        <f>'[6]price list MAN'!H533</f>
        <v>42978</v>
      </c>
      <c r="I533" s="51" t="str">
        <f t="shared" si="40"/>
        <v>2017Q3</v>
      </c>
      <c r="J533" s="177">
        <f>'[6]price list MAN'!J533</f>
        <v>1790000</v>
      </c>
      <c r="K533" s="177">
        <f>'[6]price list MAN'!P533</f>
        <v>1370250</v>
      </c>
      <c r="L533" s="177">
        <f>'[6]price list MAN'!R533</f>
        <v>1305000</v>
      </c>
      <c r="M533" s="174">
        <f>'[6]price list MAN'!S533</f>
        <v>1845000</v>
      </c>
      <c r="N533" s="174">
        <f>'[6]price list MAN'!Y533</f>
        <v>1428000</v>
      </c>
      <c r="O533" s="174">
        <f>'[6]price list MAN'!AA533</f>
        <v>1360000</v>
      </c>
      <c r="P533" s="68">
        <f t="shared" si="41"/>
        <v>0.26287262872628725</v>
      </c>
      <c r="Q533" s="62" t="e">
        <f>O533-#REF!</f>
        <v>#REF!</v>
      </c>
      <c r="W533" s="210"/>
      <c r="X533" s="210"/>
      <c r="Y533" s="210"/>
      <c r="Z533" s="210"/>
      <c r="AA533" s="210"/>
      <c r="AB533" s="210"/>
      <c r="AC533" s="210"/>
      <c r="AT533" s="425" t="str">
        <f t="shared" si="42"/>
        <v>KP0006342017Q315,3</v>
      </c>
      <c r="AU533" s="64" t="str">
        <f t="shared" si="43"/>
        <v>08-2017</v>
      </c>
      <c r="BA533" s="428" t="str">
        <f t="shared" si="44"/>
        <v>WIP - 30 Days</v>
      </c>
    </row>
    <row r="534" spans="2:53">
      <c r="B534" s="36" t="str">
        <f>'[6]price list MAN'!B534</f>
        <v>78W-6384</v>
      </c>
      <c r="C534" s="10" t="str">
        <f>'[6]price list MAN'!C534</f>
        <v>TGS-26-4406X4BLS-LX</v>
      </c>
      <c r="D534" s="16" t="str">
        <f>IFERROR(VLOOKUP(C534&amp;"",'[7]Retail Price List'!$A$3:$B$103,2,FALSE),"Special Order")</f>
        <v>KP000634</v>
      </c>
      <c r="E534" s="494" t="str">
        <f>'[6]price list MAN'!E534</f>
        <v>CKD</v>
      </c>
      <c r="F534" s="11" t="str">
        <f>'[6]price list MAN'!F534</f>
        <v>2018-03-30</v>
      </c>
      <c r="G534" s="32">
        <f>'[6]price list MAN'!G534</f>
        <v>15.3</v>
      </c>
      <c r="H534" s="26">
        <f>'[6]price list MAN'!H534</f>
        <v>42978</v>
      </c>
      <c r="I534" s="51" t="str">
        <f t="shared" si="40"/>
        <v>2017Q3</v>
      </c>
      <c r="J534" s="177">
        <f>'[6]price list MAN'!J534</f>
        <v>1790000</v>
      </c>
      <c r="K534" s="177">
        <f>'[6]price list MAN'!P534</f>
        <v>1370250</v>
      </c>
      <c r="L534" s="177">
        <f>'[6]price list MAN'!R534</f>
        <v>1305000</v>
      </c>
      <c r="M534" s="174">
        <f>'[6]price list MAN'!S534</f>
        <v>1845000</v>
      </c>
      <c r="N534" s="174">
        <f>'[6]price list MAN'!Y534</f>
        <v>1428000</v>
      </c>
      <c r="O534" s="174">
        <f>'[6]price list MAN'!AA534</f>
        <v>1360000</v>
      </c>
      <c r="P534" s="68">
        <f t="shared" si="41"/>
        <v>0.26287262872628725</v>
      </c>
      <c r="Q534" s="62" t="e">
        <f>O534-#REF!</f>
        <v>#REF!</v>
      </c>
      <c r="W534" s="210"/>
      <c r="X534" s="210"/>
      <c r="Y534" s="210"/>
      <c r="Z534" s="210"/>
      <c r="AA534" s="210"/>
      <c r="AB534" s="210"/>
      <c r="AC534" s="210"/>
      <c r="AT534" s="425" t="str">
        <f t="shared" si="42"/>
        <v>KP0006342017Q315,3</v>
      </c>
      <c r="AU534" s="64" t="str">
        <f t="shared" si="43"/>
        <v>08-2017</v>
      </c>
      <c r="BA534" s="428" t="str">
        <f t="shared" si="44"/>
        <v>WIP - 30 Days</v>
      </c>
    </row>
    <row r="535" spans="2:53">
      <c r="B535" s="36" t="str">
        <f>'[6]price list MAN'!B535</f>
        <v>78W-6385</v>
      </c>
      <c r="C535" s="10" t="str">
        <f>'[6]price list MAN'!C535</f>
        <v>TGS-26-4406X4BLS-LX</v>
      </c>
      <c r="D535" s="16" t="str">
        <f>IFERROR(VLOOKUP(C535&amp;"",'[7]Retail Price List'!$A$3:$B$103,2,FALSE),"Special Order")</f>
        <v>KP000634</v>
      </c>
      <c r="E535" s="494" t="str">
        <f>'[6]price list MAN'!E535</f>
        <v>CKD</v>
      </c>
      <c r="F535" s="11" t="str">
        <f>'[6]price list MAN'!F535</f>
        <v>2018-03-30</v>
      </c>
      <c r="G535" s="32">
        <f>'[6]price list MAN'!G535</f>
        <v>15.3</v>
      </c>
      <c r="H535" s="26">
        <f>'[6]price list MAN'!H535</f>
        <v>42978</v>
      </c>
      <c r="I535" s="51" t="str">
        <f t="shared" si="40"/>
        <v>2017Q3</v>
      </c>
      <c r="J535" s="177">
        <f>'[6]price list MAN'!J535</f>
        <v>1790000</v>
      </c>
      <c r="K535" s="177">
        <f>'[6]price list MAN'!P535</f>
        <v>1370250</v>
      </c>
      <c r="L535" s="177">
        <f>'[6]price list MAN'!R535</f>
        <v>1305000</v>
      </c>
      <c r="M535" s="174">
        <f>'[6]price list MAN'!S535</f>
        <v>1845000</v>
      </c>
      <c r="N535" s="174">
        <f>'[6]price list MAN'!Y535</f>
        <v>1428000</v>
      </c>
      <c r="O535" s="174">
        <f>'[6]price list MAN'!AA535</f>
        <v>1360000</v>
      </c>
      <c r="P535" s="68">
        <f t="shared" si="41"/>
        <v>0.26287262872628725</v>
      </c>
      <c r="Q535" s="62" t="e">
        <f>O535-#REF!</f>
        <v>#REF!</v>
      </c>
      <c r="W535" s="210"/>
      <c r="X535" s="210"/>
      <c r="Y535" s="210"/>
      <c r="Z535" s="210"/>
      <c r="AA535" s="210"/>
      <c r="AB535" s="210"/>
      <c r="AC535" s="210"/>
      <c r="AT535" s="425" t="str">
        <f t="shared" si="42"/>
        <v>KP0006342017Q315,3</v>
      </c>
      <c r="AU535" s="64" t="str">
        <f t="shared" si="43"/>
        <v>08-2017</v>
      </c>
      <c r="BA535" s="428" t="str">
        <f t="shared" si="44"/>
        <v>WIP - 30 Days</v>
      </c>
    </row>
    <row r="536" spans="2:53">
      <c r="B536" s="36" t="str">
        <f>'[6]price list MAN'!B536</f>
        <v>78W-6386</v>
      </c>
      <c r="C536" s="10" t="str">
        <f>'[6]price list MAN'!C536</f>
        <v>TGS-26-4406X4BLS-LX</v>
      </c>
      <c r="D536" s="16" t="str">
        <f>IFERROR(VLOOKUP(C536&amp;"",'[7]Retail Price List'!$A$3:$B$103,2,FALSE),"Special Order")</f>
        <v>KP000634</v>
      </c>
      <c r="E536" s="494" t="str">
        <f>'[6]price list MAN'!E536</f>
        <v>CKD</v>
      </c>
      <c r="F536" s="11" t="str">
        <f>'[6]price list MAN'!F536</f>
        <v>2018-06-30</v>
      </c>
      <c r="G536" s="32">
        <f>'[6]price list MAN'!G536</f>
        <v>15.3</v>
      </c>
      <c r="H536" s="26">
        <f>'[6]price list MAN'!H536</f>
        <v>42978</v>
      </c>
      <c r="I536" s="51" t="str">
        <f t="shared" si="40"/>
        <v>2017Q3</v>
      </c>
      <c r="J536" s="177">
        <f>'[6]price list MAN'!J536</f>
        <v>1790000</v>
      </c>
      <c r="K536" s="177">
        <f>'[6]price list MAN'!P536</f>
        <v>1370250</v>
      </c>
      <c r="L536" s="177">
        <f>'[6]price list MAN'!R536</f>
        <v>1305000</v>
      </c>
      <c r="M536" s="174">
        <f>'[6]price list MAN'!S536</f>
        <v>1845000</v>
      </c>
      <c r="N536" s="174">
        <f>'[6]price list MAN'!Y536</f>
        <v>1428000</v>
      </c>
      <c r="O536" s="174">
        <f>'[6]price list MAN'!AA536</f>
        <v>1360000</v>
      </c>
      <c r="P536" s="68">
        <f t="shared" si="41"/>
        <v>0.26287262872628725</v>
      </c>
      <c r="Q536" s="62" t="e">
        <f>O536-#REF!</f>
        <v>#REF!</v>
      </c>
      <c r="W536" s="210"/>
      <c r="X536" s="210"/>
      <c r="Y536" s="210"/>
      <c r="Z536" s="210"/>
      <c r="AA536" s="210"/>
      <c r="AB536" s="210"/>
      <c r="AC536" s="210"/>
      <c r="AT536" s="425" t="str">
        <f t="shared" si="42"/>
        <v>KP0006342017Q315,3</v>
      </c>
      <c r="AU536" s="64" t="str">
        <f t="shared" si="43"/>
        <v>08-2017</v>
      </c>
      <c r="BA536" s="428" t="str">
        <f t="shared" si="44"/>
        <v>WIP - 30 Days</v>
      </c>
    </row>
    <row r="537" spans="2:53">
      <c r="B537" s="36" t="str">
        <f>'[6]price list MAN'!B537</f>
        <v>78W-6387</v>
      </c>
      <c r="C537" s="10" t="str">
        <f>'[6]price list MAN'!C537</f>
        <v>TGS-26-4406X4BLS-LX</v>
      </c>
      <c r="D537" s="16" t="str">
        <f>IFERROR(VLOOKUP(C537&amp;"",'[7]Retail Price List'!$A$3:$B$103,2,FALSE),"Special Order")</f>
        <v>KP000634</v>
      </c>
      <c r="E537" s="494" t="str">
        <f>'[6]price list MAN'!E537</f>
        <v>CKD</v>
      </c>
      <c r="F537" s="11" t="str">
        <f>'[6]price list MAN'!F537</f>
        <v>2018-06-30</v>
      </c>
      <c r="G537" s="32">
        <f>'[6]price list MAN'!G537</f>
        <v>15.3</v>
      </c>
      <c r="H537" s="26">
        <f>'[6]price list MAN'!H537</f>
        <v>42978</v>
      </c>
      <c r="I537" s="51" t="str">
        <f t="shared" si="40"/>
        <v>2017Q3</v>
      </c>
      <c r="J537" s="177">
        <f>'[6]price list MAN'!J537</f>
        <v>1790000</v>
      </c>
      <c r="K537" s="177">
        <f>'[6]price list MAN'!P537</f>
        <v>1370250</v>
      </c>
      <c r="L537" s="177">
        <f>'[6]price list MAN'!R537</f>
        <v>1305000</v>
      </c>
      <c r="M537" s="174">
        <f>'[6]price list MAN'!S537</f>
        <v>1845000</v>
      </c>
      <c r="N537" s="174">
        <f>'[6]price list MAN'!Y537</f>
        <v>1428000</v>
      </c>
      <c r="O537" s="174">
        <f>'[6]price list MAN'!AA537</f>
        <v>1360000</v>
      </c>
      <c r="P537" s="68">
        <f t="shared" si="41"/>
        <v>0.26287262872628725</v>
      </c>
      <c r="Q537" s="62" t="e">
        <f>O537-#REF!</f>
        <v>#REF!</v>
      </c>
      <c r="W537" s="210"/>
      <c r="X537" s="210"/>
      <c r="Y537" s="210"/>
      <c r="Z537" s="210"/>
      <c r="AA537" s="210"/>
      <c r="AB537" s="210"/>
      <c r="AC537" s="210"/>
      <c r="AT537" s="425" t="str">
        <f t="shared" si="42"/>
        <v>KP0006342017Q315,3</v>
      </c>
      <c r="AU537" s="64" t="str">
        <f t="shared" si="43"/>
        <v>08-2017</v>
      </c>
      <c r="BA537" s="428" t="str">
        <f t="shared" si="44"/>
        <v>WIP - 30 Days</v>
      </c>
    </row>
    <row r="538" spans="2:53">
      <c r="B538" s="36" t="str">
        <f>'[6]price list MAN'!B538</f>
        <v>78W-6404</v>
      </c>
      <c r="C538" s="10" t="str">
        <f>'[6]price list MAN'!C538</f>
        <v>TGS-26-4406X4BLS-LX</v>
      </c>
      <c r="D538" s="16" t="str">
        <f>IFERROR(VLOOKUP(C538&amp;"",'[7]Retail Price List'!$A$3:$B$103,2,FALSE),"Special Order")</f>
        <v>KP000634</v>
      </c>
      <c r="E538" s="494" t="str">
        <f>'[6]price list MAN'!E538</f>
        <v>CKD</v>
      </c>
      <c r="F538" s="11" t="str">
        <f>'[6]price list MAN'!F538</f>
        <v>2018-04-30</v>
      </c>
      <c r="G538" s="32">
        <f>'[6]price list MAN'!G538</f>
        <v>15.3</v>
      </c>
      <c r="H538" s="26">
        <f>'[6]price list MAN'!H538</f>
        <v>42978</v>
      </c>
      <c r="I538" s="51" t="str">
        <f t="shared" si="40"/>
        <v>2017Q3</v>
      </c>
      <c r="J538" s="177">
        <f>'[6]price list MAN'!J538</f>
        <v>1790000</v>
      </c>
      <c r="K538" s="177">
        <f>'[6]price list MAN'!P538</f>
        <v>1370250</v>
      </c>
      <c r="L538" s="177">
        <f>'[6]price list MAN'!R538</f>
        <v>1305000</v>
      </c>
      <c r="M538" s="174">
        <f>'[6]price list MAN'!S538</f>
        <v>1845000</v>
      </c>
      <c r="N538" s="174">
        <f>'[6]price list MAN'!Y538</f>
        <v>1428000</v>
      </c>
      <c r="O538" s="174">
        <f>'[6]price list MAN'!AA538</f>
        <v>1360000</v>
      </c>
      <c r="P538" s="68">
        <f t="shared" si="41"/>
        <v>0.26287262872628725</v>
      </c>
      <c r="Q538" s="62" t="e">
        <f>O538-#REF!</f>
        <v>#REF!</v>
      </c>
      <c r="W538" s="210"/>
      <c r="X538" s="210"/>
      <c r="Y538" s="210"/>
      <c r="Z538" s="210"/>
      <c r="AA538" s="210"/>
      <c r="AB538" s="210"/>
      <c r="AC538" s="210"/>
      <c r="AT538" s="425" t="str">
        <f t="shared" si="42"/>
        <v>KP0006342017Q315,3</v>
      </c>
      <c r="AU538" s="64" t="str">
        <f t="shared" si="43"/>
        <v>08-2017</v>
      </c>
      <c r="BA538" s="428" t="str">
        <f t="shared" si="44"/>
        <v>WIP - 30 Days</v>
      </c>
    </row>
    <row r="539" spans="2:53">
      <c r="B539" s="36" t="str">
        <f>'[6]price list MAN'!B539</f>
        <v>78W-6405</v>
      </c>
      <c r="C539" s="10" t="str">
        <f>'[6]price list MAN'!C539</f>
        <v>TGS-26-4406X4BLS-LX</v>
      </c>
      <c r="D539" s="16" t="str">
        <f>IFERROR(VLOOKUP(C539&amp;"",'[7]Retail Price List'!$A$3:$B$103,2,FALSE),"Special Order")</f>
        <v>KP000634</v>
      </c>
      <c r="E539" s="494" t="str">
        <f>'[6]price list MAN'!E539</f>
        <v>CKD</v>
      </c>
      <c r="F539" s="11" t="str">
        <f>'[6]price list MAN'!F539</f>
        <v>2018-04-30</v>
      </c>
      <c r="G539" s="32">
        <f>'[6]price list MAN'!G539</f>
        <v>15.3</v>
      </c>
      <c r="H539" s="26">
        <f>'[6]price list MAN'!H539</f>
        <v>42978</v>
      </c>
      <c r="I539" s="51" t="str">
        <f t="shared" si="40"/>
        <v>2017Q3</v>
      </c>
      <c r="J539" s="177">
        <f>'[6]price list MAN'!J539</f>
        <v>1790000</v>
      </c>
      <c r="K539" s="177">
        <f>'[6]price list MAN'!P539</f>
        <v>1370250</v>
      </c>
      <c r="L539" s="177">
        <f>'[6]price list MAN'!R539</f>
        <v>1305000</v>
      </c>
      <c r="M539" s="174">
        <f>'[6]price list MAN'!S539</f>
        <v>1845000</v>
      </c>
      <c r="N539" s="174">
        <f>'[6]price list MAN'!Y539</f>
        <v>1428000</v>
      </c>
      <c r="O539" s="174">
        <f>'[6]price list MAN'!AA539</f>
        <v>1360000</v>
      </c>
      <c r="P539" s="68">
        <f t="shared" si="41"/>
        <v>0.26287262872628725</v>
      </c>
      <c r="Q539" s="62" t="e">
        <f>O539-#REF!</f>
        <v>#REF!</v>
      </c>
      <c r="W539" s="210"/>
      <c r="X539" s="210"/>
      <c r="Y539" s="210"/>
      <c r="Z539" s="210"/>
      <c r="AA539" s="210"/>
      <c r="AB539" s="210"/>
      <c r="AC539" s="210"/>
      <c r="AT539" s="425" t="str">
        <f t="shared" si="42"/>
        <v>KP0006342017Q315,3</v>
      </c>
      <c r="AU539" s="64" t="str">
        <f t="shared" si="43"/>
        <v>08-2017</v>
      </c>
      <c r="BA539" s="428" t="str">
        <f t="shared" si="44"/>
        <v>WIP - 30 Days</v>
      </c>
    </row>
    <row r="540" spans="2:53">
      <c r="B540" s="36" t="str">
        <f>'[6]price list MAN'!B540</f>
        <v>78W-6406</v>
      </c>
      <c r="C540" s="10" t="str">
        <f>'[6]price list MAN'!C540</f>
        <v>TGS-26-4406X4BLS-LX</v>
      </c>
      <c r="D540" s="16" t="str">
        <f>IFERROR(VLOOKUP(C540&amp;"",'[7]Retail Price List'!$A$3:$B$103,2,FALSE),"Special Order")</f>
        <v>KP000634</v>
      </c>
      <c r="E540" s="494" t="str">
        <f>'[6]price list MAN'!E540</f>
        <v>CKD</v>
      </c>
      <c r="F540" s="11" t="str">
        <f>'[6]price list MAN'!F540</f>
        <v>2018-06-30</v>
      </c>
      <c r="G540" s="32">
        <f>'[6]price list MAN'!G540</f>
        <v>15.3</v>
      </c>
      <c r="H540" s="26">
        <f>'[6]price list MAN'!H540</f>
        <v>42978</v>
      </c>
      <c r="I540" s="51" t="str">
        <f t="shared" si="40"/>
        <v>2017Q3</v>
      </c>
      <c r="J540" s="177">
        <f>'[6]price list MAN'!J540</f>
        <v>1790000</v>
      </c>
      <c r="K540" s="177">
        <f>'[6]price list MAN'!P540</f>
        <v>1370250</v>
      </c>
      <c r="L540" s="177">
        <f>'[6]price list MAN'!R540</f>
        <v>1305000</v>
      </c>
      <c r="M540" s="174">
        <f>'[6]price list MAN'!S540</f>
        <v>1845000</v>
      </c>
      <c r="N540" s="174">
        <f>'[6]price list MAN'!Y540</f>
        <v>1428000</v>
      </c>
      <c r="O540" s="174">
        <f>'[6]price list MAN'!AA540</f>
        <v>1360000</v>
      </c>
      <c r="P540" s="68">
        <f t="shared" si="41"/>
        <v>0.26287262872628725</v>
      </c>
      <c r="Q540" s="62" t="e">
        <f>O540-#REF!</f>
        <v>#REF!</v>
      </c>
      <c r="W540" s="210"/>
      <c r="X540" s="210"/>
      <c r="Y540" s="210"/>
      <c r="Z540" s="210"/>
      <c r="AA540" s="210"/>
      <c r="AB540" s="210"/>
      <c r="AC540" s="210"/>
      <c r="AT540" s="425" t="str">
        <f t="shared" si="42"/>
        <v>KP0006342017Q315,3</v>
      </c>
      <c r="AU540" s="64" t="str">
        <f t="shared" si="43"/>
        <v>08-2017</v>
      </c>
      <c r="BA540" s="428" t="str">
        <f t="shared" si="44"/>
        <v>WIP - 30 Days</v>
      </c>
    </row>
    <row r="541" spans="2:53">
      <c r="B541" s="36" t="str">
        <f>'[6]price list MAN'!B541</f>
        <v>78W-6407</v>
      </c>
      <c r="C541" s="10" t="str">
        <f>'[6]price list MAN'!C541</f>
        <v>TGS-26-4406X4BLS-LX</v>
      </c>
      <c r="D541" s="16" t="str">
        <f>IFERROR(VLOOKUP(C541&amp;"",'[7]Retail Price List'!$A$3:$B$103,2,FALSE),"Special Order")</f>
        <v>KP000634</v>
      </c>
      <c r="E541" s="494" t="str">
        <f>'[6]price list MAN'!E541</f>
        <v>CKD</v>
      </c>
      <c r="F541" s="11" t="str">
        <f>'[6]price list MAN'!F541</f>
        <v>2018-06-30</v>
      </c>
      <c r="G541" s="32">
        <f>'[6]price list MAN'!G541</f>
        <v>15.3</v>
      </c>
      <c r="H541" s="26">
        <f>'[6]price list MAN'!H541</f>
        <v>42978</v>
      </c>
      <c r="I541" s="51" t="str">
        <f t="shared" si="40"/>
        <v>2017Q3</v>
      </c>
      <c r="J541" s="177">
        <f>'[6]price list MAN'!J541</f>
        <v>1790000</v>
      </c>
      <c r="K541" s="177">
        <f>'[6]price list MAN'!P541</f>
        <v>1370250</v>
      </c>
      <c r="L541" s="177">
        <f>'[6]price list MAN'!R541</f>
        <v>1305000</v>
      </c>
      <c r="M541" s="174">
        <f>'[6]price list MAN'!S541</f>
        <v>1845000</v>
      </c>
      <c r="N541" s="174">
        <f>'[6]price list MAN'!Y541</f>
        <v>1428000</v>
      </c>
      <c r="O541" s="174">
        <f>'[6]price list MAN'!AA541</f>
        <v>1360000</v>
      </c>
      <c r="P541" s="68">
        <f t="shared" si="41"/>
        <v>0.26287262872628725</v>
      </c>
      <c r="Q541" s="62" t="e">
        <f>O541-#REF!</f>
        <v>#REF!</v>
      </c>
      <c r="W541" s="210"/>
      <c r="X541" s="210"/>
      <c r="Y541" s="210"/>
      <c r="Z541" s="210"/>
      <c r="AA541" s="210"/>
      <c r="AB541" s="210"/>
      <c r="AC541" s="210"/>
      <c r="AT541" s="425" t="str">
        <f t="shared" si="42"/>
        <v>KP0006342017Q315,3</v>
      </c>
      <c r="AU541" s="64" t="str">
        <f t="shared" si="43"/>
        <v>08-2017</v>
      </c>
      <c r="BA541" s="428" t="str">
        <f t="shared" si="44"/>
        <v>WIP - 30 Days</v>
      </c>
    </row>
    <row r="542" spans="2:53">
      <c r="B542" s="36" t="str">
        <f>'[6]price list MAN'!B542</f>
        <v>78W-6456</v>
      </c>
      <c r="C542" s="10" t="str">
        <f>'[6]price list MAN'!C542</f>
        <v>TGS-26-4406X4BLS-LX</v>
      </c>
      <c r="D542" s="16" t="str">
        <f>IFERROR(VLOOKUP(C542&amp;"",'[7]Retail Price List'!$A$3:$B$103,2,FALSE),"Special Order")</f>
        <v>KP000634</v>
      </c>
      <c r="E542" s="494" t="str">
        <f>'[6]price list MAN'!E542</f>
        <v>CKD</v>
      </c>
      <c r="F542" s="11" t="str">
        <f>'[6]price list MAN'!F542</f>
        <v>2018-07-30</v>
      </c>
      <c r="G542" s="32">
        <f>'[6]price list MAN'!G542</f>
        <v>15.3</v>
      </c>
      <c r="H542" s="26">
        <f>'[6]price list MAN'!H542</f>
        <v>42978</v>
      </c>
      <c r="I542" s="51" t="str">
        <f t="shared" si="40"/>
        <v>2017Q3</v>
      </c>
      <c r="J542" s="177">
        <f>'[6]price list MAN'!J542</f>
        <v>1790000</v>
      </c>
      <c r="K542" s="177">
        <f>'[6]price list MAN'!P542</f>
        <v>1370250</v>
      </c>
      <c r="L542" s="177">
        <f>'[6]price list MAN'!R542</f>
        <v>1305000</v>
      </c>
      <c r="M542" s="174">
        <f>'[6]price list MAN'!S542</f>
        <v>1845000</v>
      </c>
      <c r="N542" s="174">
        <f>'[6]price list MAN'!Y542</f>
        <v>1428000</v>
      </c>
      <c r="O542" s="174">
        <f>'[6]price list MAN'!AA542</f>
        <v>1360000</v>
      </c>
      <c r="P542" s="68">
        <f t="shared" si="41"/>
        <v>0.26287262872628725</v>
      </c>
      <c r="Q542" s="62" t="e">
        <f>O542-#REF!</f>
        <v>#REF!</v>
      </c>
      <c r="W542" s="210"/>
      <c r="X542" s="210"/>
      <c r="Y542" s="210"/>
      <c r="Z542" s="210"/>
      <c r="AA542" s="210"/>
      <c r="AB542" s="210"/>
      <c r="AC542" s="210"/>
      <c r="AT542" s="425" t="str">
        <f t="shared" si="42"/>
        <v>KP0006342017Q315,3</v>
      </c>
      <c r="AU542" s="64" t="str">
        <f t="shared" si="43"/>
        <v>08-2017</v>
      </c>
      <c r="BA542" s="428" t="str">
        <f t="shared" si="44"/>
        <v>WIP - 30 Days</v>
      </c>
    </row>
    <row r="543" spans="2:53">
      <c r="B543" s="36" t="str">
        <f>'[6]price list MAN'!B543</f>
        <v>78W-6457</v>
      </c>
      <c r="C543" s="10" t="str">
        <f>'[6]price list MAN'!C543</f>
        <v>TGS-26-4406X4BLS-LX</v>
      </c>
      <c r="D543" s="16" t="str">
        <f>IFERROR(VLOOKUP(C543&amp;"",'[7]Retail Price List'!$A$3:$B$103,2,FALSE),"Special Order")</f>
        <v>KP000634</v>
      </c>
      <c r="E543" s="494" t="str">
        <f>'[6]price list MAN'!E543</f>
        <v>CKD</v>
      </c>
      <c r="F543" s="11" t="str">
        <f>'[6]price list MAN'!F543</f>
        <v>2018-07-30</v>
      </c>
      <c r="G543" s="32">
        <f>'[6]price list MAN'!G543</f>
        <v>15.3</v>
      </c>
      <c r="H543" s="26">
        <f>'[6]price list MAN'!H543</f>
        <v>42978</v>
      </c>
      <c r="I543" s="51" t="str">
        <f t="shared" si="40"/>
        <v>2017Q3</v>
      </c>
      <c r="J543" s="177">
        <f>'[6]price list MAN'!J543</f>
        <v>1790000</v>
      </c>
      <c r="K543" s="177">
        <f>'[6]price list MAN'!P543</f>
        <v>1370250</v>
      </c>
      <c r="L543" s="177">
        <f>'[6]price list MAN'!R543</f>
        <v>1305000</v>
      </c>
      <c r="M543" s="174">
        <f>'[6]price list MAN'!S543</f>
        <v>1845000</v>
      </c>
      <c r="N543" s="174">
        <f>'[6]price list MAN'!Y543</f>
        <v>1428000</v>
      </c>
      <c r="O543" s="174">
        <f>'[6]price list MAN'!AA543</f>
        <v>1360000</v>
      </c>
      <c r="P543" s="68">
        <f t="shared" si="41"/>
        <v>0.26287262872628725</v>
      </c>
      <c r="Q543" s="62" t="e">
        <f>O543-#REF!</f>
        <v>#REF!</v>
      </c>
      <c r="W543" s="210"/>
      <c r="X543" s="210"/>
      <c r="Y543" s="210"/>
      <c r="Z543" s="210"/>
      <c r="AA543" s="210"/>
      <c r="AB543" s="210"/>
      <c r="AC543" s="210"/>
      <c r="AT543" s="425" t="str">
        <f t="shared" si="42"/>
        <v>KP0006342017Q315,3</v>
      </c>
      <c r="AU543" s="64" t="str">
        <f t="shared" si="43"/>
        <v>08-2017</v>
      </c>
      <c r="BA543" s="428" t="str">
        <f t="shared" si="44"/>
        <v>WIP - 30 Days</v>
      </c>
    </row>
    <row r="544" spans="2:53">
      <c r="B544" s="36" t="str">
        <f>'[6]price list MAN'!B544</f>
        <v>78W-6458</v>
      </c>
      <c r="C544" s="10" t="str">
        <f>'[6]price list MAN'!C544</f>
        <v>TGS-26-4406X4BLS-LX</v>
      </c>
      <c r="D544" s="16" t="str">
        <f>IFERROR(VLOOKUP(C544&amp;"",'[7]Retail Price List'!$A$3:$B$103,2,FALSE),"Special Order")</f>
        <v>KP000634</v>
      </c>
      <c r="E544" s="494" t="str">
        <f>'[6]price list MAN'!E544</f>
        <v>CKD</v>
      </c>
      <c r="F544" s="11" t="str">
        <f>'[6]price list MAN'!F544</f>
        <v>2018-07-30</v>
      </c>
      <c r="G544" s="32">
        <f>'[6]price list MAN'!G544</f>
        <v>15.3</v>
      </c>
      <c r="H544" s="26">
        <f>'[6]price list MAN'!H544</f>
        <v>42978</v>
      </c>
      <c r="I544" s="51" t="str">
        <f t="shared" si="40"/>
        <v>2017Q3</v>
      </c>
      <c r="J544" s="177">
        <f>'[6]price list MAN'!J544</f>
        <v>1790000</v>
      </c>
      <c r="K544" s="177">
        <f>'[6]price list MAN'!P544</f>
        <v>1370250</v>
      </c>
      <c r="L544" s="177">
        <f>'[6]price list MAN'!R544</f>
        <v>1305000</v>
      </c>
      <c r="M544" s="174">
        <f>'[6]price list MAN'!S544</f>
        <v>1845000</v>
      </c>
      <c r="N544" s="174">
        <f>'[6]price list MAN'!Y544</f>
        <v>1428000</v>
      </c>
      <c r="O544" s="174">
        <f>'[6]price list MAN'!AA544</f>
        <v>1360000</v>
      </c>
      <c r="P544" s="68">
        <f t="shared" si="41"/>
        <v>0.26287262872628725</v>
      </c>
      <c r="Q544" s="62" t="e">
        <f>O544-#REF!</f>
        <v>#REF!</v>
      </c>
      <c r="W544" s="210"/>
      <c r="X544" s="210"/>
      <c r="Y544" s="210"/>
      <c r="Z544" s="210"/>
      <c r="AA544" s="210"/>
      <c r="AB544" s="210"/>
      <c r="AC544" s="210"/>
      <c r="AT544" s="425" t="str">
        <f t="shared" si="42"/>
        <v>KP0006342017Q315,3</v>
      </c>
      <c r="AU544" s="64" t="str">
        <f t="shared" si="43"/>
        <v>08-2017</v>
      </c>
      <c r="BA544" s="428" t="str">
        <f t="shared" si="44"/>
        <v>WIP - 30 Days</v>
      </c>
    </row>
    <row r="545" spans="2:53">
      <c r="B545" s="36" t="str">
        <f>'[6]price list MAN'!B545</f>
        <v>78W-6459</v>
      </c>
      <c r="C545" s="10" t="str">
        <f>'[6]price list MAN'!C545</f>
        <v>TGS-26-4406X4BLS-LX</v>
      </c>
      <c r="D545" s="16" t="str">
        <f>IFERROR(VLOOKUP(C545&amp;"",'[7]Retail Price List'!$A$3:$B$103,2,FALSE),"Special Order")</f>
        <v>KP000634</v>
      </c>
      <c r="E545" s="494" t="str">
        <f>'[6]price list MAN'!E545</f>
        <v>CKD</v>
      </c>
      <c r="F545" s="11" t="str">
        <f>'[6]price list MAN'!F545</f>
        <v>2018-07-30</v>
      </c>
      <c r="G545" s="32">
        <f>'[6]price list MAN'!G545</f>
        <v>15.3</v>
      </c>
      <c r="H545" s="26">
        <f>'[6]price list MAN'!H545</f>
        <v>42978</v>
      </c>
      <c r="I545" s="51" t="str">
        <f t="shared" si="40"/>
        <v>2017Q3</v>
      </c>
      <c r="J545" s="177">
        <f>'[6]price list MAN'!J545</f>
        <v>1790000</v>
      </c>
      <c r="K545" s="177">
        <f>'[6]price list MAN'!P545</f>
        <v>1370250</v>
      </c>
      <c r="L545" s="177">
        <f>'[6]price list MAN'!R545</f>
        <v>1305000</v>
      </c>
      <c r="M545" s="174">
        <f>'[6]price list MAN'!S545</f>
        <v>1845000</v>
      </c>
      <c r="N545" s="174">
        <f>'[6]price list MAN'!Y545</f>
        <v>1428000</v>
      </c>
      <c r="O545" s="174">
        <f>'[6]price list MAN'!AA545</f>
        <v>1360000</v>
      </c>
      <c r="P545" s="68">
        <f t="shared" si="41"/>
        <v>0.26287262872628725</v>
      </c>
      <c r="Q545" s="62" t="e">
        <f>O545-#REF!</f>
        <v>#REF!</v>
      </c>
      <c r="W545" s="210"/>
      <c r="X545" s="210"/>
      <c r="Y545" s="210"/>
      <c r="Z545" s="210"/>
      <c r="AA545" s="210"/>
      <c r="AB545" s="210"/>
      <c r="AC545" s="210"/>
      <c r="AT545" s="425" t="str">
        <f t="shared" si="42"/>
        <v>KP0006342017Q315,3</v>
      </c>
      <c r="AU545" s="64" t="str">
        <f t="shared" si="43"/>
        <v>08-2017</v>
      </c>
      <c r="BA545" s="428" t="str">
        <f t="shared" si="44"/>
        <v>WIP - 30 Days</v>
      </c>
    </row>
    <row r="546" spans="2:53">
      <c r="B546" s="36" t="str">
        <f>'[6]price list MAN'!B546</f>
        <v>78W-6471</v>
      </c>
      <c r="C546" s="10" t="str">
        <f>'[6]price list MAN'!C546</f>
        <v>TGS-26-4406X4BLS-LX</v>
      </c>
      <c r="D546" s="16" t="str">
        <f>IFERROR(VLOOKUP(C546&amp;"",'[7]Retail Price List'!$A$3:$B$103,2,FALSE),"Special Order")</f>
        <v>KP000634</v>
      </c>
      <c r="E546" s="494" t="str">
        <f>'[6]price list MAN'!E546</f>
        <v>CKD</v>
      </c>
      <c r="F546" s="11" t="str">
        <f>'[6]price list MAN'!F546</f>
        <v>2018-07-30</v>
      </c>
      <c r="G546" s="32">
        <f>'[6]price list MAN'!G546</f>
        <v>15.3</v>
      </c>
      <c r="H546" s="26">
        <f>'[6]price list MAN'!H546</f>
        <v>42978</v>
      </c>
      <c r="I546" s="51" t="str">
        <f t="shared" si="40"/>
        <v>2017Q3</v>
      </c>
      <c r="J546" s="177">
        <f>'[6]price list MAN'!J546</f>
        <v>1790000</v>
      </c>
      <c r="K546" s="177">
        <f>'[6]price list MAN'!P546</f>
        <v>1370250</v>
      </c>
      <c r="L546" s="177">
        <f>'[6]price list MAN'!R546</f>
        <v>1305000</v>
      </c>
      <c r="M546" s="174">
        <f>'[6]price list MAN'!S546</f>
        <v>1845000</v>
      </c>
      <c r="N546" s="174">
        <f>'[6]price list MAN'!Y546</f>
        <v>1428000</v>
      </c>
      <c r="O546" s="174">
        <f>'[6]price list MAN'!AA546</f>
        <v>1360000</v>
      </c>
      <c r="P546" s="68">
        <f t="shared" si="41"/>
        <v>0.26287262872628725</v>
      </c>
      <c r="Q546" s="62" t="e">
        <f>O546-#REF!</f>
        <v>#REF!</v>
      </c>
      <c r="W546" s="210"/>
      <c r="X546" s="210"/>
      <c r="Y546" s="210"/>
      <c r="Z546" s="210"/>
      <c r="AA546" s="210"/>
      <c r="AB546" s="210"/>
      <c r="AC546" s="210"/>
      <c r="AT546" s="425" t="str">
        <f t="shared" si="42"/>
        <v>KP0006342017Q315,3</v>
      </c>
      <c r="AU546" s="64" t="str">
        <f t="shared" si="43"/>
        <v>08-2017</v>
      </c>
      <c r="BA546" s="428" t="str">
        <f t="shared" si="44"/>
        <v>WIP - 30 Days</v>
      </c>
    </row>
    <row r="547" spans="2:53">
      <c r="B547" s="36" t="str">
        <f>'[6]price list MAN'!B547</f>
        <v>78W-6472</v>
      </c>
      <c r="C547" s="10" t="str">
        <f>'[6]price list MAN'!C547</f>
        <v>TGS-26-4406X4BLS-LX</v>
      </c>
      <c r="D547" s="16" t="str">
        <f>IFERROR(VLOOKUP(C547&amp;"",'[7]Retail Price List'!$A$3:$B$103,2,FALSE),"Special Order")</f>
        <v>KP000634</v>
      </c>
      <c r="E547" s="494" t="str">
        <f>'[6]price list MAN'!E547</f>
        <v>CKD</v>
      </c>
      <c r="F547" s="11" t="str">
        <f>'[6]price list MAN'!F547</f>
        <v>2018-07-30</v>
      </c>
      <c r="G547" s="32">
        <f>'[6]price list MAN'!G547</f>
        <v>15.3</v>
      </c>
      <c r="H547" s="26">
        <f>'[6]price list MAN'!H547</f>
        <v>42978</v>
      </c>
      <c r="I547" s="51" t="str">
        <f t="shared" si="40"/>
        <v>2017Q3</v>
      </c>
      <c r="J547" s="177">
        <f>'[6]price list MAN'!J547</f>
        <v>1790000</v>
      </c>
      <c r="K547" s="177">
        <f>'[6]price list MAN'!P547</f>
        <v>1370250</v>
      </c>
      <c r="L547" s="177">
        <f>'[6]price list MAN'!R547</f>
        <v>1305000</v>
      </c>
      <c r="M547" s="174">
        <f>'[6]price list MAN'!S547</f>
        <v>1845000</v>
      </c>
      <c r="N547" s="174">
        <f>'[6]price list MAN'!Y547</f>
        <v>1428000</v>
      </c>
      <c r="O547" s="174">
        <f>'[6]price list MAN'!AA547</f>
        <v>1360000</v>
      </c>
      <c r="P547" s="68">
        <f t="shared" si="41"/>
        <v>0.26287262872628725</v>
      </c>
      <c r="Q547" s="62" t="e">
        <f>O547-#REF!</f>
        <v>#REF!</v>
      </c>
      <c r="W547" s="210"/>
      <c r="X547" s="210"/>
      <c r="Y547" s="210"/>
      <c r="Z547" s="210"/>
      <c r="AA547" s="210"/>
      <c r="AB547" s="210"/>
      <c r="AC547" s="210"/>
      <c r="AT547" s="425" t="str">
        <f t="shared" si="42"/>
        <v>KP0006342017Q315,3</v>
      </c>
      <c r="AU547" s="64" t="str">
        <f t="shared" si="43"/>
        <v>08-2017</v>
      </c>
      <c r="BA547" s="428" t="str">
        <f t="shared" si="44"/>
        <v>WIP - 30 Days</v>
      </c>
    </row>
    <row r="548" spans="2:53">
      <c r="B548" s="36" t="str">
        <f>'[6]price list MAN'!B548</f>
        <v>78W-6473</v>
      </c>
      <c r="C548" s="10" t="str">
        <f>'[6]price list MAN'!C548</f>
        <v>TGS-26-4406X4BLS-LX</v>
      </c>
      <c r="D548" s="16" t="str">
        <f>IFERROR(VLOOKUP(C548&amp;"",'[7]Retail Price List'!$A$3:$B$103,2,FALSE),"Special Order")</f>
        <v>KP000634</v>
      </c>
      <c r="E548" s="494" t="str">
        <f>'[6]price list MAN'!E548</f>
        <v>CKD</v>
      </c>
      <c r="F548" s="11" t="str">
        <f>'[6]price list MAN'!F548</f>
        <v>2018-07-30</v>
      </c>
      <c r="G548" s="32">
        <f>'[6]price list MAN'!G548</f>
        <v>15.3</v>
      </c>
      <c r="H548" s="26">
        <f>'[6]price list MAN'!H548</f>
        <v>42978</v>
      </c>
      <c r="I548" s="51" t="str">
        <f t="shared" si="40"/>
        <v>2017Q3</v>
      </c>
      <c r="J548" s="177">
        <f>'[6]price list MAN'!J548</f>
        <v>1790000</v>
      </c>
      <c r="K548" s="177">
        <f>'[6]price list MAN'!P548</f>
        <v>1370250</v>
      </c>
      <c r="L548" s="177">
        <f>'[6]price list MAN'!R548</f>
        <v>1305000</v>
      </c>
      <c r="M548" s="174">
        <f>'[6]price list MAN'!S548</f>
        <v>1845000</v>
      </c>
      <c r="N548" s="174">
        <f>'[6]price list MAN'!Y548</f>
        <v>1428000</v>
      </c>
      <c r="O548" s="174">
        <f>'[6]price list MAN'!AA548</f>
        <v>1360000</v>
      </c>
      <c r="P548" s="68">
        <f t="shared" si="41"/>
        <v>0.26287262872628725</v>
      </c>
      <c r="Q548" s="62" t="e">
        <f>O548-#REF!</f>
        <v>#REF!</v>
      </c>
      <c r="W548" s="210"/>
      <c r="X548" s="210"/>
      <c r="Y548" s="210"/>
      <c r="Z548" s="210"/>
      <c r="AA548" s="210"/>
      <c r="AB548" s="210"/>
      <c r="AC548" s="210"/>
      <c r="AT548" s="425" t="str">
        <f t="shared" si="42"/>
        <v>KP0006342017Q315,3</v>
      </c>
      <c r="AU548" s="64" t="str">
        <f t="shared" si="43"/>
        <v>08-2017</v>
      </c>
      <c r="BA548" s="428" t="str">
        <f t="shared" si="44"/>
        <v>WIP - 30 Days</v>
      </c>
    </row>
    <row r="549" spans="2:53">
      <c r="B549" s="36" t="str">
        <f>'[6]price list MAN'!B549</f>
        <v>78W-6474</v>
      </c>
      <c r="C549" s="10" t="str">
        <f>'[6]price list MAN'!C549</f>
        <v>TGS-26-4406X4BLS-LX</v>
      </c>
      <c r="D549" s="16" t="str">
        <f>IFERROR(VLOOKUP(C549&amp;"",'[7]Retail Price List'!$A$3:$B$103,2,FALSE),"Special Order")</f>
        <v>KP000634</v>
      </c>
      <c r="E549" s="494" t="str">
        <f>'[6]price list MAN'!E549</f>
        <v>CKD</v>
      </c>
      <c r="F549" s="11" t="str">
        <f>'[6]price list MAN'!F549</f>
        <v>2018-07-30</v>
      </c>
      <c r="G549" s="32">
        <f>'[6]price list MAN'!G549</f>
        <v>15.3</v>
      </c>
      <c r="H549" s="26">
        <f>'[6]price list MAN'!H549</f>
        <v>42978</v>
      </c>
      <c r="I549" s="51" t="str">
        <f t="shared" si="40"/>
        <v>2017Q3</v>
      </c>
      <c r="J549" s="177">
        <f>'[6]price list MAN'!J549</f>
        <v>1790000</v>
      </c>
      <c r="K549" s="177">
        <f>'[6]price list MAN'!P549</f>
        <v>1370250</v>
      </c>
      <c r="L549" s="177">
        <f>'[6]price list MAN'!R549</f>
        <v>1305000</v>
      </c>
      <c r="M549" s="174">
        <f>'[6]price list MAN'!S549</f>
        <v>1845000</v>
      </c>
      <c r="N549" s="174">
        <f>'[6]price list MAN'!Y549</f>
        <v>1428000</v>
      </c>
      <c r="O549" s="174">
        <f>'[6]price list MAN'!AA549</f>
        <v>1360000</v>
      </c>
      <c r="P549" s="68">
        <f t="shared" si="41"/>
        <v>0.26287262872628725</v>
      </c>
      <c r="Q549" s="62" t="e">
        <f>O549-#REF!</f>
        <v>#REF!</v>
      </c>
      <c r="W549" s="210"/>
      <c r="X549" s="210"/>
      <c r="Y549" s="210"/>
      <c r="Z549" s="210"/>
      <c r="AA549" s="210"/>
      <c r="AB549" s="210"/>
      <c r="AC549" s="210"/>
      <c r="AT549" s="425" t="str">
        <f t="shared" si="42"/>
        <v>KP0006342017Q315,3</v>
      </c>
      <c r="AU549" s="64" t="str">
        <f t="shared" si="43"/>
        <v>08-2017</v>
      </c>
      <c r="BA549" s="428" t="str">
        <f t="shared" si="44"/>
        <v>WIP - 30 Days</v>
      </c>
    </row>
    <row r="550" spans="2:53">
      <c r="B550" s="36" t="str">
        <f>'[6]price list MAN'!B550</f>
        <v>78W-6491</v>
      </c>
      <c r="C550" s="10" t="str">
        <f>'[6]price list MAN'!C550</f>
        <v>TGS-26-4406X4BLS-LX</v>
      </c>
      <c r="D550" s="16" t="str">
        <f>IFERROR(VLOOKUP(C550&amp;"",'[7]Retail Price List'!$A$3:$B$103,2,FALSE),"Special Order")</f>
        <v>KP000634</v>
      </c>
      <c r="E550" s="494" t="str">
        <f>'[6]price list MAN'!E550</f>
        <v>CKD</v>
      </c>
      <c r="F550" s="11" t="str">
        <f>'[6]price list MAN'!F550</f>
        <v>2018-03-30</v>
      </c>
      <c r="G550" s="32">
        <f>'[6]price list MAN'!G550</f>
        <v>15.9</v>
      </c>
      <c r="H550" s="26">
        <f>'[6]price list MAN'!H550</f>
        <v>43054</v>
      </c>
      <c r="I550" s="51" t="str">
        <f t="shared" si="40"/>
        <v>2017Q4</v>
      </c>
      <c r="J550" s="177">
        <f>'[6]price list MAN'!J550</f>
        <v>1790000</v>
      </c>
      <c r="K550" s="177">
        <f>'[6]price list MAN'!P550</f>
        <v>1370250</v>
      </c>
      <c r="L550" s="177">
        <f>'[6]price list MAN'!R550</f>
        <v>1305000</v>
      </c>
      <c r="M550" s="174">
        <f>'[6]price list MAN'!S550</f>
        <v>1845000</v>
      </c>
      <c r="N550" s="174">
        <f>'[6]price list MAN'!Y550</f>
        <v>1428000</v>
      </c>
      <c r="O550" s="174">
        <f>'[6]price list MAN'!AA550</f>
        <v>1360000</v>
      </c>
      <c r="P550" s="68">
        <f t="shared" si="41"/>
        <v>0.26287262872628725</v>
      </c>
      <c r="Q550" s="62" t="e">
        <f>O550-#REF!</f>
        <v>#REF!</v>
      </c>
      <c r="W550" s="210"/>
      <c r="X550" s="210"/>
      <c r="Y550" s="210"/>
      <c r="Z550" s="210"/>
      <c r="AA550" s="210"/>
      <c r="AB550" s="210"/>
      <c r="AC550" s="210"/>
      <c r="AT550" s="425" t="str">
        <f t="shared" si="42"/>
        <v>KP0006342017Q415,9</v>
      </c>
      <c r="AU550" s="64" t="str">
        <f t="shared" si="43"/>
        <v>11-2017</v>
      </c>
      <c r="BA550" s="428" t="str">
        <f t="shared" si="44"/>
        <v>WIP - 30 Days</v>
      </c>
    </row>
    <row r="551" spans="2:53">
      <c r="B551" s="36" t="str">
        <f>'[6]price list MAN'!B551</f>
        <v>78W-6492</v>
      </c>
      <c r="C551" s="10" t="str">
        <f>'[6]price list MAN'!C551</f>
        <v>TGS-26-4406X4BLS-LX</v>
      </c>
      <c r="D551" s="16" t="str">
        <f>IFERROR(VLOOKUP(C551&amp;"",'[7]Retail Price List'!$A$3:$B$103,2,FALSE),"Special Order")</f>
        <v>KP000634</v>
      </c>
      <c r="E551" s="494" t="str">
        <f>'[6]price list MAN'!E551</f>
        <v>CKD</v>
      </c>
      <c r="F551" s="11" t="str">
        <f>'[6]price list MAN'!F551</f>
        <v>2018-03-30</v>
      </c>
      <c r="G551" s="32">
        <f>'[6]price list MAN'!G551</f>
        <v>15.9</v>
      </c>
      <c r="H551" s="26">
        <f>'[6]price list MAN'!H551</f>
        <v>43054</v>
      </c>
      <c r="I551" s="51" t="str">
        <f t="shared" si="40"/>
        <v>2017Q4</v>
      </c>
      <c r="J551" s="177">
        <f>'[6]price list MAN'!J551</f>
        <v>1790000</v>
      </c>
      <c r="K551" s="177">
        <f>'[6]price list MAN'!P551</f>
        <v>1370250</v>
      </c>
      <c r="L551" s="177">
        <f>'[6]price list MAN'!R551</f>
        <v>1305000</v>
      </c>
      <c r="M551" s="174">
        <f>'[6]price list MAN'!S551</f>
        <v>1845000</v>
      </c>
      <c r="N551" s="174">
        <f>'[6]price list MAN'!Y551</f>
        <v>1428000</v>
      </c>
      <c r="O551" s="174">
        <f>'[6]price list MAN'!AA551</f>
        <v>1360000</v>
      </c>
      <c r="P551" s="68">
        <f t="shared" si="41"/>
        <v>0.26287262872628725</v>
      </c>
      <c r="Q551" s="62" t="e">
        <f>O551-#REF!</f>
        <v>#REF!</v>
      </c>
      <c r="W551" s="210"/>
      <c r="X551" s="210"/>
      <c r="Y551" s="210"/>
      <c r="Z551" s="210"/>
      <c r="AA551" s="210"/>
      <c r="AB551" s="210"/>
      <c r="AC551" s="210"/>
      <c r="AT551" s="425" t="str">
        <f t="shared" si="42"/>
        <v>KP0006342017Q415,9</v>
      </c>
      <c r="AU551" s="64" t="str">
        <f t="shared" si="43"/>
        <v>11-2017</v>
      </c>
      <c r="BA551" s="428" t="str">
        <f t="shared" si="44"/>
        <v>WIP - 30 Days</v>
      </c>
    </row>
    <row r="552" spans="2:53">
      <c r="B552" s="36" t="str">
        <f>'[6]price list MAN'!B552</f>
        <v>78W-6493</v>
      </c>
      <c r="C552" s="10" t="str">
        <f>'[6]price list MAN'!C552</f>
        <v>TGS-26-4406X4BLS-LX</v>
      </c>
      <c r="D552" s="16" t="str">
        <f>IFERROR(VLOOKUP(C552&amp;"",'[7]Retail Price List'!$A$3:$B$103,2,FALSE),"Special Order")</f>
        <v>KP000634</v>
      </c>
      <c r="E552" s="494" t="str">
        <f>'[6]price list MAN'!E552</f>
        <v>CKD</v>
      </c>
      <c r="F552" s="11" t="str">
        <f>'[6]price list MAN'!F552</f>
        <v>2018-03-30</v>
      </c>
      <c r="G552" s="32">
        <f>'[6]price list MAN'!G552</f>
        <v>15.9</v>
      </c>
      <c r="H552" s="26">
        <f>'[6]price list MAN'!H552</f>
        <v>43054</v>
      </c>
      <c r="I552" s="51" t="str">
        <f t="shared" si="40"/>
        <v>2017Q4</v>
      </c>
      <c r="J552" s="177">
        <f>'[6]price list MAN'!J552</f>
        <v>1790000</v>
      </c>
      <c r="K552" s="177">
        <f>'[6]price list MAN'!P552</f>
        <v>1370250</v>
      </c>
      <c r="L552" s="177">
        <f>'[6]price list MAN'!R552</f>
        <v>1305000</v>
      </c>
      <c r="M552" s="174">
        <f>'[6]price list MAN'!S552</f>
        <v>1845000</v>
      </c>
      <c r="N552" s="174">
        <f>'[6]price list MAN'!Y552</f>
        <v>1428000</v>
      </c>
      <c r="O552" s="174">
        <f>'[6]price list MAN'!AA552</f>
        <v>1360000</v>
      </c>
      <c r="P552" s="68">
        <f t="shared" si="41"/>
        <v>0.26287262872628725</v>
      </c>
      <c r="Q552" s="62" t="e">
        <f>O552-#REF!</f>
        <v>#REF!</v>
      </c>
      <c r="W552" s="210"/>
      <c r="X552" s="210"/>
      <c r="Y552" s="210"/>
      <c r="Z552" s="210"/>
      <c r="AA552" s="210"/>
      <c r="AB552" s="210"/>
      <c r="AC552" s="210"/>
      <c r="AT552" s="425" t="str">
        <f t="shared" si="42"/>
        <v>KP0006342017Q415,9</v>
      </c>
      <c r="AU552" s="64" t="str">
        <f t="shared" si="43"/>
        <v>11-2017</v>
      </c>
      <c r="BA552" s="428" t="str">
        <f t="shared" si="44"/>
        <v>WIP - 30 Days</v>
      </c>
    </row>
    <row r="553" spans="2:53">
      <c r="B553" s="36" t="str">
        <f>'[6]price list MAN'!B553</f>
        <v>78W-6494</v>
      </c>
      <c r="C553" s="10" t="str">
        <f>'[6]price list MAN'!C553</f>
        <v>TGS-26-4406X4BLS-LX</v>
      </c>
      <c r="D553" s="16" t="str">
        <f>IFERROR(VLOOKUP(C553&amp;"",'[7]Retail Price List'!$A$3:$B$103,2,FALSE),"Special Order")</f>
        <v>KP000634</v>
      </c>
      <c r="E553" s="494" t="str">
        <f>'[6]price list MAN'!E553</f>
        <v>CKD</v>
      </c>
      <c r="F553" s="11" t="str">
        <f>'[6]price list MAN'!F553</f>
        <v>2018-03-30</v>
      </c>
      <c r="G553" s="32">
        <f>'[6]price list MAN'!G553</f>
        <v>15.9</v>
      </c>
      <c r="H553" s="26">
        <f>'[6]price list MAN'!H553</f>
        <v>43054</v>
      </c>
      <c r="I553" s="51" t="str">
        <f t="shared" si="40"/>
        <v>2017Q4</v>
      </c>
      <c r="J553" s="177">
        <f>'[6]price list MAN'!J553</f>
        <v>1790000</v>
      </c>
      <c r="K553" s="177">
        <f>'[6]price list MAN'!P553</f>
        <v>1370250</v>
      </c>
      <c r="L553" s="177">
        <f>'[6]price list MAN'!R553</f>
        <v>1305000</v>
      </c>
      <c r="M553" s="174">
        <f>'[6]price list MAN'!S553</f>
        <v>1845000</v>
      </c>
      <c r="N553" s="174">
        <f>'[6]price list MAN'!Y553</f>
        <v>1428000</v>
      </c>
      <c r="O553" s="174">
        <f>'[6]price list MAN'!AA553</f>
        <v>1360000</v>
      </c>
      <c r="P553" s="68">
        <f t="shared" si="41"/>
        <v>0.26287262872628725</v>
      </c>
      <c r="Q553" s="62" t="e">
        <f>O553-#REF!</f>
        <v>#REF!</v>
      </c>
      <c r="W553" s="210"/>
      <c r="X553" s="210"/>
      <c r="Y553" s="210"/>
      <c r="Z553" s="210"/>
      <c r="AA553" s="210"/>
      <c r="AB553" s="210"/>
      <c r="AC553" s="210"/>
      <c r="AT553" s="425" t="str">
        <f t="shared" si="42"/>
        <v>KP0006342017Q415,9</v>
      </c>
      <c r="AU553" s="64" t="str">
        <f t="shared" si="43"/>
        <v>11-2017</v>
      </c>
      <c r="BA553" s="428" t="str">
        <f t="shared" si="44"/>
        <v>WIP - 30 Days</v>
      </c>
    </row>
    <row r="554" spans="2:53">
      <c r="B554" s="36" t="str">
        <f>'[6]price list MAN'!B554</f>
        <v>78W-6495</v>
      </c>
      <c r="C554" s="10" t="str">
        <f>'[6]price list MAN'!C554</f>
        <v>TGS-26-4406X4BLS-LX</v>
      </c>
      <c r="D554" s="16" t="str">
        <f>IFERROR(VLOOKUP(C554&amp;"",'[7]Retail Price List'!$A$3:$B$103,2,FALSE),"Special Order")</f>
        <v>KP000634</v>
      </c>
      <c r="E554" s="494" t="str">
        <f>'[6]price list MAN'!E554</f>
        <v>CKD</v>
      </c>
      <c r="F554" s="11" t="str">
        <f>'[6]price list MAN'!F554</f>
        <v>2018-03-30</v>
      </c>
      <c r="G554" s="32">
        <f>'[6]price list MAN'!G554</f>
        <v>15.9</v>
      </c>
      <c r="H554" s="26">
        <f>'[6]price list MAN'!H554</f>
        <v>43054</v>
      </c>
      <c r="I554" s="51" t="str">
        <f t="shared" si="40"/>
        <v>2017Q4</v>
      </c>
      <c r="J554" s="177">
        <f>'[6]price list MAN'!J554</f>
        <v>1790000</v>
      </c>
      <c r="K554" s="177">
        <f>'[6]price list MAN'!P554</f>
        <v>1370250</v>
      </c>
      <c r="L554" s="177">
        <f>'[6]price list MAN'!R554</f>
        <v>1305000</v>
      </c>
      <c r="M554" s="174">
        <f>'[6]price list MAN'!S554</f>
        <v>1845000</v>
      </c>
      <c r="N554" s="174">
        <f>'[6]price list MAN'!Y554</f>
        <v>1428000</v>
      </c>
      <c r="O554" s="174">
        <f>'[6]price list MAN'!AA554</f>
        <v>1360000</v>
      </c>
      <c r="P554" s="68">
        <f t="shared" si="41"/>
        <v>0.26287262872628725</v>
      </c>
      <c r="Q554" s="62" t="e">
        <f>O554-#REF!</f>
        <v>#REF!</v>
      </c>
      <c r="W554" s="210"/>
      <c r="X554" s="210"/>
      <c r="Y554" s="210"/>
      <c r="Z554" s="210"/>
      <c r="AA554" s="210"/>
      <c r="AB554" s="210"/>
      <c r="AC554" s="210"/>
      <c r="AT554" s="425" t="str">
        <f t="shared" si="42"/>
        <v>KP0006342017Q415,9</v>
      </c>
      <c r="AU554" s="64" t="str">
        <f t="shared" si="43"/>
        <v>11-2017</v>
      </c>
      <c r="BA554" s="428" t="str">
        <f t="shared" si="44"/>
        <v>WIP - 30 Days</v>
      </c>
    </row>
    <row r="555" spans="2:53">
      <c r="B555" s="36" t="str">
        <f>'[6]price list MAN'!B555</f>
        <v>78W-6496</v>
      </c>
      <c r="C555" s="10" t="str">
        <f>'[6]price list MAN'!C555</f>
        <v>TGS-26-4406X4BLS-LX</v>
      </c>
      <c r="D555" s="16" t="str">
        <f>IFERROR(VLOOKUP(C555&amp;"",'[7]Retail Price List'!$A$3:$B$103,2,FALSE),"Special Order")</f>
        <v>KP000634</v>
      </c>
      <c r="E555" s="494" t="str">
        <f>'[6]price list MAN'!E555</f>
        <v>CKD</v>
      </c>
      <c r="F555" s="11" t="str">
        <f>'[6]price list MAN'!F555</f>
        <v>2018-03-30</v>
      </c>
      <c r="G555" s="32">
        <f>'[6]price list MAN'!G555</f>
        <v>15.9</v>
      </c>
      <c r="H555" s="26">
        <f>'[6]price list MAN'!H555</f>
        <v>43054</v>
      </c>
      <c r="I555" s="51" t="str">
        <f t="shared" si="40"/>
        <v>2017Q4</v>
      </c>
      <c r="J555" s="177">
        <f>'[6]price list MAN'!J555</f>
        <v>1790000</v>
      </c>
      <c r="K555" s="177">
        <f>'[6]price list MAN'!P555</f>
        <v>1370250</v>
      </c>
      <c r="L555" s="177">
        <f>'[6]price list MAN'!R555</f>
        <v>1305000</v>
      </c>
      <c r="M555" s="174">
        <f>'[6]price list MAN'!S555</f>
        <v>1845000</v>
      </c>
      <c r="N555" s="174">
        <f>'[6]price list MAN'!Y555</f>
        <v>1428000</v>
      </c>
      <c r="O555" s="174">
        <f>'[6]price list MAN'!AA555</f>
        <v>1360000</v>
      </c>
      <c r="P555" s="68">
        <f t="shared" si="41"/>
        <v>0.26287262872628725</v>
      </c>
      <c r="Q555" s="62" t="e">
        <f>O555-#REF!</f>
        <v>#REF!</v>
      </c>
      <c r="W555" s="210"/>
      <c r="X555" s="210"/>
      <c r="Y555" s="210"/>
      <c r="Z555" s="210"/>
      <c r="AA555" s="210"/>
      <c r="AB555" s="210"/>
      <c r="AC555" s="210"/>
      <c r="AT555" s="425" t="str">
        <f t="shared" si="42"/>
        <v>KP0006342017Q415,9</v>
      </c>
      <c r="AU555" s="64" t="str">
        <f t="shared" si="43"/>
        <v>11-2017</v>
      </c>
      <c r="BA555" s="428" t="str">
        <f t="shared" si="44"/>
        <v>WIP - 30 Days</v>
      </c>
    </row>
    <row r="556" spans="2:53">
      <c r="B556" s="36" t="str">
        <f>'[6]price list MAN'!B556</f>
        <v>78W-6497</v>
      </c>
      <c r="C556" s="10" t="str">
        <f>'[6]price list MAN'!C556</f>
        <v>TGS-26-4406X4BLS-LX</v>
      </c>
      <c r="D556" s="16" t="str">
        <f>IFERROR(VLOOKUP(C556&amp;"",'[7]Retail Price List'!$A$3:$B$103,2,FALSE),"Special Order")</f>
        <v>KP000634</v>
      </c>
      <c r="E556" s="494" t="str">
        <f>'[6]price list MAN'!E556</f>
        <v>CKD</v>
      </c>
      <c r="F556" s="11" t="str">
        <f>'[6]price list MAN'!F556</f>
        <v>2018-03-30</v>
      </c>
      <c r="G556" s="32">
        <f>'[6]price list MAN'!G556</f>
        <v>15.9</v>
      </c>
      <c r="H556" s="26">
        <f>'[6]price list MAN'!H556</f>
        <v>43054</v>
      </c>
      <c r="I556" s="51" t="str">
        <f t="shared" si="40"/>
        <v>2017Q4</v>
      </c>
      <c r="J556" s="177">
        <f>'[6]price list MAN'!J556</f>
        <v>1790000</v>
      </c>
      <c r="K556" s="177">
        <f>'[6]price list MAN'!P556</f>
        <v>1370250</v>
      </c>
      <c r="L556" s="177">
        <f>'[6]price list MAN'!R556</f>
        <v>1305000</v>
      </c>
      <c r="M556" s="174">
        <f>'[6]price list MAN'!S556</f>
        <v>1845000</v>
      </c>
      <c r="N556" s="174">
        <f>'[6]price list MAN'!Y556</f>
        <v>1428000</v>
      </c>
      <c r="O556" s="174">
        <f>'[6]price list MAN'!AA556</f>
        <v>1360000</v>
      </c>
      <c r="P556" s="68">
        <f t="shared" si="41"/>
        <v>0.26287262872628725</v>
      </c>
      <c r="Q556" s="62" t="e">
        <f>O556-#REF!</f>
        <v>#REF!</v>
      </c>
      <c r="W556" s="210"/>
      <c r="X556" s="210"/>
      <c r="Y556" s="210"/>
      <c r="Z556" s="210"/>
      <c r="AA556" s="210"/>
      <c r="AB556" s="210"/>
      <c r="AC556" s="210"/>
      <c r="AT556" s="425" t="str">
        <f t="shared" si="42"/>
        <v>KP0006342017Q415,9</v>
      </c>
      <c r="AU556" s="64" t="str">
        <f t="shared" si="43"/>
        <v>11-2017</v>
      </c>
      <c r="BA556" s="428" t="str">
        <f t="shared" si="44"/>
        <v>WIP - 30 Days</v>
      </c>
    </row>
    <row r="557" spans="2:53">
      <c r="B557" s="36" t="str">
        <f>'[6]price list MAN'!B557</f>
        <v>78W-6498</v>
      </c>
      <c r="C557" s="10" t="str">
        <f>'[6]price list MAN'!C557</f>
        <v>TGS-26-4406X4BLS-LX</v>
      </c>
      <c r="D557" s="16" t="str">
        <f>IFERROR(VLOOKUP(C557&amp;"",'[7]Retail Price List'!$A$3:$B$103,2,FALSE),"Special Order")</f>
        <v>KP000634</v>
      </c>
      <c r="E557" s="494" t="str">
        <f>'[6]price list MAN'!E557</f>
        <v>CKD</v>
      </c>
      <c r="F557" s="11" t="str">
        <f>'[6]price list MAN'!F557</f>
        <v>2018-04-30</v>
      </c>
      <c r="G557" s="32">
        <f>'[6]price list MAN'!G557</f>
        <v>15.9</v>
      </c>
      <c r="H557" s="26">
        <f>'[6]price list MAN'!H557</f>
        <v>43054</v>
      </c>
      <c r="I557" s="51" t="str">
        <f t="shared" si="40"/>
        <v>2017Q4</v>
      </c>
      <c r="J557" s="177">
        <f>'[6]price list MAN'!J557</f>
        <v>1790000</v>
      </c>
      <c r="K557" s="177">
        <f>'[6]price list MAN'!P557</f>
        <v>1370250</v>
      </c>
      <c r="L557" s="177">
        <f>'[6]price list MAN'!R557</f>
        <v>1305000</v>
      </c>
      <c r="M557" s="174">
        <f>'[6]price list MAN'!S557</f>
        <v>1845000</v>
      </c>
      <c r="N557" s="174">
        <f>'[6]price list MAN'!Y557</f>
        <v>1428000</v>
      </c>
      <c r="O557" s="174">
        <f>'[6]price list MAN'!AA557</f>
        <v>1360000</v>
      </c>
      <c r="P557" s="68">
        <f t="shared" si="41"/>
        <v>0.26287262872628725</v>
      </c>
      <c r="Q557" s="62" t="e">
        <f>O557-#REF!</f>
        <v>#REF!</v>
      </c>
      <c r="W557" s="210"/>
      <c r="X557" s="210"/>
      <c r="Y557" s="210"/>
      <c r="Z557" s="210"/>
      <c r="AA557" s="210"/>
      <c r="AB557" s="210"/>
      <c r="AC557" s="210"/>
      <c r="AT557" s="425" t="str">
        <f t="shared" si="42"/>
        <v>KP0006342017Q415,9</v>
      </c>
      <c r="AU557" s="64" t="str">
        <f t="shared" si="43"/>
        <v>11-2017</v>
      </c>
      <c r="BA557" s="428" t="str">
        <f t="shared" si="44"/>
        <v>WIP - 30 Days</v>
      </c>
    </row>
    <row r="558" spans="2:53">
      <c r="B558" s="36" t="str">
        <f>'[6]price list MAN'!B558</f>
        <v>78W-6499</v>
      </c>
      <c r="C558" s="10" t="str">
        <f>'[6]price list MAN'!C558</f>
        <v>TGS-26-4406X4BLS-LX</v>
      </c>
      <c r="D558" s="16" t="str">
        <f>IFERROR(VLOOKUP(C558&amp;"",'[7]Retail Price List'!$A$3:$B$103,2,FALSE),"Special Order")</f>
        <v>KP000634</v>
      </c>
      <c r="E558" s="494" t="str">
        <f>'[6]price list MAN'!E558</f>
        <v>CKD</v>
      </c>
      <c r="F558" s="11" t="str">
        <f>'[6]price list MAN'!F558</f>
        <v>2018-05-30</v>
      </c>
      <c r="G558" s="32">
        <f>'[6]price list MAN'!G558</f>
        <v>15.9</v>
      </c>
      <c r="H558" s="26">
        <f>'[6]price list MAN'!H558</f>
        <v>43054</v>
      </c>
      <c r="I558" s="51" t="str">
        <f t="shared" si="40"/>
        <v>2017Q4</v>
      </c>
      <c r="J558" s="177">
        <f>'[6]price list MAN'!J558</f>
        <v>1790000</v>
      </c>
      <c r="K558" s="177">
        <f>'[6]price list MAN'!P558</f>
        <v>1370250</v>
      </c>
      <c r="L558" s="177">
        <f>'[6]price list MAN'!R558</f>
        <v>1305000</v>
      </c>
      <c r="M558" s="174">
        <f>'[6]price list MAN'!S558</f>
        <v>1845000</v>
      </c>
      <c r="N558" s="174">
        <f>'[6]price list MAN'!Y558</f>
        <v>1428000</v>
      </c>
      <c r="O558" s="174">
        <f>'[6]price list MAN'!AA558</f>
        <v>1360000</v>
      </c>
      <c r="P558" s="68">
        <f t="shared" si="41"/>
        <v>0.26287262872628725</v>
      </c>
      <c r="Q558" s="62" t="e">
        <f>O558-#REF!</f>
        <v>#REF!</v>
      </c>
      <c r="W558" s="210"/>
      <c r="X558" s="210"/>
      <c r="Y558" s="210"/>
      <c r="Z558" s="210"/>
      <c r="AA558" s="210"/>
      <c r="AB558" s="210"/>
      <c r="AC558" s="210"/>
      <c r="AT558" s="425" t="str">
        <f t="shared" si="42"/>
        <v>KP0006342017Q415,9</v>
      </c>
      <c r="AU558" s="64" t="str">
        <f t="shared" si="43"/>
        <v>11-2017</v>
      </c>
      <c r="BA558" s="428" t="str">
        <f t="shared" si="44"/>
        <v>WIP - 30 Days</v>
      </c>
    </row>
    <row r="559" spans="2:53">
      <c r="B559" s="36" t="str">
        <f>'[6]price list MAN'!B559</f>
        <v>78W-6500</v>
      </c>
      <c r="C559" s="10" t="str">
        <f>'[6]price list MAN'!C559</f>
        <v>TGS-26-4406X4BLS-LX</v>
      </c>
      <c r="D559" s="16" t="str">
        <f>IFERROR(VLOOKUP(C559&amp;"",'[7]Retail Price List'!$A$3:$B$103,2,FALSE),"Special Order")</f>
        <v>KP000634</v>
      </c>
      <c r="E559" s="494" t="str">
        <f>'[6]price list MAN'!E559</f>
        <v>CKD</v>
      </c>
      <c r="F559" s="11" t="str">
        <f>'[6]price list MAN'!F559</f>
        <v>2018-05-30</v>
      </c>
      <c r="G559" s="32">
        <f>'[6]price list MAN'!G559</f>
        <v>15.9</v>
      </c>
      <c r="H559" s="26">
        <f>'[6]price list MAN'!H559</f>
        <v>43054</v>
      </c>
      <c r="I559" s="51" t="str">
        <f t="shared" si="40"/>
        <v>2017Q4</v>
      </c>
      <c r="J559" s="177">
        <f>'[6]price list MAN'!J559</f>
        <v>1790000</v>
      </c>
      <c r="K559" s="177">
        <f>'[6]price list MAN'!P559</f>
        <v>1370250</v>
      </c>
      <c r="L559" s="177">
        <f>'[6]price list MAN'!R559</f>
        <v>1305000</v>
      </c>
      <c r="M559" s="174">
        <f>'[6]price list MAN'!S559</f>
        <v>1845000</v>
      </c>
      <c r="N559" s="174">
        <f>'[6]price list MAN'!Y559</f>
        <v>1428000</v>
      </c>
      <c r="O559" s="174">
        <f>'[6]price list MAN'!AA559</f>
        <v>1360000</v>
      </c>
      <c r="P559" s="68">
        <f t="shared" si="41"/>
        <v>0.26287262872628725</v>
      </c>
      <c r="Q559" s="62" t="e">
        <f>O559-#REF!</f>
        <v>#REF!</v>
      </c>
      <c r="W559" s="210"/>
      <c r="X559" s="210"/>
      <c r="Y559" s="210"/>
      <c r="Z559" s="210"/>
      <c r="AA559" s="210"/>
      <c r="AB559" s="210"/>
      <c r="AC559" s="210"/>
      <c r="AT559" s="425" t="str">
        <f t="shared" si="42"/>
        <v>KP0006342017Q415,9</v>
      </c>
      <c r="AU559" s="64" t="str">
        <f t="shared" si="43"/>
        <v>11-2017</v>
      </c>
      <c r="BA559" s="428" t="str">
        <f t="shared" si="44"/>
        <v>WIP - 30 Days</v>
      </c>
    </row>
    <row r="560" spans="2:53">
      <c r="B560" s="36" t="str">
        <f>'[6]price list MAN'!B560</f>
        <v>78W-6501</v>
      </c>
      <c r="C560" s="10" t="str">
        <f>'[6]price list MAN'!C560</f>
        <v>TGS-26-4406X4BLS-LX</v>
      </c>
      <c r="D560" s="16" t="str">
        <f>IFERROR(VLOOKUP(C560&amp;"",'[7]Retail Price List'!$A$3:$B$103,2,FALSE),"Special Order")</f>
        <v>KP000634</v>
      </c>
      <c r="E560" s="494" t="str">
        <f>'[6]price list MAN'!E560</f>
        <v>CKD</v>
      </c>
      <c r="F560" s="11" t="str">
        <f>'[6]price list MAN'!F560</f>
        <v>2018-05-30</v>
      </c>
      <c r="G560" s="32">
        <f>'[6]price list MAN'!G560</f>
        <v>15.9</v>
      </c>
      <c r="H560" s="26">
        <f>'[6]price list MAN'!H560</f>
        <v>43054</v>
      </c>
      <c r="I560" s="51" t="str">
        <f t="shared" si="40"/>
        <v>2017Q4</v>
      </c>
      <c r="J560" s="177">
        <f>'[6]price list MAN'!J560</f>
        <v>1790000</v>
      </c>
      <c r="K560" s="177">
        <f>'[6]price list MAN'!P560</f>
        <v>1370250</v>
      </c>
      <c r="L560" s="177">
        <f>'[6]price list MAN'!R560</f>
        <v>1305000</v>
      </c>
      <c r="M560" s="174">
        <f>'[6]price list MAN'!S560</f>
        <v>1845000</v>
      </c>
      <c r="N560" s="174">
        <f>'[6]price list MAN'!Y560</f>
        <v>1428000</v>
      </c>
      <c r="O560" s="174">
        <f>'[6]price list MAN'!AA560</f>
        <v>1360000</v>
      </c>
      <c r="P560" s="68">
        <f t="shared" si="41"/>
        <v>0.26287262872628725</v>
      </c>
      <c r="Q560" s="62" t="e">
        <f>O560-#REF!</f>
        <v>#REF!</v>
      </c>
      <c r="W560" s="210"/>
      <c r="X560" s="210"/>
      <c r="Y560" s="210"/>
      <c r="Z560" s="210"/>
      <c r="AA560" s="210"/>
      <c r="AB560" s="210"/>
      <c r="AC560" s="210"/>
      <c r="AT560" s="425" t="str">
        <f t="shared" si="42"/>
        <v>KP0006342017Q415,9</v>
      </c>
      <c r="AU560" s="64" t="str">
        <f t="shared" si="43"/>
        <v>11-2017</v>
      </c>
      <c r="BA560" s="428" t="str">
        <f t="shared" si="44"/>
        <v>WIP - 30 Days</v>
      </c>
    </row>
    <row r="561" spans="2:53">
      <c r="B561" s="36" t="str">
        <f>'[6]price list MAN'!B561</f>
        <v>TBAKP634</v>
      </c>
      <c r="C561" s="10" t="str">
        <f>'[6]price list MAN'!C561</f>
        <v>TGS-26-4406X4BLS-LX</v>
      </c>
      <c r="D561" s="16" t="str">
        <f>IFERROR(VLOOKUP(C561&amp;"",'[7]Retail Price List'!$A$3:$B$103,2,FALSE),"Special Order")</f>
        <v>KP000634</v>
      </c>
      <c r="E561" s="494" t="str">
        <f>'[6]price list MAN'!E561</f>
        <v>CKD</v>
      </c>
      <c r="F561" s="11" t="str">
        <f>'[6]price list MAN'!F561</f>
        <v>2018-08-19</v>
      </c>
      <c r="G561" s="32">
        <f>'[6]price list MAN'!G561</f>
        <v>15.8</v>
      </c>
      <c r="H561" s="26">
        <f>'[6]price list MAN'!H561</f>
        <v>43159</v>
      </c>
      <c r="I561" s="51" t="str">
        <f t="shared" si="40"/>
        <v>2018Q1</v>
      </c>
      <c r="J561" s="177">
        <f>'[6]price list MAN'!J561</f>
        <v>1790000</v>
      </c>
      <c r="K561" s="177">
        <f>'[6]price list MAN'!P561</f>
        <v>1370250</v>
      </c>
      <c r="L561" s="177">
        <f>'[6]price list MAN'!R561</f>
        <v>1305000</v>
      </c>
      <c r="M561" s="174">
        <f>'[6]price list MAN'!S561</f>
        <v>1845000</v>
      </c>
      <c r="N561" s="174">
        <f>'[6]price list MAN'!Y561</f>
        <v>1428000</v>
      </c>
      <c r="O561" s="174">
        <f>'[6]price list MAN'!AA561</f>
        <v>1360000</v>
      </c>
      <c r="P561" s="68">
        <f t="shared" si="41"/>
        <v>0.26287262872628725</v>
      </c>
      <c r="Q561" s="62" t="e">
        <f>O561-#REF!</f>
        <v>#REF!</v>
      </c>
      <c r="W561" s="210"/>
      <c r="X561" s="210"/>
      <c r="Y561" s="210"/>
      <c r="Z561" s="210"/>
      <c r="AA561" s="210"/>
      <c r="AB561" s="210"/>
      <c r="AC561" s="210"/>
      <c r="AT561" s="425" t="str">
        <f t="shared" si="42"/>
        <v>KP0006342018Q115,8</v>
      </c>
      <c r="AU561" s="64" t="str">
        <f t="shared" si="43"/>
        <v>02-2018</v>
      </c>
      <c r="BA561" s="428" t="str">
        <f t="shared" si="44"/>
        <v>WIP - 30 Days</v>
      </c>
    </row>
    <row r="562" spans="2:53">
      <c r="B562" s="36">
        <f>'[6]price list MAN'!B562</f>
        <v>48669</v>
      </c>
      <c r="C562" s="10" t="str">
        <f>'[6]price list MAN'!C562</f>
        <v>TGS-26-4406X4BLS-LX-ALU</v>
      </c>
      <c r="D562" s="16" t="str">
        <f>IFERROR(VLOOKUP(C562&amp;"",'[7]Retail Price List'!$A$3:$B$103,2,FALSE),"Special Order")</f>
        <v>KP000666</v>
      </c>
      <c r="E562" s="494" t="str">
        <f>'[6]price list MAN'!E562</f>
        <v>CKD</v>
      </c>
      <c r="F562" s="11" t="str">
        <f>'[6]price list MAN'!F562</f>
        <v>2018-08-30</v>
      </c>
      <c r="G562" s="32">
        <f>'[6]price list MAN'!G562</f>
        <v>15.9</v>
      </c>
      <c r="H562" s="26">
        <f>'[6]price list MAN'!H562</f>
        <v>43039</v>
      </c>
      <c r="I562" s="51" t="str">
        <f t="shared" si="40"/>
        <v>2017Q4</v>
      </c>
      <c r="J562" s="177">
        <f>'[6]price list MAN'!J562</f>
        <v>1850000</v>
      </c>
      <c r="K562" s="177">
        <f>'[6]price list MAN'!P562</f>
        <v>1407000</v>
      </c>
      <c r="L562" s="177">
        <f>'[6]price list MAN'!R562</f>
        <v>1340000</v>
      </c>
      <c r="M562" s="174">
        <f>'[6]price list MAN'!S562</f>
        <v>1905000</v>
      </c>
      <c r="N562" s="174">
        <f>'[6]price list MAN'!Y562</f>
        <v>1464750</v>
      </c>
      <c r="O562" s="174">
        <f>'[6]price list MAN'!AA562</f>
        <v>1395000</v>
      </c>
      <c r="P562" s="68">
        <f t="shared" si="41"/>
        <v>0.26771653543307089</v>
      </c>
      <c r="Q562" s="62" t="e">
        <f>O562-#REF!</f>
        <v>#REF!</v>
      </c>
      <c r="W562" s="210"/>
      <c r="X562" s="210"/>
      <c r="Y562" s="210"/>
      <c r="Z562" s="210"/>
      <c r="AA562" s="210"/>
      <c r="AB562" s="210"/>
      <c r="AC562" s="210"/>
      <c r="AT562" s="425" t="str">
        <f t="shared" si="42"/>
        <v>KP0006662017Q415,9</v>
      </c>
      <c r="AU562" s="64" t="str">
        <f t="shared" si="43"/>
        <v>10-2017</v>
      </c>
      <c r="BA562" s="428" t="str">
        <f t="shared" si="44"/>
        <v>WIP - 30 Days</v>
      </c>
    </row>
    <row r="563" spans="2:53">
      <c r="B563" s="36">
        <f>'[6]price list MAN'!B563</f>
        <v>48670</v>
      </c>
      <c r="C563" s="10" t="str">
        <f>'[6]price list MAN'!C563</f>
        <v>TGS-26-4406X4BLS-LX-ALU</v>
      </c>
      <c r="D563" s="16" t="str">
        <f>IFERROR(VLOOKUP(C563&amp;"",'[7]Retail Price List'!$A$3:$B$103,2,FALSE),"Special Order")</f>
        <v>KP000666</v>
      </c>
      <c r="E563" s="494" t="str">
        <f>'[6]price list MAN'!E563</f>
        <v>CKD</v>
      </c>
      <c r="F563" s="11" t="str">
        <f>'[6]price list MAN'!F563</f>
        <v>2018-08-30</v>
      </c>
      <c r="G563" s="32">
        <f>'[6]price list MAN'!G563</f>
        <v>15.9</v>
      </c>
      <c r="H563" s="26">
        <f>'[6]price list MAN'!H563</f>
        <v>43039</v>
      </c>
      <c r="I563" s="51" t="str">
        <f t="shared" si="40"/>
        <v>2017Q4</v>
      </c>
      <c r="J563" s="177">
        <f>'[6]price list MAN'!J563</f>
        <v>1850000</v>
      </c>
      <c r="K563" s="177">
        <f>'[6]price list MAN'!P563</f>
        <v>1407000</v>
      </c>
      <c r="L563" s="177">
        <f>'[6]price list MAN'!R563</f>
        <v>1340000</v>
      </c>
      <c r="M563" s="174">
        <f>'[6]price list MAN'!S563</f>
        <v>1905000</v>
      </c>
      <c r="N563" s="174">
        <f>'[6]price list MAN'!Y563</f>
        <v>1464750</v>
      </c>
      <c r="O563" s="174">
        <f>'[6]price list MAN'!AA563</f>
        <v>1395000</v>
      </c>
      <c r="P563" s="68">
        <f t="shared" si="41"/>
        <v>0.26771653543307089</v>
      </c>
      <c r="Q563" s="62" t="e">
        <f>O563-#REF!</f>
        <v>#REF!</v>
      </c>
      <c r="W563" s="210"/>
      <c r="X563" s="210"/>
      <c r="Y563" s="210"/>
      <c r="Z563" s="210"/>
      <c r="AA563" s="210"/>
      <c r="AB563" s="210"/>
      <c r="AC563" s="210"/>
      <c r="AT563" s="425" t="str">
        <f t="shared" si="42"/>
        <v>KP0006662017Q415,9</v>
      </c>
      <c r="AU563" s="64" t="str">
        <f t="shared" si="43"/>
        <v>10-2017</v>
      </c>
      <c r="BA563" s="428" t="str">
        <f t="shared" si="44"/>
        <v>WIP - 30 Days</v>
      </c>
    </row>
    <row r="564" spans="2:53">
      <c r="B564" s="36">
        <f>'[6]price list MAN'!B564</f>
        <v>48671</v>
      </c>
      <c r="C564" s="10" t="str">
        <f>'[6]price list MAN'!C564</f>
        <v>TGS-26-4406X4BLS-LX-ALU</v>
      </c>
      <c r="D564" s="16" t="str">
        <f>IFERROR(VLOOKUP(C564&amp;"",'[7]Retail Price List'!$A$3:$B$103,2,FALSE),"Special Order")</f>
        <v>KP000666</v>
      </c>
      <c r="E564" s="494" t="str">
        <f>'[6]price list MAN'!E564</f>
        <v>CKD</v>
      </c>
      <c r="F564" s="11" t="str">
        <f>'[6]price list MAN'!F564</f>
        <v>2018-08-30</v>
      </c>
      <c r="G564" s="32">
        <f>'[6]price list MAN'!G564</f>
        <v>15.9</v>
      </c>
      <c r="H564" s="26">
        <f>'[6]price list MAN'!H564</f>
        <v>43039</v>
      </c>
      <c r="I564" s="51" t="str">
        <f t="shared" si="40"/>
        <v>2017Q4</v>
      </c>
      <c r="J564" s="177">
        <f>'[6]price list MAN'!J564</f>
        <v>1850000</v>
      </c>
      <c r="K564" s="177">
        <f>'[6]price list MAN'!P564</f>
        <v>1407000</v>
      </c>
      <c r="L564" s="177">
        <f>'[6]price list MAN'!R564</f>
        <v>1340000</v>
      </c>
      <c r="M564" s="174">
        <f>'[6]price list MAN'!S564</f>
        <v>1905000</v>
      </c>
      <c r="N564" s="174">
        <f>'[6]price list MAN'!Y564</f>
        <v>1464750</v>
      </c>
      <c r="O564" s="174">
        <f>'[6]price list MAN'!AA564</f>
        <v>1395000</v>
      </c>
      <c r="P564" s="68">
        <f t="shared" si="41"/>
        <v>0.26771653543307089</v>
      </c>
      <c r="Q564" s="62" t="e">
        <f>O564-#REF!</f>
        <v>#REF!</v>
      </c>
      <c r="W564" s="210"/>
      <c r="X564" s="210"/>
      <c r="Y564" s="210"/>
      <c r="Z564" s="210"/>
      <c r="AA564" s="210"/>
      <c r="AB564" s="210"/>
      <c r="AC564" s="210"/>
      <c r="AT564" s="425" t="str">
        <f t="shared" si="42"/>
        <v>KP0006662017Q415,9</v>
      </c>
      <c r="AU564" s="64" t="str">
        <f t="shared" si="43"/>
        <v>10-2017</v>
      </c>
      <c r="BA564" s="428" t="str">
        <f t="shared" si="44"/>
        <v>WIP - 30 Days</v>
      </c>
    </row>
    <row r="565" spans="2:53">
      <c r="B565" s="36">
        <f>'[6]price list MAN'!B565</f>
        <v>48672</v>
      </c>
      <c r="C565" s="10" t="str">
        <f>'[6]price list MAN'!C565</f>
        <v>TGS-26-4406X4BLS-LX-ALU</v>
      </c>
      <c r="D565" s="16" t="str">
        <f>IFERROR(VLOOKUP(C565&amp;"",'[7]Retail Price List'!$A$3:$B$103,2,FALSE),"Special Order")</f>
        <v>KP000666</v>
      </c>
      <c r="E565" s="494" t="str">
        <f>'[6]price list MAN'!E565</f>
        <v>CKD</v>
      </c>
      <c r="F565" s="11" t="str">
        <f>'[6]price list MAN'!F565</f>
        <v>2018-08-30</v>
      </c>
      <c r="G565" s="32">
        <f>'[6]price list MAN'!G565</f>
        <v>15.9</v>
      </c>
      <c r="H565" s="26">
        <f>'[6]price list MAN'!H565</f>
        <v>43039</v>
      </c>
      <c r="I565" s="51" t="str">
        <f t="shared" si="40"/>
        <v>2017Q4</v>
      </c>
      <c r="J565" s="177">
        <f>'[6]price list MAN'!J565</f>
        <v>1850000</v>
      </c>
      <c r="K565" s="177">
        <f>'[6]price list MAN'!P565</f>
        <v>1407000</v>
      </c>
      <c r="L565" s="177">
        <f>'[6]price list MAN'!R565</f>
        <v>1340000</v>
      </c>
      <c r="M565" s="174">
        <f>'[6]price list MAN'!S565</f>
        <v>1905000</v>
      </c>
      <c r="N565" s="174">
        <f>'[6]price list MAN'!Y565</f>
        <v>1464750</v>
      </c>
      <c r="O565" s="174">
        <f>'[6]price list MAN'!AA565</f>
        <v>1395000</v>
      </c>
      <c r="P565" s="68">
        <f t="shared" si="41"/>
        <v>0.26771653543307089</v>
      </c>
      <c r="Q565" s="62" t="e">
        <f>O565-#REF!</f>
        <v>#REF!</v>
      </c>
      <c r="W565" s="210"/>
      <c r="X565" s="210"/>
      <c r="Y565" s="210"/>
      <c r="Z565" s="210"/>
      <c r="AA565" s="210"/>
      <c r="AB565" s="210"/>
      <c r="AC565" s="210"/>
      <c r="AT565" s="425" t="str">
        <f t="shared" si="42"/>
        <v>KP0006662017Q415,9</v>
      </c>
      <c r="AU565" s="64" t="str">
        <f t="shared" si="43"/>
        <v>10-2017</v>
      </c>
      <c r="BA565" s="428" t="str">
        <f t="shared" si="44"/>
        <v>WIP - 30 Days</v>
      </c>
    </row>
    <row r="566" spans="2:53">
      <c r="B566" s="36">
        <f>'[6]price list MAN'!B566</f>
        <v>48737</v>
      </c>
      <c r="C566" s="10" t="str">
        <f>'[6]price list MAN'!C566</f>
        <v>TGS-26-4406X4BLS-LX-ALU</v>
      </c>
      <c r="D566" s="16" t="str">
        <f>IFERROR(VLOOKUP(C566&amp;"",'[7]Retail Price List'!$A$3:$B$103,2,FALSE),"Special Order")</f>
        <v>KP000666</v>
      </c>
      <c r="E566" s="494" t="str">
        <f>'[6]price list MAN'!E566</f>
        <v>CKD</v>
      </c>
      <c r="F566" s="11" t="str">
        <f>'[6]price list MAN'!F566</f>
        <v>2018-06-30</v>
      </c>
      <c r="G566" s="32">
        <f>'[6]price list MAN'!G566</f>
        <v>15.9</v>
      </c>
      <c r="H566" s="26">
        <f>'[6]price list MAN'!H566</f>
        <v>43039</v>
      </c>
      <c r="I566" s="51" t="str">
        <f t="shared" si="40"/>
        <v>2017Q4</v>
      </c>
      <c r="J566" s="177">
        <f>'[6]price list MAN'!J566</f>
        <v>1850000</v>
      </c>
      <c r="K566" s="177">
        <f>'[6]price list MAN'!P566</f>
        <v>1407000</v>
      </c>
      <c r="L566" s="177">
        <f>'[6]price list MAN'!R566</f>
        <v>1340000</v>
      </c>
      <c r="M566" s="174">
        <f>'[6]price list MAN'!S566</f>
        <v>1905000</v>
      </c>
      <c r="N566" s="174">
        <f>'[6]price list MAN'!Y566</f>
        <v>1464750</v>
      </c>
      <c r="O566" s="174">
        <f>'[6]price list MAN'!AA566</f>
        <v>1395000</v>
      </c>
      <c r="P566" s="68">
        <f t="shared" si="41"/>
        <v>0.26771653543307089</v>
      </c>
      <c r="Q566" s="62" t="e">
        <f>O566-#REF!</f>
        <v>#REF!</v>
      </c>
      <c r="W566" s="210"/>
      <c r="X566" s="210"/>
      <c r="Y566" s="210"/>
      <c r="Z566" s="210"/>
      <c r="AA566" s="210"/>
      <c r="AB566" s="210"/>
      <c r="AC566" s="210"/>
      <c r="AT566" s="425" t="str">
        <f t="shared" si="42"/>
        <v>KP0006662017Q415,9</v>
      </c>
      <c r="AU566" s="64" t="str">
        <f t="shared" si="43"/>
        <v>10-2017</v>
      </c>
      <c r="BA566" s="428" t="str">
        <f t="shared" si="44"/>
        <v>WIP - 30 Days</v>
      </c>
    </row>
    <row r="567" spans="2:53">
      <c r="B567" s="36">
        <f>'[6]price list MAN'!B567</f>
        <v>48738</v>
      </c>
      <c r="C567" s="10" t="str">
        <f>'[6]price list MAN'!C567</f>
        <v>TGS-26-4406X4BLS-LX-ALU</v>
      </c>
      <c r="D567" s="16" t="str">
        <f>IFERROR(VLOOKUP(C567&amp;"",'[7]Retail Price List'!$A$3:$B$103,2,FALSE),"Special Order")</f>
        <v>KP000666</v>
      </c>
      <c r="E567" s="494" t="str">
        <f>'[6]price list MAN'!E567</f>
        <v>CKD</v>
      </c>
      <c r="F567" s="11" t="str">
        <f>'[6]price list MAN'!F567</f>
        <v>2018-06-30</v>
      </c>
      <c r="G567" s="32">
        <f>'[6]price list MAN'!G567</f>
        <v>15.9</v>
      </c>
      <c r="H567" s="26">
        <f>'[6]price list MAN'!H567</f>
        <v>43039</v>
      </c>
      <c r="I567" s="51" t="str">
        <f t="shared" si="40"/>
        <v>2017Q4</v>
      </c>
      <c r="J567" s="177">
        <f>'[6]price list MAN'!J567</f>
        <v>1850000</v>
      </c>
      <c r="K567" s="177">
        <f>'[6]price list MAN'!P567</f>
        <v>1407000</v>
      </c>
      <c r="L567" s="177">
        <f>'[6]price list MAN'!R567</f>
        <v>1340000</v>
      </c>
      <c r="M567" s="174">
        <f>'[6]price list MAN'!S567</f>
        <v>1905000</v>
      </c>
      <c r="N567" s="174">
        <f>'[6]price list MAN'!Y567</f>
        <v>1464750</v>
      </c>
      <c r="O567" s="174">
        <f>'[6]price list MAN'!AA567</f>
        <v>1395000</v>
      </c>
      <c r="P567" s="68">
        <f t="shared" si="41"/>
        <v>0.26771653543307089</v>
      </c>
      <c r="Q567" s="62" t="e">
        <f>O567-#REF!</f>
        <v>#REF!</v>
      </c>
      <c r="W567" s="210"/>
      <c r="X567" s="210"/>
      <c r="Y567" s="210"/>
      <c r="Z567" s="210"/>
      <c r="AA567" s="210"/>
      <c r="AB567" s="210"/>
      <c r="AC567" s="210"/>
      <c r="AT567" s="425" t="str">
        <f t="shared" si="42"/>
        <v>KP0006662017Q415,9</v>
      </c>
      <c r="AU567" s="64" t="str">
        <f t="shared" si="43"/>
        <v>10-2017</v>
      </c>
      <c r="BA567" s="428" t="str">
        <f t="shared" si="44"/>
        <v>WIP - 30 Days</v>
      </c>
    </row>
    <row r="568" spans="2:53">
      <c r="B568" s="36">
        <f>'[6]price list MAN'!B568</f>
        <v>48739</v>
      </c>
      <c r="C568" s="10" t="str">
        <f>'[6]price list MAN'!C568</f>
        <v>TGS-26-4406X4BLS-LX-ALU</v>
      </c>
      <c r="D568" s="16" t="str">
        <f>IFERROR(VLOOKUP(C568&amp;"",'[7]Retail Price List'!$A$3:$B$103,2,FALSE),"Special Order")</f>
        <v>KP000666</v>
      </c>
      <c r="E568" s="494" t="str">
        <f>'[6]price list MAN'!E568</f>
        <v>CKD</v>
      </c>
      <c r="F568" s="11" t="str">
        <f>'[6]price list MAN'!F568</f>
        <v>2018-06-30</v>
      </c>
      <c r="G568" s="32">
        <f>'[6]price list MAN'!G568</f>
        <v>15.9</v>
      </c>
      <c r="H568" s="26">
        <f>'[6]price list MAN'!H568</f>
        <v>43039</v>
      </c>
      <c r="I568" s="51" t="str">
        <f t="shared" si="40"/>
        <v>2017Q4</v>
      </c>
      <c r="J568" s="177">
        <f>'[6]price list MAN'!J568</f>
        <v>1850000</v>
      </c>
      <c r="K568" s="177">
        <f>'[6]price list MAN'!P568</f>
        <v>1407000</v>
      </c>
      <c r="L568" s="177">
        <f>'[6]price list MAN'!R568</f>
        <v>1340000</v>
      </c>
      <c r="M568" s="174">
        <f>'[6]price list MAN'!S568</f>
        <v>1905000</v>
      </c>
      <c r="N568" s="174">
        <f>'[6]price list MAN'!Y568</f>
        <v>1464750</v>
      </c>
      <c r="O568" s="174">
        <f>'[6]price list MAN'!AA568</f>
        <v>1395000</v>
      </c>
      <c r="P568" s="68">
        <f t="shared" si="41"/>
        <v>0.26771653543307089</v>
      </c>
      <c r="Q568" s="62" t="e">
        <f>O568-#REF!</f>
        <v>#REF!</v>
      </c>
      <c r="W568" s="210"/>
      <c r="X568" s="210"/>
      <c r="Y568" s="210"/>
      <c r="Z568" s="210"/>
      <c r="AA568" s="210"/>
      <c r="AB568" s="210"/>
      <c r="AC568" s="210"/>
      <c r="AT568" s="425" t="str">
        <f t="shared" si="42"/>
        <v>KP0006662017Q415,9</v>
      </c>
      <c r="AU568" s="64" t="str">
        <f t="shared" si="43"/>
        <v>10-2017</v>
      </c>
      <c r="BA568" s="428" t="str">
        <f t="shared" si="44"/>
        <v>WIP - 30 Days</v>
      </c>
    </row>
    <row r="569" spans="2:53">
      <c r="B569" s="36">
        <f>'[6]price list MAN'!B569</f>
        <v>48740</v>
      </c>
      <c r="C569" s="10" t="str">
        <f>'[6]price list MAN'!C569</f>
        <v>TGS-26-4406X4BLS-LX-ALU</v>
      </c>
      <c r="D569" s="16" t="str">
        <f>IFERROR(VLOOKUP(C569&amp;"",'[7]Retail Price List'!$A$3:$B$103,2,FALSE),"Special Order")</f>
        <v>KP000666</v>
      </c>
      <c r="E569" s="494" t="str">
        <f>'[6]price list MAN'!E569</f>
        <v>CKD</v>
      </c>
      <c r="F569" s="11" t="str">
        <f>'[6]price list MAN'!F569</f>
        <v>2018-06-30</v>
      </c>
      <c r="G569" s="32">
        <f>'[6]price list MAN'!G569</f>
        <v>15.9</v>
      </c>
      <c r="H569" s="26">
        <f>'[6]price list MAN'!H569</f>
        <v>43039</v>
      </c>
      <c r="I569" s="51" t="str">
        <f t="shared" si="40"/>
        <v>2017Q4</v>
      </c>
      <c r="J569" s="177">
        <f>'[6]price list MAN'!J569</f>
        <v>1850000</v>
      </c>
      <c r="K569" s="177">
        <f>'[6]price list MAN'!P569</f>
        <v>1407000</v>
      </c>
      <c r="L569" s="177">
        <f>'[6]price list MAN'!R569</f>
        <v>1340000</v>
      </c>
      <c r="M569" s="174">
        <f>'[6]price list MAN'!S569</f>
        <v>1905000</v>
      </c>
      <c r="N569" s="174">
        <f>'[6]price list MAN'!Y569</f>
        <v>1464750</v>
      </c>
      <c r="O569" s="174">
        <f>'[6]price list MAN'!AA569</f>
        <v>1395000</v>
      </c>
      <c r="P569" s="68">
        <f t="shared" si="41"/>
        <v>0.26771653543307089</v>
      </c>
      <c r="Q569" s="62" t="e">
        <f>O569-#REF!</f>
        <v>#REF!</v>
      </c>
      <c r="W569" s="210"/>
      <c r="X569" s="210"/>
      <c r="Y569" s="210"/>
      <c r="Z569" s="210"/>
      <c r="AA569" s="210"/>
      <c r="AB569" s="210"/>
      <c r="AC569" s="210"/>
      <c r="AT569" s="425" t="str">
        <f t="shared" si="42"/>
        <v>KP0006662017Q415,9</v>
      </c>
      <c r="AU569" s="64" t="str">
        <f t="shared" si="43"/>
        <v>10-2017</v>
      </c>
      <c r="BA569" s="428" t="str">
        <f t="shared" si="44"/>
        <v>WIP - 30 Days</v>
      </c>
    </row>
    <row r="570" spans="2:53">
      <c r="B570" s="36">
        <f>'[6]price list MAN'!B570</f>
        <v>48741</v>
      </c>
      <c r="C570" s="10" t="str">
        <f>'[6]price list MAN'!C570</f>
        <v>TGS-26-4406X4BLS-LX-ALU</v>
      </c>
      <c r="D570" s="16" t="str">
        <f>IFERROR(VLOOKUP(C570&amp;"",'[7]Retail Price List'!$A$3:$B$103,2,FALSE),"Special Order")</f>
        <v>KP000666</v>
      </c>
      <c r="E570" s="494" t="str">
        <f>'[6]price list MAN'!E570</f>
        <v>CKD</v>
      </c>
      <c r="F570" s="11" t="str">
        <f>'[6]price list MAN'!F570</f>
        <v>2018-06-30</v>
      </c>
      <c r="G570" s="32">
        <f>'[6]price list MAN'!G570</f>
        <v>15.9</v>
      </c>
      <c r="H570" s="26">
        <f>'[6]price list MAN'!H570</f>
        <v>43039</v>
      </c>
      <c r="I570" s="51" t="str">
        <f t="shared" si="40"/>
        <v>2017Q4</v>
      </c>
      <c r="J570" s="177">
        <f>'[6]price list MAN'!J570</f>
        <v>1850000</v>
      </c>
      <c r="K570" s="177">
        <f>'[6]price list MAN'!P570</f>
        <v>1407000</v>
      </c>
      <c r="L570" s="177">
        <f>'[6]price list MAN'!R570</f>
        <v>1340000</v>
      </c>
      <c r="M570" s="174">
        <f>'[6]price list MAN'!S570</f>
        <v>1905000</v>
      </c>
      <c r="N570" s="174">
        <f>'[6]price list MAN'!Y570</f>
        <v>1464750</v>
      </c>
      <c r="O570" s="174">
        <f>'[6]price list MAN'!AA570</f>
        <v>1395000</v>
      </c>
      <c r="P570" s="68">
        <f t="shared" si="41"/>
        <v>0.26771653543307089</v>
      </c>
      <c r="Q570" s="62" t="e">
        <f>O570-#REF!</f>
        <v>#REF!</v>
      </c>
      <c r="W570" s="210"/>
      <c r="X570" s="210"/>
      <c r="Y570" s="210"/>
      <c r="Z570" s="210"/>
      <c r="AA570" s="210"/>
      <c r="AB570" s="210"/>
      <c r="AC570" s="210"/>
      <c r="AT570" s="425" t="str">
        <f t="shared" si="42"/>
        <v>KP0006662017Q415,9</v>
      </c>
      <c r="AU570" s="64" t="str">
        <f t="shared" si="43"/>
        <v>10-2017</v>
      </c>
      <c r="BA570" s="428" t="str">
        <f t="shared" si="44"/>
        <v>WIP - 30 Days</v>
      </c>
    </row>
    <row r="571" spans="2:53">
      <c r="B571" s="36">
        <f>'[6]price list MAN'!B571</f>
        <v>48742</v>
      </c>
      <c r="C571" s="10" t="str">
        <f>'[6]price list MAN'!C571</f>
        <v>TGS-26-4406X4BLS-LX-ALU</v>
      </c>
      <c r="D571" s="16" t="str">
        <f>IFERROR(VLOOKUP(C571&amp;"",'[7]Retail Price List'!$A$3:$B$103,2,FALSE),"Special Order")</f>
        <v>KP000666</v>
      </c>
      <c r="E571" s="494" t="str">
        <f>'[6]price list MAN'!E571</f>
        <v>CKD</v>
      </c>
      <c r="F571" s="11" t="str">
        <f>'[6]price list MAN'!F571</f>
        <v>2018-06-30</v>
      </c>
      <c r="G571" s="32">
        <f>'[6]price list MAN'!G571</f>
        <v>15.9</v>
      </c>
      <c r="H571" s="26">
        <f>'[6]price list MAN'!H571</f>
        <v>43039</v>
      </c>
      <c r="I571" s="51" t="str">
        <f t="shared" si="40"/>
        <v>2017Q4</v>
      </c>
      <c r="J571" s="177">
        <f>'[6]price list MAN'!J571</f>
        <v>1850000</v>
      </c>
      <c r="K571" s="177">
        <f>'[6]price list MAN'!P571</f>
        <v>1407000</v>
      </c>
      <c r="L571" s="177">
        <f>'[6]price list MAN'!R571</f>
        <v>1340000</v>
      </c>
      <c r="M571" s="174">
        <f>'[6]price list MAN'!S571</f>
        <v>1905000</v>
      </c>
      <c r="N571" s="174">
        <f>'[6]price list MAN'!Y571</f>
        <v>1464750</v>
      </c>
      <c r="O571" s="174">
        <f>'[6]price list MAN'!AA571</f>
        <v>1395000</v>
      </c>
      <c r="P571" s="68">
        <f t="shared" si="41"/>
        <v>0.26771653543307089</v>
      </c>
      <c r="Q571" s="62" t="e">
        <f>O571-#REF!</f>
        <v>#REF!</v>
      </c>
      <c r="W571" s="210"/>
      <c r="X571" s="210"/>
      <c r="Y571" s="210"/>
      <c r="Z571" s="210"/>
      <c r="AA571" s="210"/>
      <c r="AB571" s="210"/>
      <c r="AC571" s="210"/>
      <c r="AT571" s="425" t="str">
        <f t="shared" si="42"/>
        <v>KP0006662017Q415,9</v>
      </c>
      <c r="AU571" s="64" t="str">
        <f t="shared" si="43"/>
        <v>10-2017</v>
      </c>
      <c r="BA571" s="428" t="str">
        <f t="shared" si="44"/>
        <v>WIP - 30 Days</v>
      </c>
    </row>
    <row r="572" spans="2:53">
      <c r="B572" s="36">
        <f>'[6]price list MAN'!B572</f>
        <v>48743</v>
      </c>
      <c r="C572" s="10" t="str">
        <f>'[6]price list MAN'!C572</f>
        <v>TGS-26-4406X4BLS-LX-ALU</v>
      </c>
      <c r="D572" s="16" t="str">
        <f>IFERROR(VLOOKUP(C572&amp;"",'[7]Retail Price List'!$A$3:$B$103,2,FALSE),"Special Order")</f>
        <v>KP000666</v>
      </c>
      <c r="E572" s="494" t="str">
        <f>'[6]price list MAN'!E572</f>
        <v>CKD</v>
      </c>
      <c r="F572" s="11" t="str">
        <f>'[6]price list MAN'!F572</f>
        <v>2018-07-30</v>
      </c>
      <c r="G572" s="32">
        <f>'[6]price list MAN'!G572</f>
        <v>15.9</v>
      </c>
      <c r="H572" s="26">
        <f>'[6]price list MAN'!H572</f>
        <v>43039</v>
      </c>
      <c r="I572" s="51" t="str">
        <f t="shared" si="40"/>
        <v>2017Q4</v>
      </c>
      <c r="J572" s="177">
        <f>'[6]price list MAN'!J572</f>
        <v>1850000</v>
      </c>
      <c r="K572" s="177">
        <f>'[6]price list MAN'!P572</f>
        <v>1407000</v>
      </c>
      <c r="L572" s="177">
        <f>'[6]price list MAN'!R572</f>
        <v>1340000</v>
      </c>
      <c r="M572" s="174">
        <f>'[6]price list MAN'!S572</f>
        <v>1905000</v>
      </c>
      <c r="N572" s="174">
        <f>'[6]price list MAN'!Y572</f>
        <v>1464750</v>
      </c>
      <c r="O572" s="174">
        <f>'[6]price list MAN'!AA572</f>
        <v>1395000</v>
      </c>
      <c r="P572" s="68">
        <f t="shared" si="41"/>
        <v>0.26771653543307089</v>
      </c>
      <c r="Q572" s="62" t="e">
        <f>O572-#REF!</f>
        <v>#REF!</v>
      </c>
      <c r="W572" s="210"/>
      <c r="X572" s="210"/>
      <c r="Y572" s="210"/>
      <c r="Z572" s="210"/>
      <c r="AA572" s="210"/>
      <c r="AB572" s="210"/>
      <c r="AC572" s="210"/>
      <c r="AT572" s="425" t="str">
        <f t="shared" si="42"/>
        <v>KP0006662017Q415,9</v>
      </c>
      <c r="AU572" s="64" t="str">
        <f t="shared" si="43"/>
        <v>10-2017</v>
      </c>
      <c r="BA572" s="428" t="str">
        <f t="shared" si="44"/>
        <v>WIP - 30 Days</v>
      </c>
    </row>
    <row r="573" spans="2:53">
      <c r="B573" s="36">
        <f>'[6]price list MAN'!B573</f>
        <v>48744</v>
      </c>
      <c r="C573" s="10" t="str">
        <f>'[6]price list MAN'!C573</f>
        <v>TGS-26-4406X4BLS-LX-ALU</v>
      </c>
      <c r="D573" s="16" t="str">
        <f>IFERROR(VLOOKUP(C573&amp;"",'[7]Retail Price List'!$A$3:$B$103,2,FALSE),"Special Order")</f>
        <v>KP000666</v>
      </c>
      <c r="E573" s="494" t="str">
        <f>'[6]price list MAN'!E573</f>
        <v>CKD</v>
      </c>
      <c r="F573" s="11" t="str">
        <f>'[6]price list MAN'!F573</f>
        <v>2018-07-30</v>
      </c>
      <c r="G573" s="32">
        <f>'[6]price list MAN'!G573</f>
        <v>15.9</v>
      </c>
      <c r="H573" s="26">
        <f>'[6]price list MAN'!H573</f>
        <v>43039</v>
      </c>
      <c r="I573" s="51" t="str">
        <f t="shared" si="40"/>
        <v>2017Q4</v>
      </c>
      <c r="J573" s="177">
        <f>'[6]price list MAN'!J573</f>
        <v>1850000</v>
      </c>
      <c r="K573" s="177">
        <f>'[6]price list MAN'!P573</f>
        <v>1407000</v>
      </c>
      <c r="L573" s="177">
        <f>'[6]price list MAN'!R573</f>
        <v>1340000</v>
      </c>
      <c r="M573" s="174">
        <f>'[6]price list MAN'!S573</f>
        <v>1905000</v>
      </c>
      <c r="N573" s="174">
        <f>'[6]price list MAN'!Y573</f>
        <v>1464750</v>
      </c>
      <c r="O573" s="174">
        <f>'[6]price list MAN'!AA573</f>
        <v>1395000</v>
      </c>
      <c r="P573" s="68">
        <f t="shared" si="41"/>
        <v>0.26771653543307089</v>
      </c>
      <c r="Q573" s="62" t="e">
        <f>O573-#REF!</f>
        <v>#REF!</v>
      </c>
      <c r="W573" s="210"/>
      <c r="X573" s="210"/>
      <c r="Y573" s="210"/>
      <c r="Z573" s="210"/>
      <c r="AA573" s="210"/>
      <c r="AB573" s="210"/>
      <c r="AC573" s="210"/>
      <c r="AT573" s="425" t="str">
        <f t="shared" si="42"/>
        <v>KP0006662017Q415,9</v>
      </c>
      <c r="AU573" s="64" t="str">
        <f t="shared" si="43"/>
        <v>10-2017</v>
      </c>
      <c r="BA573" s="428" t="str">
        <f t="shared" si="44"/>
        <v>WIP - 30 Days</v>
      </c>
    </row>
    <row r="574" spans="2:53">
      <c r="B574" s="36">
        <f>'[6]price list MAN'!B574</f>
        <v>48745</v>
      </c>
      <c r="C574" s="10" t="str">
        <f>'[6]price list MAN'!C574</f>
        <v>TGS-26-4406X4BLS-LX-ALU</v>
      </c>
      <c r="D574" s="16" t="str">
        <f>IFERROR(VLOOKUP(C574&amp;"",'[7]Retail Price List'!$A$3:$B$103,2,FALSE),"Special Order")</f>
        <v>KP000666</v>
      </c>
      <c r="E574" s="494" t="str">
        <f>'[6]price list MAN'!E574</f>
        <v>CKD</v>
      </c>
      <c r="F574" s="11" t="str">
        <f>'[6]price list MAN'!F574</f>
        <v>2018-07-30</v>
      </c>
      <c r="G574" s="32">
        <f>'[6]price list MAN'!G574</f>
        <v>15.9</v>
      </c>
      <c r="H574" s="26">
        <f>'[6]price list MAN'!H574</f>
        <v>43039</v>
      </c>
      <c r="I574" s="51" t="str">
        <f t="shared" si="40"/>
        <v>2017Q4</v>
      </c>
      <c r="J574" s="177">
        <f>'[6]price list MAN'!J574</f>
        <v>1850000</v>
      </c>
      <c r="K574" s="177">
        <f>'[6]price list MAN'!P574</f>
        <v>1407000</v>
      </c>
      <c r="L574" s="177">
        <f>'[6]price list MAN'!R574</f>
        <v>1340000</v>
      </c>
      <c r="M574" s="174">
        <f>'[6]price list MAN'!S574</f>
        <v>1905000</v>
      </c>
      <c r="N574" s="174">
        <f>'[6]price list MAN'!Y574</f>
        <v>1464750</v>
      </c>
      <c r="O574" s="174">
        <f>'[6]price list MAN'!AA574</f>
        <v>1395000</v>
      </c>
      <c r="P574" s="68">
        <f t="shared" si="41"/>
        <v>0.26771653543307089</v>
      </c>
      <c r="Q574" s="62" t="e">
        <f>O574-#REF!</f>
        <v>#REF!</v>
      </c>
      <c r="W574" s="210"/>
      <c r="X574" s="210"/>
      <c r="Y574" s="210"/>
      <c r="Z574" s="210"/>
      <c r="AA574" s="210"/>
      <c r="AB574" s="210"/>
      <c r="AC574" s="210"/>
      <c r="AT574" s="425" t="str">
        <f t="shared" si="42"/>
        <v>KP0006662017Q415,9</v>
      </c>
      <c r="AU574" s="64" t="str">
        <f t="shared" si="43"/>
        <v>10-2017</v>
      </c>
      <c r="BA574" s="428" t="str">
        <f t="shared" si="44"/>
        <v>WIP - 30 Days</v>
      </c>
    </row>
    <row r="575" spans="2:53">
      <c r="B575" s="36">
        <f>'[6]price list MAN'!B575</f>
        <v>48746</v>
      </c>
      <c r="C575" s="10" t="str">
        <f>'[6]price list MAN'!C575</f>
        <v>TGS-26-4406X4BLS-LX-ALU</v>
      </c>
      <c r="D575" s="16" t="str">
        <f>IFERROR(VLOOKUP(C575&amp;"",'[7]Retail Price List'!$A$3:$B$103,2,FALSE),"Special Order")</f>
        <v>KP000666</v>
      </c>
      <c r="E575" s="494" t="str">
        <f>'[6]price list MAN'!E575</f>
        <v>CKD</v>
      </c>
      <c r="F575" s="11" t="str">
        <f>'[6]price list MAN'!F575</f>
        <v>2018-07-30</v>
      </c>
      <c r="G575" s="32">
        <f>'[6]price list MAN'!G575</f>
        <v>15.9</v>
      </c>
      <c r="H575" s="26">
        <f>'[6]price list MAN'!H575</f>
        <v>43039</v>
      </c>
      <c r="I575" s="51" t="str">
        <f t="shared" si="40"/>
        <v>2017Q4</v>
      </c>
      <c r="J575" s="177">
        <f>'[6]price list MAN'!J575</f>
        <v>1850000</v>
      </c>
      <c r="K575" s="177">
        <f>'[6]price list MAN'!P575</f>
        <v>1407000</v>
      </c>
      <c r="L575" s="177">
        <f>'[6]price list MAN'!R575</f>
        <v>1340000</v>
      </c>
      <c r="M575" s="174">
        <f>'[6]price list MAN'!S575</f>
        <v>1905000</v>
      </c>
      <c r="N575" s="174">
        <f>'[6]price list MAN'!Y575</f>
        <v>1464750</v>
      </c>
      <c r="O575" s="174">
        <f>'[6]price list MAN'!AA575</f>
        <v>1395000</v>
      </c>
      <c r="P575" s="68">
        <f t="shared" si="41"/>
        <v>0.26771653543307089</v>
      </c>
      <c r="Q575" s="62" t="e">
        <f>O575-#REF!</f>
        <v>#REF!</v>
      </c>
      <c r="W575" s="210"/>
      <c r="X575" s="210"/>
      <c r="Y575" s="210"/>
      <c r="Z575" s="210"/>
      <c r="AA575" s="210"/>
      <c r="AB575" s="210"/>
      <c r="AC575" s="210"/>
      <c r="AT575" s="425" t="str">
        <f t="shared" si="42"/>
        <v>KP0006662017Q415,9</v>
      </c>
      <c r="AU575" s="64" t="str">
        <f t="shared" si="43"/>
        <v>10-2017</v>
      </c>
      <c r="BA575" s="428" t="str">
        <f t="shared" si="44"/>
        <v>WIP - 30 Days</v>
      </c>
    </row>
    <row r="576" spans="2:53">
      <c r="B576" s="36">
        <f>'[6]price list MAN'!B576</f>
        <v>48747</v>
      </c>
      <c r="C576" s="10" t="str">
        <f>'[6]price list MAN'!C576</f>
        <v>TGS-26-4406X4BLS-LX-ALU</v>
      </c>
      <c r="D576" s="16" t="str">
        <f>IFERROR(VLOOKUP(C576&amp;"",'[7]Retail Price List'!$A$3:$B$103,2,FALSE),"Special Order")</f>
        <v>KP000666</v>
      </c>
      <c r="E576" s="494" t="str">
        <f>'[6]price list MAN'!E576</f>
        <v>CKD</v>
      </c>
      <c r="F576" s="11" t="str">
        <f>'[6]price list MAN'!F576</f>
        <v>2018-07-30</v>
      </c>
      <c r="G576" s="32">
        <f>'[6]price list MAN'!G576</f>
        <v>15.9</v>
      </c>
      <c r="H576" s="26">
        <f>'[6]price list MAN'!H576</f>
        <v>43039</v>
      </c>
      <c r="I576" s="51" t="str">
        <f t="shared" si="40"/>
        <v>2017Q4</v>
      </c>
      <c r="J576" s="177">
        <f>'[6]price list MAN'!J576</f>
        <v>1850000</v>
      </c>
      <c r="K576" s="177">
        <f>'[6]price list MAN'!P576</f>
        <v>1407000</v>
      </c>
      <c r="L576" s="177">
        <f>'[6]price list MAN'!R576</f>
        <v>1340000</v>
      </c>
      <c r="M576" s="174">
        <f>'[6]price list MAN'!S576</f>
        <v>1905000</v>
      </c>
      <c r="N576" s="174">
        <f>'[6]price list MAN'!Y576</f>
        <v>1464750</v>
      </c>
      <c r="O576" s="174">
        <f>'[6]price list MAN'!AA576</f>
        <v>1395000</v>
      </c>
      <c r="P576" s="68">
        <f t="shared" si="41"/>
        <v>0.26771653543307089</v>
      </c>
      <c r="Q576" s="62" t="e">
        <f>O576-#REF!</f>
        <v>#REF!</v>
      </c>
      <c r="W576" s="210"/>
      <c r="X576" s="210"/>
      <c r="Y576" s="210"/>
      <c r="Z576" s="210"/>
      <c r="AA576" s="210"/>
      <c r="AB576" s="210"/>
      <c r="AC576" s="210"/>
      <c r="AT576" s="425" t="str">
        <f t="shared" si="42"/>
        <v>KP0006662017Q415,9</v>
      </c>
      <c r="AU576" s="64" t="str">
        <f t="shared" si="43"/>
        <v>10-2017</v>
      </c>
      <c r="BA576" s="428" t="str">
        <f t="shared" si="44"/>
        <v>WIP - 30 Days</v>
      </c>
    </row>
    <row r="577" spans="2:53">
      <c r="B577" s="36">
        <f>'[6]price list MAN'!B577</f>
        <v>48748</v>
      </c>
      <c r="C577" s="10" t="str">
        <f>'[6]price list MAN'!C577</f>
        <v>TGS-26-4406X4BLS-LX-ALU</v>
      </c>
      <c r="D577" s="16" t="str">
        <f>IFERROR(VLOOKUP(C577&amp;"",'[7]Retail Price List'!$A$3:$B$103,2,FALSE),"Special Order")</f>
        <v>KP000666</v>
      </c>
      <c r="E577" s="494" t="str">
        <f>'[6]price list MAN'!E577</f>
        <v>CKD</v>
      </c>
      <c r="F577" s="11" t="str">
        <f>'[6]price list MAN'!F577</f>
        <v>2018-07-30</v>
      </c>
      <c r="G577" s="32">
        <f>'[6]price list MAN'!G577</f>
        <v>15.9</v>
      </c>
      <c r="H577" s="26">
        <f>'[6]price list MAN'!H577</f>
        <v>43039</v>
      </c>
      <c r="I577" s="51" t="str">
        <f t="shared" si="40"/>
        <v>2017Q4</v>
      </c>
      <c r="J577" s="177">
        <f>'[6]price list MAN'!J577</f>
        <v>1850000</v>
      </c>
      <c r="K577" s="177">
        <f>'[6]price list MAN'!P577</f>
        <v>1407000</v>
      </c>
      <c r="L577" s="177">
        <f>'[6]price list MAN'!R577</f>
        <v>1340000</v>
      </c>
      <c r="M577" s="174">
        <f>'[6]price list MAN'!S577</f>
        <v>1905000</v>
      </c>
      <c r="N577" s="174">
        <f>'[6]price list MAN'!Y577</f>
        <v>1464750</v>
      </c>
      <c r="O577" s="174">
        <f>'[6]price list MAN'!AA577</f>
        <v>1395000</v>
      </c>
      <c r="P577" s="68">
        <f t="shared" si="41"/>
        <v>0.26771653543307089</v>
      </c>
      <c r="Q577" s="62" t="e">
        <f>O577-#REF!</f>
        <v>#REF!</v>
      </c>
      <c r="W577" s="210"/>
      <c r="X577" s="210"/>
      <c r="Y577" s="210"/>
      <c r="Z577" s="210"/>
      <c r="AA577" s="210"/>
      <c r="AB577" s="210"/>
      <c r="AC577" s="210"/>
      <c r="AT577" s="425" t="str">
        <f t="shared" si="42"/>
        <v>KP0006662017Q415,9</v>
      </c>
      <c r="AU577" s="64" t="str">
        <f t="shared" si="43"/>
        <v>10-2017</v>
      </c>
      <c r="BA577" s="428" t="str">
        <f t="shared" si="44"/>
        <v>WIP - 30 Days</v>
      </c>
    </row>
    <row r="578" spans="2:53">
      <c r="B578" s="36">
        <f>'[6]price list MAN'!B578</f>
        <v>48749</v>
      </c>
      <c r="C578" s="10" t="str">
        <f>'[6]price list MAN'!C578</f>
        <v>TGS-26-4406X4BLS-LX-ALU</v>
      </c>
      <c r="D578" s="16" t="str">
        <f>IFERROR(VLOOKUP(C578&amp;"",'[7]Retail Price List'!$A$3:$B$103,2,FALSE),"Special Order")</f>
        <v>KP000666</v>
      </c>
      <c r="E578" s="494" t="str">
        <f>'[6]price list MAN'!E578</f>
        <v>CKD</v>
      </c>
      <c r="F578" s="11" t="str">
        <f>'[6]price list MAN'!F578</f>
        <v>2018-07-30</v>
      </c>
      <c r="G578" s="32">
        <f>'[6]price list MAN'!G578</f>
        <v>15.9</v>
      </c>
      <c r="H578" s="26">
        <f>'[6]price list MAN'!H578</f>
        <v>43039</v>
      </c>
      <c r="I578" s="51" t="str">
        <f t="shared" si="40"/>
        <v>2017Q4</v>
      </c>
      <c r="J578" s="177">
        <f>'[6]price list MAN'!J578</f>
        <v>1850000</v>
      </c>
      <c r="K578" s="177">
        <f>'[6]price list MAN'!P578</f>
        <v>1407000</v>
      </c>
      <c r="L578" s="177">
        <f>'[6]price list MAN'!R578</f>
        <v>1340000</v>
      </c>
      <c r="M578" s="174">
        <f>'[6]price list MAN'!S578</f>
        <v>1905000</v>
      </c>
      <c r="N578" s="174">
        <f>'[6]price list MAN'!Y578</f>
        <v>1464750</v>
      </c>
      <c r="O578" s="174">
        <f>'[6]price list MAN'!AA578</f>
        <v>1395000</v>
      </c>
      <c r="P578" s="68">
        <f t="shared" si="41"/>
        <v>0.26771653543307089</v>
      </c>
      <c r="Q578" s="62" t="e">
        <f>O578-#REF!</f>
        <v>#REF!</v>
      </c>
      <c r="W578" s="210"/>
      <c r="X578" s="210"/>
      <c r="Y578" s="210"/>
      <c r="Z578" s="210"/>
      <c r="AA578" s="210"/>
      <c r="AB578" s="210"/>
      <c r="AC578" s="210"/>
      <c r="AT578" s="425" t="str">
        <f t="shared" si="42"/>
        <v>KP0006662017Q415,9</v>
      </c>
      <c r="AU578" s="64" t="str">
        <f t="shared" si="43"/>
        <v>10-2017</v>
      </c>
      <c r="BA578" s="428" t="str">
        <f t="shared" si="44"/>
        <v>WIP - 30 Days</v>
      </c>
    </row>
    <row r="579" spans="2:53">
      <c r="B579" s="36">
        <f>'[6]price list MAN'!B579</f>
        <v>48750</v>
      </c>
      <c r="C579" s="10" t="str">
        <f>'[6]price list MAN'!C579</f>
        <v>TGS-26-4406X4BLS-LX-ALU</v>
      </c>
      <c r="D579" s="16" t="str">
        <f>IFERROR(VLOOKUP(C579&amp;"",'[7]Retail Price List'!$A$3:$B$103,2,FALSE),"Special Order")</f>
        <v>KP000666</v>
      </c>
      <c r="E579" s="494" t="str">
        <f>'[6]price list MAN'!E579</f>
        <v>CKD</v>
      </c>
      <c r="F579" s="11" t="str">
        <f>'[6]price list MAN'!F579</f>
        <v>2018-07-30</v>
      </c>
      <c r="G579" s="32">
        <f>'[6]price list MAN'!G579</f>
        <v>15.9</v>
      </c>
      <c r="H579" s="26">
        <f>'[6]price list MAN'!H579</f>
        <v>43039</v>
      </c>
      <c r="I579" s="51" t="str">
        <f t="shared" si="40"/>
        <v>2017Q4</v>
      </c>
      <c r="J579" s="177">
        <f>'[6]price list MAN'!J579</f>
        <v>1850000</v>
      </c>
      <c r="K579" s="177">
        <f>'[6]price list MAN'!P579</f>
        <v>1407000</v>
      </c>
      <c r="L579" s="177">
        <f>'[6]price list MAN'!R579</f>
        <v>1340000</v>
      </c>
      <c r="M579" s="174">
        <f>'[6]price list MAN'!S579</f>
        <v>1905000</v>
      </c>
      <c r="N579" s="174">
        <f>'[6]price list MAN'!Y579</f>
        <v>1464750</v>
      </c>
      <c r="O579" s="174">
        <f>'[6]price list MAN'!AA579</f>
        <v>1395000</v>
      </c>
      <c r="P579" s="68">
        <f t="shared" si="41"/>
        <v>0.26771653543307089</v>
      </c>
      <c r="Q579" s="62" t="e">
        <f>O579-#REF!</f>
        <v>#REF!</v>
      </c>
      <c r="W579" s="210"/>
      <c r="X579" s="210"/>
      <c r="Y579" s="210"/>
      <c r="Z579" s="210"/>
      <c r="AA579" s="210"/>
      <c r="AB579" s="210"/>
      <c r="AC579" s="210"/>
      <c r="AT579" s="425" t="str">
        <f t="shared" si="42"/>
        <v>KP0006662017Q415,9</v>
      </c>
      <c r="AU579" s="64" t="str">
        <f t="shared" si="43"/>
        <v>10-2017</v>
      </c>
      <c r="BA579" s="428" t="str">
        <f t="shared" si="44"/>
        <v>WIP - 30 Days</v>
      </c>
    </row>
    <row r="580" spans="2:53">
      <c r="B580" s="36">
        <f>'[6]price list MAN'!B580</f>
        <v>48751</v>
      </c>
      <c r="C580" s="10" t="str">
        <f>'[6]price list MAN'!C580</f>
        <v>TGS-26-4406X4BLS-LX-ALU</v>
      </c>
      <c r="D580" s="16" t="str">
        <f>IFERROR(VLOOKUP(C580&amp;"",'[7]Retail Price List'!$A$3:$B$103,2,FALSE),"Special Order")</f>
        <v>KP000666</v>
      </c>
      <c r="E580" s="494" t="str">
        <f>'[6]price list MAN'!E580</f>
        <v>CKD</v>
      </c>
      <c r="F580" s="11" t="str">
        <f>'[6]price list MAN'!F580</f>
        <v>2018-07-30</v>
      </c>
      <c r="G580" s="32">
        <f>'[6]price list MAN'!G580</f>
        <v>15.9</v>
      </c>
      <c r="H580" s="26">
        <f>'[6]price list MAN'!H580</f>
        <v>43039</v>
      </c>
      <c r="I580" s="51" t="str">
        <f t="shared" si="40"/>
        <v>2017Q4</v>
      </c>
      <c r="J580" s="177">
        <f>'[6]price list MAN'!J580</f>
        <v>1850000</v>
      </c>
      <c r="K580" s="177">
        <f>'[6]price list MAN'!P580</f>
        <v>1407000</v>
      </c>
      <c r="L580" s="177">
        <f>'[6]price list MAN'!R580</f>
        <v>1340000</v>
      </c>
      <c r="M580" s="174">
        <f>'[6]price list MAN'!S580</f>
        <v>1905000</v>
      </c>
      <c r="N580" s="174">
        <f>'[6]price list MAN'!Y580</f>
        <v>1464750</v>
      </c>
      <c r="O580" s="174">
        <f>'[6]price list MAN'!AA580</f>
        <v>1395000</v>
      </c>
      <c r="P580" s="68">
        <f t="shared" si="41"/>
        <v>0.26771653543307089</v>
      </c>
      <c r="Q580" s="62" t="e">
        <f>O580-#REF!</f>
        <v>#REF!</v>
      </c>
      <c r="W580" s="210"/>
      <c r="X580" s="210"/>
      <c r="Y580" s="210"/>
      <c r="Z580" s="210"/>
      <c r="AA580" s="210"/>
      <c r="AB580" s="210"/>
      <c r="AC580" s="210"/>
      <c r="AT580" s="425" t="str">
        <f t="shared" si="42"/>
        <v>KP0006662017Q415,9</v>
      </c>
      <c r="AU580" s="64" t="str">
        <f t="shared" si="43"/>
        <v>10-2017</v>
      </c>
      <c r="BA580" s="428" t="str">
        <f t="shared" si="44"/>
        <v>WIP - 30 Days</v>
      </c>
    </row>
    <row r="581" spans="2:53">
      <c r="B581" s="36">
        <f>'[6]price list MAN'!B581</f>
        <v>48752</v>
      </c>
      <c r="C581" s="10" t="str">
        <f>'[6]price list MAN'!C581</f>
        <v>TGS-26-4406X4BLS-LX-ALU</v>
      </c>
      <c r="D581" s="16" t="str">
        <f>IFERROR(VLOOKUP(C581&amp;"",'[7]Retail Price List'!$A$3:$B$103,2,FALSE),"Special Order")</f>
        <v>KP000666</v>
      </c>
      <c r="E581" s="494" t="str">
        <f>'[6]price list MAN'!E581</f>
        <v>CKD</v>
      </c>
      <c r="F581" s="11" t="str">
        <f>'[6]price list MAN'!F581</f>
        <v>2018-07-30</v>
      </c>
      <c r="G581" s="32">
        <f>'[6]price list MAN'!G581</f>
        <v>15.9</v>
      </c>
      <c r="H581" s="26">
        <f>'[6]price list MAN'!H581</f>
        <v>43039</v>
      </c>
      <c r="I581" s="51" t="str">
        <f t="shared" ref="I581:I644" si="45">IFERROR(VLOOKUP(AU581,$AW$5:$AY$40,3,FALSE),"")</f>
        <v>2017Q4</v>
      </c>
      <c r="J581" s="177">
        <f>'[6]price list MAN'!J581</f>
        <v>1850000</v>
      </c>
      <c r="K581" s="177">
        <f>'[6]price list MAN'!P581</f>
        <v>1407000</v>
      </c>
      <c r="L581" s="177">
        <f>'[6]price list MAN'!R581</f>
        <v>1340000</v>
      </c>
      <c r="M581" s="174">
        <f>'[6]price list MAN'!S581</f>
        <v>1905000</v>
      </c>
      <c r="N581" s="174">
        <f>'[6]price list MAN'!Y581</f>
        <v>1464750</v>
      </c>
      <c r="O581" s="174">
        <f>'[6]price list MAN'!AA581</f>
        <v>1395000</v>
      </c>
      <c r="P581" s="68">
        <f t="shared" ref="P581:P644" si="46">(M581-O581)/M581</f>
        <v>0.26771653543307089</v>
      </c>
      <c r="Q581" s="62" t="e">
        <f>O581-#REF!</f>
        <v>#REF!</v>
      </c>
      <c r="W581" s="210"/>
      <c r="X581" s="210"/>
      <c r="Y581" s="210"/>
      <c r="Z581" s="210"/>
      <c r="AA581" s="210"/>
      <c r="AB581" s="210"/>
      <c r="AC581" s="210"/>
      <c r="AT581" s="425" t="str">
        <f t="shared" ref="AT581:AT644" si="47">D581&amp;I581&amp;G581</f>
        <v>KP0006662017Q415,9</v>
      </c>
      <c r="AU581" s="64" t="str">
        <f t="shared" ref="AU581:AU644" si="48">IF(MONTH(H581)&lt;10,0&amp;MONTH(H581)&amp;"-"&amp;YEAR(H581),MONTH(H581)&amp;"-"&amp;YEAR(H581))</f>
        <v>10-2017</v>
      </c>
      <c r="BA581" s="428" t="str">
        <f t="shared" ref="BA581:BA644" si="49">IF(B581=0,"",IF(AND(F581&gt;=31,F581&lt;=120),"31-120 Days",IF(AND(F581&gt;=121,F581&lt;=365),"121-365 Days",IF(OR(E581="CKD",F581&lt;=30),"WIP - 30 Days","&gt;365 Days"))))</f>
        <v>WIP - 30 Days</v>
      </c>
    </row>
    <row r="582" spans="2:53">
      <c r="B582" s="36">
        <f>'[6]price list MAN'!B582</f>
        <v>48919</v>
      </c>
      <c r="C582" s="10" t="str">
        <f>'[6]price list MAN'!C582</f>
        <v>TGS-26-4406X4BLS-LX-ALU</v>
      </c>
      <c r="D582" s="16" t="str">
        <f>IFERROR(VLOOKUP(C582&amp;"",'[7]Retail Price List'!$A$3:$B$103,2,FALSE),"Special Order")</f>
        <v>KP000666</v>
      </c>
      <c r="E582" s="494" t="str">
        <f>'[6]price list MAN'!E582</f>
        <v>CKD</v>
      </c>
      <c r="F582" s="11" t="str">
        <f>'[6]price list MAN'!F582</f>
        <v>2018-08-30</v>
      </c>
      <c r="G582" s="32">
        <f>'[6]price list MAN'!G582</f>
        <v>15.9</v>
      </c>
      <c r="H582" s="26">
        <f>'[6]price list MAN'!H582</f>
        <v>43069</v>
      </c>
      <c r="I582" s="51" t="str">
        <f t="shared" si="45"/>
        <v>2017Q4</v>
      </c>
      <c r="J582" s="177">
        <f>'[6]price list MAN'!J582</f>
        <v>1850000</v>
      </c>
      <c r="K582" s="177">
        <f>'[6]price list MAN'!P582</f>
        <v>1407000</v>
      </c>
      <c r="L582" s="177">
        <f>'[6]price list MAN'!R582</f>
        <v>1340000</v>
      </c>
      <c r="M582" s="174">
        <f>'[6]price list MAN'!S582</f>
        <v>1905000</v>
      </c>
      <c r="N582" s="174">
        <f>'[6]price list MAN'!Y582</f>
        <v>1464750</v>
      </c>
      <c r="O582" s="174">
        <f>'[6]price list MAN'!AA582</f>
        <v>1395000</v>
      </c>
      <c r="P582" s="68">
        <f t="shared" si="46"/>
        <v>0.26771653543307089</v>
      </c>
      <c r="Q582" s="62" t="e">
        <f>O582-#REF!</f>
        <v>#REF!</v>
      </c>
      <c r="W582" s="210"/>
      <c r="X582" s="210"/>
      <c r="Y582" s="210"/>
      <c r="Z582" s="210"/>
      <c r="AA582" s="210"/>
      <c r="AB582" s="210"/>
      <c r="AC582" s="210"/>
      <c r="AT582" s="425" t="str">
        <f t="shared" si="47"/>
        <v>KP0006662017Q415,9</v>
      </c>
      <c r="AU582" s="64" t="str">
        <f t="shared" si="48"/>
        <v>11-2017</v>
      </c>
      <c r="BA582" s="428" t="str">
        <f t="shared" si="49"/>
        <v>WIP - 30 Days</v>
      </c>
    </row>
    <row r="583" spans="2:53">
      <c r="B583" s="36">
        <f>'[6]price list MAN'!B583</f>
        <v>48920</v>
      </c>
      <c r="C583" s="10" t="str">
        <f>'[6]price list MAN'!C583</f>
        <v>TGS-26-4406X4BLS-LX-ALU</v>
      </c>
      <c r="D583" s="16" t="str">
        <f>IFERROR(VLOOKUP(C583&amp;"",'[7]Retail Price List'!$A$3:$B$103,2,FALSE),"Special Order")</f>
        <v>KP000666</v>
      </c>
      <c r="E583" s="494" t="str">
        <f>'[6]price list MAN'!E583</f>
        <v>CKD</v>
      </c>
      <c r="F583" s="11" t="str">
        <f>'[6]price list MAN'!F583</f>
        <v>2018-08-30</v>
      </c>
      <c r="G583" s="32">
        <f>'[6]price list MAN'!G583</f>
        <v>15.9</v>
      </c>
      <c r="H583" s="26">
        <f>'[6]price list MAN'!H583</f>
        <v>43069</v>
      </c>
      <c r="I583" s="51" t="str">
        <f t="shared" si="45"/>
        <v>2017Q4</v>
      </c>
      <c r="J583" s="177">
        <f>'[6]price list MAN'!J583</f>
        <v>1850000</v>
      </c>
      <c r="K583" s="177">
        <f>'[6]price list MAN'!P583</f>
        <v>1407000</v>
      </c>
      <c r="L583" s="177">
        <f>'[6]price list MAN'!R583</f>
        <v>1340000</v>
      </c>
      <c r="M583" s="174">
        <f>'[6]price list MAN'!S583</f>
        <v>1905000</v>
      </c>
      <c r="N583" s="174">
        <f>'[6]price list MAN'!Y583</f>
        <v>1464750</v>
      </c>
      <c r="O583" s="174">
        <f>'[6]price list MAN'!AA583</f>
        <v>1395000</v>
      </c>
      <c r="P583" s="68">
        <f t="shared" si="46"/>
        <v>0.26771653543307089</v>
      </c>
      <c r="Q583" s="62" t="e">
        <f>O583-#REF!</f>
        <v>#REF!</v>
      </c>
      <c r="W583" s="210"/>
      <c r="X583" s="210"/>
      <c r="Y583" s="210"/>
      <c r="Z583" s="210"/>
      <c r="AA583" s="210"/>
      <c r="AB583" s="210"/>
      <c r="AC583" s="210"/>
      <c r="AT583" s="425" t="str">
        <f t="shared" si="47"/>
        <v>KP0006662017Q415,9</v>
      </c>
      <c r="AU583" s="64" t="str">
        <f t="shared" si="48"/>
        <v>11-2017</v>
      </c>
      <c r="BA583" s="428" t="str">
        <f t="shared" si="49"/>
        <v>WIP - 30 Days</v>
      </c>
    </row>
    <row r="584" spans="2:53">
      <c r="B584" s="36">
        <f>'[6]price list MAN'!B584</f>
        <v>48921</v>
      </c>
      <c r="C584" s="10" t="str">
        <f>'[6]price list MAN'!C584</f>
        <v>TGS-26-4406X4BLS-LX-ALU</v>
      </c>
      <c r="D584" s="16" t="str">
        <f>IFERROR(VLOOKUP(C584&amp;"",'[7]Retail Price List'!$A$3:$B$103,2,FALSE),"Special Order")</f>
        <v>KP000666</v>
      </c>
      <c r="E584" s="494" t="str">
        <f>'[6]price list MAN'!E584</f>
        <v>CKD</v>
      </c>
      <c r="F584" s="11" t="str">
        <f>'[6]price list MAN'!F584</f>
        <v>2018-08-30</v>
      </c>
      <c r="G584" s="32">
        <f>'[6]price list MAN'!G584</f>
        <v>15.9</v>
      </c>
      <c r="H584" s="26">
        <f>'[6]price list MAN'!H584</f>
        <v>43069</v>
      </c>
      <c r="I584" s="51" t="str">
        <f t="shared" si="45"/>
        <v>2017Q4</v>
      </c>
      <c r="J584" s="177">
        <f>'[6]price list MAN'!J584</f>
        <v>1850000</v>
      </c>
      <c r="K584" s="177">
        <f>'[6]price list MAN'!P584</f>
        <v>1407000</v>
      </c>
      <c r="L584" s="177">
        <f>'[6]price list MAN'!R584</f>
        <v>1340000</v>
      </c>
      <c r="M584" s="174">
        <f>'[6]price list MAN'!S584</f>
        <v>1905000</v>
      </c>
      <c r="N584" s="174">
        <f>'[6]price list MAN'!Y584</f>
        <v>1464750</v>
      </c>
      <c r="O584" s="174">
        <f>'[6]price list MAN'!AA584</f>
        <v>1395000</v>
      </c>
      <c r="P584" s="68">
        <f t="shared" si="46"/>
        <v>0.26771653543307089</v>
      </c>
      <c r="Q584" s="62" t="e">
        <f>O584-#REF!</f>
        <v>#REF!</v>
      </c>
      <c r="W584" s="210"/>
      <c r="X584" s="210"/>
      <c r="Y584" s="210"/>
      <c r="Z584" s="210"/>
      <c r="AA584" s="210"/>
      <c r="AB584" s="210"/>
      <c r="AC584" s="210"/>
      <c r="AT584" s="425" t="str">
        <f t="shared" si="47"/>
        <v>KP0006662017Q415,9</v>
      </c>
      <c r="AU584" s="64" t="str">
        <f t="shared" si="48"/>
        <v>11-2017</v>
      </c>
      <c r="BA584" s="428" t="str">
        <f t="shared" si="49"/>
        <v>WIP - 30 Days</v>
      </c>
    </row>
    <row r="585" spans="2:53">
      <c r="B585" s="36">
        <f>'[6]price list MAN'!B585</f>
        <v>48922</v>
      </c>
      <c r="C585" s="10" t="str">
        <f>'[6]price list MAN'!C585</f>
        <v>TGS-26-4406X4BLS-LX-ALU</v>
      </c>
      <c r="D585" s="16" t="str">
        <f>IFERROR(VLOOKUP(C585&amp;"",'[7]Retail Price List'!$A$3:$B$103,2,FALSE),"Special Order")</f>
        <v>KP000666</v>
      </c>
      <c r="E585" s="494" t="str">
        <f>'[6]price list MAN'!E585</f>
        <v>CKD</v>
      </c>
      <c r="F585" s="11" t="str">
        <f>'[6]price list MAN'!F585</f>
        <v>2018-08-30</v>
      </c>
      <c r="G585" s="32">
        <f>'[6]price list MAN'!G585</f>
        <v>15.9</v>
      </c>
      <c r="H585" s="26">
        <f>'[6]price list MAN'!H585</f>
        <v>43069</v>
      </c>
      <c r="I585" s="51" t="str">
        <f t="shared" si="45"/>
        <v>2017Q4</v>
      </c>
      <c r="J585" s="177">
        <f>'[6]price list MAN'!J585</f>
        <v>1850000</v>
      </c>
      <c r="K585" s="177">
        <f>'[6]price list MAN'!P585</f>
        <v>1407000</v>
      </c>
      <c r="L585" s="177">
        <f>'[6]price list MAN'!R585</f>
        <v>1340000</v>
      </c>
      <c r="M585" s="174">
        <f>'[6]price list MAN'!S585</f>
        <v>1905000</v>
      </c>
      <c r="N585" s="174">
        <f>'[6]price list MAN'!Y585</f>
        <v>1464750</v>
      </c>
      <c r="O585" s="174">
        <f>'[6]price list MAN'!AA585</f>
        <v>1395000</v>
      </c>
      <c r="P585" s="68">
        <f t="shared" si="46"/>
        <v>0.26771653543307089</v>
      </c>
      <c r="Q585" s="62" t="e">
        <f>O585-#REF!</f>
        <v>#REF!</v>
      </c>
      <c r="W585" s="210"/>
      <c r="X585" s="210"/>
      <c r="Y585" s="210"/>
      <c r="Z585" s="210"/>
      <c r="AA585" s="210"/>
      <c r="AB585" s="210"/>
      <c r="AC585" s="210"/>
      <c r="AT585" s="425" t="str">
        <f t="shared" si="47"/>
        <v>KP0006662017Q415,9</v>
      </c>
      <c r="AU585" s="64" t="str">
        <f t="shared" si="48"/>
        <v>11-2017</v>
      </c>
      <c r="BA585" s="428" t="str">
        <f t="shared" si="49"/>
        <v>WIP - 30 Days</v>
      </c>
    </row>
    <row r="586" spans="2:53">
      <c r="B586" s="36">
        <f>'[6]price list MAN'!B586</f>
        <v>48923</v>
      </c>
      <c r="C586" s="10" t="str">
        <f>'[6]price list MAN'!C586</f>
        <v>TGS-26-4406X4BLS-LX-ALU</v>
      </c>
      <c r="D586" s="16" t="str">
        <f>IFERROR(VLOOKUP(C586&amp;"",'[7]Retail Price List'!$A$3:$B$103,2,FALSE),"Special Order")</f>
        <v>KP000666</v>
      </c>
      <c r="E586" s="494" t="str">
        <f>'[6]price list MAN'!E586</f>
        <v>CKD</v>
      </c>
      <c r="F586" s="11" t="str">
        <f>'[6]price list MAN'!F586</f>
        <v>2018-09-30</v>
      </c>
      <c r="G586" s="32">
        <f>'[6]price list MAN'!G586</f>
        <v>15.9</v>
      </c>
      <c r="H586" s="26">
        <f>'[6]price list MAN'!H586</f>
        <v>43069</v>
      </c>
      <c r="I586" s="51" t="str">
        <f t="shared" si="45"/>
        <v>2017Q4</v>
      </c>
      <c r="J586" s="177">
        <f>'[6]price list MAN'!J586</f>
        <v>1850000</v>
      </c>
      <c r="K586" s="177">
        <f>'[6]price list MAN'!P586</f>
        <v>1407000</v>
      </c>
      <c r="L586" s="177">
        <f>'[6]price list MAN'!R586</f>
        <v>1340000</v>
      </c>
      <c r="M586" s="174">
        <f>'[6]price list MAN'!S586</f>
        <v>1905000</v>
      </c>
      <c r="N586" s="174">
        <f>'[6]price list MAN'!Y586</f>
        <v>1464750</v>
      </c>
      <c r="O586" s="174">
        <f>'[6]price list MAN'!AA586</f>
        <v>1395000</v>
      </c>
      <c r="P586" s="68">
        <f t="shared" si="46"/>
        <v>0.26771653543307089</v>
      </c>
      <c r="Q586" s="62" t="e">
        <f>O586-#REF!</f>
        <v>#REF!</v>
      </c>
      <c r="W586" s="210"/>
      <c r="X586" s="210"/>
      <c r="Y586" s="210"/>
      <c r="Z586" s="210"/>
      <c r="AA586" s="210"/>
      <c r="AB586" s="210"/>
      <c r="AC586" s="210"/>
      <c r="AT586" s="425" t="str">
        <f t="shared" si="47"/>
        <v>KP0006662017Q415,9</v>
      </c>
      <c r="AU586" s="64" t="str">
        <f t="shared" si="48"/>
        <v>11-2017</v>
      </c>
      <c r="BA586" s="428" t="str">
        <f t="shared" si="49"/>
        <v>WIP - 30 Days</v>
      </c>
    </row>
    <row r="587" spans="2:53">
      <c r="B587" s="36">
        <f>'[6]price list MAN'!B587</f>
        <v>48924</v>
      </c>
      <c r="C587" s="10" t="str">
        <f>'[6]price list MAN'!C587</f>
        <v>TGS-26-4406X4BLS-LX-ALU</v>
      </c>
      <c r="D587" s="16" t="str">
        <f>IFERROR(VLOOKUP(C587&amp;"",'[7]Retail Price List'!$A$3:$B$103,2,FALSE),"Special Order")</f>
        <v>KP000666</v>
      </c>
      <c r="E587" s="494" t="str">
        <f>'[6]price list MAN'!E587</f>
        <v>CKD</v>
      </c>
      <c r="F587" s="11" t="str">
        <f>'[6]price list MAN'!F587</f>
        <v>2018-09-30</v>
      </c>
      <c r="G587" s="32">
        <f>'[6]price list MAN'!G587</f>
        <v>15.9</v>
      </c>
      <c r="H587" s="26">
        <f>'[6]price list MAN'!H587</f>
        <v>43069</v>
      </c>
      <c r="I587" s="51" t="str">
        <f t="shared" si="45"/>
        <v>2017Q4</v>
      </c>
      <c r="J587" s="177">
        <f>'[6]price list MAN'!J587</f>
        <v>1850000</v>
      </c>
      <c r="K587" s="177">
        <f>'[6]price list MAN'!P587</f>
        <v>1407000</v>
      </c>
      <c r="L587" s="177">
        <f>'[6]price list MAN'!R587</f>
        <v>1340000</v>
      </c>
      <c r="M587" s="174">
        <f>'[6]price list MAN'!S587</f>
        <v>1905000</v>
      </c>
      <c r="N587" s="174">
        <f>'[6]price list MAN'!Y587</f>
        <v>1464750</v>
      </c>
      <c r="O587" s="174">
        <f>'[6]price list MAN'!AA587</f>
        <v>1395000</v>
      </c>
      <c r="P587" s="68">
        <f t="shared" si="46"/>
        <v>0.26771653543307089</v>
      </c>
      <c r="Q587" s="62" t="e">
        <f>O587-#REF!</f>
        <v>#REF!</v>
      </c>
      <c r="W587" s="210"/>
      <c r="X587" s="210"/>
      <c r="Y587" s="210"/>
      <c r="Z587" s="210"/>
      <c r="AA587" s="210"/>
      <c r="AB587" s="210"/>
      <c r="AC587" s="210"/>
      <c r="AT587" s="425" t="str">
        <f t="shared" si="47"/>
        <v>KP0006662017Q415,9</v>
      </c>
      <c r="AU587" s="64" t="str">
        <f t="shared" si="48"/>
        <v>11-2017</v>
      </c>
      <c r="BA587" s="428" t="str">
        <f t="shared" si="49"/>
        <v>WIP - 30 Days</v>
      </c>
    </row>
    <row r="588" spans="2:53">
      <c r="B588" s="36">
        <f>'[6]price list MAN'!B588</f>
        <v>48925</v>
      </c>
      <c r="C588" s="10" t="str">
        <f>'[6]price list MAN'!C588</f>
        <v>TGS-26-4406X4BLS-LX-ALU</v>
      </c>
      <c r="D588" s="16" t="str">
        <f>IFERROR(VLOOKUP(C588&amp;"",'[7]Retail Price List'!$A$3:$B$103,2,FALSE),"Special Order")</f>
        <v>KP000666</v>
      </c>
      <c r="E588" s="494" t="str">
        <f>'[6]price list MAN'!E588</f>
        <v>CKD</v>
      </c>
      <c r="F588" s="11" t="str">
        <f>'[6]price list MAN'!F588</f>
        <v>2018-07-30</v>
      </c>
      <c r="G588" s="32">
        <f>'[6]price list MAN'!G588</f>
        <v>15.9</v>
      </c>
      <c r="H588" s="26">
        <f>'[6]price list MAN'!H588</f>
        <v>43069</v>
      </c>
      <c r="I588" s="51" t="str">
        <f t="shared" si="45"/>
        <v>2017Q4</v>
      </c>
      <c r="J588" s="177">
        <f>'[6]price list MAN'!J588</f>
        <v>1850000</v>
      </c>
      <c r="K588" s="177">
        <f>'[6]price list MAN'!P588</f>
        <v>1407000</v>
      </c>
      <c r="L588" s="177">
        <f>'[6]price list MAN'!R588</f>
        <v>1340000</v>
      </c>
      <c r="M588" s="174">
        <f>'[6]price list MAN'!S588</f>
        <v>1905000</v>
      </c>
      <c r="N588" s="174">
        <f>'[6]price list MAN'!Y588</f>
        <v>1464750</v>
      </c>
      <c r="O588" s="174">
        <f>'[6]price list MAN'!AA588</f>
        <v>1395000</v>
      </c>
      <c r="P588" s="68">
        <f t="shared" si="46"/>
        <v>0.26771653543307089</v>
      </c>
      <c r="Q588" s="62" t="e">
        <f>O588-#REF!</f>
        <v>#REF!</v>
      </c>
      <c r="W588" s="210"/>
      <c r="X588" s="210"/>
      <c r="Y588" s="210"/>
      <c r="Z588" s="210"/>
      <c r="AA588" s="210"/>
      <c r="AB588" s="210"/>
      <c r="AC588" s="210"/>
      <c r="AT588" s="425" t="str">
        <f t="shared" si="47"/>
        <v>KP0006662017Q415,9</v>
      </c>
      <c r="AU588" s="64" t="str">
        <f t="shared" si="48"/>
        <v>11-2017</v>
      </c>
      <c r="BA588" s="428" t="str">
        <f t="shared" si="49"/>
        <v>WIP - 30 Days</v>
      </c>
    </row>
    <row r="589" spans="2:53">
      <c r="B589" s="36">
        <f>'[6]price list MAN'!B589</f>
        <v>48926</v>
      </c>
      <c r="C589" s="10" t="str">
        <f>'[6]price list MAN'!C589</f>
        <v>TGS-26-4406X4BLS-LX-ALU</v>
      </c>
      <c r="D589" s="16" t="str">
        <f>IFERROR(VLOOKUP(C589&amp;"",'[7]Retail Price List'!$A$3:$B$103,2,FALSE),"Special Order")</f>
        <v>KP000666</v>
      </c>
      <c r="E589" s="494" t="str">
        <f>'[6]price list MAN'!E589</f>
        <v>CKD</v>
      </c>
      <c r="F589" s="11" t="str">
        <f>'[6]price list MAN'!F589</f>
        <v>2018-09-30</v>
      </c>
      <c r="G589" s="32">
        <f>'[6]price list MAN'!G589</f>
        <v>15.9</v>
      </c>
      <c r="H589" s="26">
        <f>'[6]price list MAN'!H589</f>
        <v>43069</v>
      </c>
      <c r="I589" s="51" t="str">
        <f t="shared" si="45"/>
        <v>2017Q4</v>
      </c>
      <c r="J589" s="177">
        <f>'[6]price list MAN'!J589</f>
        <v>1850000</v>
      </c>
      <c r="K589" s="177">
        <f>'[6]price list MAN'!P589</f>
        <v>1407000</v>
      </c>
      <c r="L589" s="177">
        <f>'[6]price list MAN'!R589</f>
        <v>1340000</v>
      </c>
      <c r="M589" s="174">
        <f>'[6]price list MAN'!S589</f>
        <v>1905000</v>
      </c>
      <c r="N589" s="174">
        <f>'[6]price list MAN'!Y589</f>
        <v>1464750</v>
      </c>
      <c r="O589" s="174">
        <f>'[6]price list MAN'!AA589</f>
        <v>1395000</v>
      </c>
      <c r="P589" s="68">
        <f t="shared" si="46"/>
        <v>0.26771653543307089</v>
      </c>
      <c r="Q589" s="62" t="e">
        <f>O589-#REF!</f>
        <v>#REF!</v>
      </c>
      <c r="W589" s="210"/>
      <c r="X589" s="210"/>
      <c r="Y589" s="210"/>
      <c r="Z589" s="210"/>
      <c r="AA589" s="210"/>
      <c r="AB589" s="210"/>
      <c r="AC589" s="210"/>
      <c r="AT589" s="425" t="str">
        <f t="shared" si="47"/>
        <v>KP0006662017Q415,9</v>
      </c>
      <c r="AU589" s="64" t="str">
        <f t="shared" si="48"/>
        <v>11-2017</v>
      </c>
      <c r="BA589" s="428" t="str">
        <f t="shared" si="49"/>
        <v>WIP - 30 Days</v>
      </c>
    </row>
    <row r="590" spans="2:53">
      <c r="B590" s="36">
        <f>'[6]price list MAN'!B590</f>
        <v>48927</v>
      </c>
      <c r="C590" s="10" t="str">
        <f>'[6]price list MAN'!C590</f>
        <v>TGS-26-4406X4BLS-LX-ALU</v>
      </c>
      <c r="D590" s="16" t="str">
        <f>IFERROR(VLOOKUP(C590&amp;"",'[7]Retail Price List'!$A$3:$B$103,2,FALSE),"Special Order")</f>
        <v>KP000666</v>
      </c>
      <c r="E590" s="494" t="str">
        <f>'[6]price list MAN'!E590</f>
        <v>CKD</v>
      </c>
      <c r="F590" s="11" t="str">
        <f>'[6]price list MAN'!F590</f>
        <v>2018-10-30</v>
      </c>
      <c r="G590" s="32">
        <f>'[6]price list MAN'!G590</f>
        <v>15.9</v>
      </c>
      <c r="H590" s="26">
        <f>'[6]price list MAN'!H590</f>
        <v>43069</v>
      </c>
      <c r="I590" s="51" t="str">
        <f t="shared" si="45"/>
        <v>2017Q4</v>
      </c>
      <c r="J590" s="177">
        <f>'[6]price list MAN'!J590</f>
        <v>1850000</v>
      </c>
      <c r="K590" s="177">
        <f>'[6]price list MAN'!P590</f>
        <v>1407000</v>
      </c>
      <c r="L590" s="177">
        <f>'[6]price list MAN'!R590</f>
        <v>1340000</v>
      </c>
      <c r="M590" s="174">
        <f>'[6]price list MAN'!S590</f>
        <v>1905000</v>
      </c>
      <c r="N590" s="174">
        <f>'[6]price list MAN'!Y590</f>
        <v>1464750</v>
      </c>
      <c r="O590" s="174">
        <f>'[6]price list MAN'!AA590</f>
        <v>1395000</v>
      </c>
      <c r="P590" s="68">
        <f t="shared" si="46"/>
        <v>0.26771653543307089</v>
      </c>
      <c r="Q590" s="62" t="e">
        <f>O590-#REF!</f>
        <v>#REF!</v>
      </c>
      <c r="W590" s="210"/>
      <c r="X590" s="210"/>
      <c r="Y590" s="210"/>
      <c r="Z590" s="210"/>
      <c r="AA590" s="210"/>
      <c r="AB590" s="210"/>
      <c r="AC590" s="210"/>
      <c r="AT590" s="425" t="str">
        <f t="shared" si="47"/>
        <v>KP0006662017Q415,9</v>
      </c>
      <c r="AU590" s="64" t="str">
        <f t="shared" si="48"/>
        <v>11-2017</v>
      </c>
      <c r="BA590" s="428" t="str">
        <f t="shared" si="49"/>
        <v>WIP - 30 Days</v>
      </c>
    </row>
    <row r="591" spans="2:53">
      <c r="B591" s="36">
        <f>'[6]price list MAN'!B591</f>
        <v>48928</v>
      </c>
      <c r="C591" s="10" t="str">
        <f>'[6]price list MAN'!C591</f>
        <v>TGS-26-4406X4BLS-LX-ALU</v>
      </c>
      <c r="D591" s="16" t="str">
        <f>IFERROR(VLOOKUP(C591&amp;"",'[7]Retail Price List'!$A$3:$B$103,2,FALSE),"Special Order")</f>
        <v>KP000666</v>
      </c>
      <c r="E591" s="494" t="str">
        <f>'[6]price list MAN'!E591</f>
        <v>CKD</v>
      </c>
      <c r="F591" s="11" t="str">
        <f>'[6]price list MAN'!F591</f>
        <v>2018-10-30</v>
      </c>
      <c r="G591" s="32">
        <f>'[6]price list MAN'!G591</f>
        <v>15.9</v>
      </c>
      <c r="H591" s="26">
        <f>'[6]price list MAN'!H591</f>
        <v>43069</v>
      </c>
      <c r="I591" s="51" t="str">
        <f t="shared" si="45"/>
        <v>2017Q4</v>
      </c>
      <c r="J591" s="177">
        <f>'[6]price list MAN'!J591</f>
        <v>1850000</v>
      </c>
      <c r="K591" s="177">
        <f>'[6]price list MAN'!P591</f>
        <v>1407000</v>
      </c>
      <c r="L591" s="177">
        <f>'[6]price list MAN'!R591</f>
        <v>1340000</v>
      </c>
      <c r="M591" s="174">
        <f>'[6]price list MAN'!S591</f>
        <v>1905000</v>
      </c>
      <c r="N591" s="174">
        <f>'[6]price list MAN'!Y591</f>
        <v>1464750</v>
      </c>
      <c r="O591" s="174">
        <f>'[6]price list MAN'!AA591</f>
        <v>1395000</v>
      </c>
      <c r="P591" s="68">
        <f t="shared" si="46"/>
        <v>0.26771653543307089</v>
      </c>
      <c r="Q591" s="62" t="e">
        <f>O591-#REF!</f>
        <v>#REF!</v>
      </c>
      <c r="W591" s="210"/>
      <c r="X591" s="210"/>
      <c r="Y591" s="210"/>
      <c r="Z591" s="210"/>
      <c r="AA591" s="210"/>
      <c r="AB591" s="210"/>
      <c r="AC591" s="210"/>
      <c r="AT591" s="425" t="str">
        <f t="shared" si="47"/>
        <v>KP0006662017Q415,9</v>
      </c>
      <c r="AU591" s="64" t="str">
        <f t="shared" si="48"/>
        <v>11-2017</v>
      </c>
      <c r="BA591" s="428" t="str">
        <f t="shared" si="49"/>
        <v>WIP - 30 Days</v>
      </c>
    </row>
    <row r="592" spans="2:53">
      <c r="B592" s="36">
        <f>'[6]price list MAN'!B592</f>
        <v>48929</v>
      </c>
      <c r="C592" s="10" t="str">
        <f>'[6]price list MAN'!C592</f>
        <v>TGS-26-4406X4BLS-LX-ALU</v>
      </c>
      <c r="D592" s="16" t="str">
        <f>IFERROR(VLOOKUP(C592&amp;"",'[7]Retail Price List'!$A$3:$B$103,2,FALSE),"Special Order")</f>
        <v>KP000666</v>
      </c>
      <c r="E592" s="494" t="str">
        <f>'[6]price list MAN'!E592</f>
        <v>CKD</v>
      </c>
      <c r="F592" s="11" t="str">
        <f>'[6]price list MAN'!F592</f>
        <v>2018-10-30</v>
      </c>
      <c r="G592" s="32">
        <f>'[6]price list MAN'!G592</f>
        <v>15.9</v>
      </c>
      <c r="H592" s="26">
        <f>'[6]price list MAN'!H592</f>
        <v>43069</v>
      </c>
      <c r="I592" s="51" t="str">
        <f t="shared" si="45"/>
        <v>2017Q4</v>
      </c>
      <c r="J592" s="177">
        <f>'[6]price list MAN'!J592</f>
        <v>1850000</v>
      </c>
      <c r="K592" s="177">
        <f>'[6]price list MAN'!P592</f>
        <v>1407000</v>
      </c>
      <c r="L592" s="177">
        <f>'[6]price list MAN'!R592</f>
        <v>1340000</v>
      </c>
      <c r="M592" s="174">
        <f>'[6]price list MAN'!S592</f>
        <v>1905000</v>
      </c>
      <c r="N592" s="174">
        <f>'[6]price list MAN'!Y592</f>
        <v>1464750</v>
      </c>
      <c r="O592" s="174">
        <f>'[6]price list MAN'!AA592</f>
        <v>1395000</v>
      </c>
      <c r="P592" s="68">
        <f t="shared" si="46"/>
        <v>0.26771653543307089</v>
      </c>
      <c r="Q592" s="62" t="e">
        <f>O592-#REF!</f>
        <v>#REF!</v>
      </c>
      <c r="W592" s="210"/>
      <c r="X592" s="210"/>
      <c r="Y592" s="210"/>
      <c r="Z592" s="210"/>
      <c r="AA592" s="210"/>
      <c r="AB592" s="210"/>
      <c r="AC592" s="210"/>
      <c r="AT592" s="425" t="str">
        <f t="shared" si="47"/>
        <v>KP0006662017Q415,9</v>
      </c>
      <c r="AU592" s="64" t="str">
        <f t="shared" si="48"/>
        <v>11-2017</v>
      </c>
      <c r="BA592" s="428" t="str">
        <f t="shared" si="49"/>
        <v>WIP - 30 Days</v>
      </c>
    </row>
    <row r="593" spans="2:53">
      <c r="B593" s="36">
        <f>'[6]price list MAN'!B593</f>
        <v>48930</v>
      </c>
      <c r="C593" s="10" t="str">
        <f>'[6]price list MAN'!C593</f>
        <v>TGS-26-4406X4BLS-LX-ALU</v>
      </c>
      <c r="D593" s="16" t="str">
        <f>IFERROR(VLOOKUP(C593&amp;"",'[7]Retail Price List'!$A$3:$B$103,2,FALSE),"Special Order")</f>
        <v>KP000666</v>
      </c>
      <c r="E593" s="494" t="str">
        <f>'[6]price list MAN'!E593</f>
        <v>CKD</v>
      </c>
      <c r="F593" s="11" t="str">
        <f>'[6]price list MAN'!F593</f>
        <v>2018-10-30</v>
      </c>
      <c r="G593" s="32">
        <f>'[6]price list MAN'!G593</f>
        <v>15.9</v>
      </c>
      <c r="H593" s="26">
        <f>'[6]price list MAN'!H593</f>
        <v>43069</v>
      </c>
      <c r="I593" s="51" t="str">
        <f t="shared" si="45"/>
        <v>2017Q4</v>
      </c>
      <c r="J593" s="177">
        <f>'[6]price list MAN'!J593</f>
        <v>1850000</v>
      </c>
      <c r="K593" s="177">
        <f>'[6]price list MAN'!P593</f>
        <v>1407000</v>
      </c>
      <c r="L593" s="177">
        <f>'[6]price list MAN'!R593</f>
        <v>1340000</v>
      </c>
      <c r="M593" s="174">
        <f>'[6]price list MAN'!S593</f>
        <v>1905000</v>
      </c>
      <c r="N593" s="174">
        <f>'[6]price list MAN'!Y593</f>
        <v>1464750</v>
      </c>
      <c r="O593" s="174">
        <f>'[6]price list MAN'!AA593</f>
        <v>1395000</v>
      </c>
      <c r="P593" s="68">
        <f t="shared" si="46"/>
        <v>0.26771653543307089</v>
      </c>
      <c r="Q593" s="62" t="e">
        <f>O593-#REF!</f>
        <v>#REF!</v>
      </c>
      <c r="W593" s="210"/>
      <c r="X593" s="210"/>
      <c r="Y593" s="210"/>
      <c r="Z593" s="210"/>
      <c r="AA593" s="210"/>
      <c r="AB593" s="210"/>
      <c r="AC593" s="210"/>
      <c r="AT593" s="425" t="str">
        <f t="shared" si="47"/>
        <v>KP0006662017Q415,9</v>
      </c>
      <c r="AU593" s="64" t="str">
        <f t="shared" si="48"/>
        <v>11-2017</v>
      </c>
      <c r="BA593" s="428" t="str">
        <f t="shared" si="49"/>
        <v>WIP - 30 Days</v>
      </c>
    </row>
    <row r="594" spans="2:53">
      <c r="B594" s="36">
        <f>'[6]price list MAN'!B594</f>
        <v>48995</v>
      </c>
      <c r="C594" s="10" t="str">
        <f>'[6]price list MAN'!C594</f>
        <v>TGS-26-4406X4BLS-LX-ALU</v>
      </c>
      <c r="D594" s="16" t="str">
        <f>IFERROR(VLOOKUP(C594&amp;"",'[7]Retail Price List'!$A$3:$B$103,2,FALSE),"Special Order")</f>
        <v>KP000666</v>
      </c>
      <c r="E594" s="494" t="str">
        <f>'[6]price list MAN'!E594</f>
        <v>CKD</v>
      </c>
      <c r="F594" s="11" t="str">
        <f>'[6]price list MAN'!F594</f>
        <v>2018-07-30</v>
      </c>
      <c r="G594" s="32">
        <f>'[6]price list MAN'!G594</f>
        <v>15.9</v>
      </c>
      <c r="H594" s="26">
        <f>'[6]price list MAN'!H594</f>
        <v>43069</v>
      </c>
      <c r="I594" s="51" t="str">
        <f t="shared" si="45"/>
        <v>2017Q4</v>
      </c>
      <c r="J594" s="177">
        <f>'[6]price list MAN'!J594</f>
        <v>1850000</v>
      </c>
      <c r="K594" s="177">
        <f>'[6]price list MAN'!P594</f>
        <v>1407000</v>
      </c>
      <c r="L594" s="177">
        <f>'[6]price list MAN'!R594</f>
        <v>1340000</v>
      </c>
      <c r="M594" s="174">
        <f>'[6]price list MAN'!S594</f>
        <v>1905000</v>
      </c>
      <c r="N594" s="174">
        <f>'[6]price list MAN'!Y594</f>
        <v>1464750</v>
      </c>
      <c r="O594" s="174">
        <f>'[6]price list MAN'!AA594</f>
        <v>1395000</v>
      </c>
      <c r="P594" s="68">
        <f t="shared" si="46"/>
        <v>0.26771653543307089</v>
      </c>
      <c r="Q594" s="62" t="e">
        <f>O594-#REF!</f>
        <v>#REF!</v>
      </c>
      <c r="W594" s="210"/>
      <c r="X594" s="210"/>
      <c r="Y594" s="210"/>
      <c r="Z594" s="210"/>
      <c r="AA594" s="210"/>
      <c r="AB594" s="210"/>
      <c r="AC594" s="210"/>
      <c r="AT594" s="425" t="str">
        <f t="shared" si="47"/>
        <v>KP0006662017Q415,9</v>
      </c>
      <c r="AU594" s="64" t="str">
        <f t="shared" si="48"/>
        <v>11-2017</v>
      </c>
      <c r="BA594" s="428" t="str">
        <f t="shared" si="49"/>
        <v>WIP - 30 Days</v>
      </c>
    </row>
    <row r="595" spans="2:53">
      <c r="B595" s="36">
        <f>'[6]price list MAN'!B595</f>
        <v>48996</v>
      </c>
      <c r="C595" s="10" t="str">
        <f>'[6]price list MAN'!C595</f>
        <v>TGS-26-4406X4BLS-LX-ALU</v>
      </c>
      <c r="D595" s="16" t="str">
        <f>IFERROR(VLOOKUP(C595&amp;"",'[7]Retail Price List'!$A$3:$B$103,2,FALSE),"Special Order")</f>
        <v>KP000666</v>
      </c>
      <c r="E595" s="494" t="str">
        <f>'[6]price list MAN'!E595</f>
        <v>CKD</v>
      </c>
      <c r="F595" s="11" t="str">
        <f>'[6]price list MAN'!F595</f>
        <v>2018-07-30</v>
      </c>
      <c r="G595" s="32">
        <f>'[6]price list MAN'!G595</f>
        <v>15.9</v>
      </c>
      <c r="H595" s="26">
        <f>'[6]price list MAN'!H595</f>
        <v>43069</v>
      </c>
      <c r="I595" s="51" t="str">
        <f t="shared" si="45"/>
        <v>2017Q4</v>
      </c>
      <c r="J595" s="177">
        <f>'[6]price list MAN'!J595</f>
        <v>1850000</v>
      </c>
      <c r="K595" s="177">
        <f>'[6]price list MAN'!P595</f>
        <v>1407000</v>
      </c>
      <c r="L595" s="177">
        <f>'[6]price list MAN'!R595</f>
        <v>1340000</v>
      </c>
      <c r="M595" s="174">
        <f>'[6]price list MAN'!S595</f>
        <v>1905000</v>
      </c>
      <c r="N595" s="174">
        <f>'[6]price list MAN'!Y595</f>
        <v>1464750</v>
      </c>
      <c r="O595" s="174">
        <f>'[6]price list MAN'!AA595</f>
        <v>1395000</v>
      </c>
      <c r="P595" s="68">
        <f t="shared" si="46"/>
        <v>0.26771653543307089</v>
      </c>
      <c r="Q595" s="62" t="e">
        <f>O595-#REF!</f>
        <v>#REF!</v>
      </c>
      <c r="W595" s="210"/>
      <c r="X595" s="210"/>
      <c r="Y595" s="210"/>
      <c r="Z595" s="210"/>
      <c r="AA595" s="210"/>
      <c r="AB595" s="210"/>
      <c r="AC595" s="210"/>
      <c r="AT595" s="425" t="str">
        <f t="shared" si="47"/>
        <v>KP0006662017Q415,9</v>
      </c>
      <c r="AU595" s="64" t="str">
        <f t="shared" si="48"/>
        <v>11-2017</v>
      </c>
      <c r="BA595" s="428" t="str">
        <f t="shared" si="49"/>
        <v>WIP - 30 Days</v>
      </c>
    </row>
    <row r="596" spans="2:53">
      <c r="B596" s="36">
        <f>'[6]price list MAN'!B596</f>
        <v>48997</v>
      </c>
      <c r="C596" s="10" t="str">
        <f>'[6]price list MAN'!C596</f>
        <v>TGS-26-4406X4BLS-LX-ALU</v>
      </c>
      <c r="D596" s="16" t="str">
        <f>IFERROR(VLOOKUP(C596&amp;"",'[7]Retail Price List'!$A$3:$B$103,2,FALSE),"Special Order")</f>
        <v>KP000666</v>
      </c>
      <c r="E596" s="494" t="str">
        <f>'[6]price list MAN'!E596</f>
        <v>CKD</v>
      </c>
      <c r="F596" s="11" t="str">
        <f>'[6]price list MAN'!F596</f>
        <v>2018-07-30</v>
      </c>
      <c r="G596" s="32">
        <f>'[6]price list MAN'!G596</f>
        <v>15.9</v>
      </c>
      <c r="H596" s="26">
        <f>'[6]price list MAN'!H596</f>
        <v>43069</v>
      </c>
      <c r="I596" s="51" t="str">
        <f t="shared" si="45"/>
        <v>2017Q4</v>
      </c>
      <c r="J596" s="177">
        <f>'[6]price list MAN'!J596</f>
        <v>1850000</v>
      </c>
      <c r="K596" s="177">
        <f>'[6]price list MAN'!P596</f>
        <v>1407000</v>
      </c>
      <c r="L596" s="177">
        <f>'[6]price list MAN'!R596</f>
        <v>1340000</v>
      </c>
      <c r="M596" s="174">
        <f>'[6]price list MAN'!S596</f>
        <v>1905000</v>
      </c>
      <c r="N596" s="174">
        <f>'[6]price list MAN'!Y596</f>
        <v>1464750</v>
      </c>
      <c r="O596" s="174">
        <f>'[6]price list MAN'!AA596</f>
        <v>1395000</v>
      </c>
      <c r="P596" s="68">
        <f t="shared" si="46"/>
        <v>0.26771653543307089</v>
      </c>
      <c r="Q596" s="62" t="e">
        <f>O596-#REF!</f>
        <v>#REF!</v>
      </c>
      <c r="W596" s="210"/>
      <c r="X596" s="210"/>
      <c r="Y596" s="210"/>
      <c r="Z596" s="210"/>
      <c r="AA596" s="210"/>
      <c r="AB596" s="210"/>
      <c r="AC596" s="210"/>
      <c r="AT596" s="425" t="str">
        <f t="shared" si="47"/>
        <v>KP0006662017Q415,9</v>
      </c>
      <c r="AU596" s="64" t="str">
        <f t="shared" si="48"/>
        <v>11-2017</v>
      </c>
      <c r="BA596" s="428" t="str">
        <f t="shared" si="49"/>
        <v>WIP - 30 Days</v>
      </c>
    </row>
    <row r="597" spans="2:53">
      <c r="B597" s="36">
        <f>'[6]price list MAN'!B597</f>
        <v>48998</v>
      </c>
      <c r="C597" s="10" t="str">
        <f>'[6]price list MAN'!C597</f>
        <v>TGS-26-4406X4BLS-LX-ALU</v>
      </c>
      <c r="D597" s="16" t="str">
        <f>IFERROR(VLOOKUP(C597&amp;"",'[7]Retail Price List'!$A$3:$B$103,2,FALSE),"Special Order")</f>
        <v>KP000666</v>
      </c>
      <c r="E597" s="494" t="str">
        <f>'[6]price list MAN'!E597</f>
        <v>CKD</v>
      </c>
      <c r="F597" s="11" t="str">
        <f>'[6]price list MAN'!F597</f>
        <v>2018-07-30</v>
      </c>
      <c r="G597" s="32">
        <f>'[6]price list MAN'!G597</f>
        <v>15.9</v>
      </c>
      <c r="H597" s="26">
        <f>'[6]price list MAN'!H597</f>
        <v>43069</v>
      </c>
      <c r="I597" s="51" t="str">
        <f t="shared" si="45"/>
        <v>2017Q4</v>
      </c>
      <c r="J597" s="177">
        <f>'[6]price list MAN'!J597</f>
        <v>1850000</v>
      </c>
      <c r="K597" s="177">
        <f>'[6]price list MAN'!P597</f>
        <v>1407000</v>
      </c>
      <c r="L597" s="177">
        <f>'[6]price list MAN'!R597</f>
        <v>1340000</v>
      </c>
      <c r="M597" s="174">
        <f>'[6]price list MAN'!S597</f>
        <v>1905000</v>
      </c>
      <c r="N597" s="174">
        <f>'[6]price list MAN'!Y597</f>
        <v>1464750</v>
      </c>
      <c r="O597" s="174">
        <f>'[6]price list MAN'!AA597</f>
        <v>1395000</v>
      </c>
      <c r="P597" s="68">
        <f t="shared" si="46"/>
        <v>0.26771653543307089</v>
      </c>
      <c r="Q597" s="62" t="e">
        <f>O597-#REF!</f>
        <v>#REF!</v>
      </c>
      <c r="W597" s="210"/>
      <c r="X597" s="210"/>
      <c r="Y597" s="210"/>
      <c r="Z597" s="210"/>
      <c r="AA597" s="210"/>
      <c r="AB597" s="210"/>
      <c r="AC597" s="210"/>
      <c r="AT597" s="425" t="str">
        <f t="shared" si="47"/>
        <v>KP0006662017Q415,9</v>
      </c>
      <c r="AU597" s="64" t="str">
        <f t="shared" si="48"/>
        <v>11-2017</v>
      </c>
      <c r="BA597" s="428" t="str">
        <f t="shared" si="49"/>
        <v>WIP - 30 Days</v>
      </c>
    </row>
    <row r="598" spans="2:53">
      <c r="B598" s="36">
        <f>'[6]price list MAN'!B598</f>
        <v>48999</v>
      </c>
      <c r="C598" s="10" t="str">
        <f>'[6]price list MAN'!C598</f>
        <v>TGS-26-4406X4BLS-LX-ALU</v>
      </c>
      <c r="D598" s="16" t="str">
        <f>IFERROR(VLOOKUP(C598&amp;"",'[7]Retail Price List'!$A$3:$B$103,2,FALSE),"Special Order")</f>
        <v>KP000666</v>
      </c>
      <c r="E598" s="494" t="str">
        <f>'[6]price list MAN'!E598</f>
        <v>CKD</v>
      </c>
      <c r="F598" s="11" t="str">
        <f>'[6]price list MAN'!F598</f>
        <v>2018-07-30</v>
      </c>
      <c r="G598" s="32">
        <f>'[6]price list MAN'!G598</f>
        <v>15.9</v>
      </c>
      <c r="H598" s="26">
        <f>'[6]price list MAN'!H598</f>
        <v>43069</v>
      </c>
      <c r="I598" s="51" t="str">
        <f t="shared" si="45"/>
        <v>2017Q4</v>
      </c>
      <c r="J598" s="177">
        <f>'[6]price list MAN'!J598</f>
        <v>1850000</v>
      </c>
      <c r="K598" s="177">
        <f>'[6]price list MAN'!P598</f>
        <v>1407000</v>
      </c>
      <c r="L598" s="177">
        <f>'[6]price list MAN'!R598</f>
        <v>1340000</v>
      </c>
      <c r="M598" s="174">
        <f>'[6]price list MAN'!S598</f>
        <v>1905000</v>
      </c>
      <c r="N598" s="174">
        <f>'[6]price list MAN'!Y598</f>
        <v>1464750</v>
      </c>
      <c r="O598" s="174">
        <f>'[6]price list MAN'!AA598</f>
        <v>1395000</v>
      </c>
      <c r="P598" s="68">
        <f t="shared" si="46"/>
        <v>0.26771653543307089</v>
      </c>
      <c r="Q598" s="62" t="e">
        <f>O598-#REF!</f>
        <v>#REF!</v>
      </c>
      <c r="W598" s="210"/>
      <c r="X598" s="210"/>
      <c r="Y598" s="210"/>
      <c r="Z598" s="210"/>
      <c r="AA598" s="210"/>
      <c r="AB598" s="210"/>
      <c r="AC598" s="210"/>
      <c r="AT598" s="425" t="str">
        <f t="shared" si="47"/>
        <v>KP0006662017Q415,9</v>
      </c>
      <c r="AU598" s="64" t="str">
        <f t="shared" si="48"/>
        <v>11-2017</v>
      </c>
      <c r="BA598" s="428" t="str">
        <f t="shared" si="49"/>
        <v>WIP - 30 Days</v>
      </c>
    </row>
    <row r="599" spans="2:53">
      <c r="B599" s="36">
        <f>'[6]price list MAN'!B599</f>
        <v>49000</v>
      </c>
      <c r="C599" s="10" t="str">
        <f>'[6]price list MAN'!C599</f>
        <v>TGS-26-4406X4BLS-LX-ALU</v>
      </c>
      <c r="D599" s="16" t="str">
        <f>IFERROR(VLOOKUP(C599&amp;"",'[7]Retail Price List'!$A$3:$B$103,2,FALSE),"Special Order")</f>
        <v>KP000666</v>
      </c>
      <c r="E599" s="494" t="str">
        <f>'[6]price list MAN'!E599</f>
        <v>CKD</v>
      </c>
      <c r="F599" s="11" t="str">
        <f>'[6]price list MAN'!F599</f>
        <v>2018-08-30</v>
      </c>
      <c r="G599" s="32">
        <f>'[6]price list MAN'!G599</f>
        <v>15.9</v>
      </c>
      <c r="H599" s="26">
        <f>'[6]price list MAN'!H599</f>
        <v>43069</v>
      </c>
      <c r="I599" s="51" t="str">
        <f t="shared" si="45"/>
        <v>2017Q4</v>
      </c>
      <c r="J599" s="177">
        <f>'[6]price list MAN'!J599</f>
        <v>1850000</v>
      </c>
      <c r="K599" s="177">
        <f>'[6]price list MAN'!P599</f>
        <v>1407000</v>
      </c>
      <c r="L599" s="177">
        <f>'[6]price list MAN'!R599</f>
        <v>1340000</v>
      </c>
      <c r="M599" s="174">
        <f>'[6]price list MAN'!S599</f>
        <v>1905000</v>
      </c>
      <c r="N599" s="174">
        <f>'[6]price list MAN'!Y599</f>
        <v>1464750</v>
      </c>
      <c r="O599" s="174">
        <f>'[6]price list MAN'!AA599</f>
        <v>1395000</v>
      </c>
      <c r="P599" s="68">
        <f t="shared" si="46"/>
        <v>0.26771653543307089</v>
      </c>
      <c r="Q599" s="62" t="e">
        <f>O599-#REF!</f>
        <v>#REF!</v>
      </c>
      <c r="W599" s="210"/>
      <c r="X599" s="210"/>
      <c r="Y599" s="210"/>
      <c r="Z599" s="210"/>
      <c r="AA599" s="210"/>
      <c r="AB599" s="210"/>
      <c r="AC599" s="210"/>
      <c r="AT599" s="425" t="str">
        <f t="shared" si="47"/>
        <v>KP0006662017Q415,9</v>
      </c>
      <c r="AU599" s="64" t="str">
        <f t="shared" si="48"/>
        <v>11-2017</v>
      </c>
      <c r="BA599" s="428" t="str">
        <f t="shared" si="49"/>
        <v>WIP - 30 Days</v>
      </c>
    </row>
    <row r="600" spans="2:53">
      <c r="B600" s="36">
        <f>'[6]price list MAN'!B600</f>
        <v>49001</v>
      </c>
      <c r="C600" s="10" t="str">
        <f>'[6]price list MAN'!C600</f>
        <v>TGS-26-4406X4BLS-LX-ALU</v>
      </c>
      <c r="D600" s="16" t="str">
        <f>IFERROR(VLOOKUP(C600&amp;"",'[7]Retail Price List'!$A$3:$B$103,2,FALSE),"Special Order")</f>
        <v>KP000666</v>
      </c>
      <c r="E600" s="494" t="str">
        <f>'[6]price list MAN'!E600</f>
        <v>CKD</v>
      </c>
      <c r="F600" s="11" t="str">
        <f>'[6]price list MAN'!F600</f>
        <v>2018-08-30</v>
      </c>
      <c r="G600" s="32">
        <f>'[6]price list MAN'!G600</f>
        <v>15.9</v>
      </c>
      <c r="H600" s="26">
        <f>'[6]price list MAN'!H600</f>
        <v>43069</v>
      </c>
      <c r="I600" s="51" t="str">
        <f t="shared" si="45"/>
        <v>2017Q4</v>
      </c>
      <c r="J600" s="177">
        <f>'[6]price list MAN'!J600</f>
        <v>1850000</v>
      </c>
      <c r="K600" s="177">
        <f>'[6]price list MAN'!P600</f>
        <v>1407000</v>
      </c>
      <c r="L600" s="177">
        <f>'[6]price list MAN'!R600</f>
        <v>1340000</v>
      </c>
      <c r="M600" s="174">
        <f>'[6]price list MAN'!S600</f>
        <v>1905000</v>
      </c>
      <c r="N600" s="174">
        <f>'[6]price list MAN'!Y600</f>
        <v>1464750</v>
      </c>
      <c r="O600" s="174">
        <f>'[6]price list MAN'!AA600</f>
        <v>1395000</v>
      </c>
      <c r="P600" s="68">
        <f t="shared" si="46"/>
        <v>0.26771653543307089</v>
      </c>
      <c r="Q600" s="62" t="e">
        <f>O600-#REF!</f>
        <v>#REF!</v>
      </c>
      <c r="W600" s="210"/>
      <c r="X600" s="210"/>
      <c r="Y600" s="210"/>
      <c r="Z600" s="210"/>
      <c r="AA600" s="210"/>
      <c r="AB600" s="210"/>
      <c r="AC600" s="210"/>
      <c r="AT600" s="425" t="str">
        <f t="shared" si="47"/>
        <v>KP0006662017Q415,9</v>
      </c>
      <c r="AU600" s="64" t="str">
        <f t="shared" si="48"/>
        <v>11-2017</v>
      </c>
      <c r="BA600" s="428" t="str">
        <f t="shared" si="49"/>
        <v>WIP - 30 Days</v>
      </c>
    </row>
    <row r="601" spans="2:53">
      <c r="B601" s="36">
        <f>'[6]price list MAN'!B601</f>
        <v>49002</v>
      </c>
      <c r="C601" s="10" t="str">
        <f>'[6]price list MAN'!C601</f>
        <v>TGS-26-4406X4BLS-LX-ALU</v>
      </c>
      <c r="D601" s="16" t="str">
        <f>IFERROR(VLOOKUP(C601&amp;"",'[7]Retail Price List'!$A$3:$B$103,2,FALSE),"Special Order")</f>
        <v>KP000666</v>
      </c>
      <c r="E601" s="494" t="str">
        <f>'[6]price list MAN'!E601</f>
        <v>CKD</v>
      </c>
      <c r="F601" s="11" t="str">
        <f>'[6]price list MAN'!F601</f>
        <v>2018-08-30</v>
      </c>
      <c r="G601" s="32">
        <f>'[6]price list MAN'!G601</f>
        <v>15.9</v>
      </c>
      <c r="H601" s="26">
        <f>'[6]price list MAN'!H601</f>
        <v>43069</v>
      </c>
      <c r="I601" s="51" t="str">
        <f t="shared" si="45"/>
        <v>2017Q4</v>
      </c>
      <c r="J601" s="177">
        <f>'[6]price list MAN'!J601</f>
        <v>1850000</v>
      </c>
      <c r="K601" s="177">
        <f>'[6]price list MAN'!P601</f>
        <v>1407000</v>
      </c>
      <c r="L601" s="177">
        <f>'[6]price list MAN'!R601</f>
        <v>1340000</v>
      </c>
      <c r="M601" s="174">
        <f>'[6]price list MAN'!S601</f>
        <v>1905000</v>
      </c>
      <c r="N601" s="174">
        <f>'[6]price list MAN'!Y601</f>
        <v>1464750</v>
      </c>
      <c r="O601" s="174">
        <f>'[6]price list MAN'!AA601</f>
        <v>1395000</v>
      </c>
      <c r="P601" s="68">
        <f t="shared" si="46"/>
        <v>0.26771653543307089</v>
      </c>
      <c r="Q601" s="62" t="e">
        <f>O601-#REF!</f>
        <v>#REF!</v>
      </c>
      <c r="W601" s="210"/>
      <c r="X601" s="210"/>
      <c r="Y601" s="210"/>
      <c r="Z601" s="210"/>
      <c r="AA601" s="210"/>
      <c r="AB601" s="210"/>
      <c r="AC601" s="210"/>
      <c r="AT601" s="425" t="str">
        <f t="shared" si="47"/>
        <v>KP0006662017Q415,9</v>
      </c>
      <c r="AU601" s="64" t="str">
        <f t="shared" si="48"/>
        <v>11-2017</v>
      </c>
      <c r="BA601" s="428" t="str">
        <f t="shared" si="49"/>
        <v>WIP - 30 Days</v>
      </c>
    </row>
    <row r="602" spans="2:53">
      <c r="B602" s="36">
        <f>'[6]price list MAN'!B602</f>
        <v>49003</v>
      </c>
      <c r="C602" s="10" t="str">
        <f>'[6]price list MAN'!C602</f>
        <v>TGS-26-4406X4BLS-LX-ALU</v>
      </c>
      <c r="D602" s="16" t="str">
        <f>IFERROR(VLOOKUP(C602&amp;"",'[7]Retail Price List'!$A$3:$B$103,2,FALSE),"Special Order")</f>
        <v>KP000666</v>
      </c>
      <c r="E602" s="494" t="str">
        <f>'[6]price list MAN'!E602</f>
        <v>CKD</v>
      </c>
      <c r="F602" s="11" t="str">
        <f>'[6]price list MAN'!F602</f>
        <v>2018-08-30</v>
      </c>
      <c r="G602" s="32">
        <f>'[6]price list MAN'!G602</f>
        <v>15.9</v>
      </c>
      <c r="H602" s="26">
        <f>'[6]price list MAN'!H602</f>
        <v>43069</v>
      </c>
      <c r="I602" s="51" t="str">
        <f t="shared" si="45"/>
        <v>2017Q4</v>
      </c>
      <c r="J602" s="177">
        <f>'[6]price list MAN'!J602</f>
        <v>1850000</v>
      </c>
      <c r="K602" s="177">
        <f>'[6]price list MAN'!P602</f>
        <v>1407000</v>
      </c>
      <c r="L602" s="177">
        <f>'[6]price list MAN'!R602</f>
        <v>1340000</v>
      </c>
      <c r="M602" s="174">
        <f>'[6]price list MAN'!S602</f>
        <v>1905000</v>
      </c>
      <c r="N602" s="174">
        <f>'[6]price list MAN'!Y602</f>
        <v>1464750</v>
      </c>
      <c r="O602" s="174">
        <f>'[6]price list MAN'!AA602</f>
        <v>1395000</v>
      </c>
      <c r="P602" s="68">
        <f t="shared" si="46"/>
        <v>0.26771653543307089</v>
      </c>
      <c r="Q602" s="62" t="e">
        <f>O602-#REF!</f>
        <v>#REF!</v>
      </c>
      <c r="W602" s="210"/>
      <c r="X602" s="210"/>
      <c r="Y602" s="210"/>
      <c r="Z602" s="210"/>
      <c r="AA602" s="210"/>
      <c r="AB602" s="210"/>
      <c r="AC602" s="210"/>
      <c r="AT602" s="425" t="str">
        <f t="shared" si="47"/>
        <v>KP0006662017Q415,9</v>
      </c>
      <c r="AU602" s="64" t="str">
        <f t="shared" si="48"/>
        <v>11-2017</v>
      </c>
      <c r="BA602" s="428" t="str">
        <f t="shared" si="49"/>
        <v>WIP - 30 Days</v>
      </c>
    </row>
    <row r="603" spans="2:53">
      <c r="B603" s="36">
        <f>'[6]price list MAN'!B603</f>
        <v>49004</v>
      </c>
      <c r="C603" s="10" t="str">
        <f>'[6]price list MAN'!C603</f>
        <v>TGS-26-4406X4BLS-LX-ALU</v>
      </c>
      <c r="D603" s="16" t="str">
        <f>IFERROR(VLOOKUP(C603&amp;"",'[7]Retail Price List'!$A$3:$B$103,2,FALSE),"Special Order")</f>
        <v>KP000666</v>
      </c>
      <c r="E603" s="494" t="str">
        <f>'[6]price list MAN'!E603</f>
        <v>CKD</v>
      </c>
      <c r="F603" s="11" t="str">
        <f>'[6]price list MAN'!F603</f>
        <v>2018-08-30</v>
      </c>
      <c r="G603" s="32">
        <f>'[6]price list MAN'!G603</f>
        <v>15.9</v>
      </c>
      <c r="H603" s="26">
        <f>'[6]price list MAN'!H603</f>
        <v>43069</v>
      </c>
      <c r="I603" s="51" t="str">
        <f t="shared" si="45"/>
        <v>2017Q4</v>
      </c>
      <c r="J603" s="177">
        <f>'[6]price list MAN'!J603</f>
        <v>1850000</v>
      </c>
      <c r="K603" s="177">
        <f>'[6]price list MAN'!P603</f>
        <v>1407000</v>
      </c>
      <c r="L603" s="177">
        <f>'[6]price list MAN'!R603</f>
        <v>1340000</v>
      </c>
      <c r="M603" s="174">
        <f>'[6]price list MAN'!S603</f>
        <v>1905000</v>
      </c>
      <c r="N603" s="174">
        <f>'[6]price list MAN'!Y603</f>
        <v>1464750</v>
      </c>
      <c r="O603" s="174">
        <f>'[6]price list MAN'!AA603</f>
        <v>1395000</v>
      </c>
      <c r="P603" s="68">
        <f t="shared" si="46"/>
        <v>0.26771653543307089</v>
      </c>
      <c r="Q603" s="62" t="e">
        <f>O603-#REF!</f>
        <v>#REF!</v>
      </c>
      <c r="W603" s="210"/>
      <c r="X603" s="210"/>
      <c r="Y603" s="210"/>
      <c r="Z603" s="210"/>
      <c r="AA603" s="210"/>
      <c r="AB603" s="210"/>
      <c r="AC603" s="210"/>
      <c r="AT603" s="425" t="str">
        <f t="shared" si="47"/>
        <v>KP0006662017Q415,9</v>
      </c>
      <c r="AU603" s="64" t="str">
        <f t="shared" si="48"/>
        <v>11-2017</v>
      </c>
      <c r="BA603" s="428" t="str">
        <f t="shared" si="49"/>
        <v>WIP - 30 Days</v>
      </c>
    </row>
    <row r="604" spans="2:53">
      <c r="B604" s="36">
        <f>'[6]price list MAN'!B604</f>
        <v>49005</v>
      </c>
      <c r="C604" s="10" t="str">
        <f>'[6]price list MAN'!C604</f>
        <v>TGS-26-4406X4BLS-LX-ALU</v>
      </c>
      <c r="D604" s="16" t="str">
        <f>IFERROR(VLOOKUP(C604&amp;"",'[7]Retail Price List'!$A$3:$B$103,2,FALSE),"Special Order")</f>
        <v>KP000666</v>
      </c>
      <c r="E604" s="494" t="str">
        <f>'[6]price list MAN'!E604</f>
        <v>CKD</v>
      </c>
      <c r="F604" s="11" t="str">
        <f>'[6]price list MAN'!F604</f>
        <v>2018-08-30</v>
      </c>
      <c r="G604" s="32">
        <f>'[6]price list MAN'!G604</f>
        <v>15.9</v>
      </c>
      <c r="H604" s="26">
        <f>'[6]price list MAN'!H604</f>
        <v>43069</v>
      </c>
      <c r="I604" s="51" t="str">
        <f t="shared" si="45"/>
        <v>2017Q4</v>
      </c>
      <c r="J604" s="177">
        <f>'[6]price list MAN'!J604</f>
        <v>1850000</v>
      </c>
      <c r="K604" s="177">
        <f>'[6]price list MAN'!P604</f>
        <v>1407000</v>
      </c>
      <c r="L604" s="177">
        <f>'[6]price list MAN'!R604</f>
        <v>1340000</v>
      </c>
      <c r="M604" s="174">
        <f>'[6]price list MAN'!S604</f>
        <v>1905000</v>
      </c>
      <c r="N604" s="174">
        <f>'[6]price list MAN'!Y604</f>
        <v>1464750</v>
      </c>
      <c r="O604" s="174">
        <f>'[6]price list MAN'!AA604</f>
        <v>1395000</v>
      </c>
      <c r="P604" s="68">
        <f t="shared" si="46"/>
        <v>0.26771653543307089</v>
      </c>
      <c r="Q604" s="62" t="e">
        <f>O604-#REF!</f>
        <v>#REF!</v>
      </c>
      <c r="W604" s="210"/>
      <c r="X604" s="210"/>
      <c r="Y604" s="210"/>
      <c r="Z604" s="210"/>
      <c r="AA604" s="210"/>
      <c r="AB604" s="210"/>
      <c r="AC604" s="210"/>
      <c r="AT604" s="425" t="str">
        <f t="shared" si="47"/>
        <v>KP0006662017Q415,9</v>
      </c>
      <c r="AU604" s="64" t="str">
        <f t="shared" si="48"/>
        <v>11-2017</v>
      </c>
      <c r="BA604" s="428" t="str">
        <f t="shared" si="49"/>
        <v>WIP - 30 Days</v>
      </c>
    </row>
    <row r="605" spans="2:53">
      <c r="B605" s="36">
        <f>'[6]price list MAN'!B605</f>
        <v>49006</v>
      </c>
      <c r="C605" s="10" t="str">
        <f>'[6]price list MAN'!C605</f>
        <v>TGS-26-4406X4BLS-LX-ALU</v>
      </c>
      <c r="D605" s="16" t="str">
        <f>IFERROR(VLOOKUP(C605&amp;"",'[7]Retail Price List'!$A$3:$B$103,2,FALSE),"Special Order")</f>
        <v>KP000666</v>
      </c>
      <c r="E605" s="494" t="str">
        <f>'[6]price list MAN'!E605</f>
        <v>CKD</v>
      </c>
      <c r="F605" s="11" t="str">
        <f>'[6]price list MAN'!F605</f>
        <v>2018-08-30</v>
      </c>
      <c r="G605" s="32">
        <f>'[6]price list MAN'!G605</f>
        <v>15.9</v>
      </c>
      <c r="H605" s="26">
        <f>'[6]price list MAN'!H605</f>
        <v>43069</v>
      </c>
      <c r="I605" s="51" t="str">
        <f t="shared" si="45"/>
        <v>2017Q4</v>
      </c>
      <c r="J605" s="177">
        <f>'[6]price list MAN'!J605</f>
        <v>1850000</v>
      </c>
      <c r="K605" s="177">
        <f>'[6]price list MAN'!P605</f>
        <v>1407000</v>
      </c>
      <c r="L605" s="177">
        <f>'[6]price list MAN'!R605</f>
        <v>1340000</v>
      </c>
      <c r="M605" s="174">
        <f>'[6]price list MAN'!S605</f>
        <v>1905000</v>
      </c>
      <c r="N605" s="174">
        <f>'[6]price list MAN'!Y605</f>
        <v>1464750</v>
      </c>
      <c r="O605" s="174">
        <f>'[6]price list MAN'!AA605</f>
        <v>1395000</v>
      </c>
      <c r="P605" s="68">
        <f t="shared" si="46"/>
        <v>0.26771653543307089</v>
      </c>
      <c r="Q605" s="62" t="e">
        <f>O605-#REF!</f>
        <v>#REF!</v>
      </c>
      <c r="W605" s="210"/>
      <c r="X605" s="210"/>
      <c r="Y605" s="210"/>
      <c r="Z605" s="210"/>
      <c r="AA605" s="210"/>
      <c r="AB605" s="210"/>
      <c r="AC605" s="210"/>
      <c r="AT605" s="425" t="str">
        <f t="shared" si="47"/>
        <v>KP0006662017Q415,9</v>
      </c>
      <c r="AU605" s="64" t="str">
        <f t="shared" si="48"/>
        <v>11-2017</v>
      </c>
      <c r="BA605" s="428" t="str">
        <f t="shared" si="49"/>
        <v>WIP - 30 Days</v>
      </c>
    </row>
    <row r="606" spans="2:53">
      <c r="B606" s="36">
        <f>'[6]price list MAN'!B606</f>
        <v>49007</v>
      </c>
      <c r="C606" s="10" t="str">
        <f>'[6]price list MAN'!C606</f>
        <v>TGS-26-4406X4BLS-LX-ALU</v>
      </c>
      <c r="D606" s="16" t="str">
        <f>IFERROR(VLOOKUP(C606&amp;"",'[7]Retail Price List'!$A$3:$B$103,2,FALSE),"Special Order")</f>
        <v>KP000666</v>
      </c>
      <c r="E606" s="494" t="str">
        <f>'[6]price list MAN'!E606</f>
        <v>CKD</v>
      </c>
      <c r="F606" s="11" t="str">
        <f>'[6]price list MAN'!F606</f>
        <v>2018-09-30</v>
      </c>
      <c r="G606" s="32">
        <f>'[6]price list MAN'!G606</f>
        <v>15.9</v>
      </c>
      <c r="H606" s="26">
        <f>'[6]price list MAN'!H606</f>
        <v>43069</v>
      </c>
      <c r="I606" s="51" t="str">
        <f t="shared" si="45"/>
        <v>2017Q4</v>
      </c>
      <c r="J606" s="177">
        <f>'[6]price list MAN'!J606</f>
        <v>1850000</v>
      </c>
      <c r="K606" s="177">
        <f>'[6]price list MAN'!P606</f>
        <v>1407000</v>
      </c>
      <c r="L606" s="177">
        <f>'[6]price list MAN'!R606</f>
        <v>1340000</v>
      </c>
      <c r="M606" s="174">
        <f>'[6]price list MAN'!S606</f>
        <v>1905000</v>
      </c>
      <c r="N606" s="174">
        <f>'[6]price list MAN'!Y606</f>
        <v>1464750</v>
      </c>
      <c r="O606" s="174">
        <f>'[6]price list MAN'!AA606</f>
        <v>1395000</v>
      </c>
      <c r="P606" s="68">
        <f t="shared" si="46"/>
        <v>0.26771653543307089</v>
      </c>
      <c r="Q606" s="62" t="e">
        <f>O606-#REF!</f>
        <v>#REF!</v>
      </c>
      <c r="W606" s="210"/>
      <c r="X606" s="210"/>
      <c r="Y606" s="210"/>
      <c r="Z606" s="210"/>
      <c r="AA606" s="210"/>
      <c r="AB606" s="210"/>
      <c r="AC606" s="210"/>
      <c r="AT606" s="425" t="str">
        <f t="shared" si="47"/>
        <v>KP0006662017Q415,9</v>
      </c>
      <c r="AU606" s="64" t="str">
        <f t="shared" si="48"/>
        <v>11-2017</v>
      </c>
      <c r="BA606" s="428" t="str">
        <f t="shared" si="49"/>
        <v>WIP - 30 Days</v>
      </c>
    </row>
    <row r="607" spans="2:53">
      <c r="B607" s="36">
        <f>'[6]price list MAN'!B607</f>
        <v>49008</v>
      </c>
      <c r="C607" s="10" t="str">
        <f>'[6]price list MAN'!C607</f>
        <v>TGS-26-4406X4BLS-LX-ALU</v>
      </c>
      <c r="D607" s="16" t="str">
        <f>IFERROR(VLOOKUP(C607&amp;"",'[7]Retail Price List'!$A$3:$B$103,2,FALSE),"Special Order")</f>
        <v>KP000666</v>
      </c>
      <c r="E607" s="494" t="str">
        <f>'[6]price list MAN'!E607</f>
        <v>CKD</v>
      </c>
      <c r="F607" s="11" t="str">
        <f>'[6]price list MAN'!F607</f>
        <v>2018-09-30</v>
      </c>
      <c r="G607" s="32">
        <f>'[6]price list MAN'!G607</f>
        <v>15.9</v>
      </c>
      <c r="H607" s="26">
        <f>'[6]price list MAN'!H607</f>
        <v>43069</v>
      </c>
      <c r="I607" s="51" t="str">
        <f t="shared" si="45"/>
        <v>2017Q4</v>
      </c>
      <c r="J607" s="177">
        <f>'[6]price list MAN'!J607</f>
        <v>1850000</v>
      </c>
      <c r="K607" s="177">
        <f>'[6]price list MAN'!P607</f>
        <v>1407000</v>
      </c>
      <c r="L607" s="177">
        <f>'[6]price list MAN'!R607</f>
        <v>1340000</v>
      </c>
      <c r="M607" s="174">
        <f>'[6]price list MAN'!S607</f>
        <v>1905000</v>
      </c>
      <c r="N607" s="174">
        <f>'[6]price list MAN'!Y607</f>
        <v>1464750</v>
      </c>
      <c r="O607" s="174">
        <f>'[6]price list MAN'!AA607</f>
        <v>1395000</v>
      </c>
      <c r="P607" s="68">
        <f t="shared" si="46"/>
        <v>0.26771653543307089</v>
      </c>
      <c r="Q607" s="62" t="e">
        <f>O607-#REF!</f>
        <v>#REF!</v>
      </c>
      <c r="W607" s="210"/>
      <c r="X607" s="210"/>
      <c r="Y607" s="210"/>
      <c r="Z607" s="210"/>
      <c r="AA607" s="210"/>
      <c r="AB607" s="210"/>
      <c r="AC607" s="210"/>
      <c r="AT607" s="425" t="str">
        <f t="shared" si="47"/>
        <v>KP0006662017Q415,9</v>
      </c>
      <c r="AU607" s="64" t="str">
        <f t="shared" si="48"/>
        <v>11-2017</v>
      </c>
      <c r="BA607" s="428" t="str">
        <f t="shared" si="49"/>
        <v>WIP - 30 Days</v>
      </c>
    </row>
    <row r="608" spans="2:53">
      <c r="B608" s="36">
        <f>'[6]price list MAN'!B608</f>
        <v>49009</v>
      </c>
      <c r="C608" s="10" t="str">
        <f>'[6]price list MAN'!C608</f>
        <v>TGS-26-4406X4BLS-LX-ALU</v>
      </c>
      <c r="D608" s="16" t="str">
        <f>IFERROR(VLOOKUP(C608&amp;"",'[7]Retail Price List'!$A$3:$B$103,2,FALSE),"Special Order")</f>
        <v>KP000666</v>
      </c>
      <c r="E608" s="494" t="str">
        <f>'[6]price list MAN'!E608</f>
        <v>CKD</v>
      </c>
      <c r="F608" s="11" t="str">
        <f>'[6]price list MAN'!F608</f>
        <v>2018-09-30</v>
      </c>
      <c r="G608" s="32">
        <f>'[6]price list MAN'!G608</f>
        <v>15.9</v>
      </c>
      <c r="H608" s="26">
        <f>'[6]price list MAN'!H608</f>
        <v>43069</v>
      </c>
      <c r="I608" s="51" t="str">
        <f t="shared" si="45"/>
        <v>2017Q4</v>
      </c>
      <c r="J608" s="177">
        <f>'[6]price list MAN'!J608</f>
        <v>1850000</v>
      </c>
      <c r="K608" s="177">
        <f>'[6]price list MAN'!P608</f>
        <v>1407000</v>
      </c>
      <c r="L608" s="177">
        <f>'[6]price list MAN'!R608</f>
        <v>1340000</v>
      </c>
      <c r="M608" s="174">
        <f>'[6]price list MAN'!S608</f>
        <v>1905000</v>
      </c>
      <c r="N608" s="174">
        <f>'[6]price list MAN'!Y608</f>
        <v>1464750</v>
      </c>
      <c r="O608" s="174">
        <f>'[6]price list MAN'!AA608</f>
        <v>1395000</v>
      </c>
      <c r="P608" s="68">
        <f t="shared" si="46"/>
        <v>0.26771653543307089</v>
      </c>
      <c r="Q608" s="62" t="e">
        <f>O608-#REF!</f>
        <v>#REF!</v>
      </c>
      <c r="W608" s="210"/>
      <c r="X608" s="210"/>
      <c r="Y608" s="210"/>
      <c r="Z608" s="210"/>
      <c r="AA608" s="210"/>
      <c r="AB608" s="210"/>
      <c r="AC608" s="210"/>
      <c r="AT608" s="425" t="str">
        <f t="shared" si="47"/>
        <v>KP0006662017Q415,9</v>
      </c>
      <c r="AU608" s="64" t="str">
        <f t="shared" si="48"/>
        <v>11-2017</v>
      </c>
      <c r="BA608" s="428" t="str">
        <f t="shared" si="49"/>
        <v>WIP - 30 Days</v>
      </c>
    </row>
    <row r="609" spans="2:53">
      <c r="B609" s="36">
        <f>'[6]price list MAN'!B609</f>
        <v>49010</v>
      </c>
      <c r="C609" s="10" t="str">
        <f>'[6]price list MAN'!C609</f>
        <v>TGS-26-4406X4BLS-LX-ALU</v>
      </c>
      <c r="D609" s="16" t="str">
        <f>IFERROR(VLOOKUP(C609&amp;"",'[7]Retail Price List'!$A$3:$B$103,2,FALSE),"Special Order")</f>
        <v>KP000666</v>
      </c>
      <c r="E609" s="494" t="str">
        <f>'[6]price list MAN'!E609</f>
        <v>CKD</v>
      </c>
      <c r="F609" s="11" t="str">
        <f>'[6]price list MAN'!F609</f>
        <v>2018-09-30</v>
      </c>
      <c r="G609" s="32">
        <f>'[6]price list MAN'!G609</f>
        <v>15.9</v>
      </c>
      <c r="H609" s="26">
        <f>'[6]price list MAN'!H609</f>
        <v>43069</v>
      </c>
      <c r="I609" s="51" t="str">
        <f t="shared" si="45"/>
        <v>2017Q4</v>
      </c>
      <c r="J609" s="177">
        <f>'[6]price list MAN'!J609</f>
        <v>1850000</v>
      </c>
      <c r="K609" s="177">
        <f>'[6]price list MAN'!P609</f>
        <v>1407000</v>
      </c>
      <c r="L609" s="177">
        <f>'[6]price list MAN'!R609</f>
        <v>1340000</v>
      </c>
      <c r="M609" s="174">
        <f>'[6]price list MAN'!S609</f>
        <v>1905000</v>
      </c>
      <c r="N609" s="174">
        <f>'[6]price list MAN'!Y609</f>
        <v>1464750</v>
      </c>
      <c r="O609" s="174">
        <f>'[6]price list MAN'!AA609</f>
        <v>1395000</v>
      </c>
      <c r="P609" s="68">
        <f t="shared" si="46"/>
        <v>0.26771653543307089</v>
      </c>
      <c r="Q609" s="62" t="e">
        <f>O609-#REF!</f>
        <v>#REF!</v>
      </c>
      <c r="W609" s="210"/>
      <c r="X609" s="210"/>
      <c r="Y609" s="210"/>
      <c r="Z609" s="210"/>
      <c r="AA609" s="210"/>
      <c r="AB609" s="210"/>
      <c r="AC609" s="210"/>
      <c r="AT609" s="425" t="str">
        <f t="shared" si="47"/>
        <v>KP0006662017Q415,9</v>
      </c>
      <c r="AU609" s="64" t="str">
        <f t="shared" si="48"/>
        <v>11-2017</v>
      </c>
      <c r="BA609" s="428" t="str">
        <f t="shared" si="49"/>
        <v>WIP - 30 Days</v>
      </c>
    </row>
    <row r="610" spans="2:53">
      <c r="B610" s="36">
        <f>'[6]price list MAN'!B610</f>
        <v>49011</v>
      </c>
      <c r="C610" s="10" t="str">
        <f>'[6]price list MAN'!C610</f>
        <v>TGS-26-4406X4BLS-LX-ALU</v>
      </c>
      <c r="D610" s="16" t="str">
        <f>IFERROR(VLOOKUP(C610&amp;"",'[7]Retail Price List'!$A$3:$B$103,2,FALSE),"Special Order")</f>
        <v>KP000666</v>
      </c>
      <c r="E610" s="494" t="str">
        <f>'[6]price list MAN'!E610</f>
        <v>CKD</v>
      </c>
      <c r="F610" s="11" t="str">
        <f>'[6]price list MAN'!F610</f>
        <v>2018-09-30</v>
      </c>
      <c r="G610" s="32">
        <f>'[6]price list MAN'!G610</f>
        <v>15.9</v>
      </c>
      <c r="H610" s="26">
        <f>'[6]price list MAN'!H610</f>
        <v>43069</v>
      </c>
      <c r="I610" s="51" t="str">
        <f t="shared" si="45"/>
        <v>2017Q4</v>
      </c>
      <c r="J610" s="177">
        <f>'[6]price list MAN'!J610</f>
        <v>1850000</v>
      </c>
      <c r="K610" s="177">
        <f>'[6]price list MAN'!P610</f>
        <v>1407000</v>
      </c>
      <c r="L610" s="177">
        <f>'[6]price list MAN'!R610</f>
        <v>1340000</v>
      </c>
      <c r="M610" s="174">
        <f>'[6]price list MAN'!S610</f>
        <v>1905000</v>
      </c>
      <c r="N610" s="174">
        <f>'[6]price list MAN'!Y610</f>
        <v>1464750</v>
      </c>
      <c r="O610" s="174">
        <f>'[6]price list MAN'!AA610</f>
        <v>1395000</v>
      </c>
      <c r="P610" s="68">
        <f t="shared" si="46"/>
        <v>0.26771653543307089</v>
      </c>
      <c r="Q610" s="62" t="e">
        <f>O610-#REF!</f>
        <v>#REF!</v>
      </c>
      <c r="W610" s="210"/>
      <c r="X610" s="210"/>
      <c r="Y610" s="210"/>
      <c r="Z610" s="210"/>
      <c r="AA610" s="210"/>
      <c r="AB610" s="210"/>
      <c r="AC610" s="210"/>
      <c r="AT610" s="425" t="str">
        <f t="shared" si="47"/>
        <v>KP0006662017Q415,9</v>
      </c>
      <c r="AU610" s="64" t="str">
        <f t="shared" si="48"/>
        <v>11-2017</v>
      </c>
      <c r="BA610" s="428" t="str">
        <f t="shared" si="49"/>
        <v>WIP - 30 Days</v>
      </c>
    </row>
    <row r="611" spans="2:53">
      <c r="B611" s="36">
        <f>'[6]price list MAN'!B611</f>
        <v>49012</v>
      </c>
      <c r="C611" s="10" t="str">
        <f>'[6]price list MAN'!C611</f>
        <v>TGS-26-4406X4BLS-LX-ALU</v>
      </c>
      <c r="D611" s="16" t="str">
        <f>IFERROR(VLOOKUP(C611&amp;"",'[7]Retail Price List'!$A$3:$B$103,2,FALSE),"Special Order")</f>
        <v>KP000666</v>
      </c>
      <c r="E611" s="494" t="str">
        <f>'[6]price list MAN'!E611</f>
        <v>CKD</v>
      </c>
      <c r="F611" s="11" t="str">
        <f>'[6]price list MAN'!F611</f>
        <v>2018-09-30</v>
      </c>
      <c r="G611" s="32">
        <f>'[6]price list MAN'!G611</f>
        <v>15.9</v>
      </c>
      <c r="H611" s="26">
        <f>'[6]price list MAN'!H611</f>
        <v>43069</v>
      </c>
      <c r="I611" s="51" t="str">
        <f t="shared" si="45"/>
        <v>2017Q4</v>
      </c>
      <c r="J611" s="177">
        <f>'[6]price list MAN'!J611</f>
        <v>1850000</v>
      </c>
      <c r="K611" s="177">
        <f>'[6]price list MAN'!P611</f>
        <v>1407000</v>
      </c>
      <c r="L611" s="177">
        <f>'[6]price list MAN'!R611</f>
        <v>1340000</v>
      </c>
      <c r="M611" s="174">
        <f>'[6]price list MAN'!S611</f>
        <v>1905000</v>
      </c>
      <c r="N611" s="174">
        <f>'[6]price list MAN'!Y611</f>
        <v>1464750</v>
      </c>
      <c r="O611" s="174">
        <f>'[6]price list MAN'!AA611</f>
        <v>1395000</v>
      </c>
      <c r="P611" s="68">
        <f t="shared" si="46"/>
        <v>0.26771653543307089</v>
      </c>
      <c r="Q611" s="62" t="e">
        <f>O611-#REF!</f>
        <v>#REF!</v>
      </c>
      <c r="W611" s="210"/>
      <c r="X611" s="210"/>
      <c r="Y611" s="210"/>
      <c r="Z611" s="210"/>
      <c r="AA611" s="210"/>
      <c r="AB611" s="210"/>
      <c r="AC611" s="210"/>
      <c r="AT611" s="425" t="str">
        <f t="shared" si="47"/>
        <v>KP0006662017Q415,9</v>
      </c>
      <c r="AU611" s="64" t="str">
        <f t="shared" si="48"/>
        <v>11-2017</v>
      </c>
      <c r="BA611" s="428" t="str">
        <f t="shared" si="49"/>
        <v>WIP - 30 Days</v>
      </c>
    </row>
    <row r="612" spans="2:53">
      <c r="B612" s="36">
        <f>'[6]price list MAN'!B612</f>
        <v>49013</v>
      </c>
      <c r="C612" s="10" t="str">
        <f>'[6]price list MAN'!C612</f>
        <v>TGS-26-4406X4BLS-LX-ALU</v>
      </c>
      <c r="D612" s="16" t="str">
        <f>IFERROR(VLOOKUP(C612&amp;"",'[7]Retail Price List'!$A$3:$B$103,2,FALSE),"Special Order")</f>
        <v>KP000666</v>
      </c>
      <c r="E612" s="494" t="str">
        <f>'[6]price list MAN'!E612</f>
        <v>CKD</v>
      </c>
      <c r="F612" s="11" t="str">
        <f>'[6]price list MAN'!F612</f>
        <v>2018-09-30</v>
      </c>
      <c r="G612" s="32">
        <f>'[6]price list MAN'!G612</f>
        <v>15.9</v>
      </c>
      <c r="H612" s="26">
        <f>'[6]price list MAN'!H612</f>
        <v>43069</v>
      </c>
      <c r="I612" s="51" t="str">
        <f t="shared" si="45"/>
        <v>2017Q4</v>
      </c>
      <c r="J612" s="177">
        <f>'[6]price list MAN'!J612</f>
        <v>1850000</v>
      </c>
      <c r="K612" s="177">
        <f>'[6]price list MAN'!P612</f>
        <v>1407000</v>
      </c>
      <c r="L612" s="177">
        <f>'[6]price list MAN'!R612</f>
        <v>1340000</v>
      </c>
      <c r="M612" s="174">
        <f>'[6]price list MAN'!S612</f>
        <v>1905000</v>
      </c>
      <c r="N612" s="174">
        <f>'[6]price list MAN'!Y612</f>
        <v>1464750</v>
      </c>
      <c r="O612" s="174">
        <f>'[6]price list MAN'!AA612</f>
        <v>1395000</v>
      </c>
      <c r="P612" s="68">
        <f t="shared" si="46"/>
        <v>0.26771653543307089</v>
      </c>
      <c r="Q612" s="62" t="e">
        <f>O612-#REF!</f>
        <v>#REF!</v>
      </c>
      <c r="W612" s="210"/>
      <c r="X612" s="210"/>
      <c r="Y612" s="210"/>
      <c r="Z612" s="210"/>
      <c r="AA612" s="210"/>
      <c r="AB612" s="210"/>
      <c r="AC612" s="210"/>
      <c r="AT612" s="425" t="str">
        <f t="shared" si="47"/>
        <v>KP0006662017Q415,9</v>
      </c>
      <c r="AU612" s="64" t="str">
        <f t="shared" si="48"/>
        <v>11-2017</v>
      </c>
      <c r="BA612" s="428" t="str">
        <f t="shared" si="49"/>
        <v>WIP - 30 Days</v>
      </c>
    </row>
    <row r="613" spans="2:53">
      <c r="B613" s="36">
        <f>'[6]price list MAN'!B613</f>
        <v>49014</v>
      </c>
      <c r="C613" s="10" t="str">
        <f>'[6]price list MAN'!C613</f>
        <v>TGS-26-4406X4BLS-LX-ALU</v>
      </c>
      <c r="D613" s="16" t="str">
        <f>IFERROR(VLOOKUP(C613&amp;"",'[7]Retail Price List'!$A$3:$B$103,2,FALSE),"Special Order")</f>
        <v>KP000666</v>
      </c>
      <c r="E613" s="494" t="str">
        <f>'[6]price list MAN'!E613</f>
        <v>CKD</v>
      </c>
      <c r="F613" s="11" t="str">
        <f>'[6]price list MAN'!F613</f>
        <v>2018-09-30</v>
      </c>
      <c r="G613" s="32">
        <f>'[6]price list MAN'!G613</f>
        <v>15.9</v>
      </c>
      <c r="H613" s="26">
        <f>'[6]price list MAN'!H613</f>
        <v>43069</v>
      </c>
      <c r="I613" s="51" t="str">
        <f t="shared" si="45"/>
        <v>2017Q4</v>
      </c>
      <c r="J613" s="177">
        <f>'[6]price list MAN'!J613</f>
        <v>1850000</v>
      </c>
      <c r="K613" s="177">
        <f>'[6]price list MAN'!P613</f>
        <v>1407000</v>
      </c>
      <c r="L613" s="177">
        <f>'[6]price list MAN'!R613</f>
        <v>1340000</v>
      </c>
      <c r="M613" s="174">
        <f>'[6]price list MAN'!S613</f>
        <v>1905000</v>
      </c>
      <c r="N613" s="174">
        <f>'[6]price list MAN'!Y613</f>
        <v>1464750</v>
      </c>
      <c r="O613" s="174">
        <f>'[6]price list MAN'!AA613</f>
        <v>1395000</v>
      </c>
      <c r="P613" s="68">
        <f t="shared" si="46"/>
        <v>0.26771653543307089</v>
      </c>
      <c r="Q613" s="62" t="e">
        <f>O613-#REF!</f>
        <v>#REF!</v>
      </c>
      <c r="W613" s="210"/>
      <c r="X613" s="210"/>
      <c r="Y613" s="210"/>
      <c r="Z613" s="210"/>
      <c r="AA613" s="210"/>
      <c r="AB613" s="210"/>
      <c r="AC613" s="210"/>
      <c r="AT613" s="425" t="str">
        <f t="shared" si="47"/>
        <v>KP0006662017Q415,9</v>
      </c>
      <c r="AU613" s="64" t="str">
        <f t="shared" si="48"/>
        <v>11-2017</v>
      </c>
      <c r="BA613" s="428" t="str">
        <f t="shared" si="49"/>
        <v>WIP - 30 Days</v>
      </c>
    </row>
    <row r="614" spans="2:53">
      <c r="B614" s="36">
        <f>'[6]price list MAN'!B614</f>
        <v>49015</v>
      </c>
      <c r="C614" s="10" t="str">
        <f>'[6]price list MAN'!C614</f>
        <v>TGS-26-4406X4BLS-LX-ALU</v>
      </c>
      <c r="D614" s="16" t="str">
        <f>IFERROR(VLOOKUP(C614&amp;"",'[7]Retail Price List'!$A$3:$B$103,2,FALSE),"Special Order")</f>
        <v>KP000666</v>
      </c>
      <c r="E614" s="494" t="str">
        <f>'[6]price list MAN'!E614</f>
        <v>CKD</v>
      </c>
      <c r="F614" s="11" t="str">
        <f>'[6]price list MAN'!F614</f>
        <v>2018-10-30</v>
      </c>
      <c r="G614" s="32">
        <f>'[6]price list MAN'!G614</f>
        <v>15.9</v>
      </c>
      <c r="H614" s="26">
        <f>'[6]price list MAN'!H614</f>
        <v>43069</v>
      </c>
      <c r="I614" s="51" t="str">
        <f t="shared" si="45"/>
        <v>2017Q4</v>
      </c>
      <c r="J614" s="177">
        <f>'[6]price list MAN'!J614</f>
        <v>1850000</v>
      </c>
      <c r="K614" s="177">
        <f>'[6]price list MAN'!P614</f>
        <v>1407000</v>
      </c>
      <c r="L614" s="177">
        <f>'[6]price list MAN'!R614</f>
        <v>1340000</v>
      </c>
      <c r="M614" s="174">
        <f>'[6]price list MAN'!S614</f>
        <v>1905000</v>
      </c>
      <c r="N614" s="174">
        <f>'[6]price list MAN'!Y614</f>
        <v>1464750</v>
      </c>
      <c r="O614" s="174">
        <f>'[6]price list MAN'!AA614</f>
        <v>1395000</v>
      </c>
      <c r="P614" s="68">
        <f t="shared" si="46"/>
        <v>0.26771653543307089</v>
      </c>
      <c r="Q614" s="62" t="e">
        <f>O614-#REF!</f>
        <v>#REF!</v>
      </c>
      <c r="W614" s="210"/>
      <c r="X614" s="210"/>
      <c r="Y614" s="210"/>
      <c r="Z614" s="210"/>
      <c r="AA614" s="210"/>
      <c r="AB614" s="210"/>
      <c r="AC614" s="210"/>
      <c r="AT614" s="425" t="str">
        <f t="shared" si="47"/>
        <v>KP0006662017Q415,9</v>
      </c>
      <c r="AU614" s="64" t="str">
        <f t="shared" si="48"/>
        <v>11-2017</v>
      </c>
      <c r="BA614" s="428" t="str">
        <f t="shared" si="49"/>
        <v>WIP - 30 Days</v>
      </c>
    </row>
    <row r="615" spans="2:53">
      <c r="B615" s="36">
        <f>'[6]price list MAN'!B615</f>
        <v>49016</v>
      </c>
      <c r="C615" s="10" t="str">
        <f>'[6]price list MAN'!C615</f>
        <v>TGS-26-4406X4BLS-LX-ALU</v>
      </c>
      <c r="D615" s="16" t="str">
        <f>IFERROR(VLOOKUP(C615&amp;"",'[7]Retail Price List'!$A$3:$B$103,2,FALSE),"Special Order")</f>
        <v>KP000666</v>
      </c>
      <c r="E615" s="494" t="str">
        <f>'[6]price list MAN'!E615</f>
        <v>CKD</v>
      </c>
      <c r="F615" s="11" t="str">
        <f>'[6]price list MAN'!F615</f>
        <v>2018-10-30</v>
      </c>
      <c r="G615" s="32">
        <f>'[6]price list MAN'!G615</f>
        <v>15.9</v>
      </c>
      <c r="H615" s="26">
        <f>'[6]price list MAN'!H615</f>
        <v>43069</v>
      </c>
      <c r="I615" s="51" t="str">
        <f t="shared" si="45"/>
        <v>2017Q4</v>
      </c>
      <c r="J615" s="177">
        <f>'[6]price list MAN'!J615</f>
        <v>1850000</v>
      </c>
      <c r="K615" s="177">
        <f>'[6]price list MAN'!P615</f>
        <v>1407000</v>
      </c>
      <c r="L615" s="177">
        <f>'[6]price list MAN'!R615</f>
        <v>1340000</v>
      </c>
      <c r="M615" s="174">
        <f>'[6]price list MAN'!S615</f>
        <v>1905000</v>
      </c>
      <c r="N615" s="174">
        <f>'[6]price list MAN'!Y615</f>
        <v>1464750</v>
      </c>
      <c r="O615" s="174">
        <f>'[6]price list MAN'!AA615</f>
        <v>1395000</v>
      </c>
      <c r="P615" s="68">
        <f t="shared" si="46"/>
        <v>0.26771653543307089</v>
      </c>
      <c r="Q615" s="62" t="e">
        <f>O615-#REF!</f>
        <v>#REF!</v>
      </c>
      <c r="W615" s="210"/>
      <c r="X615" s="210"/>
      <c r="Y615" s="210"/>
      <c r="Z615" s="210"/>
      <c r="AA615" s="210"/>
      <c r="AB615" s="210"/>
      <c r="AC615" s="210"/>
      <c r="AT615" s="425" t="str">
        <f t="shared" si="47"/>
        <v>KP0006662017Q415,9</v>
      </c>
      <c r="AU615" s="64" t="str">
        <f t="shared" si="48"/>
        <v>11-2017</v>
      </c>
      <c r="BA615" s="428" t="str">
        <f t="shared" si="49"/>
        <v>WIP - 30 Days</v>
      </c>
    </row>
    <row r="616" spans="2:53">
      <c r="B616" s="36">
        <f>'[6]price list MAN'!B616</f>
        <v>49017</v>
      </c>
      <c r="C616" s="10" t="str">
        <f>'[6]price list MAN'!C616</f>
        <v>TGS-26-4406X4BLS-LX-ALU</v>
      </c>
      <c r="D616" s="16" t="str">
        <f>IFERROR(VLOOKUP(C616&amp;"",'[7]Retail Price List'!$A$3:$B$103,2,FALSE),"Special Order")</f>
        <v>KP000666</v>
      </c>
      <c r="E616" s="494" t="str">
        <f>'[6]price list MAN'!E616</f>
        <v>CKD</v>
      </c>
      <c r="F616" s="11" t="str">
        <f>'[6]price list MAN'!F616</f>
        <v>2018-10-30</v>
      </c>
      <c r="G616" s="32">
        <f>'[6]price list MAN'!G616</f>
        <v>15.9</v>
      </c>
      <c r="H616" s="26">
        <f>'[6]price list MAN'!H616</f>
        <v>43069</v>
      </c>
      <c r="I616" s="51" t="str">
        <f t="shared" si="45"/>
        <v>2017Q4</v>
      </c>
      <c r="J616" s="177">
        <f>'[6]price list MAN'!J616</f>
        <v>1850000</v>
      </c>
      <c r="K616" s="177">
        <f>'[6]price list MAN'!P616</f>
        <v>1407000</v>
      </c>
      <c r="L616" s="177">
        <f>'[6]price list MAN'!R616</f>
        <v>1340000</v>
      </c>
      <c r="M616" s="174">
        <f>'[6]price list MAN'!S616</f>
        <v>1905000</v>
      </c>
      <c r="N616" s="174">
        <f>'[6]price list MAN'!Y616</f>
        <v>1464750</v>
      </c>
      <c r="O616" s="174">
        <f>'[6]price list MAN'!AA616</f>
        <v>1395000</v>
      </c>
      <c r="P616" s="68">
        <f t="shared" si="46"/>
        <v>0.26771653543307089</v>
      </c>
      <c r="Q616" s="62" t="e">
        <f>O616-#REF!</f>
        <v>#REF!</v>
      </c>
      <c r="W616" s="210"/>
      <c r="X616" s="210"/>
      <c r="Y616" s="210"/>
      <c r="Z616" s="210"/>
      <c r="AA616" s="210"/>
      <c r="AB616" s="210"/>
      <c r="AC616" s="210"/>
      <c r="AT616" s="425" t="str">
        <f t="shared" si="47"/>
        <v>KP0006662017Q415,9</v>
      </c>
      <c r="AU616" s="64" t="str">
        <f t="shared" si="48"/>
        <v>11-2017</v>
      </c>
      <c r="BA616" s="428" t="str">
        <f t="shared" si="49"/>
        <v>WIP - 30 Days</v>
      </c>
    </row>
    <row r="617" spans="2:53">
      <c r="B617" s="36">
        <f>'[6]price list MAN'!B617</f>
        <v>49018</v>
      </c>
      <c r="C617" s="10" t="str">
        <f>'[6]price list MAN'!C617</f>
        <v>TGS-26-4406X4BLS-LX-ALU</v>
      </c>
      <c r="D617" s="16" t="str">
        <f>IFERROR(VLOOKUP(C617&amp;"",'[7]Retail Price List'!$A$3:$B$103,2,FALSE),"Special Order")</f>
        <v>KP000666</v>
      </c>
      <c r="E617" s="494" t="str">
        <f>'[6]price list MAN'!E617</f>
        <v>CKD</v>
      </c>
      <c r="F617" s="11" t="str">
        <f>'[6]price list MAN'!F617</f>
        <v>2018-10-30</v>
      </c>
      <c r="G617" s="32">
        <f>'[6]price list MAN'!G617</f>
        <v>15.9</v>
      </c>
      <c r="H617" s="26">
        <f>'[6]price list MAN'!H617</f>
        <v>43069</v>
      </c>
      <c r="I617" s="51" t="str">
        <f t="shared" si="45"/>
        <v>2017Q4</v>
      </c>
      <c r="J617" s="177">
        <f>'[6]price list MAN'!J617</f>
        <v>1850000</v>
      </c>
      <c r="K617" s="177">
        <f>'[6]price list MAN'!P617</f>
        <v>1407000</v>
      </c>
      <c r="L617" s="177">
        <f>'[6]price list MAN'!R617</f>
        <v>1340000</v>
      </c>
      <c r="M617" s="174">
        <f>'[6]price list MAN'!S617</f>
        <v>1905000</v>
      </c>
      <c r="N617" s="174">
        <f>'[6]price list MAN'!Y617</f>
        <v>1464750</v>
      </c>
      <c r="O617" s="174">
        <f>'[6]price list MAN'!AA617</f>
        <v>1395000</v>
      </c>
      <c r="P617" s="68">
        <f t="shared" si="46"/>
        <v>0.26771653543307089</v>
      </c>
      <c r="Q617" s="62" t="e">
        <f>O617-#REF!</f>
        <v>#REF!</v>
      </c>
      <c r="W617" s="210"/>
      <c r="X617" s="210"/>
      <c r="Y617" s="210"/>
      <c r="Z617" s="210"/>
      <c r="AA617" s="210"/>
      <c r="AB617" s="210"/>
      <c r="AC617" s="210"/>
      <c r="AT617" s="425" t="str">
        <f t="shared" si="47"/>
        <v>KP0006662017Q415,9</v>
      </c>
      <c r="AU617" s="64" t="str">
        <f t="shared" si="48"/>
        <v>11-2017</v>
      </c>
      <c r="BA617" s="428" t="str">
        <f t="shared" si="49"/>
        <v>WIP - 30 Days</v>
      </c>
    </row>
    <row r="618" spans="2:53">
      <c r="B618" s="36">
        <f>'[6]price list MAN'!B618</f>
        <v>49019</v>
      </c>
      <c r="C618" s="10" t="str">
        <f>'[6]price list MAN'!C618</f>
        <v>TGS-26-4406X4BLS-LX-ALU</v>
      </c>
      <c r="D618" s="16" t="str">
        <f>IFERROR(VLOOKUP(C618&amp;"",'[7]Retail Price List'!$A$3:$B$103,2,FALSE),"Special Order")</f>
        <v>KP000666</v>
      </c>
      <c r="E618" s="494" t="str">
        <f>'[6]price list MAN'!E618</f>
        <v>CKD</v>
      </c>
      <c r="F618" s="11" t="str">
        <f>'[6]price list MAN'!F618</f>
        <v>2018-09-30</v>
      </c>
      <c r="G618" s="32">
        <f>'[6]price list MAN'!G618</f>
        <v>15.9</v>
      </c>
      <c r="H618" s="26">
        <f>'[6]price list MAN'!H618</f>
        <v>43069</v>
      </c>
      <c r="I618" s="51" t="str">
        <f t="shared" si="45"/>
        <v>2017Q4</v>
      </c>
      <c r="J618" s="177">
        <f>'[6]price list MAN'!J618</f>
        <v>1850000</v>
      </c>
      <c r="K618" s="177">
        <f>'[6]price list MAN'!P618</f>
        <v>1407000</v>
      </c>
      <c r="L618" s="177">
        <f>'[6]price list MAN'!R618</f>
        <v>1340000</v>
      </c>
      <c r="M618" s="174">
        <f>'[6]price list MAN'!S618</f>
        <v>1905000</v>
      </c>
      <c r="N618" s="174">
        <f>'[6]price list MAN'!Y618</f>
        <v>1464750</v>
      </c>
      <c r="O618" s="174">
        <f>'[6]price list MAN'!AA618</f>
        <v>1395000</v>
      </c>
      <c r="P618" s="68">
        <f t="shared" si="46"/>
        <v>0.26771653543307089</v>
      </c>
      <c r="Q618" s="62" t="e">
        <f>O618-#REF!</f>
        <v>#REF!</v>
      </c>
      <c r="W618" s="210"/>
      <c r="X618" s="210"/>
      <c r="Y618" s="210"/>
      <c r="Z618" s="210"/>
      <c r="AA618" s="210"/>
      <c r="AB618" s="210"/>
      <c r="AC618" s="210"/>
      <c r="AT618" s="425" t="str">
        <f t="shared" si="47"/>
        <v>KP0006662017Q415,9</v>
      </c>
      <c r="AU618" s="64" t="str">
        <f t="shared" si="48"/>
        <v>11-2017</v>
      </c>
      <c r="BA618" s="428" t="str">
        <f t="shared" si="49"/>
        <v>WIP - 30 Days</v>
      </c>
    </row>
    <row r="619" spans="2:53">
      <c r="B619" s="36">
        <f>'[6]price list MAN'!B619</f>
        <v>49020</v>
      </c>
      <c r="C619" s="10" t="str">
        <f>'[6]price list MAN'!C619</f>
        <v>TGS-26-4406X4BLS-LX-ALU</v>
      </c>
      <c r="D619" s="16" t="str">
        <f>IFERROR(VLOOKUP(C619&amp;"",'[7]Retail Price List'!$A$3:$B$103,2,FALSE),"Special Order")</f>
        <v>KP000666</v>
      </c>
      <c r="E619" s="494" t="str">
        <f>'[6]price list MAN'!E619</f>
        <v>CKD</v>
      </c>
      <c r="F619" s="11" t="str">
        <f>'[6]price list MAN'!F619</f>
        <v>2018-09-30</v>
      </c>
      <c r="G619" s="32">
        <f>'[6]price list MAN'!G619</f>
        <v>15.9</v>
      </c>
      <c r="H619" s="26">
        <f>'[6]price list MAN'!H619</f>
        <v>43069</v>
      </c>
      <c r="I619" s="51" t="str">
        <f t="shared" si="45"/>
        <v>2017Q4</v>
      </c>
      <c r="J619" s="177">
        <f>'[6]price list MAN'!J619</f>
        <v>1850000</v>
      </c>
      <c r="K619" s="177">
        <f>'[6]price list MAN'!P619</f>
        <v>1407000</v>
      </c>
      <c r="L619" s="177">
        <f>'[6]price list MAN'!R619</f>
        <v>1340000</v>
      </c>
      <c r="M619" s="174">
        <f>'[6]price list MAN'!S619</f>
        <v>1905000</v>
      </c>
      <c r="N619" s="174">
        <f>'[6]price list MAN'!Y619</f>
        <v>1464750</v>
      </c>
      <c r="O619" s="174">
        <f>'[6]price list MAN'!AA619</f>
        <v>1395000</v>
      </c>
      <c r="P619" s="68">
        <f t="shared" si="46"/>
        <v>0.26771653543307089</v>
      </c>
      <c r="Q619" s="62" t="e">
        <f>O619-#REF!</f>
        <v>#REF!</v>
      </c>
      <c r="W619" s="210"/>
      <c r="X619" s="210"/>
      <c r="Y619" s="210"/>
      <c r="Z619" s="210"/>
      <c r="AA619" s="210"/>
      <c r="AB619" s="210"/>
      <c r="AC619" s="210"/>
      <c r="AT619" s="425" t="str">
        <f t="shared" si="47"/>
        <v>KP0006662017Q415,9</v>
      </c>
      <c r="AU619" s="64" t="str">
        <f t="shared" si="48"/>
        <v>11-2017</v>
      </c>
      <c r="BA619" s="428" t="str">
        <f t="shared" si="49"/>
        <v>WIP - 30 Days</v>
      </c>
    </row>
    <row r="620" spans="2:53">
      <c r="B620" s="36">
        <f>'[6]price list MAN'!B620</f>
        <v>49021</v>
      </c>
      <c r="C620" s="10" t="str">
        <f>'[6]price list MAN'!C620</f>
        <v>TGS-26-4406X4BLS-LX-ALU</v>
      </c>
      <c r="D620" s="16" t="str">
        <f>IFERROR(VLOOKUP(C620&amp;"",'[7]Retail Price List'!$A$3:$B$103,2,FALSE),"Special Order")</f>
        <v>KP000666</v>
      </c>
      <c r="E620" s="494" t="str">
        <f>'[6]price list MAN'!E620</f>
        <v>CKD</v>
      </c>
      <c r="F620" s="11" t="str">
        <f>'[6]price list MAN'!F620</f>
        <v>2018-09-30</v>
      </c>
      <c r="G620" s="32">
        <f>'[6]price list MAN'!G620</f>
        <v>15.9</v>
      </c>
      <c r="H620" s="26">
        <f>'[6]price list MAN'!H620</f>
        <v>43069</v>
      </c>
      <c r="I620" s="51" t="str">
        <f t="shared" si="45"/>
        <v>2017Q4</v>
      </c>
      <c r="J620" s="177">
        <f>'[6]price list MAN'!J620</f>
        <v>1850000</v>
      </c>
      <c r="K620" s="177">
        <f>'[6]price list MAN'!P620</f>
        <v>1407000</v>
      </c>
      <c r="L620" s="177">
        <f>'[6]price list MAN'!R620</f>
        <v>1340000</v>
      </c>
      <c r="M620" s="174">
        <f>'[6]price list MAN'!S620</f>
        <v>1905000</v>
      </c>
      <c r="N620" s="174">
        <f>'[6]price list MAN'!Y620</f>
        <v>1464750</v>
      </c>
      <c r="O620" s="174">
        <f>'[6]price list MAN'!AA620</f>
        <v>1395000</v>
      </c>
      <c r="P620" s="68">
        <f t="shared" si="46"/>
        <v>0.26771653543307089</v>
      </c>
      <c r="Q620" s="62" t="e">
        <f>O620-#REF!</f>
        <v>#REF!</v>
      </c>
      <c r="W620" s="210"/>
      <c r="X620" s="210"/>
      <c r="Y620" s="210"/>
      <c r="Z620" s="210"/>
      <c r="AA620" s="210"/>
      <c r="AB620" s="210"/>
      <c r="AC620" s="210"/>
      <c r="AT620" s="425" t="str">
        <f t="shared" si="47"/>
        <v>KP0006662017Q415,9</v>
      </c>
      <c r="AU620" s="64" t="str">
        <f t="shared" si="48"/>
        <v>11-2017</v>
      </c>
      <c r="BA620" s="428" t="str">
        <f t="shared" si="49"/>
        <v>WIP - 30 Days</v>
      </c>
    </row>
    <row r="621" spans="2:53">
      <c r="B621" s="36">
        <f>'[6]price list MAN'!B621</f>
        <v>49022</v>
      </c>
      <c r="C621" s="10" t="str">
        <f>'[6]price list MAN'!C621</f>
        <v>TGS-26-4406X4BLS-LX-ALU</v>
      </c>
      <c r="D621" s="16" t="str">
        <f>IFERROR(VLOOKUP(C621&amp;"",'[7]Retail Price List'!$A$3:$B$103,2,FALSE),"Special Order")</f>
        <v>KP000666</v>
      </c>
      <c r="E621" s="494" t="str">
        <f>'[6]price list MAN'!E621</f>
        <v>CKD</v>
      </c>
      <c r="F621" s="11" t="str">
        <f>'[6]price list MAN'!F621</f>
        <v>2018-09-30</v>
      </c>
      <c r="G621" s="32">
        <f>'[6]price list MAN'!G621</f>
        <v>15.9</v>
      </c>
      <c r="H621" s="26">
        <f>'[6]price list MAN'!H621</f>
        <v>43069</v>
      </c>
      <c r="I621" s="51" t="str">
        <f t="shared" si="45"/>
        <v>2017Q4</v>
      </c>
      <c r="J621" s="177">
        <f>'[6]price list MAN'!J621</f>
        <v>1850000</v>
      </c>
      <c r="K621" s="177">
        <f>'[6]price list MAN'!P621</f>
        <v>1407000</v>
      </c>
      <c r="L621" s="177">
        <f>'[6]price list MAN'!R621</f>
        <v>1340000</v>
      </c>
      <c r="M621" s="174">
        <f>'[6]price list MAN'!S621</f>
        <v>1905000</v>
      </c>
      <c r="N621" s="174">
        <f>'[6]price list MAN'!Y621</f>
        <v>1464750</v>
      </c>
      <c r="O621" s="174">
        <f>'[6]price list MAN'!AA621</f>
        <v>1395000</v>
      </c>
      <c r="P621" s="68">
        <f t="shared" si="46"/>
        <v>0.26771653543307089</v>
      </c>
      <c r="Q621" s="62" t="e">
        <f>O621-#REF!</f>
        <v>#REF!</v>
      </c>
      <c r="W621" s="210"/>
      <c r="X621" s="210"/>
      <c r="Y621" s="210"/>
      <c r="Z621" s="210"/>
      <c r="AA621" s="210"/>
      <c r="AB621" s="210"/>
      <c r="AC621" s="210"/>
      <c r="AT621" s="425" t="str">
        <f t="shared" si="47"/>
        <v>KP0006662017Q415,9</v>
      </c>
      <c r="AU621" s="64" t="str">
        <f t="shared" si="48"/>
        <v>11-2017</v>
      </c>
      <c r="BA621" s="428" t="str">
        <f t="shared" si="49"/>
        <v>WIP - 30 Days</v>
      </c>
    </row>
    <row r="622" spans="2:53">
      <c r="B622" s="36">
        <f>'[6]price list MAN'!B622</f>
        <v>49023</v>
      </c>
      <c r="C622" s="10" t="str">
        <f>'[6]price list MAN'!C622</f>
        <v>TGS-26-4406X4BLS-LX-ALU</v>
      </c>
      <c r="D622" s="16" t="str">
        <f>IFERROR(VLOOKUP(C622&amp;"",'[7]Retail Price List'!$A$3:$B$103,2,FALSE),"Special Order")</f>
        <v>KP000666</v>
      </c>
      <c r="E622" s="494" t="str">
        <f>'[6]price list MAN'!E622</f>
        <v>CKD</v>
      </c>
      <c r="F622" s="11" t="str">
        <f>'[6]price list MAN'!F622</f>
        <v>2018-10-30</v>
      </c>
      <c r="G622" s="32">
        <f>'[6]price list MAN'!G622</f>
        <v>15.9</v>
      </c>
      <c r="H622" s="26">
        <f>'[6]price list MAN'!H622</f>
        <v>43069</v>
      </c>
      <c r="I622" s="51" t="str">
        <f t="shared" si="45"/>
        <v>2017Q4</v>
      </c>
      <c r="J622" s="177">
        <f>'[6]price list MAN'!J622</f>
        <v>1850000</v>
      </c>
      <c r="K622" s="177">
        <f>'[6]price list MAN'!P622</f>
        <v>1407000</v>
      </c>
      <c r="L622" s="177">
        <f>'[6]price list MAN'!R622</f>
        <v>1340000</v>
      </c>
      <c r="M622" s="174">
        <f>'[6]price list MAN'!S622</f>
        <v>1905000</v>
      </c>
      <c r="N622" s="174">
        <f>'[6]price list MAN'!Y622</f>
        <v>1464750</v>
      </c>
      <c r="O622" s="174">
        <f>'[6]price list MAN'!AA622</f>
        <v>1395000</v>
      </c>
      <c r="P622" s="68">
        <f t="shared" si="46"/>
        <v>0.26771653543307089</v>
      </c>
      <c r="Q622" s="62" t="e">
        <f>O622-#REF!</f>
        <v>#REF!</v>
      </c>
      <c r="W622" s="210"/>
      <c r="X622" s="210"/>
      <c r="Y622" s="210"/>
      <c r="Z622" s="210"/>
      <c r="AA622" s="210"/>
      <c r="AB622" s="210"/>
      <c r="AC622" s="210"/>
      <c r="AT622" s="425" t="str">
        <f t="shared" si="47"/>
        <v>KP0006662017Q415,9</v>
      </c>
      <c r="AU622" s="64" t="str">
        <f t="shared" si="48"/>
        <v>11-2017</v>
      </c>
      <c r="BA622" s="428" t="str">
        <f t="shared" si="49"/>
        <v>WIP - 30 Days</v>
      </c>
    </row>
    <row r="623" spans="2:53">
      <c r="B623" s="36">
        <f>'[6]price list MAN'!B623</f>
        <v>49024</v>
      </c>
      <c r="C623" s="10" t="str">
        <f>'[6]price list MAN'!C623</f>
        <v>TGS-26-4406X4BLS-LX-ALU</v>
      </c>
      <c r="D623" s="16" t="str">
        <f>IFERROR(VLOOKUP(C623&amp;"",'[7]Retail Price List'!$A$3:$B$103,2,FALSE),"Special Order")</f>
        <v>KP000666</v>
      </c>
      <c r="E623" s="494" t="str">
        <f>'[6]price list MAN'!E623</f>
        <v>CKD</v>
      </c>
      <c r="F623" s="11" t="str">
        <f>'[6]price list MAN'!F623</f>
        <v>2018-10-30</v>
      </c>
      <c r="G623" s="32">
        <f>'[6]price list MAN'!G623</f>
        <v>15.9</v>
      </c>
      <c r="H623" s="26">
        <f>'[6]price list MAN'!H623</f>
        <v>43069</v>
      </c>
      <c r="I623" s="51" t="str">
        <f t="shared" si="45"/>
        <v>2017Q4</v>
      </c>
      <c r="J623" s="177">
        <f>'[6]price list MAN'!J623</f>
        <v>1850000</v>
      </c>
      <c r="K623" s="177">
        <f>'[6]price list MAN'!P623</f>
        <v>1407000</v>
      </c>
      <c r="L623" s="177">
        <f>'[6]price list MAN'!R623</f>
        <v>1340000</v>
      </c>
      <c r="M623" s="174">
        <f>'[6]price list MAN'!S623</f>
        <v>1905000</v>
      </c>
      <c r="N623" s="174">
        <f>'[6]price list MAN'!Y623</f>
        <v>1464750</v>
      </c>
      <c r="O623" s="174">
        <f>'[6]price list MAN'!AA623</f>
        <v>1395000</v>
      </c>
      <c r="P623" s="68">
        <f t="shared" si="46"/>
        <v>0.26771653543307089</v>
      </c>
      <c r="Q623" s="62" t="e">
        <f>O623-#REF!</f>
        <v>#REF!</v>
      </c>
      <c r="W623" s="210"/>
      <c r="X623" s="210"/>
      <c r="Y623" s="210"/>
      <c r="Z623" s="210"/>
      <c r="AA623" s="210"/>
      <c r="AB623" s="210"/>
      <c r="AC623" s="210"/>
      <c r="AT623" s="425" t="str">
        <f t="shared" si="47"/>
        <v>KP0006662017Q415,9</v>
      </c>
      <c r="AU623" s="64" t="str">
        <f t="shared" si="48"/>
        <v>11-2017</v>
      </c>
      <c r="BA623" s="428" t="str">
        <f t="shared" si="49"/>
        <v>WIP - 30 Days</v>
      </c>
    </row>
    <row r="624" spans="2:53">
      <c r="B624" s="36">
        <f>'[6]price list MAN'!B624</f>
        <v>49025</v>
      </c>
      <c r="C624" s="10" t="str">
        <f>'[6]price list MAN'!C624</f>
        <v>TGS-26-4406X4BLS-LX-ALU</v>
      </c>
      <c r="D624" s="16" t="str">
        <f>IFERROR(VLOOKUP(C624&amp;"",'[7]Retail Price List'!$A$3:$B$103,2,FALSE),"Special Order")</f>
        <v>KP000666</v>
      </c>
      <c r="E624" s="494" t="str">
        <f>'[6]price list MAN'!E624</f>
        <v>CKD</v>
      </c>
      <c r="F624" s="11" t="str">
        <f>'[6]price list MAN'!F624</f>
        <v>2018-10-30</v>
      </c>
      <c r="G624" s="32">
        <f>'[6]price list MAN'!G624</f>
        <v>15.9</v>
      </c>
      <c r="H624" s="26">
        <f>'[6]price list MAN'!H624</f>
        <v>43069</v>
      </c>
      <c r="I624" s="51" t="str">
        <f t="shared" si="45"/>
        <v>2017Q4</v>
      </c>
      <c r="J624" s="177">
        <f>'[6]price list MAN'!J624</f>
        <v>1850000</v>
      </c>
      <c r="K624" s="177">
        <f>'[6]price list MAN'!P624</f>
        <v>1407000</v>
      </c>
      <c r="L624" s="177">
        <f>'[6]price list MAN'!R624</f>
        <v>1340000</v>
      </c>
      <c r="M624" s="174">
        <f>'[6]price list MAN'!S624</f>
        <v>1905000</v>
      </c>
      <c r="N624" s="174">
        <f>'[6]price list MAN'!Y624</f>
        <v>1464750</v>
      </c>
      <c r="O624" s="174">
        <f>'[6]price list MAN'!AA624</f>
        <v>1395000</v>
      </c>
      <c r="P624" s="68">
        <f t="shared" si="46"/>
        <v>0.26771653543307089</v>
      </c>
      <c r="Q624" s="62" t="e">
        <f>O624-#REF!</f>
        <v>#REF!</v>
      </c>
      <c r="W624" s="210"/>
      <c r="X624" s="210"/>
      <c r="Y624" s="210"/>
      <c r="Z624" s="210"/>
      <c r="AA624" s="210"/>
      <c r="AB624" s="210"/>
      <c r="AC624" s="210"/>
      <c r="AT624" s="425" t="str">
        <f t="shared" si="47"/>
        <v>KP0006662017Q415,9</v>
      </c>
      <c r="AU624" s="64" t="str">
        <f t="shared" si="48"/>
        <v>11-2017</v>
      </c>
      <c r="BA624" s="428" t="str">
        <f t="shared" si="49"/>
        <v>WIP - 30 Days</v>
      </c>
    </row>
    <row r="625" spans="2:53">
      <c r="B625" s="36">
        <f>'[6]price list MAN'!B625</f>
        <v>49026</v>
      </c>
      <c r="C625" s="10" t="str">
        <f>'[6]price list MAN'!C625</f>
        <v>TGS-26-4406X4BLS-LX-ALU</v>
      </c>
      <c r="D625" s="16" t="str">
        <f>IFERROR(VLOOKUP(C625&amp;"",'[7]Retail Price List'!$A$3:$B$103,2,FALSE),"Special Order")</f>
        <v>KP000666</v>
      </c>
      <c r="E625" s="494" t="str">
        <f>'[6]price list MAN'!E625</f>
        <v>CKD</v>
      </c>
      <c r="F625" s="11" t="str">
        <f>'[6]price list MAN'!F625</f>
        <v>2018-10-30</v>
      </c>
      <c r="G625" s="32">
        <f>'[6]price list MAN'!G625</f>
        <v>15.9</v>
      </c>
      <c r="H625" s="26">
        <f>'[6]price list MAN'!H625</f>
        <v>43069</v>
      </c>
      <c r="I625" s="51" t="str">
        <f t="shared" si="45"/>
        <v>2017Q4</v>
      </c>
      <c r="J625" s="177">
        <f>'[6]price list MAN'!J625</f>
        <v>1850000</v>
      </c>
      <c r="K625" s="177">
        <f>'[6]price list MAN'!P625</f>
        <v>1407000</v>
      </c>
      <c r="L625" s="177">
        <f>'[6]price list MAN'!R625</f>
        <v>1340000</v>
      </c>
      <c r="M625" s="174">
        <f>'[6]price list MAN'!S625</f>
        <v>1905000</v>
      </c>
      <c r="N625" s="174">
        <f>'[6]price list MAN'!Y625</f>
        <v>1464750</v>
      </c>
      <c r="O625" s="174">
        <f>'[6]price list MAN'!AA625</f>
        <v>1395000</v>
      </c>
      <c r="P625" s="68">
        <f t="shared" si="46"/>
        <v>0.26771653543307089</v>
      </c>
      <c r="Q625" s="62" t="e">
        <f>O625-#REF!</f>
        <v>#REF!</v>
      </c>
      <c r="W625" s="210"/>
      <c r="X625" s="210"/>
      <c r="Y625" s="210"/>
      <c r="Z625" s="210"/>
      <c r="AA625" s="210"/>
      <c r="AB625" s="210"/>
      <c r="AC625" s="210"/>
      <c r="AT625" s="425" t="str">
        <f t="shared" si="47"/>
        <v>KP0006662017Q415,9</v>
      </c>
      <c r="AU625" s="64" t="str">
        <f t="shared" si="48"/>
        <v>11-2017</v>
      </c>
      <c r="BA625" s="428" t="str">
        <f t="shared" si="49"/>
        <v>WIP - 30 Days</v>
      </c>
    </row>
    <row r="626" spans="2:53">
      <c r="B626" s="36">
        <f>'[6]price list MAN'!B626</f>
        <v>49027</v>
      </c>
      <c r="C626" s="10" t="str">
        <f>'[6]price list MAN'!C626</f>
        <v>TGS-26-4406X4BLS-LX-ALU</v>
      </c>
      <c r="D626" s="16" t="str">
        <f>IFERROR(VLOOKUP(C626&amp;"",'[7]Retail Price List'!$A$3:$B$103,2,FALSE),"Special Order")</f>
        <v>KP000666</v>
      </c>
      <c r="E626" s="494" t="str">
        <f>'[6]price list MAN'!E626</f>
        <v>CKD</v>
      </c>
      <c r="F626" s="11" t="str">
        <f>'[6]price list MAN'!F626</f>
        <v>2018-10-30</v>
      </c>
      <c r="G626" s="32">
        <f>'[6]price list MAN'!G626</f>
        <v>15.9</v>
      </c>
      <c r="H626" s="26">
        <f>'[6]price list MAN'!H626</f>
        <v>43069</v>
      </c>
      <c r="I626" s="51" t="str">
        <f t="shared" si="45"/>
        <v>2017Q4</v>
      </c>
      <c r="J626" s="177">
        <f>'[6]price list MAN'!J626</f>
        <v>1850000</v>
      </c>
      <c r="K626" s="177">
        <f>'[6]price list MAN'!P626</f>
        <v>1407000</v>
      </c>
      <c r="L626" s="177">
        <f>'[6]price list MAN'!R626</f>
        <v>1340000</v>
      </c>
      <c r="M626" s="174">
        <f>'[6]price list MAN'!S626</f>
        <v>1905000</v>
      </c>
      <c r="N626" s="174">
        <f>'[6]price list MAN'!Y626</f>
        <v>1464750</v>
      </c>
      <c r="O626" s="174">
        <f>'[6]price list MAN'!AA626</f>
        <v>1395000</v>
      </c>
      <c r="P626" s="68">
        <f t="shared" si="46"/>
        <v>0.26771653543307089</v>
      </c>
      <c r="Q626" s="62" t="e">
        <f>O626-#REF!</f>
        <v>#REF!</v>
      </c>
      <c r="W626" s="210"/>
      <c r="X626" s="210"/>
      <c r="Y626" s="210"/>
      <c r="Z626" s="210"/>
      <c r="AA626" s="210"/>
      <c r="AB626" s="210"/>
      <c r="AC626" s="210"/>
      <c r="AT626" s="425" t="str">
        <f t="shared" si="47"/>
        <v>KP0006662017Q415,9</v>
      </c>
      <c r="AU626" s="64" t="str">
        <f t="shared" si="48"/>
        <v>11-2017</v>
      </c>
      <c r="BA626" s="428" t="str">
        <f t="shared" si="49"/>
        <v>WIP - 30 Days</v>
      </c>
    </row>
    <row r="627" spans="2:53">
      <c r="B627" s="36">
        <f>'[6]price list MAN'!B627</f>
        <v>49028</v>
      </c>
      <c r="C627" s="10" t="str">
        <f>'[6]price list MAN'!C627</f>
        <v>TGS-26-4406X4BLS-LX-ALU</v>
      </c>
      <c r="D627" s="16" t="str">
        <f>IFERROR(VLOOKUP(C627&amp;"",'[7]Retail Price List'!$A$3:$B$103,2,FALSE),"Special Order")</f>
        <v>KP000666</v>
      </c>
      <c r="E627" s="494" t="str">
        <f>'[6]price list MAN'!E627</f>
        <v>CKD</v>
      </c>
      <c r="F627" s="11" t="str">
        <f>'[6]price list MAN'!F627</f>
        <v>2018-10-30</v>
      </c>
      <c r="G627" s="32">
        <f>'[6]price list MAN'!G627</f>
        <v>15.9</v>
      </c>
      <c r="H627" s="26">
        <f>'[6]price list MAN'!H627</f>
        <v>43069</v>
      </c>
      <c r="I627" s="51" t="str">
        <f t="shared" si="45"/>
        <v>2017Q4</v>
      </c>
      <c r="J627" s="177">
        <f>'[6]price list MAN'!J627</f>
        <v>1850000</v>
      </c>
      <c r="K627" s="177">
        <f>'[6]price list MAN'!P627</f>
        <v>1407000</v>
      </c>
      <c r="L627" s="177">
        <f>'[6]price list MAN'!R627</f>
        <v>1340000</v>
      </c>
      <c r="M627" s="174">
        <f>'[6]price list MAN'!S627</f>
        <v>1905000</v>
      </c>
      <c r="N627" s="174">
        <f>'[6]price list MAN'!Y627</f>
        <v>1464750</v>
      </c>
      <c r="O627" s="174">
        <f>'[6]price list MAN'!AA627</f>
        <v>1395000</v>
      </c>
      <c r="P627" s="68">
        <f t="shared" si="46"/>
        <v>0.26771653543307089</v>
      </c>
      <c r="Q627" s="62" t="e">
        <f>O627-#REF!</f>
        <v>#REF!</v>
      </c>
      <c r="W627" s="210"/>
      <c r="X627" s="210"/>
      <c r="Y627" s="210"/>
      <c r="Z627" s="210"/>
      <c r="AA627" s="210"/>
      <c r="AB627" s="210"/>
      <c r="AC627" s="210"/>
      <c r="AT627" s="425" t="str">
        <f t="shared" si="47"/>
        <v>KP0006662017Q415,9</v>
      </c>
      <c r="AU627" s="64" t="str">
        <f t="shared" si="48"/>
        <v>11-2017</v>
      </c>
      <c r="BA627" s="428" t="str">
        <f t="shared" si="49"/>
        <v>WIP - 30 Days</v>
      </c>
    </row>
    <row r="628" spans="2:53">
      <c r="B628" s="36">
        <f>'[6]price list MAN'!B628</f>
        <v>49029</v>
      </c>
      <c r="C628" s="10" t="str">
        <f>'[6]price list MAN'!C628</f>
        <v>TGS-26-4406X4BLS-LX-ALU</v>
      </c>
      <c r="D628" s="16" t="str">
        <f>IFERROR(VLOOKUP(C628&amp;"",'[7]Retail Price List'!$A$3:$B$103,2,FALSE),"Special Order")</f>
        <v>KP000666</v>
      </c>
      <c r="E628" s="494" t="str">
        <f>'[6]price list MAN'!E628</f>
        <v>CKD</v>
      </c>
      <c r="F628" s="11" t="str">
        <f>'[6]price list MAN'!F628</f>
        <v>2018-10-30</v>
      </c>
      <c r="G628" s="32">
        <f>'[6]price list MAN'!G628</f>
        <v>15.9</v>
      </c>
      <c r="H628" s="26">
        <f>'[6]price list MAN'!H628</f>
        <v>43069</v>
      </c>
      <c r="I628" s="51" t="str">
        <f t="shared" si="45"/>
        <v>2017Q4</v>
      </c>
      <c r="J628" s="177">
        <f>'[6]price list MAN'!J628</f>
        <v>1850000</v>
      </c>
      <c r="K628" s="177">
        <f>'[6]price list MAN'!P628</f>
        <v>1407000</v>
      </c>
      <c r="L628" s="177">
        <f>'[6]price list MAN'!R628</f>
        <v>1340000</v>
      </c>
      <c r="M628" s="174">
        <f>'[6]price list MAN'!S628</f>
        <v>1905000</v>
      </c>
      <c r="N628" s="174">
        <f>'[6]price list MAN'!Y628</f>
        <v>1464750</v>
      </c>
      <c r="O628" s="174">
        <f>'[6]price list MAN'!AA628</f>
        <v>1395000</v>
      </c>
      <c r="P628" s="68">
        <f t="shared" si="46"/>
        <v>0.26771653543307089</v>
      </c>
      <c r="Q628" s="62" t="e">
        <f>O628-#REF!</f>
        <v>#REF!</v>
      </c>
      <c r="W628" s="210"/>
      <c r="X628" s="210"/>
      <c r="Y628" s="210"/>
      <c r="Z628" s="210"/>
      <c r="AA628" s="210"/>
      <c r="AB628" s="210"/>
      <c r="AC628" s="210"/>
      <c r="AT628" s="425" t="str">
        <f t="shared" si="47"/>
        <v>KP0006662017Q415,9</v>
      </c>
      <c r="AU628" s="64" t="str">
        <f t="shared" si="48"/>
        <v>11-2017</v>
      </c>
      <c r="BA628" s="428" t="str">
        <f t="shared" si="49"/>
        <v>WIP - 30 Days</v>
      </c>
    </row>
    <row r="629" spans="2:53">
      <c r="B629" s="36">
        <f>'[6]price list MAN'!B629</f>
        <v>49030</v>
      </c>
      <c r="C629" s="10" t="str">
        <f>'[6]price list MAN'!C629</f>
        <v>TGS-26-4406X4BLS-LX-ALU</v>
      </c>
      <c r="D629" s="16" t="str">
        <f>IFERROR(VLOOKUP(C629&amp;"",'[7]Retail Price List'!$A$3:$B$103,2,FALSE),"Special Order")</f>
        <v>KP000666</v>
      </c>
      <c r="E629" s="494" t="str">
        <f>'[6]price list MAN'!E629</f>
        <v>CKD</v>
      </c>
      <c r="F629" s="11" t="str">
        <f>'[6]price list MAN'!F629</f>
        <v>2018-10-30</v>
      </c>
      <c r="G629" s="32">
        <f>'[6]price list MAN'!G629</f>
        <v>15.9</v>
      </c>
      <c r="H629" s="26">
        <f>'[6]price list MAN'!H629</f>
        <v>43069</v>
      </c>
      <c r="I629" s="51" t="str">
        <f t="shared" si="45"/>
        <v>2017Q4</v>
      </c>
      <c r="J629" s="177">
        <f>'[6]price list MAN'!J629</f>
        <v>1850000</v>
      </c>
      <c r="K629" s="177">
        <f>'[6]price list MAN'!P629</f>
        <v>1407000</v>
      </c>
      <c r="L629" s="177">
        <f>'[6]price list MAN'!R629</f>
        <v>1340000</v>
      </c>
      <c r="M629" s="174">
        <f>'[6]price list MAN'!S629</f>
        <v>1905000</v>
      </c>
      <c r="N629" s="174">
        <f>'[6]price list MAN'!Y629</f>
        <v>1464750</v>
      </c>
      <c r="O629" s="174">
        <f>'[6]price list MAN'!AA629</f>
        <v>1395000</v>
      </c>
      <c r="P629" s="68">
        <f t="shared" si="46"/>
        <v>0.26771653543307089</v>
      </c>
      <c r="Q629" s="62" t="e">
        <f>O629-#REF!</f>
        <v>#REF!</v>
      </c>
      <c r="W629" s="210"/>
      <c r="X629" s="210"/>
      <c r="Y629" s="210"/>
      <c r="Z629" s="210"/>
      <c r="AA629" s="210"/>
      <c r="AB629" s="210"/>
      <c r="AC629" s="210"/>
      <c r="AT629" s="425" t="str">
        <f t="shared" si="47"/>
        <v>KP0006662017Q415,9</v>
      </c>
      <c r="AU629" s="64" t="str">
        <f t="shared" si="48"/>
        <v>11-2017</v>
      </c>
      <c r="BA629" s="428" t="str">
        <f t="shared" si="49"/>
        <v>WIP - 30 Days</v>
      </c>
    </row>
    <row r="630" spans="2:53">
      <c r="B630" s="36" t="str">
        <f>'[6]price list MAN'!B630</f>
        <v>78W-6168</v>
      </c>
      <c r="C630" s="10" t="str">
        <f>'[6]price list MAN'!C630</f>
        <v>TGS-26-4406X4BLS-LX-ALU</v>
      </c>
      <c r="D630" s="16" t="str">
        <f>IFERROR(VLOOKUP(C630&amp;"",'[7]Retail Price List'!$A$3:$B$103,2,FALSE),"Special Order")</f>
        <v>KP000666</v>
      </c>
      <c r="E630" s="494" t="str">
        <f>'[6]price list MAN'!E630</f>
        <v>CKD</v>
      </c>
      <c r="F630" s="11" t="str">
        <f>'[6]price list MAN'!F630</f>
        <v>2018-02-20</v>
      </c>
      <c r="G630" s="32">
        <f>'[6]price list MAN'!G630</f>
        <v>14.7</v>
      </c>
      <c r="H630" s="26">
        <f>'[6]price list MAN'!H630</f>
        <v>42947</v>
      </c>
      <c r="I630" s="51" t="str">
        <f t="shared" si="45"/>
        <v>201707Q3</v>
      </c>
      <c r="J630" s="177">
        <f>'[6]price list MAN'!J630</f>
        <v>1850000</v>
      </c>
      <c r="K630" s="177">
        <f>'[6]price list MAN'!P630</f>
        <v>1417500</v>
      </c>
      <c r="L630" s="177">
        <f>'[6]price list MAN'!R630</f>
        <v>1350000</v>
      </c>
      <c r="M630" s="174">
        <f>'[6]price list MAN'!S630</f>
        <v>1905000</v>
      </c>
      <c r="N630" s="174">
        <f>'[6]price list MAN'!Y630</f>
        <v>1475250</v>
      </c>
      <c r="O630" s="174">
        <f>'[6]price list MAN'!AA630</f>
        <v>1405000</v>
      </c>
      <c r="P630" s="68">
        <f t="shared" si="46"/>
        <v>0.26246719160104987</v>
      </c>
      <c r="Q630" s="62" t="e">
        <f>O630-#REF!</f>
        <v>#REF!</v>
      </c>
      <c r="W630" s="210"/>
      <c r="X630" s="210"/>
      <c r="Y630" s="210"/>
      <c r="Z630" s="210"/>
      <c r="AA630" s="210"/>
      <c r="AB630" s="210"/>
      <c r="AC630" s="210"/>
      <c r="AT630" s="425" t="str">
        <f t="shared" si="47"/>
        <v>KP000666201707Q314,7</v>
      </c>
      <c r="AU630" s="64" t="str">
        <f t="shared" si="48"/>
        <v>07-2017</v>
      </c>
      <c r="BA630" s="428" t="str">
        <f t="shared" si="49"/>
        <v>WIP - 30 Days</v>
      </c>
    </row>
    <row r="631" spans="2:53">
      <c r="B631" s="36" t="str">
        <f>'[6]price list MAN'!B631</f>
        <v>78W-6169</v>
      </c>
      <c r="C631" s="10" t="str">
        <f>'[6]price list MAN'!C631</f>
        <v>TGS-26-4406X4BLS-LX-ALU</v>
      </c>
      <c r="D631" s="16" t="str">
        <f>IFERROR(VLOOKUP(C631&amp;"",'[7]Retail Price List'!$A$3:$B$103,2,FALSE),"Special Order")</f>
        <v>KP000666</v>
      </c>
      <c r="E631" s="494" t="str">
        <f>'[6]price list MAN'!E631</f>
        <v>SOLD</v>
      </c>
      <c r="F631" s="11">
        <f>'[6]price list MAN'!F631</f>
        <v>7</v>
      </c>
      <c r="G631" s="32">
        <f>'[6]price list MAN'!G631</f>
        <v>14.7</v>
      </c>
      <c r="H631" s="26">
        <f>'[6]price list MAN'!H631</f>
        <v>42947</v>
      </c>
      <c r="I631" s="51" t="str">
        <f t="shared" si="45"/>
        <v>201707Q3</v>
      </c>
      <c r="J631" s="177">
        <f>'[6]price list MAN'!J631</f>
        <v>1850000</v>
      </c>
      <c r="K631" s="177">
        <f>'[6]price list MAN'!P631</f>
        <v>1417500</v>
      </c>
      <c r="L631" s="177">
        <f>'[6]price list MAN'!R631</f>
        <v>1350000</v>
      </c>
      <c r="M631" s="174">
        <f>'[6]price list MAN'!S631</f>
        <v>1905000</v>
      </c>
      <c r="N631" s="174">
        <f>'[6]price list MAN'!Y631</f>
        <v>1475250</v>
      </c>
      <c r="O631" s="174">
        <f>'[6]price list MAN'!AA631</f>
        <v>1405000</v>
      </c>
      <c r="P631" s="68">
        <f t="shared" si="46"/>
        <v>0.26246719160104987</v>
      </c>
      <c r="Q631" s="62" t="e">
        <f>O631-#REF!</f>
        <v>#REF!</v>
      </c>
      <c r="W631" s="210"/>
      <c r="X631" s="210"/>
      <c r="Y631" s="210"/>
      <c r="Z631" s="210"/>
      <c r="AA631" s="210"/>
      <c r="AB631" s="210"/>
      <c r="AC631" s="210"/>
      <c r="AT631" s="425" t="str">
        <f t="shared" si="47"/>
        <v>KP000666201707Q314,7</v>
      </c>
      <c r="AU631" s="64" t="str">
        <f t="shared" si="48"/>
        <v>07-2017</v>
      </c>
      <c r="BA631" s="428" t="str">
        <f t="shared" si="49"/>
        <v>WIP - 30 Days</v>
      </c>
    </row>
    <row r="632" spans="2:53">
      <c r="B632" s="36" t="str">
        <f>'[6]price list MAN'!B632</f>
        <v>78W-6170</v>
      </c>
      <c r="C632" s="10" t="str">
        <f>'[6]price list MAN'!C632</f>
        <v>TGS-26-4406X4BLS-LX-ALU</v>
      </c>
      <c r="D632" s="16" t="str">
        <f>IFERROR(VLOOKUP(C632&amp;"",'[7]Retail Price List'!$A$3:$B$103,2,FALSE),"Special Order")</f>
        <v>KP000666</v>
      </c>
      <c r="E632" s="494" t="str">
        <f>'[6]price list MAN'!E632</f>
        <v>SOLD</v>
      </c>
      <c r="F632" s="11">
        <f>'[6]price list MAN'!F632</f>
        <v>7</v>
      </c>
      <c r="G632" s="32">
        <f>'[6]price list MAN'!G632</f>
        <v>14.7</v>
      </c>
      <c r="H632" s="26">
        <f>'[6]price list MAN'!H632</f>
        <v>42947</v>
      </c>
      <c r="I632" s="51" t="str">
        <f t="shared" si="45"/>
        <v>201707Q3</v>
      </c>
      <c r="J632" s="177">
        <f>'[6]price list MAN'!J632</f>
        <v>1850000</v>
      </c>
      <c r="K632" s="177">
        <f>'[6]price list MAN'!P632</f>
        <v>1417500</v>
      </c>
      <c r="L632" s="177">
        <f>'[6]price list MAN'!R632</f>
        <v>1350000</v>
      </c>
      <c r="M632" s="174">
        <f>'[6]price list MAN'!S632</f>
        <v>1905000</v>
      </c>
      <c r="N632" s="174">
        <f>'[6]price list MAN'!Y632</f>
        <v>1475250</v>
      </c>
      <c r="O632" s="174">
        <f>'[6]price list MAN'!AA632</f>
        <v>1405000</v>
      </c>
      <c r="P632" s="68">
        <f t="shared" si="46"/>
        <v>0.26246719160104987</v>
      </c>
      <c r="Q632" s="62" t="e">
        <f>O632-#REF!</f>
        <v>#REF!</v>
      </c>
      <c r="W632" s="210"/>
      <c r="X632" s="210"/>
      <c r="Y632" s="210"/>
      <c r="Z632" s="210"/>
      <c r="AA632" s="210"/>
      <c r="AB632" s="210"/>
      <c r="AC632" s="210"/>
      <c r="AT632" s="425" t="str">
        <f t="shared" si="47"/>
        <v>KP000666201707Q314,7</v>
      </c>
      <c r="AU632" s="64" t="str">
        <f t="shared" si="48"/>
        <v>07-2017</v>
      </c>
      <c r="BA632" s="428" t="str">
        <f t="shared" si="49"/>
        <v>WIP - 30 Days</v>
      </c>
    </row>
    <row r="633" spans="2:53">
      <c r="B633" s="36" t="str">
        <f>'[6]price list MAN'!B633</f>
        <v>78W-6171</v>
      </c>
      <c r="C633" s="10" t="str">
        <f>'[6]price list MAN'!C633</f>
        <v>TGS-26-4406X4BLS-LX-ALU</v>
      </c>
      <c r="D633" s="16" t="str">
        <f>IFERROR(VLOOKUP(C633&amp;"",'[7]Retail Price List'!$A$3:$B$103,2,FALSE),"Special Order")</f>
        <v>KP000666</v>
      </c>
      <c r="E633" s="494" t="str">
        <f>'[6]price list MAN'!E633</f>
        <v>CKD</v>
      </c>
      <c r="F633" s="11" t="str">
        <f>'[6]price list MAN'!F633</f>
        <v>2018-02-21</v>
      </c>
      <c r="G633" s="32">
        <f>'[6]price list MAN'!G633</f>
        <v>14.7</v>
      </c>
      <c r="H633" s="26">
        <f>'[6]price list MAN'!H633</f>
        <v>42947</v>
      </c>
      <c r="I633" s="51" t="str">
        <f t="shared" si="45"/>
        <v>201707Q3</v>
      </c>
      <c r="J633" s="177">
        <f>'[6]price list MAN'!J633</f>
        <v>1850000</v>
      </c>
      <c r="K633" s="177">
        <f>'[6]price list MAN'!P633</f>
        <v>1417500</v>
      </c>
      <c r="L633" s="177">
        <f>'[6]price list MAN'!R633</f>
        <v>1350000</v>
      </c>
      <c r="M633" s="174">
        <f>'[6]price list MAN'!S633</f>
        <v>1905000</v>
      </c>
      <c r="N633" s="174">
        <f>'[6]price list MAN'!Y633</f>
        <v>1475250</v>
      </c>
      <c r="O633" s="174">
        <f>'[6]price list MAN'!AA633</f>
        <v>1405000</v>
      </c>
      <c r="P633" s="68">
        <f t="shared" si="46"/>
        <v>0.26246719160104987</v>
      </c>
      <c r="Q633" s="62" t="e">
        <f>O633-#REF!</f>
        <v>#REF!</v>
      </c>
      <c r="W633" s="210"/>
      <c r="X633" s="210"/>
      <c r="Y633" s="210"/>
      <c r="Z633" s="210"/>
      <c r="AA633" s="210"/>
      <c r="AB633" s="210"/>
      <c r="AC633" s="210"/>
      <c r="AT633" s="425" t="str">
        <f t="shared" si="47"/>
        <v>KP000666201707Q314,7</v>
      </c>
      <c r="AU633" s="64" t="str">
        <f t="shared" si="48"/>
        <v>07-2017</v>
      </c>
      <c r="BA633" s="428" t="str">
        <f t="shared" si="49"/>
        <v>WIP - 30 Days</v>
      </c>
    </row>
    <row r="634" spans="2:53">
      <c r="B634" s="36" t="str">
        <f>'[6]price list MAN'!B634</f>
        <v>78W-6172</v>
      </c>
      <c r="C634" s="10" t="str">
        <f>'[6]price list MAN'!C634</f>
        <v>TGS-26-4406X4BLS-LX-ALU</v>
      </c>
      <c r="D634" s="16" t="str">
        <f>IFERROR(VLOOKUP(C634&amp;"",'[7]Retail Price List'!$A$3:$B$103,2,FALSE),"Special Order")</f>
        <v>KP000666</v>
      </c>
      <c r="E634" s="494" t="str">
        <f>'[6]price list MAN'!E634</f>
        <v>CKD</v>
      </c>
      <c r="F634" s="11" t="str">
        <f>'[6]price list MAN'!F634</f>
        <v>2018-02-21</v>
      </c>
      <c r="G634" s="32">
        <f>'[6]price list MAN'!G634</f>
        <v>14.7</v>
      </c>
      <c r="H634" s="26">
        <f>'[6]price list MAN'!H634</f>
        <v>42947</v>
      </c>
      <c r="I634" s="51" t="str">
        <f t="shared" si="45"/>
        <v>201707Q3</v>
      </c>
      <c r="J634" s="177">
        <f>'[6]price list MAN'!J634</f>
        <v>1850000</v>
      </c>
      <c r="K634" s="177">
        <f>'[6]price list MAN'!P634</f>
        <v>1417500</v>
      </c>
      <c r="L634" s="177">
        <f>'[6]price list MAN'!R634</f>
        <v>1350000</v>
      </c>
      <c r="M634" s="174">
        <f>'[6]price list MAN'!S634</f>
        <v>1905000</v>
      </c>
      <c r="N634" s="174">
        <f>'[6]price list MAN'!Y634</f>
        <v>1475250</v>
      </c>
      <c r="O634" s="174">
        <f>'[6]price list MAN'!AA634</f>
        <v>1405000</v>
      </c>
      <c r="P634" s="68">
        <f t="shared" si="46"/>
        <v>0.26246719160104987</v>
      </c>
      <c r="Q634" s="62" t="e">
        <f>O634-#REF!</f>
        <v>#REF!</v>
      </c>
      <c r="W634" s="210"/>
      <c r="X634" s="210"/>
      <c r="Y634" s="210"/>
      <c r="Z634" s="210"/>
      <c r="AA634" s="210"/>
      <c r="AB634" s="210"/>
      <c r="AC634" s="210"/>
      <c r="AT634" s="425" t="str">
        <f t="shared" si="47"/>
        <v>KP000666201707Q314,7</v>
      </c>
      <c r="AU634" s="64" t="str">
        <f t="shared" si="48"/>
        <v>07-2017</v>
      </c>
      <c r="BA634" s="428" t="str">
        <f t="shared" si="49"/>
        <v>WIP - 30 Days</v>
      </c>
    </row>
    <row r="635" spans="2:53">
      <c r="B635" s="36" t="str">
        <f>'[6]price list MAN'!B635</f>
        <v>78W-6173</v>
      </c>
      <c r="C635" s="10" t="str">
        <f>'[6]price list MAN'!C635</f>
        <v>TGS-26-4406X4BLS-LX-ALU</v>
      </c>
      <c r="D635" s="16" t="str">
        <f>IFERROR(VLOOKUP(C635&amp;"",'[7]Retail Price List'!$A$3:$B$103,2,FALSE),"Special Order")</f>
        <v>KP000666</v>
      </c>
      <c r="E635" s="494" t="str">
        <f>'[6]price list MAN'!E635</f>
        <v>UNSOLD</v>
      </c>
      <c r="F635" s="11">
        <f>'[6]price list MAN'!F635</f>
        <v>7</v>
      </c>
      <c r="G635" s="32">
        <f>'[6]price list MAN'!G635</f>
        <v>14.7</v>
      </c>
      <c r="H635" s="26">
        <f>'[6]price list MAN'!H635</f>
        <v>42947</v>
      </c>
      <c r="I635" s="51" t="str">
        <f t="shared" si="45"/>
        <v>201707Q3</v>
      </c>
      <c r="J635" s="177">
        <f>'[6]price list MAN'!J635</f>
        <v>1850000</v>
      </c>
      <c r="K635" s="177">
        <f>'[6]price list MAN'!P635</f>
        <v>1407000</v>
      </c>
      <c r="L635" s="177">
        <f>'[6]price list MAN'!R635</f>
        <v>1340000</v>
      </c>
      <c r="M635" s="174">
        <f>'[6]price list MAN'!S635</f>
        <v>1905000</v>
      </c>
      <c r="N635" s="174">
        <f>'[6]price list MAN'!Y635</f>
        <v>1464750</v>
      </c>
      <c r="O635" s="174">
        <f>'[6]price list MAN'!AA635</f>
        <v>1395000</v>
      </c>
      <c r="P635" s="68">
        <f t="shared" si="46"/>
        <v>0.26771653543307089</v>
      </c>
      <c r="Q635" s="62" t="e">
        <f>O635-#REF!</f>
        <v>#REF!</v>
      </c>
      <c r="W635" s="210"/>
      <c r="X635" s="210"/>
      <c r="Y635" s="210"/>
      <c r="Z635" s="210"/>
      <c r="AA635" s="210"/>
      <c r="AB635" s="210"/>
      <c r="AC635" s="210"/>
      <c r="AT635" s="425" t="str">
        <f t="shared" si="47"/>
        <v>KP000666201707Q314,7</v>
      </c>
      <c r="AU635" s="64" t="str">
        <f t="shared" si="48"/>
        <v>07-2017</v>
      </c>
      <c r="BA635" s="428" t="str">
        <f t="shared" si="49"/>
        <v>WIP - 30 Days</v>
      </c>
    </row>
    <row r="636" spans="2:53">
      <c r="B636" s="36" t="str">
        <f>'[6]price list MAN'!B636</f>
        <v>78W-6174</v>
      </c>
      <c r="C636" s="10" t="str">
        <f>'[6]price list MAN'!C636</f>
        <v>TGS-26-4406X4BLS-LX-ALU</v>
      </c>
      <c r="D636" s="16" t="str">
        <f>IFERROR(VLOOKUP(C636&amp;"",'[7]Retail Price List'!$A$3:$B$103,2,FALSE),"Special Order")</f>
        <v>KP000666</v>
      </c>
      <c r="E636" s="494" t="str">
        <f>'[6]price list MAN'!E636</f>
        <v>CKD</v>
      </c>
      <c r="F636" s="11" t="str">
        <f>'[6]price list MAN'!F636</f>
        <v>2018-02-22</v>
      </c>
      <c r="G636" s="32">
        <f>'[6]price list MAN'!G636</f>
        <v>14.7</v>
      </c>
      <c r="H636" s="26">
        <f>'[6]price list MAN'!H636</f>
        <v>42947</v>
      </c>
      <c r="I636" s="51" t="str">
        <f t="shared" si="45"/>
        <v>201707Q3</v>
      </c>
      <c r="J636" s="177">
        <f>'[6]price list MAN'!J636</f>
        <v>1850000</v>
      </c>
      <c r="K636" s="177">
        <f>'[6]price list MAN'!P636</f>
        <v>1407000</v>
      </c>
      <c r="L636" s="177">
        <f>'[6]price list MAN'!R636</f>
        <v>1340000</v>
      </c>
      <c r="M636" s="174">
        <f>'[6]price list MAN'!S636</f>
        <v>1905000</v>
      </c>
      <c r="N636" s="174">
        <f>'[6]price list MAN'!Y636</f>
        <v>1464750</v>
      </c>
      <c r="O636" s="174">
        <f>'[6]price list MAN'!AA636</f>
        <v>1395000</v>
      </c>
      <c r="P636" s="68">
        <f t="shared" si="46"/>
        <v>0.26771653543307089</v>
      </c>
      <c r="Q636" s="62" t="e">
        <f>O636-#REF!</f>
        <v>#REF!</v>
      </c>
      <c r="W636" s="210"/>
      <c r="X636" s="210"/>
      <c r="Y636" s="210"/>
      <c r="Z636" s="210"/>
      <c r="AA636" s="210"/>
      <c r="AB636" s="210"/>
      <c r="AC636" s="210"/>
      <c r="AT636" s="425" t="str">
        <f t="shared" si="47"/>
        <v>KP000666201707Q314,7</v>
      </c>
      <c r="AU636" s="64" t="str">
        <f t="shared" si="48"/>
        <v>07-2017</v>
      </c>
      <c r="BA636" s="428" t="str">
        <f t="shared" si="49"/>
        <v>WIP - 30 Days</v>
      </c>
    </row>
    <row r="637" spans="2:53">
      <c r="B637" s="36" t="str">
        <f>'[6]price list MAN'!B637</f>
        <v>78W-6175</v>
      </c>
      <c r="C637" s="10" t="str">
        <f>'[6]price list MAN'!C637</f>
        <v>TGS-26-4406X4BLS-LX-ALU</v>
      </c>
      <c r="D637" s="16" t="str">
        <f>IFERROR(VLOOKUP(C637&amp;"",'[7]Retail Price List'!$A$3:$B$103,2,FALSE),"Special Order")</f>
        <v>KP000666</v>
      </c>
      <c r="E637" s="494" t="str">
        <f>'[6]price list MAN'!E637</f>
        <v>CKD</v>
      </c>
      <c r="F637" s="11" t="str">
        <f>'[6]price list MAN'!F637</f>
        <v>2018-02-22</v>
      </c>
      <c r="G637" s="32">
        <f>'[6]price list MAN'!G637</f>
        <v>14.7</v>
      </c>
      <c r="H637" s="26">
        <f>'[6]price list MAN'!H637</f>
        <v>42947</v>
      </c>
      <c r="I637" s="51" t="str">
        <f t="shared" si="45"/>
        <v>201707Q3</v>
      </c>
      <c r="J637" s="177">
        <f>'[6]price list MAN'!J637</f>
        <v>1850000</v>
      </c>
      <c r="K637" s="177">
        <f>'[6]price list MAN'!P637</f>
        <v>1407000</v>
      </c>
      <c r="L637" s="177">
        <f>'[6]price list MAN'!R637</f>
        <v>1340000</v>
      </c>
      <c r="M637" s="174">
        <f>'[6]price list MAN'!S637</f>
        <v>1905000</v>
      </c>
      <c r="N637" s="174">
        <f>'[6]price list MAN'!Y637</f>
        <v>1464750</v>
      </c>
      <c r="O637" s="174">
        <f>'[6]price list MAN'!AA637</f>
        <v>1395000</v>
      </c>
      <c r="P637" s="68">
        <f t="shared" si="46"/>
        <v>0.26771653543307089</v>
      </c>
      <c r="Q637" s="62" t="e">
        <f>O637-#REF!</f>
        <v>#REF!</v>
      </c>
      <c r="W637" s="210"/>
      <c r="X637" s="210"/>
      <c r="Y637" s="210"/>
      <c r="Z637" s="210"/>
      <c r="AA637" s="210"/>
      <c r="AB637" s="210"/>
      <c r="AC637" s="210"/>
      <c r="AT637" s="425" t="str">
        <f t="shared" si="47"/>
        <v>KP000666201707Q314,7</v>
      </c>
      <c r="AU637" s="64" t="str">
        <f t="shared" si="48"/>
        <v>07-2017</v>
      </c>
      <c r="BA637" s="428" t="str">
        <f t="shared" si="49"/>
        <v>WIP - 30 Days</v>
      </c>
    </row>
    <row r="638" spans="2:53">
      <c r="B638" s="36" t="str">
        <f>'[6]price list MAN'!B638</f>
        <v>78W-6188</v>
      </c>
      <c r="C638" s="10" t="str">
        <f>'[6]price list MAN'!C638</f>
        <v>TGS-26-4406X4BLS-LX-ALU</v>
      </c>
      <c r="D638" s="16" t="str">
        <f>IFERROR(VLOOKUP(C638&amp;"",'[7]Retail Price List'!$A$3:$B$103,2,FALSE),"Special Order")</f>
        <v>KP000666</v>
      </c>
      <c r="E638" s="494" t="str">
        <f>'[6]price list MAN'!E638</f>
        <v>CKD</v>
      </c>
      <c r="F638" s="11" t="str">
        <f>'[6]price list MAN'!F638</f>
        <v>2018-02-28</v>
      </c>
      <c r="G638" s="32">
        <f>'[6]price list MAN'!G638</f>
        <v>14.7</v>
      </c>
      <c r="H638" s="26">
        <f>'[6]price list MAN'!H638</f>
        <v>42947</v>
      </c>
      <c r="I638" s="51" t="str">
        <f t="shared" si="45"/>
        <v>201707Q3</v>
      </c>
      <c r="J638" s="177">
        <f>'[6]price list MAN'!J638</f>
        <v>1850000</v>
      </c>
      <c r="K638" s="177">
        <f>'[6]price list MAN'!P638</f>
        <v>1417500</v>
      </c>
      <c r="L638" s="177">
        <f>'[6]price list MAN'!R638</f>
        <v>1350000</v>
      </c>
      <c r="M638" s="174">
        <f>'[6]price list MAN'!S638</f>
        <v>1905000</v>
      </c>
      <c r="N638" s="174">
        <f>'[6]price list MAN'!Y638</f>
        <v>1475250</v>
      </c>
      <c r="O638" s="174">
        <f>'[6]price list MAN'!AA638</f>
        <v>1405000</v>
      </c>
      <c r="P638" s="68">
        <f t="shared" si="46"/>
        <v>0.26246719160104987</v>
      </c>
      <c r="Q638" s="62" t="e">
        <f>O638-#REF!</f>
        <v>#REF!</v>
      </c>
      <c r="W638" s="210"/>
      <c r="X638" s="210"/>
      <c r="Y638" s="210"/>
      <c r="Z638" s="210"/>
      <c r="AA638" s="210"/>
      <c r="AB638" s="210"/>
      <c r="AC638" s="210"/>
      <c r="AT638" s="425" t="str">
        <f t="shared" si="47"/>
        <v>KP000666201707Q314,7</v>
      </c>
      <c r="AU638" s="64" t="str">
        <f t="shared" si="48"/>
        <v>07-2017</v>
      </c>
      <c r="BA638" s="428" t="str">
        <f t="shared" si="49"/>
        <v>WIP - 30 Days</v>
      </c>
    </row>
    <row r="639" spans="2:53">
      <c r="B639" s="36" t="str">
        <f>'[6]price list MAN'!B639</f>
        <v>78W-6189</v>
      </c>
      <c r="C639" s="10" t="str">
        <f>'[6]price list MAN'!C639</f>
        <v>TGS-26-4406X4BLS-LX-ALU</v>
      </c>
      <c r="D639" s="16" t="str">
        <f>IFERROR(VLOOKUP(C639&amp;"",'[7]Retail Price List'!$A$3:$B$103,2,FALSE),"Special Order")</f>
        <v>KP000666</v>
      </c>
      <c r="E639" s="494" t="str">
        <f>'[6]price list MAN'!E639</f>
        <v>CKD</v>
      </c>
      <c r="F639" s="11" t="str">
        <f>'[6]price list MAN'!F639</f>
        <v>2018-02-28</v>
      </c>
      <c r="G639" s="32">
        <f>'[6]price list MAN'!G639</f>
        <v>14.7</v>
      </c>
      <c r="H639" s="26">
        <f>'[6]price list MAN'!H639</f>
        <v>42947</v>
      </c>
      <c r="I639" s="51" t="str">
        <f t="shared" si="45"/>
        <v>201707Q3</v>
      </c>
      <c r="J639" s="177">
        <f>'[6]price list MAN'!J639</f>
        <v>1850000</v>
      </c>
      <c r="K639" s="177">
        <f>'[6]price list MAN'!P639</f>
        <v>1417500</v>
      </c>
      <c r="L639" s="177">
        <f>'[6]price list MAN'!R639</f>
        <v>1350000</v>
      </c>
      <c r="M639" s="174">
        <f>'[6]price list MAN'!S639</f>
        <v>1905000</v>
      </c>
      <c r="N639" s="174">
        <f>'[6]price list MAN'!Y639</f>
        <v>1475250</v>
      </c>
      <c r="O639" s="174">
        <f>'[6]price list MAN'!AA639</f>
        <v>1405000</v>
      </c>
      <c r="P639" s="68">
        <f t="shared" si="46"/>
        <v>0.26246719160104987</v>
      </c>
      <c r="Q639" s="62" t="e">
        <f>O639-#REF!</f>
        <v>#REF!</v>
      </c>
      <c r="W639" s="210"/>
      <c r="X639" s="210"/>
      <c r="Y639" s="210"/>
      <c r="Z639" s="210"/>
      <c r="AA639" s="210"/>
      <c r="AB639" s="210"/>
      <c r="AC639" s="210"/>
      <c r="AT639" s="425" t="str">
        <f t="shared" si="47"/>
        <v>KP000666201707Q314,7</v>
      </c>
      <c r="AU639" s="64" t="str">
        <f t="shared" si="48"/>
        <v>07-2017</v>
      </c>
      <c r="BA639" s="428" t="str">
        <f t="shared" si="49"/>
        <v>WIP - 30 Days</v>
      </c>
    </row>
    <row r="640" spans="2:53">
      <c r="B640" s="36" t="str">
        <f>'[6]price list MAN'!B640</f>
        <v>78W-6190</v>
      </c>
      <c r="C640" s="10" t="str">
        <f>'[6]price list MAN'!C640</f>
        <v>TGS-26-4406X4BLS-LX-ALU</v>
      </c>
      <c r="D640" s="16" t="str">
        <f>IFERROR(VLOOKUP(C640&amp;"",'[7]Retail Price List'!$A$3:$B$103,2,FALSE),"Special Order")</f>
        <v>KP000666</v>
      </c>
      <c r="E640" s="494" t="str">
        <f>'[6]price list MAN'!E640</f>
        <v>SOLD</v>
      </c>
      <c r="F640" s="11">
        <f>'[6]price list MAN'!F640</f>
        <v>5</v>
      </c>
      <c r="G640" s="32">
        <f>'[6]price list MAN'!G640</f>
        <v>14.7</v>
      </c>
      <c r="H640" s="26">
        <f>'[6]price list MAN'!H640</f>
        <v>42947</v>
      </c>
      <c r="I640" s="51" t="str">
        <f t="shared" si="45"/>
        <v>201707Q3</v>
      </c>
      <c r="J640" s="177">
        <f>'[6]price list MAN'!J640</f>
        <v>1850000</v>
      </c>
      <c r="K640" s="177">
        <f>'[6]price list MAN'!P640</f>
        <v>1417500</v>
      </c>
      <c r="L640" s="177">
        <f>'[6]price list MAN'!R640</f>
        <v>1350000</v>
      </c>
      <c r="M640" s="174">
        <f>'[6]price list MAN'!S640</f>
        <v>1905000</v>
      </c>
      <c r="N640" s="174">
        <f>'[6]price list MAN'!Y640</f>
        <v>1475250</v>
      </c>
      <c r="O640" s="174">
        <f>'[6]price list MAN'!AA640</f>
        <v>1405000</v>
      </c>
      <c r="P640" s="68">
        <f t="shared" si="46"/>
        <v>0.26246719160104987</v>
      </c>
      <c r="Q640" s="62" t="e">
        <f>O640-#REF!</f>
        <v>#REF!</v>
      </c>
      <c r="W640" s="210"/>
      <c r="X640" s="210"/>
      <c r="Y640" s="210"/>
      <c r="Z640" s="210"/>
      <c r="AA640" s="210"/>
      <c r="AB640" s="210"/>
      <c r="AC640" s="210"/>
      <c r="AT640" s="425" t="str">
        <f t="shared" si="47"/>
        <v>KP000666201707Q314,7</v>
      </c>
      <c r="AU640" s="64" t="str">
        <f t="shared" si="48"/>
        <v>07-2017</v>
      </c>
      <c r="BA640" s="428" t="str">
        <f t="shared" si="49"/>
        <v>WIP - 30 Days</v>
      </c>
    </row>
    <row r="641" spans="2:53">
      <c r="B641" s="36" t="str">
        <f>'[6]price list MAN'!B641</f>
        <v>78W-6191</v>
      </c>
      <c r="C641" s="10" t="str">
        <f>'[6]price list MAN'!C641</f>
        <v>TGS-26-4406X4BLS-LX-ALU</v>
      </c>
      <c r="D641" s="16" t="str">
        <f>IFERROR(VLOOKUP(C641&amp;"",'[7]Retail Price List'!$A$3:$B$103,2,FALSE),"Special Order")</f>
        <v>KP000666</v>
      </c>
      <c r="E641" s="494" t="str">
        <f>'[6]price list MAN'!E641</f>
        <v>CKD</v>
      </c>
      <c r="F641" s="11" t="str">
        <f>'[6]price list MAN'!F641</f>
        <v>2018-02-28</v>
      </c>
      <c r="G641" s="32">
        <f>'[6]price list MAN'!G641</f>
        <v>14.7</v>
      </c>
      <c r="H641" s="26">
        <f>'[6]price list MAN'!H641</f>
        <v>42947</v>
      </c>
      <c r="I641" s="51" t="str">
        <f t="shared" si="45"/>
        <v>201707Q3</v>
      </c>
      <c r="J641" s="177">
        <f>'[6]price list MAN'!J641</f>
        <v>1850000</v>
      </c>
      <c r="K641" s="177">
        <f>'[6]price list MAN'!P641</f>
        <v>1417500</v>
      </c>
      <c r="L641" s="177">
        <f>'[6]price list MAN'!R641</f>
        <v>1350000</v>
      </c>
      <c r="M641" s="174">
        <f>'[6]price list MAN'!S641</f>
        <v>1905000</v>
      </c>
      <c r="N641" s="174">
        <f>'[6]price list MAN'!Y641</f>
        <v>1475250</v>
      </c>
      <c r="O641" s="174">
        <f>'[6]price list MAN'!AA641</f>
        <v>1405000</v>
      </c>
      <c r="P641" s="68">
        <f t="shared" si="46"/>
        <v>0.26246719160104987</v>
      </c>
      <c r="Q641" s="62" t="e">
        <f>O641-#REF!</f>
        <v>#REF!</v>
      </c>
      <c r="W641" s="210"/>
      <c r="X641" s="210"/>
      <c r="Y641" s="210"/>
      <c r="Z641" s="210"/>
      <c r="AA641" s="210"/>
      <c r="AB641" s="210"/>
      <c r="AC641" s="210"/>
      <c r="AT641" s="425" t="str">
        <f t="shared" si="47"/>
        <v>KP000666201707Q314,7</v>
      </c>
      <c r="AU641" s="64" t="str">
        <f t="shared" si="48"/>
        <v>07-2017</v>
      </c>
      <c r="BA641" s="428" t="str">
        <f t="shared" si="49"/>
        <v>WIP - 30 Days</v>
      </c>
    </row>
    <row r="642" spans="2:53">
      <c r="B642" s="36" t="str">
        <f>'[6]price list MAN'!B642</f>
        <v>78W-6216</v>
      </c>
      <c r="C642" s="10" t="str">
        <f>'[6]price list MAN'!C642</f>
        <v>TGS-26-4406X4BLS-LX-ALU</v>
      </c>
      <c r="D642" s="16" t="str">
        <f>IFERROR(VLOOKUP(C642&amp;"",'[7]Retail Price List'!$A$3:$B$103,2,FALSE),"Special Order")</f>
        <v>KP000666</v>
      </c>
      <c r="E642" s="494" t="str">
        <f>'[6]price list MAN'!E642</f>
        <v>CKD</v>
      </c>
      <c r="F642" s="11" t="str">
        <f>'[6]price list MAN'!F642</f>
        <v>2018-02-20</v>
      </c>
      <c r="G642" s="32">
        <f>'[6]price list MAN'!G642</f>
        <v>14.7</v>
      </c>
      <c r="H642" s="26">
        <f>'[6]price list MAN'!H642</f>
        <v>42947</v>
      </c>
      <c r="I642" s="51" t="str">
        <f t="shared" si="45"/>
        <v>201707Q3</v>
      </c>
      <c r="J642" s="177">
        <f>'[6]price list MAN'!J642</f>
        <v>1850000</v>
      </c>
      <c r="K642" s="177">
        <f>'[6]price list MAN'!P642</f>
        <v>1417500</v>
      </c>
      <c r="L642" s="177">
        <f>'[6]price list MAN'!R642</f>
        <v>1350000</v>
      </c>
      <c r="M642" s="174">
        <f>'[6]price list MAN'!S642</f>
        <v>1905000</v>
      </c>
      <c r="N642" s="174">
        <f>'[6]price list MAN'!Y642</f>
        <v>1475250</v>
      </c>
      <c r="O642" s="174">
        <f>'[6]price list MAN'!AA642</f>
        <v>1405000</v>
      </c>
      <c r="P642" s="68">
        <f t="shared" si="46"/>
        <v>0.26246719160104987</v>
      </c>
      <c r="Q642" s="62" t="e">
        <f>O642-#REF!</f>
        <v>#REF!</v>
      </c>
      <c r="W642" s="210"/>
      <c r="X642" s="210"/>
      <c r="Y642" s="210"/>
      <c r="Z642" s="210"/>
      <c r="AA642" s="210"/>
      <c r="AB642" s="210"/>
      <c r="AC642" s="210"/>
      <c r="AT642" s="425" t="str">
        <f t="shared" si="47"/>
        <v>KP000666201707Q314,7</v>
      </c>
      <c r="AU642" s="64" t="str">
        <f t="shared" si="48"/>
        <v>07-2017</v>
      </c>
      <c r="BA642" s="428" t="str">
        <f t="shared" si="49"/>
        <v>WIP - 30 Days</v>
      </c>
    </row>
    <row r="643" spans="2:53">
      <c r="B643" s="36" t="str">
        <f>'[6]price list MAN'!B643</f>
        <v>78W-6217</v>
      </c>
      <c r="C643" s="10" t="str">
        <f>'[6]price list MAN'!C643</f>
        <v>TGS-26-4406X4BLS-LX-ALU</v>
      </c>
      <c r="D643" s="16" t="str">
        <f>IFERROR(VLOOKUP(C643&amp;"",'[7]Retail Price List'!$A$3:$B$103,2,FALSE),"Special Order")</f>
        <v>KP000666</v>
      </c>
      <c r="E643" s="494" t="str">
        <f>'[6]price list MAN'!E643</f>
        <v>CKD</v>
      </c>
      <c r="F643" s="11" t="str">
        <f>'[6]price list MAN'!F643</f>
        <v>2018-02-20</v>
      </c>
      <c r="G643" s="32">
        <f>'[6]price list MAN'!G643</f>
        <v>14.7</v>
      </c>
      <c r="H643" s="26">
        <f>'[6]price list MAN'!H643</f>
        <v>42947</v>
      </c>
      <c r="I643" s="51" t="str">
        <f t="shared" si="45"/>
        <v>201707Q3</v>
      </c>
      <c r="J643" s="177">
        <f>'[6]price list MAN'!J643</f>
        <v>1850000</v>
      </c>
      <c r="K643" s="177">
        <f>'[6]price list MAN'!P643</f>
        <v>1417500</v>
      </c>
      <c r="L643" s="177">
        <f>'[6]price list MAN'!R643</f>
        <v>1350000</v>
      </c>
      <c r="M643" s="174">
        <f>'[6]price list MAN'!S643</f>
        <v>1905000</v>
      </c>
      <c r="N643" s="174">
        <f>'[6]price list MAN'!Y643</f>
        <v>1475250</v>
      </c>
      <c r="O643" s="174">
        <f>'[6]price list MAN'!AA643</f>
        <v>1405000</v>
      </c>
      <c r="P643" s="68">
        <f t="shared" si="46"/>
        <v>0.26246719160104987</v>
      </c>
      <c r="Q643" s="62" t="e">
        <f>O643-#REF!</f>
        <v>#REF!</v>
      </c>
      <c r="W643" s="210"/>
      <c r="X643" s="210"/>
      <c r="Y643" s="210"/>
      <c r="Z643" s="210"/>
      <c r="AA643" s="210"/>
      <c r="AB643" s="210"/>
      <c r="AC643" s="210"/>
      <c r="AT643" s="425" t="str">
        <f t="shared" si="47"/>
        <v>KP000666201707Q314,7</v>
      </c>
      <c r="AU643" s="64" t="str">
        <f t="shared" si="48"/>
        <v>07-2017</v>
      </c>
      <c r="BA643" s="428" t="str">
        <f t="shared" si="49"/>
        <v>WIP - 30 Days</v>
      </c>
    </row>
    <row r="644" spans="2:53">
      <c r="B644" s="36" t="str">
        <f>'[6]price list MAN'!B644</f>
        <v>78W-6218</v>
      </c>
      <c r="C644" s="10" t="str">
        <f>'[6]price list MAN'!C644</f>
        <v>TGS-26-4406X4BLS-LX-ALU</v>
      </c>
      <c r="D644" s="16" t="str">
        <f>IFERROR(VLOOKUP(C644&amp;"",'[7]Retail Price List'!$A$3:$B$103,2,FALSE),"Special Order")</f>
        <v>KP000666</v>
      </c>
      <c r="E644" s="494" t="str">
        <f>'[6]price list MAN'!E644</f>
        <v>CKD</v>
      </c>
      <c r="F644" s="11" t="str">
        <f>'[6]price list MAN'!F644</f>
        <v>2018-02-20</v>
      </c>
      <c r="G644" s="32">
        <f>'[6]price list MAN'!G644</f>
        <v>14.7</v>
      </c>
      <c r="H644" s="26">
        <f>'[6]price list MAN'!H644</f>
        <v>42947</v>
      </c>
      <c r="I644" s="51" t="str">
        <f t="shared" si="45"/>
        <v>201707Q3</v>
      </c>
      <c r="J644" s="177">
        <f>'[6]price list MAN'!J644</f>
        <v>1850000</v>
      </c>
      <c r="K644" s="177">
        <f>'[6]price list MAN'!P644</f>
        <v>1417500</v>
      </c>
      <c r="L644" s="177">
        <f>'[6]price list MAN'!R644</f>
        <v>1350000</v>
      </c>
      <c r="M644" s="174">
        <f>'[6]price list MAN'!S644</f>
        <v>1905000</v>
      </c>
      <c r="N644" s="174">
        <f>'[6]price list MAN'!Y644</f>
        <v>1475250</v>
      </c>
      <c r="O644" s="174">
        <f>'[6]price list MAN'!AA644</f>
        <v>1405000</v>
      </c>
      <c r="P644" s="68">
        <f t="shared" si="46"/>
        <v>0.26246719160104987</v>
      </c>
      <c r="Q644" s="62" t="e">
        <f>O644-#REF!</f>
        <v>#REF!</v>
      </c>
      <c r="W644" s="210"/>
      <c r="X644" s="210"/>
      <c r="Y644" s="210"/>
      <c r="Z644" s="210"/>
      <c r="AA644" s="210"/>
      <c r="AB644" s="210"/>
      <c r="AC644" s="210"/>
      <c r="AT644" s="425" t="str">
        <f t="shared" si="47"/>
        <v>KP000666201707Q314,7</v>
      </c>
      <c r="AU644" s="64" t="str">
        <f t="shared" si="48"/>
        <v>07-2017</v>
      </c>
      <c r="BA644" s="428" t="str">
        <f t="shared" si="49"/>
        <v>WIP - 30 Days</v>
      </c>
    </row>
    <row r="645" spans="2:53">
      <c r="B645" s="36" t="str">
        <f>'[6]price list MAN'!B645</f>
        <v>78W-6219</v>
      </c>
      <c r="C645" s="10" t="str">
        <f>'[6]price list MAN'!C645</f>
        <v>TGS-26-4406X4BLS-LX-ALU</v>
      </c>
      <c r="D645" s="16" t="str">
        <f>IFERROR(VLOOKUP(C645&amp;"",'[7]Retail Price List'!$A$3:$B$103,2,FALSE),"Special Order")</f>
        <v>KP000666</v>
      </c>
      <c r="E645" s="494" t="str">
        <f>'[6]price list MAN'!E645</f>
        <v>SOLD</v>
      </c>
      <c r="F645" s="11">
        <f>'[6]price list MAN'!F645</f>
        <v>5</v>
      </c>
      <c r="G645" s="32">
        <f>'[6]price list MAN'!G645</f>
        <v>14.7</v>
      </c>
      <c r="H645" s="26">
        <f>'[6]price list MAN'!H645</f>
        <v>42947</v>
      </c>
      <c r="I645" s="51" t="str">
        <f t="shared" ref="I645:I708" si="50">IFERROR(VLOOKUP(AU645,$AW$5:$AY$40,3,FALSE),"")</f>
        <v>201707Q3</v>
      </c>
      <c r="J645" s="177">
        <f>'[6]price list MAN'!J645</f>
        <v>1850000</v>
      </c>
      <c r="K645" s="177">
        <f>'[6]price list MAN'!P645</f>
        <v>1417500</v>
      </c>
      <c r="L645" s="177">
        <f>'[6]price list MAN'!R645</f>
        <v>1350000</v>
      </c>
      <c r="M645" s="174">
        <f>'[6]price list MAN'!S645</f>
        <v>1905000</v>
      </c>
      <c r="N645" s="174">
        <f>'[6]price list MAN'!Y645</f>
        <v>1475250</v>
      </c>
      <c r="O645" s="174">
        <f>'[6]price list MAN'!AA645</f>
        <v>1405000</v>
      </c>
      <c r="P645" s="68">
        <f t="shared" ref="P645:P708" si="51">(M645-O645)/M645</f>
        <v>0.26246719160104987</v>
      </c>
      <c r="Q645" s="62" t="e">
        <f>O645-#REF!</f>
        <v>#REF!</v>
      </c>
      <c r="W645" s="210"/>
      <c r="X645" s="210"/>
      <c r="Y645" s="210"/>
      <c r="Z645" s="210"/>
      <c r="AA645" s="210"/>
      <c r="AB645" s="210"/>
      <c r="AC645" s="210"/>
      <c r="AT645" s="425" t="str">
        <f t="shared" ref="AT645:AT708" si="52">D645&amp;I645&amp;G645</f>
        <v>KP000666201707Q314,7</v>
      </c>
      <c r="AU645" s="64" t="str">
        <f t="shared" ref="AU645:AU708" si="53">IF(MONTH(H645)&lt;10,0&amp;MONTH(H645)&amp;"-"&amp;YEAR(H645),MONTH(H645)&amp;"-"&amp;YEAR(H645))</f>
        <v>07-2017</v>
      </c>
      <c r="BA645" s="428" t="str">
        <f t="shared" ref="BA645:BA708" si="54">IF(B645=0,"",IF(AND(F645&gt;=31,F645&lt;=120),"31-120 Days",IF(AND(F645&gt;=121,F645&lt;=365),"121-365 Days",IF(OR(E645="CKD",F645&lt;=30),"WIP - 30 Days","&gt;365 Days"))))</f>
        <v>WIP - 30 Days</v>
      </c>
    </row>
    <row r="646" spans="2:53">
      <c r="B646" s="36" t="str">
        <f>'[6]price list MAN'!B646</f>
        <v>78W-6292</v>
      </c>
      <c r="C646" s="10" t="str">
        <f>'[6]price list MAN'!C646</f>
        <v>TGS-26-4406X4BLS-LX-ALU</v>
      </c>
      <c r="D646" s="16" t="str">
        <f>IFERROR(VLOOKUP(C646&amp;"",'[7]Retail Price List'!$A$3:$B$103,2,FALSE),"Special Order")</f>
        <v>KP000666</v>
      </c>
      <c r="E646" s="494" t="str">
        <f>'[6]price list MAN'!E646</f>
        <v>SOLD</v>
      </c>
      <c r="F646" s="11">
        <f>'[6]price list MAN'!F646</f>
        <v>5</v>
      </c>
      <c r="G646" s="32">
        <f>'[6]price list MAN'!G646</f>
        <v>15.3</v>
      </c>
      <c r="H646" s="26">
        <f>'[6]price list MAN'!H646</f>
        <v>42978</v>
      </c>
      <c r="I646" s="51" t="str">
        <f t="shared" si="50"/>
        <v>2017Q3</v>
      </c>
      <c r="J646" s="177">
        <f>'[6]price list MAN'!J646</f>
        <v>1850000</v>
      </c>
      <c r="K646" s="177">
        <f>'[6]price list MAN'!P646</f>
        <v>1417500</v>
      </c>
      <c r="L646" s="177">
        <f>'[6]price list MAN'!R646</f>
        <v>1350000</v>
      </c>
      <c r="M646" s="174">
        <f>'[6]price list MAN'!S646</f>
        <v>1905000</v>
      </c>
      <c r="N646" s="174">
        <f>'[6]price list MAN'!Y646</f>
        <v>1475250</v>
      </c>
      <c r="O646" s="174">
        <f>'[6]price list MAN'!AA646</f>
        <v>1405000</v>
      </c>
      <c r="P646" s="68">
        <f t="shared" si="51"/>
        <v>0.26246719160104987</v>
      </c>
      <c r="Q646" s="62" t="e">
        <f>O646-#REF!</f>
        <v>#REF!</v>
      </c>
      <c r="W646" s="210"/>
      <c r="X646" s="210"/>
      <c r="Y646" s="210"/>
      <c r="Z646" s="210"/>
      <c r="AA646" s="210"/>
      <c r="AB646" s="210"/>
      <c r="AC646" s="210"/>
      <c r="AT646" s="425" t="str">
        <f t="shared" si="52"/>
        <v>KP0006662017Q315,3</v>
      </c>
      <c r="AU646" s="64" t="str">
        <f t="shared" si="53"/>
        <v>08-2017</v>
      </c>
      <c r="BA646" s="428" t="str">
        <f t="shared" si="54"/>
        <v>WIP - 30 Days</v>
      </c>
    </row>
    <row r="647" spans="2:53">
      <c r="B647" s="36" t="str">
        <f>'[6]price list MAN'!B647</f>
        <v>78W-6293</v>
      </c>
      <c r="C647" s="10" t="str">
        <f>'[6]price list MAN'!C647</f>
        <v>TGS-26-4406X4BLS-LX-ALU</v>
      </c>
      <c r="D647" s="16" t="str">
        <f>IFERROR(VLOOKUP(C647&amp;"",'[7]Retail Price List'!$A$3:$B$103,2,FALSE),"Special Order")</f>
        <v>KP000666</v>
      </c>
      <c r="E647" s="494" t="str">
        <f>'[6]price list MAN'!E647</f>
        <v>CKD</v>
      </c>
      <c r="F647" s="11" t="str">
        <f>'[6]price list MAN'!F647</f>
        <v>2018-02-20</v>
      </c>
      <c r="G647" s="32">
        <f>'[6]price list MAN'!G647</f>
        <v>15.3</v>
      </c>
      <c r="H647" s="26">
        <f>'[6]price list MAN'!H647</f>
        <v>42978</v>
      </c>
      <c r="I647" s="51" t="str">
        <f t="shared" si="50"/>
        <v>2017Q3</v>
      </c>
      <c r="J647" s="177">
        <f>'[6]price list MAN'!J647</f>
        <v>1850000</v>
      </c>
      <c r="K647" s="177">
        <f>'[6]price list MAN'!P647</f>
        <v>1417500</v>
      </c>
      <c r="L647" s="177">
        <f>'[6]price list MAN'!R647</f>
        <v>1350000</v>
      </c>
      <c r="M647" s="174">
        <f>'[6]price list MAN'!S647</f>
        <v>1905000</v>
      </c>
      <c r="N647" s="174">
        <f>'[6]price list MAN'!Y647</f>
        <v>1475250</v>
      </c>
      <c r="O647" s="174">
        <f>'[6]price list MAN'!AA647</f>
        <v>1405000</v>
      </c>
      <c r="P647" s="68">
        <f t="shared" si="51"/>
        <v>0.26246719160104987</v>
      </c>
      <c r="Q647" s="62" t="e">
        <f>O647-#REF!</f>
        <v>#REF!</v>
      </c>
      <c r="W647" s="210"/>
      <c r="X647" s="210"/>
      <c r="Y647" s="210"/>
      <c r="Z647" s="210"/>
      <c r="AA647" s="210"/>
      <c r="AB647" s="210"/>
      <c r="AC647" s="210"/>
      <c r="AT647" s="425" t="str">
        <f t="shared" si="52"/>
        <v>KP0006662017Q315,3</v>
      </c>
      <c r="AU647" s="64" t="str">
        <f t="shared" si="53"/>
        <v>08-2017</v>
      </c>
      <c r="BA647" s="428" t="str">
        <f t="shared" si="54"/>
        <v>WIP - 30 Days</v>
      </c>
    </row>
    <row r="648" spans="2:53">
      <c r="B648" s="36" t="str">
        <f>'[6]price list MAN'!B648</f>
        <v>78W-6294</v>
      </c>
      <c r="C648" s="10" t="str">
        <f>'[6]price list MAN'!C648</f>
        <v>TGS-26-4406X4BLS-LX-ALU</v>
      </c>
      <c r="D648" s="16" t="str">
        <f>IFERROR(VLOOKUP(C648&amp;"",'[7]Retail Price List'!$A$3:$B$103,2,FALSE),"Special Order")</f>
        <v>KP000666</v>
      </c>
      <c r="E648" s="494" t="str">
        <f>'[6]price list MAN'!E648</f>
        <v>CKD</v>
      </c>
      <c r="F648" s="11" t="str">
        <f>'[6]price list MAN'!F648</f>
        <v>2018-02-22</v>
      </c>
      <c r="G648" s="32">
        <f>'[6]price list MAN'!G648</f>
        <v>15.3</v>
      </c>
      <c r="H648" s="26">
        <f>'[6]price list MAN'!H648</f>
        <v>42978</v>
      </c>
      <c r="I648" s="51" t="str">
        <f t="shared" si="50"/>
        <v>2017Q3</v>
      </c>
      <c r="J648" s="177">
        <f>'[6]price list MAN'!J648</f>
        <v>1850000</v>
      </c>
      <c r="K648" s="177">
        <f>'[6]price list MAN'!P648</f>
        <v>1417500</v>
      </c>
      <c r="L648" s="177">
        <f>'[6]price list MAN'!R648</f>
        <v>1350000</v>
      </c>
      <c r="M648" s="174">
        <f>'[6]price list MAN'!S648</f>
        <v>1905000</v>
      </c>
      <c r="N648" s="174">
        <f>'[6]price list MAN'!Y648</f>
        <v>1475250</v>
      </c>
      <c r="O648" s="174">
        <f>'[6]price list MAN'!AA648</f>
        <v>1405000</v>
      </c>
      <c r="P648" s="68">
        <f t="shared" si="51"/>
        <v>0.26246719160104987</v>
      </c>
      <c r="Q648" s="62" t="e">
        <f>O648-#REF!</f>
        <v>#REF!</v>
      </c>
      <c r="W648" s="210"/>
      <c r="X648" s="210"/>
      <c r="Y648" s="210"/>
      <c r="Z648" s="210"/>
      <c r="AA648" s="210"/>
      <c r="AB648" s="210"/>
      <c r="AC648" s="210"/>
      <c r="AT648" s="425" t="str">
        <f t="shared" si="52"/>
        <v>KP0006662017Q315,3</v>
      </c>
      <c r="AU648" s="64" t="str">
        <f t="shared" si="53"/>
        <v>08-2017</v>
      </c>
      <c r="BA648" s="428" t="str">
        <f t="shared" si="54"/>
        <v>WIP - 30 Days</v>
      </c>
    </row>
    <row r="649" spans="2:53">
      <c r="B649" s="36" t="str">
        <f>'[6]price list MAN'!B649</f>
        <v>78W-6295</v>
      </c>
      <c r="C649" s="10" t="str">
        <f>'[6]price list MAN'!C649</f>
        <v>TGS-26-4406X4BLS-LX-ALU</v>
      </c>
      <c r="D649" s="16" t="str">
        <f>IFERROR(VLOOKUP(C649&amp;"",'[7]Retail Price List'!$A$3:$B$103,2,FALSE),"Special Order")</f>
        <v>KP000666</v>
      </c>
      <c r="E649" s="494" t="str">
        <f>'[6]price list MAN'!E649</f>
        <v>CKD</v>
      </c>
      <c r="F649" s="11" t="str">
        <f>'[6]price list MAN'!F649</f>
        <v>2018-02-22</v>
      </c>
      <c r="G649" s="32">
        <f>'[6]price list MAN'!G649</f>
        <v>15.3</v>
      </c>
      <c r="H649" s="26">
        <f>'[6]price list MAN'!H649</f>
        <v>42978</v>
      </c>
      <c r="I649" s="51" t="str">
        <f t="shared" si="50"/>
        <v>2017Q3</v>
      </c>
      <c r="J649" s="177">
        <f>'[6]price list MAN'!J649</f>
        <v>1850000</v>
      </c>
      <c r="K649" s="177">
        <f>'[6]price list MAN'!P649</f>
        <v>1417500</v>
      </c>
      <c r="L649" s="177">
        <f>'[6]price list MAN'!R649</f>
        <v>1350000</v>
      </c>
      <c r="M649" s="174">
        <f>'[6]price list MAN'!S649</f>
        <v>1905000</v>
      </c>
      <c r="N649" s="174">
        <f>'[6]price list MAN'!Y649</f>
        <v>1475250</v>
      </c>
      <c r="O649" s="174">
        <f>'[6]price list MAN'!AA649</f>
        <v>1405000</v>
      </c>
      <c r="P649" s="68">
        <f t="shared" si="51"/>
        <v>0.26246719160104987</v>
      </c>
      <c r="Q649" s="62" t="e">
        <f>O649-#REF!</f>
        <v>#REF!</v>
      </c>
      <c r="W649" s="210"/>
      <c r="X649" s="210"/>
      <c r="Y649" s="210"/>
      <c r="Z649" s="210"/>
      <c r="AA649" s="210"/>
      <c r="AB649" s="210"/>
      <c r="AC649" s="210"/>
      <c r="AT649" s="425" t="str">
        <f t="shared" si="52"/>
        <v>KP0006662017Q315,3</v>
      </c>
      <c r="AU649" s="64" t="str">
        <f t="shared" si="53"/>
        <v>08-2017</v>
      </c>
      <c r="BA649" s="428" t="str">
        <f t="shared" si="54"/>
        <v>WIP - 30 Days</v>
      </c>
    </row>
    <row r="650" spans="2:53">
      <c r="B650" s="36" t="str">
        <f>'[6]price list MAN'!B650</f>
        <v>78W-6300</v>
      </c>
      <c r="C650" s="10" t="str">
        <f>'[6]price list MAN'!C650</f>
        <v>TGS-26-4406X4BLS-LX-ALU</v>
      </c>
      <c r="D650" s="16" t="str">
        <f>IFERROR(VLOOKUP(C650&amp;"",'[7]Retail Price List'!$A$3:$B$103,2,FALSE),"Special Order")</f>
        <v>KP000666</v>
      </c>
      <c r="E650" s="494" t="str">
        <f>'[6]price list MAN'!E650</f>
        <v>CKD</v>
      </c>
      <c r="F650" s="11" t="str">
        <f>'[6]price list MAN'!F650</f>
        <v>2018-02-22</v>
      </c>
      <c r="G650" s="32">
        <f>'[6]price list MAN'!G650</f>
        <v>15.3</v>
      </c>
      <c r="H650" s="26">
        <f>'[6]price list MAN'!H650</f>
        <v>42978</v>
      </c>
      <c r="I650" s="51" t="str">
        <f t="shared" si="50"/>
        <v>2017Q3</v>
      </c>
      <c r="J650" s="177">
        <f>'[6]price list MAN'!J650</f>
        <v>1850000</v>
      </c>
      <c r="K650" s="177">
        <f>'[6]price list MAN'!P650</f>
        <v>1417500</v>
      </c>
      <c r="L650" s="177">
        <f>'[6]price list MAN'!R650</f>
        <v>1350000</v>
      </c>
      <c r="M650" s="174">
        <f>'[6]price list MAN'!S650</f>
        <v>1905000</v>
      </c>
      <c r="N650" s="174">
        <f>'[6]price list MAN'!Y650</f>
        <v>1475250</v>
      </c>
      <c r="O650" s="174">
        <f>'[6]price list MAN'!AA650</f>
        <v>1405000</v>
      </c>
      <c r="P650" s="68">
        <f t="shared" si="51"/>
        <v>0.26246719160104987</v>
      </c>
      <c r="Q650" s="62" t="e">
        <f>O650-#REF!</f>
        <v>#REF!</v>
      </c>
      <c r="W650" s="210"/>
      <c r="X650" s="210"/>
      <c r="Y650" s="210"/>
      <c r="Z650" s="210"/>
      <c r="AA650" s="210"/>
      <c r="AB650" s="210"/>
      <c r="AC650" s="210"/>
      <c r="AT650" s="425" t="str">
        <f t="shared" si="52"/>
        <v>KP0006662017Q315,3</v>
      </c>
      <c r="AU650" s="64" t="str">
        <f t="shared" si="53"/>
        <v>08-2017</v>
      </c>
      <c r="BA650" s="428" t="str">
        <f t="shared" si="54"/>
        <v>WIP - 30 Days</v>
      </c>
    </row>
    <row r="651" spans="2:53">
      <c r="B651" s="36" t="str">
        <f>'[6]price list MAN'!B651</f>
        <v>78W-6301</v>
      </c>
      <c r="C651" s="10" t="str">
        <f>'[6]price list MAN'!C651</f>
        <v>TGS-26-4406X4BLS-LX-ALU</v>
      </c>
      <c r="D651" s="16" t="str">
        <f>IFERROR(VLOOKUP(C651&amp;"",'[7]Retail Price List'!$A$3:$B$103,2,FALSE),"Special Order")</f>
        <v>KP000666</v>
      </c>
      <c r="E651" s="494" t="str">
        <f>'[6]price list MAN'!E651</f>
        <v>CKD</v>
      </c>
      <c r="F651" s="11" t="str">
        <f>'[6]price list MAN'!F651</f>
        <v>2018-02-22</v>
      </c>
      <c r="G651" s="32">
        <f>'[6]price list MAN'!G651</f>
        <v>15.3</v>
      </c>
      <c r="H651" s="26">
        <f>'[6]price list MAN'!H651</f>
        <v>42978</v>
      </c>
      <c r="I651" s="51" t="str">
        <f t="shared" si="50"/>
        <v>2017Q3</v>
      </c>
      <c r="J651" s="177">
        <f>'[6]price list MAN'!J651</f>
        <v>1850000</v>
      </c>
      <c r="K651" s="177">
        <f>'[6]price list MAN'!P651</f>
        <v>1417500</v>
      </c>
      <c r="L651" s="177">
        <f>'[6]price list MAN'!R651</f>
        <v>1350000</v>
      </c>
      <c r="M651" s="174">
        <f>'[6]price list MAN'!S651</f>
        <v>1905000</v>
      </c>
      <c r="N651" s="174">
        <f>'[6]price list MAN'!Y651</f>
        <v>1475250</v>
      </c>
      <c r="O651" s="174">
        <f>'[6]price list MAN'!AA651</f>
        <v>1405000</v>
      </c>
      <c r="P651" s="68">
        <f t="shared" si="51"/>
        <v>0.26246719160104987</v>
      </c>
      <c r="Q651" s="62" t="e">
        <f>O651-#REF!</f>
        <v>#REF!</v>
      </c>
      <c r="W651" s="210"/>
      <c r="X651" s="210"/>
      <c r="Y651" s="210"/>
      <c r="Z651" s="210"/>
      <c r="AA651" s="210"/>
      <c r="AB651" s="210"/>
      <c r="AC651" s="210"/>
      <c r="AT651" s="425" t="str">
        <f t="shared" si="52"/>
        <v>KP0006662017Q315,3</v>
      </c>
      <c r="AU651" s="64" t="str">
        <f t="shared" si="53"/>
        <v>08-2017</v>
      </c>
      <c r="BA651" s="428" t="str">
        <f t="shared" si="54"/>
        <v>WIP - 30 Days</v>
      </c>
    </row>
    <row r="652" spans="2:53">
      <c r="B652" s="36" t="str">
        <f>'[6]price list MAN'!B652</f>
        <v>78W-6302</v>
      </c>
      <c r="C652" s="10" t="str">
        <f>'[6]price list MAN'!C652</f>
        <v>TGS-26-4406X4BLS-LX-ALU</v>
      </c>
      <c r="D652" s="16" t="str">
        <f>IFERROR(VLOOKUP(C652&amp;"",'[7]Retail Price List'!$A$3:$B$103,2,FALSE),"Special Order")</f>
        <v>KP000666</v>
      </c>
      <c r="E652" s="494" t="str">
        <f>'[6]price list MAN'!E652</f>
        <v>CKD</v>
      </c>
      <c r="F652" s="11" t="str">
        <f>'[6]price list MAN'!F652</f>
        <v>2018-03-30</v>
      </c>
      <c r="G652" s="32">
        <f>'[6]price list MAN'!G652</f>
        <v>15.3</v>
      </c>
      <c r="H652" s="26">
        <f>'[6]price list MAN'!H652</f>
        <v>42978</v>
      </c>
      <c r="I652" s="51" t="str">
        <f t="shared" si="50"/>
        <v>2017Q3</v>
      </c>
      <c r="J652" s="177">
        <f>'[6]price list MAN'!J652</f>
        <v>1850000</v>
      </c>
      <c r="K652" s="177">
        <f>'[6]price list MAN'!P652</f>
        <v>1417500</v>
      </c>
      <c r="L652" s="177">
        <f>'[6]price list MAN'!R652</f>
        <v>1350000</v>
      </c>
      <c r="M652" s="174">
        <f>'[6]price list MAN'!S652</f>
        <v>1905000</v>
      </c>
      <c r="N652" s="174">
        <f>'[6]price list MAN'!Y652</f>
        <v>1475250</v>
      </c>
      <c r="O652" s="174">
        <f>'[6]price list MAN'!AA652</f>
        <v>1405000</v>
      </c>
      <c r="P652" s="68">
        <f t="shared" si="51"/>
        <v>0.26246719160104987</v>
      </c>
      <c r="Q652" s="62" t="e">
        <f>O652-#REF!</f>
        <v>#REF!</v>
      </c>
      <c r="W652" s="210"/>
      <c r="X652" s="210"/>
      <c r="Y652" s="210"/>
      <c r="Z652" s="210"/>
      <c r="AA652" s="210"/>
      <c r="AB652" s="210"/>
      <c r="AC652" s="210"/>
      <c r="AT652" s="425" t="str">
        <f t="shared" si="52"/>
        <v>KP0006662017Q315,3</v>
      </c>
      <c r="AU652" s="64" t="str">
        <f t="shared" si="53"/>
        <v>08-2017</v>
      </c>
      <c r="BA652" s="428" t="str">
        <f t="shared" si="54"/>
        <v>WIP - 30 Days</v>
      </c>
    </row>
    <row r="653" spans="2:53">
      <c r="B653" s="36" t="str">
        <f>'[6]price list MAN'!B653</f>
        <v>78W-6303</v>
      </c>
      <c r="C653" s="10" t="str">
        <f>'[6]price list MAN'!C653</f>
        <v>TGS-26-4406X4BLS-LX-ALU</v>
      </c>
      <c r="D653" s="16" t="str">
        <f>IFERROR(VLOOKUP(C653&amp;"",'[7]Retail Price List'!$A$3:$B$103,2,FALSE),"Special Order")</f>
        <v>KP000666</v>
      </c>
      <c r="E653" s="494" t="str">
        <f>'[6]price list MAN'!E653</f>
        <v>CKD</v>
      </c>
      <c r="F653" s="11" t="str">
        <f>'[6]price list MAN'!F653</f>
        <v>2018-03-30</v>
      </c>
      <c r="G653" s="32">
        <f>'[6]price list MAN'!G653</f>
        <v>15.3</v>
      </c>
      <c r="H653" s="26">
        <f>'[6]price list MAN'!H653</f>
        <v>42978</v>
      </c>
      <c r="I653" s="51" t="str">
        <f t="shared" si="50"/>
        <v>2017Q3</v>
      </c>
      <c r="J653" s="177">
        <f>'[6]price list MAN'!J653</f>
        <v>1850000</v>
      </c>
      <c r="K653" s="177">
        <f>'[6]price list MAN'!P653</f>
        <v>1417500</v>
      </c>
      <c r="L653" s="177">
        <f>'[6]price list MAN'!R653</f>
        <v>1350000</v>
      </c>
      <c r="M653" s="174">
        <f>'[6]price list MAN'!S653</f>
        <v>1905000</v>
      </c>
      <c r="N653" s="174">
        <f>'[6]price list MAN'!Y653</f>
        <v>1475250</v>
      </c>
      <c r="O653" s="174">
        <f>'[6]price list MAN'!AA653</f>
        <v>1405000</v>
      </c>
      <c r="P653" s="68">
        <f t="shared" si="51"/>
        <v>0.26246719160104987</v>
      </c>
      <c r="Q653" s="62" t="e">
        <f>O653-#REF!</f>
        <v>#REF!</v>
      </c>
      <c r="W653" s="210"/>
      <c r="X653" s="210"/>
      <c r="Y653" s="210"/>
      <c r="Z653" s="210"/>
      <c r="AA653" s="210"/>
      <c r="AB653" s="210"/>
      <c r="AC653" s="210"/>
      <c r="AT653" s="425" t="str">
        <f t="shared" si="52"/>
        <v>KP0006662017Q315,3</v>
      </c>
      <c r="AU653" s="64" t="str">
        <f t="shared" si="53"/>
        <v>08-2017</v>
      </c>
      <c r="BA653" s="428" t="str">
        <f t="shared" si="54"/>
        <v>WIP - 30 Days</v>
      </c>
    </row>
    <row r="654" spans="2:53">
      <c r="B654" s="36" t="str">
        <f>'[6]price list MAN'!B654</f>
        <v>78W-6316</v>
      </c>
      <c r="C654" s="10" t="str">
        <f>'[6]price list MAN'!C654</f>
        <v>TGS-26-4406X4BLS-LX-ALU</v>
      </c>
      <c r="D654" s="16" t="str">
        <f>IFERROR(VLOOKUP(C654&amp;"",'[7]Retail Price List'!$A$3:$B$103,2,FALSE),"Special Order")</f>
        <v>KP000666</v>
      </c>
      <c r="E654" s="494" t="str">
        <f>'[6]price list MAN'!E654</f>
        <v>CKD</v>
      </c>
      <c r="F654" s="11" t="str">
        <f>'[6]price list MAN'!F654</f>
        <v>2018-03-30</v>
      </c>
      <c r="G654" s="32">
        <f>'[6]price list MAN'!G654</f>
        <v>15.3</v>
      </c>
      <c r="H654" s="26">
        <f>'[6]price list MAN'!H654</f>
        <v>42978</v>
      </c>
      <c r="I654" s="51" t="str">
        <f t="shared" si="50"/>
        <v>2017Q3</v>
      </c>
      <c r="J654" s="177">
        <f>'[6]price list MAN'!J654</f>
        <v>1850000</v>
      </c>
      <c r="K654" s="177">
        <f>'[6]price list MAN'!P654</f>
        <v>1417500</v>
      </c>
      <c r="L654" s="177">
        <f>'[6]price list MAN'!R654</f>
        <v>1350000</v>
      </c>
      <c r="M654" s="174">
        <f>'[6]price list MAN'!S654</f>
        <v>1905000</v>
      </c>
      <c r="N654" s="174">
        <f>'[6]price list MAN'!Y654</f>
        <v>1475250</v>
      </c>
      <c r="O654" s="174">
        <f>'[6]price list MAN'!AA654</f>
        <v>1405000</v>
      </c>
      <c r="P654" s="68">
        <f t="shared" si="51"/>
        <v>0.26246719160104987</v>
      </c>
      <c r="Q654" s="62" t="e">
        <f>O654-#REF!</f>
        <v>#REF!</v>
      </c>
      <c r="W654" s="210"/>
      <c r="X654" s="210"/>
      <c r="Y654" s="210"/>
      <c r="Z654" s="210"/>
      <c r="AA654" s="210"/>
      <c r="AB654" s="210"/>
      <c r="AC654" s="210"/>
      <c r="AT654" s="425" t="str">
        <f t="shared" si="52"/>
        <v>KP0006662017Q315,3</v>
      </c>
      <c r="AU654" s="64" t="str">
        <f t="shared" si="53"/>
        <v>08-2017</v>
      </c>
      <c r="BA654" s="428" t="str">
        <f t="shared" si="54"/>
        <v>WIP - 30 Days</v>
      </c>
    </row>
    <row r="655" spans="2:53">
      <c r="B655" s="36" t="str">
        <f>'[6]price list MAN'!B655</f>
        <v>78W-6317</v>
      </c>
      <c r="C655" s="10" t="str">
        <f>'[6]price list MAN'!C655</f>
        <v>TGS-26-4406X4BLS-LX-ALU</v>
      </c>
      <c r="D655" s="16" t="str">
        <f>IFERROR(VLOOKUP(C655&amp;"",'[7]Retail Price List'!$A$3:$B$103,2,FALSE),"Special Order")</f>
        <v>KP000666</v>
      </c>
      <c r="E655" s="494" t="str">
        <f>'[6]price list MAN'!E655</f>
        <v>CKD</v>
      </c>
      <c r="F655" s="11" t="str">
        <f>'[6]price list MAN'!F655</f>
        <v>2018-03-30</v>
      </c>
      <c r="G655" s="32">
        <f>'[6]price list MAN'!G655</f>
        <v>15.3</v>
      </c>
      <c r="H655" s="26">
        <f>'[6]price list MAN'!H655</f>
        <v>42978</v>
      </c>
      <c r="I655" s="51" t="str">
        <f t="shared" si="50"/>
        <v>2017Q3</v>
      </c>
      <c r="J655" s="177">
        <f>'[6]price list MAN'!J655</f>
        <v>1850000</v>
      </c>
      <c r="K655" s="177">
        <f>'[6]price list MAN'!P655</f>
        <v>1417500</v>
      </c>
      <c r="L655" s="177">
        <f>'[6]price list MAN'!R655</f>
        <v>1350000</v>
      </c>
      <c r="M655" s="174">
        <f>'[6]price list MAN'!S655</f>
        <v>1905000</v>
      </c>
      <c r="N655" s="174">
        <f>'[6]price list MAN'!Y655</f>
        <v>1475250</v>
      </c>
      <c r="O655" s="174">
        <f>'[6]price list MAN'!AA655</f>
        <v>1405000</v>
      </c>
      <c r="P655" s="68">
        <f t="shared" si="51"/>
        <v>0.26246719160104987</v>
      </c>
      <c r="Q655" s="62" t="e">
        <f>O655-#REF!</f>
        <v>#REF!</v>
      </c>
      <c r="W655" s="210"/>
      <c r="X655" s="210"/>
      <c r="Y655" s="210"/>
      <c r="Z655" s="210"/>
      <c r="AA655" s="210"/>
      <c r="AB655" s="210"/>
      <c r="AC655" s="210"/>
      <c r="AT655" s="425" t="str">
        <f t="shared" si="52"/>
        <v>KP0006662017Q315,3</v>
      </c>
      <c r="AU655" s="64" t="str">
        <f t="shared" si="53"/>
        <v>08-2017</v>
      </c>
      <c r="BA655" s="428" t="str">
        <f t="shared" si="54"/>
        <v>WIP - 30 Days</v>
      </c>
    </row>
    <row r="656" spans="2:53">
      <c r="B656" s="36" t="str">
        <f>'[6]price list MAN'!B656</f>
        <v>78W-6318</v>
      </c>
      <c r="C656" s="10" t="str">
        <f>'[6]price list MAN'!C656</f>
        <v>TGS-26-4406X4BLS-LX-ALU</v>
      </c>
      <c r="D656" s="16" t="str">
        <f>IFERROR(VLOOKUP(C656&amp;"",'[7]Retail Price List'!$A$3:$B$103,2,FALSE),"Special Order")</f>
        <v>KP000666</v>
      </c>
      <c r="E656" s="494" t="str">
        <f>'[6]price list MAN'!E656</f>
        <v>CKD</v>
      </c>
      <c r="F656" s="11" t="str">
        <f>'[6]price list MAN'!F656</f>
        <v>2018-03-30</v>
      </c>
      <c r="G656" s="32">
        <f>'[6]price list MAN'!G656</f>
        <v>15.3</v>
      </c>
      <c r="H656" s="26">
        <f>'[6]price list MAN'!H656</f>
        <v>42978</v>
      </c>
      <c r="I656" s="51" t="str">
        <f t="shared" si="50"/>
        <v>2017Q3</v>
      </c>
      <c r="J656" s="177">
        <f>'[6]price list MAN'!J656</f>
        <v>1850000</v>
      </c>
      <c r="K656" s="177">
        <f>'[6]price list MAN'!P656</f>
        <v>1417500</v>
      </c>
      <c r="L656" s="177">
        <f>'[6]price list MAN'!R656</f>
        <v>1350000</v>
      </c>
      <c r="M656" s="174">
        <f>'[6]price list MAN'!S656</f>
        <v>1905000</v>
      </c>
      <c r="N656" s="174">
        <f>'[6]price list MAN'!Y656</f>
        <v>1475250</v>
      </c>
      <c r="O656" s="174">
        <f>'[6]price list MAN'!AA656</f>
        <v>1405000</v>
      </c>
      <c r="P656" s="68">
        <f t="shared" si="51"/>
        <v>0.26246719160104987</v>
      </c>
      <c r="Q656" s="62" t="e">
        <f>O656-#REF!</f>
        <v>#REF!</v>
      </c>
      <c r="W656" s="210"/>
      <c r="X656" s="210"/>
      <c r="Y656" s="210"/>
      <c r="Z656" s="210"/>
      <c r="AA656" s="210"/>
      <c r="AB656" s="210"/>
      <c r="AC656" s="210"/>
      <c r="AT656" s="425" t="str">
        <f t="shared" si="52"/>
        <v>KP0006662017Q315,3</v>
      </c>
      <c r="AU656" s="64" t="str">
        <f t="shared" si="53"/>
        <v>08-2017</v>
      </c>
      <c r="BA656" s="428" t="str">
        <f t="shared" si="54"/>
        <v>WIP - 30 Days</v>
      </c>
    </row>
    <row r="657" spans="2:53">
      <c r="B657" s="36" t="str">
        <f>'[6]price list MAN'!B657</f>
        <v>78W-6319</v>
      </c>
      <c r="C657" s="10" t="str">
        <f>'[6]price list MAN'!C657</f>
        <v>TGS-26-4406X4BLS-LX-ALU</v>
      </c>
      <c r="D657" s="16" t="str">
        <f>IFERROR(VLOOKUP(C657&amp;"",'[7]Retail Price List'!$A$3:$B$103,2,FALSE),"Special Order")</f>
        <v>KP000666</v>
      </c>
      <c r="E657" s="494" t="str">
        <f>'[6]price list MAN'!E657</f>
        <v>CKD</v>
      </c>
      <c r="F657" s="11" t="str">
        <f>'[6]price list MAN'!F657</f>
        <v>2018-03-30</v>
      </c>
      <c r="G657" s="32">
        <f>'[6]price list MAN'!G657</f>
        <v>15.3</v>
      </c>
      <c r="H657" s="26">
        <f>'[6]price list MAN'!H657</f>
        <v>42978</v>
      </c>
      <c r="I657" s="51" t="str">
        <f t="shared" si="50"/>
        <v>2017Q3</v>
      </c>
      <c r="J657" s="177">
        <f>'[6]price list MAN'!J657</f>
        <v>1850000</v>
      </c>
      <c r="K657" s="177">
        <f>'[6]price list MAN'!P657</f>
        <v>1417500</v>
      </c>
      <c r="L657" s="177">
        <f>'[6]price list MAN'!R657</f>
        <v>1350000</v>
      </c>
      <c r="M657" s="174">
        <f>'[6]price list MAN'!S657</f>
        <v>1905000</v>
      </c>
      <c r="N657" s="174">
        <f>'[6]price list MAN'!Y657</f>
        <v>1475250</v>
      </c>
      <c r="O657" s="174">
        <f>'[6]price list MAN'!AA657</f>
        <v>1405000</v>
      </c>
      <c r="P657" s="68">
        <f t="shared" si="51"/>
        <v>0.26246719160104987</v>
      </c>
      <c r="Q657" s="62" t="e">
        <f>O657-#REF!</f>
        <v>#REF!</v>
      </c>
      <c r="W657" s="210"/>
      <c r="X657" s="210"/>
      <c r="Y657" s="210"/>
      <c r="Z657" s="210"/>
      <c r="AA657" s="210"/>
      <c r="AB657" s="210"/>
      <c r="AC657" s="210"/>
      <c r="AT657" s="425" t="str">
        <f t="shared" si="52"/>
        <v>KP0006662017Q315,3</v>
      </c>
      <c r="AU657" s="64" t="str">
        <f t="shared" si="53"/>
        <v>08-2017</v>
      </c>
      <c r="BA657" s="428" t="str">
        <f t="shared" si="54"/>
        <v>WIP - 30 Days</v>
      </c>
    </row>
    <row r="658" spans="2:53">
      <c r="B658" s="36" t="str">
        <f>'[6]price list MAN'!B658</f>
        <v>78W-6320</v>
      </c>
      <c r="C658" s="10" t="str">
        <f>'[6]price list MAN'!C658</f>
        <v>TGS-26-4406X4BLS-LX-ALU</v>
      </c>
      <c r="D658" s="16" t="str">
        <f>IFERROR(VLOOKUP(C658&amp;"",'[7]Retail Price List'!$A$3:$B$103,2,FALSE),"Special Order")</f>
        <v>KP000666</v>
      </c>
      <c r="E658" s="494" t="str">
        <f>'[6]price list MAN'!E658</f>
        <v>CKD</v>
      </c>
      <c r="F658" s="11" t="str">
        <f>'[6]price list MAN'!F658</f>
        <v>2018-03-30</v>
      </c>
      <c r="G658" s="32">
        <f>'[6]price list MAN'!G658</f>
        <v>15.3</v>
      </c>
      <c r="H658" s="26">
        <f>'[6]price list MAN'!H658</f>
        <v>42978</v>
      </c>
      <c r="I658" s="51" t="str">
        <f t="shared" si="50"/>
        <v>2017Q3</v>
      </c>
      <c r="J658" s="177">
        <f>'[6]price list MAN'!J658</f>
        <v>1850000</v>
      </c>
      <c r="K658" s="177">
        <f>'[6]price list MAN'!P658</f>
        <v>1417500</v>
      </c>
      <c r="L658" s="177">
        <f>'[6]price list MAN'!R658</f>
        <v>1350000</v>
      </c>
      <c r="M658" s="174">
        <f>'[6]price list MAN'!S658</f>
        <v>1905000</v>
      </c>
      <c r="N658" s="174">
        <f>'[6]price list MAN'!Y658</f>
        <v>1475250</v>
      </c>
      <c r="O658" s="174">
        <f>'[6]price list MAN'!AA658</f>
        <v>1405000</v>
      </c>
      <c r="P658" s="68">
        <f t="shared" si="51"/>
        <v>0.26246719160104987</v>
      </c>
      <c r="Q658" s="62" t="e">
        <f>O658-#REF!</f>
        <v>#REF!</v>
      </c>
      <c r="W658" s="210"/>
      <c r="X658" s="210"/>
      <c r="Y658" s="210"/>
      <c r="Z658" s="210"/>
      <c r="AA658" s="210"/>
      <c r="AB658" s="210"/>
      <c r="AC658" s="210"/>
      <c r="AT658" s="425" t="str">
        <f t="shared" si="52"/>
        <v>KP0006662017Q315,3</v>
      </c>
      <c r="AU658" s="64" t="str">
        <f t="shared" si="53"/>
        <v>08-2017</v>
      </c>
      <c r="BA658" s="428" t="str">
        <f t="shared" si="54"/>
        <v>WIP - 30 Days</v>
      </c>
    </row>
    <row r="659" spans="2:53">
      <c r="B659" s="36" t="str">
        <f>'[6]price list MAN'!B659</f>
        <v>78W-6321</v>
      </c>
      <c r="C659" s="10" t="str">
        <f>'[6]price list MAN'!C659</f>
        <v>TGS-26-4406X4BLS-LX-ALU</v>
      </c>
      <c r="D659" s="16" t="str">
        <f>IFERROR(VLOOKUP(C659&amp;"",'[7]Retail Price List'!$A$3:$B$103,2,FALSE),"Special Order")</f>
        <v>KP000666</v>
      </c>
      <c r="E659" s="494" t="str">
        <f>'[6]price list MAN'!E659</f>
        <v>CKD</v>
      </c>
      <c r="F659" s="11" t="str">
        <f>'[6]price list MAN'!F659</f>
        <v>2018-03-30</v>
      </c>
      <c r="G659" s="32">
        <f>'[6]price list MAN'!G659</f>
        <v>15.3</v>
      </c>
      <c r="H659" s="26">
        <f>'[6]price list MAN'!H659</f>
        <v>42978</v>
      </c>
      <c r="I659" s="51" t="str">
        <f t="shared" si="50"/>
        <v>2017Q3</v>
      </c>
      <c r="J659" s="177">
        <f>'[6]price list MAN'!J659</f>
        <v>1850000</v>
      </c>
      <c r="K659" s="177">
        <f>'[6]price list MAN'!P659</f>
        <v>1417500</v>
      </c>
      <c r="L659" s="177">
        <f>'[6]price list MAN'!R659</f>
        <v>1350000</v>
      </c>
      <c r="M659" s="174">
        <f>'[6]price list MAN'!S659</f>
        <v>1905000</v>
      </c>
      <c r="N659" s="174">
        <f>'[6]price list MAN'!Y659</f>
        <v>1475250</v>
      </c>
      <c r="O659" s="174">
        <f>'[6]price list MAN'!AA659</f>
        <v>1405000</v>
      </c>
      <c r="P659" s="68">
        <f t="shared" si="51"/>
        <v>0.26246719160104987</v>
      </c>
      <c r="Q659" s="62" t="e">
        <f>O659-#REF!</f>
        <v>#REF!</v>
      </c>
      <c r="W659" s="210"/>
      <c r="X659" s="210"/>
      <c r="Y659" s="210"/>
      <c r="Z659" s="210"/>
      <c r="AA659" s="210"/>
      <c r="AB659" s="210"/>
      <c r="AC659" s="210"/>
      <c r="AT659" s="425" t="str">
        <f t="shared" si="52"/>
        <v>KP0006662017Q315,3</v>
      </c>
      <c r="AU659" s="64" t="str">
        <f t="shared" si="53"/>
        <v>08-2017</v>
      </c>
      <c r="BA659" s="428" t="str">
        <f t="shared" si="54"/>
        <v>WIP - 30 Days</v>
      </c>
    </row>
    <row r="660" spans="2:53">
      <c r="B660" s="36" t="str">
        <f>'[6]price list MAN'!B660</f>
        <v>78W-6322</v>
      </c>
      <c r="C660" s="10" t="str">
        <f>'[6]price list MAN'!C660</f>
        <v>TGS-26-4406X4BLS-LX-ALU</v>
      </c>
      <c r="D660" s="16" t="str">
        <f>IFERROR(VLOOKUP(C660&amp;"",'[7]Retail Price List'!$A$3:$B$103,2,FALSE),"Special Order")</f>
        <v>KP000666</v>
      </c>
      <c r="E660" s="494" t="str">
        <f>'[6]price list MAN'!E660</f>
        <v>CKD</v>
      </c>
      <c r="F660" s="11" t="str">
        <f>'[6]price list MAN'!F660</f>
        <v>2018-03-30</v>
      </c>
      <c r="G660" s="32">
        <f>'[6]price list MAN'!G660</f>
        <v>15.3</v>
      </c>
      <c r="H660" s="26">
        <f>'[6]price list MAN'!H660</f>
        <v>42978</v>
      </c>
      <c r="I660" s="51" t="str">
        <f t="shared" si="50"/>
        <v>2017Q3</v>
      </c>
      <c r="J660" s="177">
        <f>'[6]price list MAN'!J660</f>
        <v>1850000</v>
      </c>
      <c r="K660" s="177">
        <f>'[6]price list MAN'!P660</f>
        <v>1417500</v>
      </c>
      <c r="L660" s="177">
        <f>'[6]price list MAN'!R660</f>
        <v>1350000</v>
      </c>
      <c r="M660" s="174">
        <f>'[6]price list MAN'!S660</f>
        <v>1905000</v>
      </c>
      <c r="N660" s="174">
        <f>'[6]price list MAN'!Y660</f>
        <v>1475250</v>
      </c>
      <c r="O660" s="174">
        <f>'[6]price list MAN'!AA660</f>
        <v>1405000</v>
      </c>
      <c r="P660" s="68">
        <f t="shared" si="51"/>
        <v>0.26246719160104987</v>
      </c>
      <c r="Q660" s="62" t="e">
        <f>O660-#REF!</f>
        <v>#REF!</v>
      </c>
      <c r="W660" s="210"/>
      <c r="X660" s="210"/>
      <c r="Y660" s="210"/>
      <c r="Z660" s="210"/>
      <c r="AA660" s="210"/>
      <c r="AB660" s="210"/>
      <c r="AC660" s="210"/>
      <c r="AT660" s="425" t="str">
        <f t="shared" si="52"/>
        <v>KP0006662017Q315,3</v>
      </c>
      <c r="AU660" s="64" t="str">
        <f t="shared" si="53"/>
        <v>08-2017</v>
      </c>
      <c r="BA660" s="428" t="str">
        <f t="shared" si="54"/>
        <v>WIP - 30 Days</v>
      </c>
    </row>
    <row r="661" spans="2:53">
      <c r="B661" s="36" t="str">
        <f>'[6]price list MAN'!B661</f>
        <v>78W-6323</v>
      </c>
      <c r="C661" s="10" t="str">
        <f>'[6]price list MAN'!C661</f>
        <v>TGS-26-4406X4BLS-LX-ALU</v>
      </c>
      <c r="D661" s="16" t="str">
        <f>IFERROR(VLOOKUP(C661&amp;"",'[7]Retail Price List'!$A$3:$B$103,2,FALSE),"Special Order")</f>
        <v>KP000666</v>
      </c>
      <c r="E661" s="494" t="str">
        <f>'[6]price list MAN'!E661</f>
        <v>CKD</v>
      </c>
      <c r="F661" s="11" t="str">
        <f>'[6]price list MAN'!F661</f>
        <v>2018-03-30</v>
      </c>
      <c r="G661" s="32">
        <f>'[6]price list MAN'!G661</f>
        <v>15.3</v>
      </c>
      <c r="H661" s="26">
        <f>'[6]price list MAN'!H661</f>
        <v>42978</v>
      </c>
      <c r="I661" s="51" t="str">
        <f t="shared" si="50"/>
        <v>2017Q3</v>
      </c>
      <c r="J661" s="177">
        <f>'[6]price list MAN'!J661</f>
        <v>1850000</v>
      </c>
      <c r="K661" s="177">
        <f>'[6]price list MAN'!P661</f>
        <v>1417500</v>
      </c>
      <c r="L661" s="177">
        <f>'[6]price list MAN'!R661</f>
        <v>1350000</v>
      </c>
      <c r="M661" s="174">
        <f>'[6]price list MAN'!S661</f>
        <v>1905000</v>
      </c>
      <c r="N661" s="174">
        <f>'[6]price list MAN'!Y661</f>
        <v>1475250</v>
      </c>
      <c r="O661" s="174">
        <f>'[6]price list MAN'!AA661</f>
        <v>1405000</v>
      </c>
      <c r="P661" s="68">
        <f t="shared" si="51"/>
        <v>0.26246719160104987</v>
      </c>
      <c r="Q661" s="62" t="e">
        <f>O661-#REF!</f>
        <v>#REF!</v>
      </c>
      <c r="W661" s="210"/>
      <c r="X661" s="210"/>
      <c r="Y661" s="210"/>
      <c r="Z661" s="210"/>
      <c r="AA661" s="210"/>
      <c r="AB661" s="210"/>
      <c r="AC661" s="210"/>
      <c r="AT661" s="425" t="str">
        <f t="shared" si="52"/>
        <v>KP0006662017Q315,3</v>
      </c>
      <c r="AU661" s="64" t="str">
        <f t="shared" si="53"/>
        <v>08-2017</v>
      </c>
      <c r="BA661" s="428" t="str">
        <f t="shared" si="54"/>
        <v>WIP - 30 Days</v>
      </c>
    </row>
    <row r="662" spans="2:53">
      <c r="B662" s="36" t="str">
        <f>'[6]price list MAN'!B662</f>
        <v>78W-6328</v>
      </c>
      <c r="C662" s="10" t="str">
        <f>'[6]price list MAN'!C662</f>
        <v>TGS-26-4406X4BLS-LX-ALU</v>
      </c>
      <c r="D662" s="16" t="str">
        <f>IFERROR(VLOOKUP(C662&amp;"",'[7]Retail Price List'!$A$3:$B$103,2,FALSE),"Special Order")</f>
        <v>KP000666</v>
      </c>
      <c r="E662" s="494" t="str">
        <f>'[6]price list MAN'!E662</f>
        <v>CKD</v>
      </c>
      <c r="F662" s="11" t="str">
        <f>'[6]price list MAN'!F662</f>
        <v>2018-03-30</v>
      </c>
      <c r="G662" s="32">
        <f>'[6]price list MAN'!G662</f>
        <v>15.3</v>
      </c>
      <c r="H662" s="26">
        <f>'[6]price list MAN'!H662</f>
        <v>42978</v>
      </c>
      <c r="I662" s="51" t="str">
        <f t="shared" si="50"/>
        <v>2017Q3</v>
      </c>
      <c r="J662" s="177">
        <f>'[6]price list MAN'!J662</f>
        <v>1850000</v>
      </c>
      <c r="K662" s="177">
        <f>'[6]price list MAN'!P662</f>
        <v>1417500</v>
      </c>
      <c r="L662" s="177">
        <f>'[6]price list MAN'!R662</f>
        <v>1350000</v>
      </c>
      <c r="M662" s="174">
        <f>'[6]price list MAN'!S662</f>
        <v>1905000</v>
      </c>
      <c r="N662" s="174">
        <f>'[6]price list MAN'!Y662</f>
        <v>1475250</v>
      </c>
      <c r="O662" s="174">
        <f>'[6]price list MAN'!AA662</f>
        <v>1405000</v>
      </c>
      <c r="P662" s="68">
        <f t="shared" si="51"/>
        <v>0.26246719160104987</v>
      </c>
      <c r="Q662" s="62" t="e">
        <f>O662-#REF!</f>
        <v>#REF!</v>
      </c>
      <c r="W662" s="210"/>
      <c r="X662" s="210"/>
      <c r="Y662" s="210"/>
      <c r="Z662" s="210"/>
      <c r="AA662" s="210"/>
      <c r="AB662" s="210"/>
      <c r="AC662" s="210"/>
      <c r="AT662" s="425" t="str">
        <f t="shared" si="52"/>
        <v>KP0006662017Q315,3</v>
      </c>
      <c r="AU662" s="64" t="str">
        <f t="shared" si="53"/>
        <v>08-2017</v>
      </c>
      <c r="BA662" s="428" t="str">
        <f t="shared" si="54"/>
        <v>WIP - 30 Days</v>
      </c>
    </row>
    <row r="663" spans="2:53">
      <c r="B663" s="36" t="str">
        <f>'[6]price list MAN'!B663</f>
        <v>78W-6329</v>
      </c>
      <c r="C663" s="10" t="str">
        <f>'[6]price list MAN'!C663</f>
        <v>TGS-26-4406X4BLS-LX-ALU</v>
      </c>
      <c r="D663" s="16" t="str">
        <f>IFERROR(VLOOKUP(C663&amp;"",'[7]Retail Price List'!$A$3:$B$103,2,FALSE),"Special Order")</f>
        <v>KP000666</v>
      </c>
      <c r="E663" s="494" t="str">
        <f>'[6]price list MAN'!E663</f>
        <v>CKD</v>
      </c>
      <c r="F663" s="11" t="str">
        <f>'[6]price list MAN'!F663</f>
        <v>2018-03-30</v>
      </c>
      <c r="G663" s="32">
        <f>'[6]price list MAN'!G663</f>
        <v>15.3</v>
      </c>
      <c r="H663" s="26">
        <f>'[6]price list MAN'!H663</f>
        <v>42978</v>
      </c>
      <c r="I663" s="51" t="str">
        <f t="shared" si="50"/>
        <v>2017Q3</v>
      </c>
      <c r="J663" s="177">
        <f>'[6]price list MAN'!J663</f>
        <v>1850000</v>
      </c>
      <c r="K663" s="177">
        <f>'[6]price list MAN'!P663</f>
        <v>1417500</v>
      </c>
      <c r="L663" s="177">
        <f>'[6]price list MAN'!R663</f>
        <v>1350000</v>
      </c>
      <c r="M663" s="174">
        <f>'[6]price list MAN'!S663</f>
        <v>1905000</v>
      </c>
      <c r="N663" s="174">
        <f>'[6]price list MAN'!Y663</f>
        <v>1475250</v>
      </c>
      <c r="O663" s="174">
        <f>'[6]price list MAN'!AA663</f>
        <v>1405000</v>
      </c>
      <c r="P663" s="68">
        <f t="shared" si="51"/>
        <v>0.26246719160104987</v>
      </c>
      <c r="Q663" s="62" t="e">
        <f>O663-#REF!</f>
        <v>#REF!</v>
      </c>
      <c r="W663" s="210"/>
      <c r="X663" s="210"/>
      <c r="Y663" s="210"/>
      <c r="Z663" s="210"/>
      <c r="AA663" s="210"/>
      <c r="AB663" s="210"/>
      <c r="AC663" s="210"/>
      <c r="AT663" s="425" t="str">
        <f t="shared" si="52"/>
        <v>KP0006662017Q315,3</v>
      </c>
      <c r="AU663" s="64" t="str">
        <f t="shared" si="53"/>
        <v>08-2017</v>
      </c>
      <c r="BA663" s="428" t="str">
        <f t="shared" si="54"/>
        <v>WIP - 30 Days</v>
      </c>
    </row>
    <row r="664" spans="2:53">
      <c r="B664" s="36" t="str">
        <f>'[6]price list MAN'!B664</f>
        <v>78W-6330</v>
      </c>
      <c r="C664" s="10" t="str">
        <f>'[6]price list MAN'!C664</f>
        <v>TGS-26-4406X4BLS-LX-ALU</v>
      </c>
      <c r="D664" s="16" t="str">
        <f>IFERROR(VLOOKUP(C664&amp;"",'[7]Retail Price List'!$A$3:$B$103,2,FALSE),"Special Order")</f>
        <v>KP000666</v>
      </c>
      <c r="E664" s="494" t="str">
        <f>'[6]price list MAN'!E664</f>
        <v>CKD</v>
      </c>
      <c r="F664" s="11" t="str">
        <f>'[6]price list MAN'!F664</f>
        <v>2018-03-30</v>
      </c>
      <c r="G664" s="32">
        <f>'[6]price list MAN'!G664</f>
        <v>15.3</v>
      </c>
      <c r="H664" s="26">
        <f>'[6]price list MAN'!H664</f>
        <v>42978</v>
      </c>
      <c r="I664" s="51" t="str">
        <f t="shared" si="50"/>
        <v>2017Q3</v>
      </c>
      <c r="J664" s="177">
        <f>'[6]price list MAN'!J664</f>
        <v>1850000</v>
      </c>
      <c r="K664" s="177">
        <f>'[6]price list MAN'!P664</f>
        <v>1417500</v>
      </c>
      <c r="L664" s="177">
        <f>'[6]price list MAN'!R664</f>
        <v>1350000</v>
      </c>
      <c r="M664" s="174">
        <f>'[6]price list MAN'!S664</f>
        <v>1905000</v>
      </c>
      <c r="N664" s="174">
        <f>'[6]price list MAN'!Y664</f>
        <v>1475250</v>
      </c>
      <c r="O664" s="174">
        <f>'[6]price list MAN'!AA664</f>
        <v>1405000</v>
      </c>
      <c r="P664" s="68">
        <f t="shared" si="51"/>
        <v>0.26246719160104987</v>
      </c>
      <c r="Q664" s="62" t="e">
        <f>O664-#REF!</f>
        <v>#REF!</v>
      </c>
      <c r="W664" s="210"/>
      <c r="X664" s="210"/>
      <c r="Y664" s="210"/>
      <c r="Z664" s="210"/>
      <c r="AA664" s="210"/>
      <c r="AB664" s="210"/>
      <c r="AC664" s="210"/>
      <c r="AT664" s="425" t="str">
        <f t="shared" si="52"/>
        <v>KP0006662017Q315,3</v>
      </c>
      <c r="AU664" s="64" t="str">
        <f t="shared" si="53"/>
        <v>08-2017</v>
      </c>
      <c r="BA664" s="428" t="str">
        <f t="shared" si="54"/>
        <v>WIP - 30 Days</v>
      </c>
    </row>
    <row r="665" spans="2:53">
      <c r="B665" s="36" t="str">
        <f>'[6]price list MAN'!B665</f>
        <v>78W-6331</v>
      </c>
      <c r="C665" s="10" t="str">
        <f>'[6]price list MAN'!C665</f>
        <v>TGS-26-4406X4BLS-LX-ALU</v>
      </c>
      <c r="D665" s="16" t="str">
        <f>IFERROR(VLOOKUP(C665&amp;"",'[7]Retail Price List'!$A$3:$B$103,2,FALSE),"Special Order")</f>
        <v>KP000666</v>
      </c>
      <c r="E665" s="494" t="str">
        <f>'[6]price list MAN'!E665</f>
        <v>CKD</v>
      </c>
      <c r="F665" s="11" t="str">
        <f>'[6]price list MAN'!F665</f>
        <v>2018-03-30</v>
      </c>
      <c r="G665" s="32">
        <f>'[6]price list MAN'!G665</f>
        <v>15.3</v>
      </c>
      <c r="H665" s="26">
        <f>'[6]price list MAN'!H665</f>
        <v>42978</v>
      </c>
      <c r="I665" s="51" t="str">
        <f t="shared" si="50"/>
        <v>2017Q3</v>
      </c>
      <c r="J665" s="177">
        <f>'[6]price list MAN'!J665</f>
        <v>1850000</v>
      </c>
      <c r="K665" s="177">
        <f>'[6]price list MAN'!P665</f>
        <v>1417500</v>
      </c>
      <c r="L665" s="177">
        <f>'[6]price list MAN'!R665</f>
        <v>1350000</v>
      </c>
      <c r="M665" s="174">
        <f>'[6]price list MAN'!S665</f>
        <v>1905000</v>
      </c>
      <c r="N665" s="174">
        <f>'[6]price list MAN'!Y665</f>
        <v>1475250</v>
      </c>
      <c r="O665" s="174">
        <f>'[6]price list MAN'!AA665</f>
        <v>1405000</v>
      </c>
      <c r="P665" s="68">
        <f t="shared" si="51"/>
        <v>0.26246719160104987</v>
      </c>
      <c r="Q665" s="62" t="e">
        <f>O665-#REF!</f>
        <v>#REF!</v>
      </c>
      <c r="W665" s="210"/>
      <c r="X665" s="210"/>
      <c r="Y665" s="210"/>
      <c r="Z665" s="210"/>
      <c r="AA665" s="210"/>
      <c r="AB665" s="210"/>
      <c r="AC665" s="210"/>
      <c r="AT665" s="425" t="str">
        <f t="shared" si="52"/>
        <v>KP0006662017Q315,3</v>
      </c>
      <c r="AU665" s="64" t="str">
        <f t="shared" si="53"/>
        <v>08-2017</v>
      </c>
      <c r="BA665" s="428" t="str">
        <f t="shared" si="54"/>
        <v>WIP - 30 Days</v>
      </c>
    </row>
    <row r="666" spans="2:53">
      <c r="B666" s="36" t="str">
        <f>'[6]price list MAN'!B666</f>
        <v>78W-6332</v>
      </c>
      <c r="C666" s="10" t="str">
        <f>'[6]price list MAN'!C666</f>
        <v>TGS-26-4406X4BLS-LX-ALU</v>
      </c>
      <c r="D666" s="16" t="str">
        <f>IFERROR(VLOOKUP(C666&amp;"",'[7]Retail Price List'!$A$3:$B$103,2,FALSE),"Special Order")</f>
        <v>KP000666</v>
      </c>
      <c r="E666" s="494" t="str">
        <f>'[6]price list MAN'!E666</f>
        <v>CKD</v>
      </c>
      <c r="F666" s="11" t="str">
        <f>'[6]price list MAN'!F666</f>
        <v>2018-03-30</v>
      </c>
      <c r="G666" s="32">
        <f>'[6]price list MAN'!G666</f>
        <v>15.3</v>
      </c>
      <c r="H666" s="26">
        <f>'[6]price list MAN'!H666</f>
        <v>42978</v>
      </c>
      <c r="I666" s="51" t="str">
        <f t="shared" si="50"/>
        <v>2017Q3</v>
      </c>
      <c r="J666" s="177">
        <f>'[6]price list MAN'!J666</f>
        <v>1850000</v>
      </c>
      <c r="K666" s="177">
        <f>'[6]price list MAN'!P666</f>
        <v>1417500</v>
      </c>
      <c r="L666" s="177">
        <f>'[6]price list MAN'!R666</f>
        <v>1350000</v>
      </c>
      <c r="M666" s="174">
        <f>'[6]price list MAN'!S666</f>
        <v>1905000</v>
      </c>
      <c r="N666" s="174">
        <f>'[6]price list MAN'!Y666</f>
        <v>1475250</v>
      </c>
      <c r="O666" s="174">
        <f>'[6]price list MAN'!AA666</f>
        <v>1405000</v>
      </c>
      <c r="P666" s="68">
        <f t="shared" si="51"/>
        <v>0.26246719160104987</v>
      </c>
      <c r="Q666" s="62" t="e">
        <f>O666-#REF!</f>
        <v>#REF!</v>
      </c>
      <c r="W666" s="210"/>
      <c r="X666" s="210"/>
      <c r="Y666" s="210"/>
      <c r="Z666" s="210"/>
      <c r="AA666" s="210"/>
      <c r="AB666" s="210"/>
      <c r="AC666" s="210"/>
      <c r="AT666" s="425" t="str">
        <f t="shared" si="52"/>
        <v>KP0006662017Q315,3</v>
      </c>
      <c r="AU666" s="64" t="str">
        <f t="shared" si="53"/>
        <v>08-2017</v>
      </c>
      <c r="BA666" s="428" t="str">
        <f t="shared" si="54"/>
        <v>WIP - 30 Days</v>
      </c>
    </row>
    <row r="667" spans="2:53">
      <c r="B667" s="36" t="str">
        <f>'[6]price list MAN'!B667</f>
        <v>78W-6333</v>
      </c>
      <c r="C667" s="10" t="str">
        <f>'[6]price list MAN'!C667</f>
        <v>TGS-26-4406X4BLS-LX-ALU</v>
      </c>
      <c r="D667" s="16" t="str">
        <f>IFERROR(VLOOKUP(C667&amp;"",'[7]Retail Price List'!$A$3:$B$103,2,FALSE),"Special Order")</f>
        <v>KP000666</v>
      </c>
      <c r="E667" s="494" t="str">
        <f>'[6]price list MAN'!E667</f>
        <v>CKD</v>
      </c>
      <c r="F667" s="11" t="str">
        <f>'[6]price list MAN'!F667</f>
        <v>2018-03-30</v>
      </c>
      <c r="G667" s="32">
        <f>'[6]price list MAN'!G667</f>
        <v>15.3</v>
      </c>
      <c r="H667" s="26">
        <f>'[6]price list MAN'!H667</f>
        <v>42978</v>
      </c>
      <c r="I667" s="51" t="str">
        <f t="shared" si="50"/>
        <v>2017Q3</v>
      </c>
      <c r="J667" s="177">
        <f>'[6]price list MAN'!J667</f>
        <v>1850000</v>
      </c>
      <c r="K667" s="177">
        <f>'[6]price list MAN'!P667</f>
        <v>1417500</v>
      </c>
      <c r="L667" s="177">
        <f>'[6]price list MAN'!R667</f>
        <v>1350000</v>
      </c>
      <c r="M667" s="174">
        <f>'[6]price list MAN'!S667</f>
        <v>1905000</v>
      </c>
      <c r="N667" s="174">
        <f>'[6]price list MAN'!Y667</f>
        <v>1475250</v>
      </c>
      <c r="O667" s="174">
        <f>'[6]price list MAN'!AA667</f>
        <v>1405000</v>
      </c>
      <c r="P667" s="68">
        <f t="shared" si="51"/>
        <v>0.26246719160104987</v>
      </c>
      <c r="Q667" s="62" t="e">
        <f>O667-#REF!</f>
        <v>#REF!</v>
      </c>
      <c r="W667" s="210"/>
      <c r="X667" s="210"/>
      <c r="Y667" s="210"/>
      <c r="Z667" s="210"/>
      <c r="AA667" s="210"/>
      <c r="AB667" s="210"/>
      <c r="AC667" s="210"/>
      <c r="AT667" s="425" t="str">
        <f t="shared" si="52"/>
        <v>KP0006662017Q315,3</v>
      </c>
      <c r="AU667" s="64" t="str">
        <f t="shared" si="53"/>
        <v>08-2017</v>
      </c>
      <c r="BA667" s="428" t="str">
        <f t="shared" si="54"/>
        <v>WIP - 30 Days</v>
      </c>
    </row>
    <row r="668" spans="2:53">
      <c r="B668" s="36" t="str">
        <f>'[6]price list MAN'!B668</f>
        <v>78W-6334</v>
      </c>
      <c r="C668" s="10" t="str">
        <f>'[6]price list MAN'!C668</f>
        <v>TGS-26-4406X4BLS-LX-ALU</v>
      </c>
      <c r="D668" s="16" t="str">
        <f>IFERROR(VLOOKUP(C668&amp;"",'[7]Retail Price List'!$A$3:$B$103,2,FALSE),"Special Order")</f>
        <v>KP000666</v>
      </c>
      <c r="E668" s="494" t="str">
        <f>'[6]price list MAN'!E668</f>
        <v>CKD</v>
      </c>
      <c r="F668" s="11" t="str">
        <f>'[6]price list MAN'!F668</f>
        <v>2018-03-30</v>
      </c>
      <c r="G668" s="32">
        <f>'[6]price list MAN'!G668</f>
        <v>15.3</v>
      </c>
      <c r="H668" s="26">
        <f>'[6]price list MAN'!H668</f>
        <v>42978</v>
      </c>
      <c r="I668" s="51" t="str">
        <f t="shared" si="50"/>
        <v>2017Q3</v>
      </c>
      <c r="J668" s="177">
        <f>'[6]price list MAN'!J668</f>
        <v>1850000</v>
      </c>
      <c r="K668" s="177">
        <f>'[6]price list MAN'!P668</f>
        <v>1417500</v>
      </c>
      <c r="L668" s="177">
        <f>'[6]price list MAN'!R668</f>
        <v>1350000</v>
      </c>
      <c r="M668" s="174">
        <f>'[6]price list MAN'!S668</f>
        <v>1905000</v>
      </c>
      <c r="N668" s="174">
        <f>'[6]price list MAN'!Y668</f>
        <v>1475250</v>
      </c>
      <c r="O668" s="174">
        <f>'[6]price list MAN'!AA668</f>
        <v>1405000</v>
      </c>
      <c r="P668" s="68">
        <f t="shared" si="51"/>
        <v>0.26246719160104987</v>
      </c>
      <c r="Q668" s="62" t="e">
        <f>O668-#REF!</f>
        <v>#REF!</v>
      </c>
      <c r="W668" s="210"/>
      <c r="X668" s="210"/>
      <c r="Y668" s="210"/>
      <c r="Z668" s="210"/>
      <c r="AA668" s="210"/>
      <c r="AB668" s="210"/>
      <c r="AC668" s="210"/>
      <c r="AT668" s="425" t="str">
        <f t="shared" si="52"/>
        <v>KP0006662017Q315,3</v>
      </c>
      <c r="AU668" s="64" t="str">
        <f t="shared" si="53"/>
        <v>08-2017</v>
      </c>
      <c r="BA668" s="428" t="str">
        <f t="shared" si="54"/>
        <v>WIP - 30 Days</v>
      </c>
    </row>
    <row r="669" spans="2:53">
      <c r="B669" s="36" t="str">
        <f>'[6]price list MAN'!B669</f>
        <v>78W-6335</v>
      </c>
      <c r="C669" s="10" t="str">
        <f>'[6]price list MAN'!C669</f>
        <v>TGS-26-4406X4BLS-LX-ALU</v>
      </c>
      <c r="D669" s="16" t="str">
        <f>IFERROR(VLOOKUP(C669&amp;"",'[7]Retail Price List'!$A$3:$B$103,2,FALSE),"Special Order")</f>
        <v>KP000666</v>
      </c>
      <c r="E669" s="494" t="str">
        <f>'[6]price list MAN'!E669</f>
        <v>CKD</v>
      </c>
      <c r="F669" s="11" t="str">
        <f>'[6]price list MAN'!F669</f>
        <v>2018-03-30</v>
      </c>
      <c r="G669" s="32">
        <f>'[6]price list MAN'!G669</f>
        <v>15.3</v>
      </c>
      <c r="H669" s="26">
        <f>'[6]price list MAN'!H669</f>
        <v>42978</v>
      </c>
      <c r="I669" s="51" t="str">
        <f t="shared" si="50"/>
        <v>2017Q3</v>
      </c>
      <c r="J669" s="177">
        <f>'[6]price list MAN'!J669</f>
        <v>1850000</v>
      </c>
      <c r="K669" s="177">
        <f>'[6]price list MAN'!P669</f>
        <v>1417500</v>
      </c>
      <c r="L669" s="177">
        <f>'[6]price list MAN'!R669</f>
        <v>1350000</v>
      </c>
      <c r="M669" s="174">
        <f>'[6]price list MAN'!S669</f>
        <v>1905000</v>
      </c>
      <c r="N669" s="174">
        <f>'[6]price list MAN'!Y669</f>
        <v>1475250</v>
      </c>
      <c r="O669" s="174">
        <f>'[6]price list MAN'!AA669</f>
        <v>1405000</v>
      </c>
      <c r="P669" s="68">
        <f t="shared" si="51"/>
        <v>0.26246719160104987</v>
      </c>
      <c r="Q669" s="62" t="e">
        <f>O669-#REF!</f>
        <v>#REF!</v>
      </c>
      <c r="W669" s="210"/>
      <c r="X669" s="210"/>
      <c r="Y669" s="210"/>
      <c r="Z669" s="210"/>
      <c r="AA669" s="210"/>
      <c r="AB669" s="210"/>
      <c r="AC669" s="210"/>
      <c r="AT669" s="425" t="str">
        <f t="shared" si="52"/>
        <v>KP0006662017Q315,3</v>
      </c>
      <c r="AU669" s="64" t="str">
        <f t="shared" si="53"/>
        <v>08-2017</v>
      </c>
      <c r="BA669" s="428" t="str">
        <f t="shared" si="54"/>
        <v>WIP - 30 Days</v>
      </c>
    </row>
    <row r="670" spans="2:53">
      <c r="B670" s="36" t="str">
        <f>'[6]price list MAN'!B670</f>
        <v>78W-6340</v>
      </c>
      <c r="C670" s="10" t="str">
        <f>'[6]price list MAN'!C670</f>
        <v>TGS-26-4406X4BLS-LX-ALU</v>
      </c>
      <c r="D670" s="16" t="str">
        <f>IFERROR(VLOOKUP(C670&amp;"",'[7]Retail Price List'!$A$3:$B$103,2,FALSE),"Special Order")</f>
        <v>KP000666</v>
      </c>
      <c r="E670" s="494" t="str">
        <f>'[6]price list MAN'!E670</f>
        <v>CKD</v>
      </c>
      <c r="F670" s="11" t="str">
        <f>'[6]price list MAN'!F670</f>
        <v>2018-03-30</v>
      </c>
      <c r="G670" s="32">
        <f>'[6]price list MAN'!G670</f>
        <v>15.3</v>
      </c>
      <c r="H670" s="26">
        <f>'[6]price list MAN'!H670</f>
        <v>42978</v>
      </c>
      <c r="I670" s="51" t="str">
        <f t="shared" si="50"/>
        <v>2017Q3</v>
      </c>
      <c r="J670" s="177">
        <f>'[6]price list MAN'!J670</f>
        <v>1850000</v>
      </c>
      <c r="K670" s="177">
        <f>'[6]price list MAN'!P670</f>
        <v>1417500</v>
      </c>
      <c r="L670" s="177">
        <f>'[6]price list MAN'!R670</f>
        <v>1350000</v>
      </c>
      <c r="M670" s="174">
        <f>'[6]price list MAN'!S670</f>
        <v>1905000</v>
      </c>
      <c r="N670" s="174">
        <f>'[6]price list MAN'!Y670</f>
        <v>1475250</v>
      </c>
      <c r="O670" s="174">
        <f>'[6]price list MAN'!AA670</f>
        <v>1405000</v>
      </c>
      <c r="P670" s="68">
        <f t="shared" si="51"/>
        <v>0.26246719160104987</v>
      </c>
      <c r="Q670" s="62" t="e">
        <f>O670-#REF!</f>
        <v>#REF!</v>
      </c>
      <c r="W670" s="210"/>
      <c r="X670" s="210"/>
      <c r="Y670" s="210"/>
      <c r="Z670" s="210"/>
      <c r="AA670" s="210"/>
      <c r="AB670" s="210"/>
      <c r="AC670" s="210"/>
      <c r="AT670" s="425" t="str">
        <f t="shared" si="52"/>
        <v>KP0006662017Q315,3</v>
      </c>
      <c r="AU670" s="64" t="str">
        <f t="shared" si="53"/>
        <v>08-2017</v>
      </c>
      <c r="BA670" s="428" t="str">
        <f t="shared" si="54"/>
        <v>WIP - 30 Days</v>
      </c>
    </row>
    <row r="671" spans="2:53">
      <c r="B671" s="36" t="str">
        <f>'[6]price list MAN'!B671</f>
        <v>78W-6341</v>
      </c>
      <c r="C671" s="10" t="str">
        <f>'[6]price list MAN'!C671</f>
        <v>TGS-26-4406X4BLS-LX-ALU</v>
      </c>
      <c r="D671" s="16" t="str">
        <f>IFERROR(VLOOKUP(C671&amp;"",'[7]Retail Price List'!$A$3:$B$103,2,FALSE),"Special Order")</f>
        <v>KP000666</v>
      </c>
      <c r="E671" s="494" t="str">
        <f>'[6]price list MAN'!E671</f>
        <v>CKD</v>
      </c>
      <c r="F671" s="11" t="str">
        <f>'[6]price list MAN'!F671</f>
        <v>2018-03-30</v>
      </c>
      <c r="G671" s="32">
        <f>'[6]price list MAN'!G671</f>
        <v>15.3</v>
      </c>
      <c r="H671" s="26">
        <f>'[6]price list MAN'!H671</f>
        <v>42978</v>
      </c>
      <c r="I671" s="51" t="str">
        <f t="shared" si="50"/>
        <v>2017Q3</v>
      </c>
      <c r="J671" s="177">
        <f>'[6]price list MAN'!J671</f>
        <v>1850000</v>
      </c>
      <c r="K671" s="177">
        <f>'[6]price list MAN'!P671</f>
        <v>1417500</v>
      </c>
      <c r="L671" s="177">
        <f>'[6]price list MAN'!R671</f>
        <v>1350000</v>
      </c>
      <c r="M671" s="174">
        <f>'[6]price list MAN'!S671</f>
        <v>1905000</v>
      </c>
      <c r="N671" s="174">
        <f>'[6]price list MAN'!Y671</f>
        <v>1475250</v>
      </c>
      <c r="O671" s="174">
        <f>'[6]price list MAN'!AA671</f>
        <v>1405000</v>
      </c>
      <c r="P671" s="68">
        <f t="shared" si="51"/>
        <v>0.26246719160104987</v>
      </c>
      <c r="Q671" s="62" t="e">
        <f>O671-#REF!</f>
        <v>#REF!</v>
      </c>
      <c r="W671" s="210"/>
      <c r="X671" s="210"/>
      <c r="Y671" s="210"/>
      <c r="Z671" s="210"/>
      <c r="AA671" s="210"/>
      <c r="AB671" s="210"/>
      <c r="AC671" s="210"/>
      <c r="AT671" s="425" t="str">
        <f t="shared" si="52"/>
        <v>KP0006662017Q315,3</v>
      </c>
      <c r="AU671" s="64" t="str">
        <f t="shared" si="53"/>
        <v>08-2017</v>
      </c>
      <c r="BA671" s="428" t="str">
        <f t="shared" si="54"/>
        <v>WIP - 30 Days</v>
      </c>
    </row>
    <row r="672" spans="2:53">
      <c r="B672" s="36" t="str">
        <f>'[6]price list MAN'!B672</f>
        <v>78W-6342</v>
      </c>
      <c r="C672" s="10" t="str">
        <f>'[6]price list MAN'!C672</f>
        <v>TGS-26-4406X4BLS-LX-ALU</v>
      </c>
      <c r="D672" s="16" t="str">
        <f>IFERROR(VLOOKUP(C672&amp;"",'[7]Retail Price List'!$A$3:$B$103,2,FALSE),"Special Order")</f>
        <v>KP000666</v>
      </c>
      <c r="E672" s="494" t="str">
        <f>'[6]price list MAN'!E672</f>
        <v>CKD</v>
      </c>
      <c r="F672" s="11" t="str">
        <f>'[6]price list MAN'!F672</f>
        <v>2018-03-30</v>
      </c>
      <c r="G672" s="32">
        <f>'[6]price list MAN'!G672</f>
        <v>15.3</v>
      </c>
      <c r="H672" s="26">
        <f>'[6]price list MAN'!H672</f>
        <v>42978</v>
      </c>
      <c r="I672" s="51" t="str">
        <f t="shared" si="50"/>
        <v>2017Q3</v>
      </c>
      <c r="J672" s="177">
        <f>'[6]price list MAN'!J672</f>
        <v>1850000</v>
      </c>
      <c r="K672" s="177">
        <f>'[6]price list MAN'!P672</f>
        <v>1417500</v>
      </c>
      <c r="L672" s="177">
        <f>'[6]price list MAN'!R672</f>
        <v>1350000</v>
      </c>
      <c r="M672" s="174">
        <f>'[6]price list MAN'!S672</f>
        <v>1905000</v>
      </c>
      <c r="N672" s="174">
        <f>'[6]price list MAN'!Y672</f>
        <v>1475250</v>
      </c>
      <c r="O672" s="174">
        <f>'[6]price list MAN'!AA672</f>
        <v>1405000</v>
      </c>
      <c r="P672" s="68">
        <f t="shared" si="51"/>
        <v>0.26246719160104987</v>
      </c>
      <c r="Q672" s="62" t="e">
        <f>O672-#REF!</f>
        <v>#REF!</v>
      </c>
      <c r="W672" s="210"/>
      <c r="X672" s="210"/>
      <c r="Y672" s="210"/>
      <c r="Z672" s="210"/>
      <c r="AA672" s="210"/>
      <c r="AB672" s="210"/>
      <c r="AC672" s="210"/>
      <c r="AT672" s="425" t="str">
        <f t="shared" si="52"/>
        <v>KP0006662017Q315,3</v>
      </c>
      <c r="AU672" s="64" t="str">
        <f t="shared" si="53"/>
        <v>08-2017</v>
      </c>
      <c r="BA672" s="428" t="str">
        <f t="shared" si="54"/>
        <v>WIP - 30 Days</v>
      </c>
    </row>
    <row r="673" spans="2:53">
      <c r="B673" s="36" t="str">
        <f>'[6]price list MAN'!B673</f>
        <v>78W-6343</v>
      </c>
      <c r="C673" s="10" t="str">
        <f>'[6]price list MAN'!C673</f>
        <v>TGS-26-4406X4BLS-LX-ALU</v>
      </c>
      <c r="D673" s="16" t="str">
        <f>IFERROR(VLOOKUP(C673&amp;"",'[7]Retail Price List'!$A$3:$B$103,2,FALSE),"Special Order")</f>
        <v>KP000666</v>
      </c>
      <c r="E673" s="494" t="str">
        <f>'[6]price list MAN'!E673</f>
        <v>CKD</v>
      </c>
      <c r="F673" s="11" t="str">
        <f>'[6]price list MAN'!F673</f>
        <v>2018-04-30</v>
      </c>
      <c r="G673" s="32">
        <f>'[6]price list MAN'!G673</f>
        <v>15.3</v>
      </c>
      <c r="H673" s="26">
        <f>'[6]price list MAN'!H673</f>
        <v>42978</v>
      </c>
      <c r="I673" s="51" t="str">
        <f t="shared" si="50"/>
        <v>2017Q3</v>
      </c>
      <c r="J673" s="177">
        <f>'[6]price list MAN'!J673</f>
        <v>1850000</v>
      </c>
      <c r="K673" s="177">
        <f>'[6]price list MAN'!P673</f>
        <v>1417500</v>
      </c>
      <c r="L673" s="177">
        <f>'[6]price list MAN'!R673</f>
        <v>1350000</v>
      </c>
      <c r="M673" s="174">
        <f>'[6]price list MAN'!S673</f>
        <v>1905000</v>
      </c>
      <c r="N673" s="174">
        <f>'[6]price list MAN'!Y673</f>
        <v>1475250</v>
      </c>
      <c r="O673" s="174">
        <f>'[6]price list MAN'!AA673</f>
        <v>1405000</v>
      </c>
      <c r="P673" s="68">
        <f t="shared" si="51"/>
        <v>0.26246719160104987</v>
      </c>
      <c r="Q673" s="62" t="e">
        <f>O673-#REF!</f>
        <v>#REF!</v>
      </c>
      <c r="W673" s="210"/>
      <c r="X673" s="210"/>
      <c r="Y673" s="210"/>
      <c r="Z673" s="210"/>
      <c r="AA673" s="210"/>
      <c r="AB673" s="210"/>
      <c r="AC673" s="210"/>
      <c r="AT673" s="425" t="str">
        <f t="shared" si="52"/>
        <v>KP0006662017Q315,3</v>
      </c>
      <c r="AU673" s="64" t="str">
        <f t="shared" si="53"/>
        <v>08-2017</v>
      </c>
      <c r="BA673" s="428" t="str">
        <f t="shared" si="54"/>
        <v>WIP - 30 Days</v>
      </c>
    </row>
    <row r="674" spans="2:53">
      <c r="B674" s="36" t="str">
        <f>'[6]price list MAN'!B674</f>
        <v>78W-6344</v>
      </c>
      <c r="C674" s="10" t="str">
        <f>'[6]price list MAN'!C674</f>
        <v>TGS-26-4406X4BLS-LX-ALU</v>
      </c>
      <c r="D674" s="16" t="str">
        <f>IFERROR(VLOOKUP(C674&amp;"",'[7]Retail Price List'!$A$3:$B$103,2,FALSE),"Special Order")</f>
        <v>KP000666</v>
      </c>
      <c r="E674" s="494" t="str">
        <f>'[6]price list MAN'!E674</f>
        <v>CKD</v>
      </c>
      <c r="F674" s="11" t="str">
        <f>'[6]price list MAN'!F674</f>
        <v>2018-04-30</v>
      </c>
      <c r="G674" s="32">
        <f>'[6]price list MAN'!G674</f>
        <v>15.3</v>
      </c>
      <c r="H674" s="26">
        <f>'[6]price list MAN'!H674</f>
        <v>42978</v>
      </c>
      <c r="I674" s="51" t="str">
        <f t="shared" si="50"/>
        <v>2017Q3</v>
      </c>
      <c r="J674" s="177">
        <f>'[6]price list MAN'!J674</f>
        <v>1850000</v>
      </c>
      <c r="K674" s="177">
        <f>'[6]price list MAN'!P674</f>
        <v>1417500</v>
      </c>
      <c r="L674" s="177">
        <f>'[6]price list MAN'!R674</f>
        <v>1350000</v>
      </c>
      <c r="M674" s="174">
        <f>'[6]price list MAN'!S674</f>
        <v>1905000</v>
      </c>
      <c r="N674" s="174">
        <f>'[6]price list MAN'!Y674</f>
        <v>1475250</v>
      </c>
      <c r="O674" s="174">
        <f>'[6]price list MAN'!AA674</f>
        <v>1405000</v>
      </c>
      <c r="P674" s="68">
        <f t="shared" si="51"/>
        <v>0.26246719160104987</v>
      </c>
      <c r="Q674" s="62" t="e">
        <f>O674-#REF!</f>
        <v>#REF!</v>
      </c>
      <c r="W674" s="210"/>
      <c r="X674" s="210"/>
      <c r="Y674" s="210"/>
      <c r="Z674" s="210"/>
      <c r="AA674" s="210"/>
      <c r="AB674" s="210"/>
      <c r="AC674" s="210"/>
      <c r="AT674" s="425" t="str">
        <f t="shared" si="52"/>
        <v>KP0006662017Q315,3</v>
      </c>
      <c r="AU674" s="64" t="str">
        <f t="shared" si="53"/>
        <v>08-2017</v>
      </c>
      <c r="BA674" s="428" t="str">
        <f t="shared" si="54"/>
        <v>WIP - 30 Days</v>
      </c>
    </row>
    <row r="675" spans="2:53">
      <c r="B675" s="36" t="str">
        <f>'[6]price list MAN'!B675</f>
        <v>78W-6345</v>
      </c>
      <c r="C675" s="10" t="str">
        <f>'[6]price list MAN'!C675</f>
        <v>TGS-26-4406X4BLS-LX-ALU</v>
      </c>
      <c r="D675" s="16" t="str">
        <f>IFERROR(VLOOKUP(C675&amp;"",'[7]Retail Price List'!$A$3:$B$103,2,FALSE),"Special Order")</f>
        <v>KP000666</v>
      </c>
      <c r="E675" s="494" t="str">
        <f>'[6]price list MAN'!E675</f>
        <v>CKD</v>
      </c>
      <c r="F675" s="11" t="str">
        <f>'[6]price list MAN'!F675</f>
        <v>2018-04-30</v>
      </c>
      <c r="G675" s="32">
        <f>'[6]price list MAN'!G675</f>
        <v>15.3</v>
      </c>
      <c r="H675" s="26">
        <f>'[6]price list MAN'!H675</f>
        <v>42978</v>
      </c>
      <c r="I675" s="51" t="str">
        <f t="shared" si="50"/>
        <v>2017Q3</v>
      </c>
      <c r="J675" s="177">
        <f>'[6]price list MAN'!J675</f>
        <v>1850000</v>
      </c>
      <c r="K675" s="177">
        <f>'[6]price list MAN'!P675</f>
        <v>1417500</v>
      </c>
      <c r="L675" s="177">
        <f>'[6]price list MAN'!R675</f>
        <v>1350000</v>
      </c>
      <c r="M675" s="174">
        <f>'[6]price list MAN'!S675</f>
        <v>1905000</v>
      </c>
      <c r="N675" s="174">
        <f>'[6]price list MAN'!Y675</f>
        <v>1475250</v>
      </c>
      <c r="O675" s="174">
        <f>'[6]price list MAN'!AA675</f>
        <v>1405000</v>
      </c>
      <c r="P675" s="68">
        <f t="shared" si="51"/>
        <v>0.26246719160104987</v>
      </c>
      <c r="Q675" s="62" t="e">
        <f>O675-#REF!</f>
        <v>#REF!</v>
      </c>
      <c r="W675" s="210"/>
      <c r="X675" s="210"/>
      <c r="Y675" s="210"/>
      <c r="Z675" s="210"/>
      <c r="AA675" s="210"/>
      <c r="AB675" s="210"/>
      <c r="AC675" s="210"/>
      <c r="AT675" s="425" t="str">
        <f t="shared" si="52"/>
        <v>KP0006662017Q315,3</v>
      </c>
      <c r="AU675" s="64" t="str">
        <f t="shared" si="53"/>
        <v>08-2017</v>
      </c>
      <c r="BA675" s="428" t="str">
        <f t="shared" si="54"/>
        <v>WIP - 30 Days</v>
      </c>
    </row>
    <row r="676" spans="2:53">
      <c r="B676" s="36" t="str">
        <f>'[6]price list MAN'!B676</f>
        <v>78W-6346</v>
      </c>
      <c r="C676" s="10" t="str">
        <f>'[6]price list MAN'!C676</f>
        <v>TGS-26-4406X4BLS-LX-ALU</v>
      </c>
      <c r="D676" s="16" t="str">
        <f>IFERROR(VLOOKUP(C676&amp;"",'[7]Retail Price List'!$A$3:$B$103,2,FALSE),"Special Order")</f>
        <v>KP000666</v>
      </c>
      <c r="E676" s="494" t="str">
        <f>'[6]price list MAN'!E676</f>
        <v>CKD</v>
      </c>
      <c r="F676" s="11" t="str">
        <f>'[6]price list MAN'!F676</f>
        <v>2018-04-30</v>
      </c>
      <c r="G676" s="32">
        <f>'[6]price list MAN'!G676</f>
        <v>15.3</v>
      </c>
      <c r="H676" s="26">
        <f>'[6]price list MAN'!H676</f>
        <v>42978</v>
      </c>
      <c r="I676" s="51" t="str">
        <f t="shared" si="50"/>
        <v>2017Q3</v>
      </c>
      <c r="J676" s="177">
        <f>'[6]price list MAN'!J676</f>
        <v>1850000</v>
      </c>
      <c r="K676" s="177">
        <f>'[6]price list MAN'!P676</f>
        <v>1417500</v>
      </c>
      <c r="L676" s="177">
        <f>'[6]price list MAN'!R676</f>
        <v>1350000</v>
      </c>
      <c r="M676" s="174">
        <f>'[6]price list MAN'!S676</f>
        <v>1905000</v>
      </c>
      <c r="N676" s="174">
        <f>'[6]price list MAN'!Y676</f>
        <v>1475250</v>
      </c>
      <c r="O676" s="174">
        <f>'[6]price list MAN'!AA676</f>
        <v>1405000</v>
      </c>
      <c r="P676" s="68">
        <f t="shared" si="51"/>
        <v>0.26246719160104987</v>
      </c>
      <c r="Q676" s="62" t="e">
        <f>O676-#REF!</f>
        <v>#REF!</v>
      </c>
      <c r="W676" s="210"/>
      <c r="X676" s="210"/>
      <c r="Y676" s="210"/>
      <c r="Z676" s="210"/>
      <c r="AA676" s="210"/>
      <c r="AB676" s="210"/>
      <c r="AC676" s="210"/>
      <c r="AT676" s="425" t="str">
        <f t="shared" si="52"/>
        <v>KP0006662017Q315,3</v>
      </c>
      <c r="AU676" s="64" t="str">
        <f t="shared" si="53"/>
        <v>08-2017</v>
      </c>
      <c r="BA676" s="428" t="str">
        <f t="shared" si="54"/>
        <v>WIP - 30 Days</v>
      </c>
    </row>
    <row r="677" spans="2:53">
      <c r="B677" s="36" t="str">
        <f>'[6]price list MAN'!B677</f>
        <v>78W-6347</v>
      </c>
      <c r="C677" s="10" t="str">
        <f>'[6]price list MAN'!C677</f>
        <v>TGS-26-4406X4BLS-LX-ALU</v>
      </c>
      <c r="D677" s="16" t="str">
        <f>IFERROR(VLOOKUP(C677&amp;"",'[7]Retail Price List'!$A$3:$B$103,2,FALSE),"Special Order")</f>
        <v>KP000666</v>
      </c>
      <c r="E677" s="494" t="str">
        <f>'[6]price list MAN'!E677</f>
        <v>CKD</v>
      </c>
      <c r="F677" s="11" t="str">
        <f>'[6]price list MAN'!F677</f>
        <v>2018-04-30</v>
      </c>
      <c r="G677" s="32">
        <f>'[6]price list MAN'!G677</f>
        <v>15.3</v>
      </c>
      <c r="H677" s="26">
        <f>'[6]price list MAN'!H677</f>
        <v>42978</v>
      </c>
      <c r="I677" s="51" t="str">
        <f t="shared" si="50"/>
        <v>2017Q3</v>
      </c>
      <c r="J677" s="177">
        <f>'[6]price list MAN'!J677</f>
        <v>1850000</v>
      </c>
      <c r="K677" s="177">
        <f>'[6]price list MAN'!P677</f>
        <v>1417500</v>
      </c>
      <c r="L677" s="177">
        <f>'[6]price list MAN'!R677</f>
        <v>1350000</v>
      </c>
      <c r="M677" s="174">
        <f>'[6]price list MAN'!S677</f>
        <v>1905000</v>
      </c>
      <c r="N677" s="174">
        <f>'[6]price list MAN'!Y677</f>
        <v>1475250</v>
      </c>
      <c r="O677" s="174">
        <f>'[6]price list MAN'!AA677</f>
        <v>1405000</v>
      </c>
      <c r="P677" s="68">
        <f t="shared" si="51"/>
        <v>0.26246719160104987</v>
      </c>
      <c r="Q677" s="62" t="e">
        <f>O677-#REF!</f>
        <v>#REF!</v>
      </c>
      <c r="W677" s="210"/>
      <c r="X677" s="210"/>
      <c r="Y677" s="210"/>
      <c r="Z677" s="210"/>
      <c r="AA677" s="210"/>
      <c r="AB677" s="210"/>
      <c r="AC677" s="210"/>
      <c r="AT677" s="425" t="str">
        <f t="shared" si="52"/>
        <v>KP0006662017Q315,3</v>
      </c>
      <c r="AU677" s="64" t="str">
        <f t="shared" si="53"/>
        <v>08-2017</v>
      </c>
      <c r="BA677" s="428" t="str">
        <f t="shared" si="54"/>
        <v>WIP - 30 Days</v>
      </c>
    </row>
    <row r="678" spans="2:53">
      <c r="B678" s="36" t="str">
        <f>'[6]price list MAN'!B678</f>
        <v>78W-6352</v>
      </c>
      <c r="C678" s="10" t="str">
        <f>'[6]price list MAN'!C678</f>
        <v>TGS-26-4406X4BLS-LX-ALU</v>
      </c>
      <c r="D678" s="16" t="str">
        <f>IFERROR(VLOOKUP(C678&amp;"",'[7]Retail Price List'!$A$3:$B$103,2,FALSE),"Special Order")</f>
        <v>KP000666</v>
      </c>
      <c r="E678" s="494" t="str">
        <f>'[6]price list MAN'!E678</f>
        <v>CKD</v>
      </c>
      <c r="F678" s="11" t="str">
        <f>'[6]price list MAN'!F678</f>
        <v>2018-03-30</v>
      </c>
      <c r="G678" s="32">
        <f>'[6]price list MAN'!G678</f>
        <v>15.3</v>
      </c>
      <c r="H678" s="26">
        <f>'[6]price list MAN'!H678</f>
        <v>42978</v>
      </c>
      <c r="I678" s="51" t="str">
        <f t="shared" si="50"/>
        <v>2017Q3</v>
      </c>
      <c r="J678" s="177">
        <f>'[6]price list MAN'!J678</f>
        <v>1850000</v>
      </c>
      <c r="K678" s="177">
        <f>'[6]price list MAN'!P678</f>
        <v>1417500</v>
      </c>
      <c r="L678" s="177">
        <f>'[6]price list MAN'!R678</f>
        <v>1350000</v>
      </c>
      <c r="M678" s="174">
        <f>'[6]price list MAN'!S678</f>
        <v>1905000</v>
      </c>
      <c r="N678" s="174">
        <f>'[6]price list MAN'!Y678</f>
        <v>1475250</v>
      </c>
      <c r="O678" s="174">
        <f>'[6]price list MAN'!AA678</f>
        <v>1405000</v>
      </c>
      <c r="P678" s="68">
        <f t="shared" si="51"/>
        <v>0.26246719160104987</v>
      </c>
      <c r="Q678" s="62" t="e">
        <f>O678-#REF!</f>
        <v>#REF!</v>
      </c>
      <c r="W678" s="210"/>
      <c r="X678" s="210"/>
      <c r="Y678" s="210"/>
      <c r="Z678" s="210"/>
      <c r="AA678" s="210"/>
      <c r="AB678" s="210"/>
      <c r="AC678" s="210"/>
      <c r="AT678" s="425" t="str">
        <f t="shared" si="52"/>
        <v>KP0006662017Q315,3</v>
      </c>
      <c r="AU678" s="64" t="str">
        <f t="shared" si="53"/>
        <v>08-2017</v>
      </c>
      <c r="BA678" s="428" t="str">
        <f t="shared" si="54"/>
        <v>WIP - 30 Days</v>
      </c>
    </row>
    <row r="679" spans="2:53">
      <c r="B679" s="36" t="str">
        <f>'[6]price list MAN'!B679</f>
        <v>78W-6353</v>
      </c>
      <c r="C679" s="10" t="str">
        <f>'[6]price list MAN'!C679</f>
        <v>TGS-26-4406X4BLS-LX-ALU</v>
      </c>
      <c r="D679" s="16" t="str">
        <f>IFERROR(VLOOKUP(C679&amp;"",'[7]Retail Price List'!$A$3:$B$103,2,FALSE),"Special Order")</f>
        <v>KP000666</v>
      </c>
      <c r="E679" s="494" t="str">
        <f>'[6]price list MAN'!E679</f>
        <v>CKD</v>
      </c>
      <c r="F679" s="11" t="str">
        <f>'[6]price list MAN'!F679</f>
        <v>2018-03-30</v>
      </c>
      <c r="G679" s="32">
        <f>'[6]price list MAN'!G679</f>
        <v>15.3</v>
      </c>
      <c r="H679" s="26">
        <f>'[6]price list MAN'!H679</f>
        <v>42978</v>
      </c>
      <c r="I679" s="51" t="str">
        <f t="shared" si="50"/>
        <v>2017Q3</v>
      </c>
      <c r="J679" s="177">
        <f>'[6]price list MAN'!J679</f>
        <v>1850000</v>
      </c>
      <c r="K679" s="177">
        <f>'[6]price list MAN'!P679</f>
        <v>1417500</v>
      </c>
      <c r="L679" s="177">
        <f>'[6]price list MAN'!R679</f>
        <v>1350000</v>
      </c>
      <c r="M679" s="174">
        <f>'[6]price list MAN'!S679</f>
        <v>1905000</v>
      </c>
      <c r="N679" s="174">
        <f>'[6]price list MAN'!Y679</f>
        <v>1475250</v>
      </c>
      <c r="O679" s="174">
        <f>'[6]price list MAN'!AA679</f>
        <v>1405000</v>
      </c>
      <c r="P679" s="68">
        <f t="shared" si="51"/>
        <v>0.26246719160104987</v>
      </c>
      <c r="Q679" s="62" t="e">
        <f>O679-#REF!</f>
        <v>#REF!</v>
      </c>
      <c r="W679" s="210"/>
      <c r="X679" s="210"/>
      <c r="Y679" s="210"/>
      <c r="Z679" s="210"/>
      <c r="AA679" s="210"/>
      <c r="AB679" s="210"/>
      <c r="AC679" s="210"/>
      <c r="AT679" s="425" t="str">
        <f t="shared" si="52"/>
        <v>KP0006662017Q315,3</v>
      </c>
      <c r="AU679" s="64" t="str">
        <f t="shared" si="53"/>
        <v>08-2017</v>
      </c>
      <c r="BA679" s="428" t="str">
        <f t="shared" si="54"/>
        <v>WIP - 30 Days</v>
      </c>
    </row>
    <row r="680" spans="2:53">
      <c r="B680" s="36" t="str">
        <f>'[6]price list MAN'!B680</f>
        <v>78W-6354</v>
      </c>
      <c r="C680" s="10" t="str">
        <f>'[6]price list MAN'!C680</f>
        <v>TGS-26-4406X4BLS-LX-ALU</v>
      </c>
      <c r="D680" s="16" t="str">
        <f>IFERROR(VLOOKUP(C680&amp;"",'[7]Retail Price List'!$A$3:$B$103,2,FALSE),"Special Order")</f>
        <v>KP000666</v>
      </c>
      <c r="E680" s="494" t="str">
        <f>'[6]price list MAN'!E680</f>
        <v>CKD</v>
      </c>
      <c r="F680" s="11" t="str">
        <f>'[6]price list MAN'!F680</f>
        <v>2018-03-30</v>
      </c>
      <c r="G680" s="32">
        <f>'[6]price list MAN'!G680</f>
        <v>15.3</v>
      </c>
      <c r="H680" s="26">
        <f>'[6]price list MAN'!H680</f>
        <v>42978</v>
      </c>
      <c r="I680" s="51" t="str">
        <f t="shared" si="50"/>
        <v>2017Q3</v>
      </c>
      <c r="J680" s="177">
        <f>'[6]price list MAN'!J680</f>
        <v>1850000</v>
      </c>
      <c r="K680" s="177">
        <f>'[6]price list MAN'!P680</f>
        <v>1417500</v>
      </c>
      <c r="L680" s="177">
        <f>'[6]price list MAN'!R680</f>
        <v>1350000</v>
      </c>
      <c r="M680" s="174">
        <f>'[6]price list MAN'!S680</f>
        <v>1905000</v>
      </c>
      <c r="N680" s="174">
        <f>'[6]price list MAN'!Y680</f>
        <v>1475250</v>
      </c>
      <c r="O680" s="174">
        <f>'[6]price list MAN'!AA680</f>
        <v>1405000</v>
      </c>
      <c r="P680" s="68">
        <f t="shared" si="51"/>
        <v>0.26246719160104987</v>
      </c>
      <c r="Q680" s="62" t="e">
        <f>O680-#REF!</f>
        <v>#REF!</v>
      </c>
      <c r="W680" s="210"/>
      <c r="X680" s="210"/>
      <c r="Y680" s="210"/>
      <c r="Z680" s="210"/>
      <c r="AA680" s="210"/>
      <c r="AB680" s="210"/>
      <c r="AC680" s="210"/>
      <c r="AT680" s="425" t="str">
        <f t="shared" si="52"/>
        <v>KP0006662017Q315,3</v>
      </c>
      <c r="AU680" s="64" t="str">
        <f t="shared" si="53"/>
        <v>08-2017</v>
      </c>
      <c r="BA680" s="428" t="str">
        <f t="shared" si="54"/>
        <v>WIP - 30 Days</v>
      </c>
    </row>
    <row r="681" spans="2:53">
      <c r="B681" s="36" t="str">
        <f>'[6]price list MAN'!B681</f>
        <v>78W-6355</v>
      </c>
      <c r="C681" s="10" t="str">
        <f>'[6]price list MAN'!C681</f>
        <v>TGS-26-4406X4BLS-LX-ALU</v>
      </c>
      <c r="D681" s="16" t="str">
        <f>IFERROR(VLOOKUP(C681&amp;"",'[7]Retail Price List'!$A$3:$B$103,2,FALSE),"Special Order")</f>
        <v>KP000666</v>
      </c>
      <c r="E681" s="494" t="str">
        <f>'[6]price list MAN'!E681</f>
        <v>CKD</v>
      </c>
      <c r="F681" s="11" t="str">
        <f>'[6]price list MAN'!F681</f>
        <v>2018-03-30</v>
      </c>
      <c r="G681" s="32">
        <f>'[6]price list MAN'!G681</f>
        <v>15.3</v>
      </c>
      <c r="H681" s="26">
        <f>'[6]price list MAN'!H681</f>
        <v>42978</v>
      </c>
      <c r="I681" s="51" t="str">
        <f t="shared" si="50"/>
        <v>2017Q3</v>
      </c>
      <c r="J681" s="177">
        <f>'[6]price list MAN'!J681</f>
        <v>1850000</v>
      </c>
      <c r="K681" s="177">
        <f>'[6]price list MAN'!P681</f>
        <v>1417500</v>
      </c>
      <c r="L681" s="177">
        <f>'[6]price list MAN'!R681</f>
        <v>1350000</v>
      </c>
      <c r="M681" s="174">
        <f>'[6]price list MAN'!S681</f>
        <v>1905000</v>
      </c>
      <c r="N681" s="174">
        <f>'[6]price list MAN'!Y681</f>
        <v>1475250</v>
      </c>
      <c r="O681" s="174">
        <f>'[6]price list MAN'!AA681</f>
        <v>1405000</v>
      </c>
      <c r="P681" s="68">
        <f t="shared" si="51"/>
        <v>0.26246719160104987</v>
      </c>
      <c r="Q681" s="62" t="e">
        <f>O681-#REF!</f>
        <v>#REF!</v>
      </c>
      <c r="W681" s="210"/>
      <c r="X681" s="210"/>
      <c r="Y681" s="210"/>
      <c r="Z681" s="210"/>
      <c r="AA681" s="210"/>
      <c r="AB681" s="210"/>
      <c r="AC681" s="210"/>
      <c r="AT681" s="425" t="str">
        <f t="shared" si="52"/>
        <v>KP0006662017Q315,3</v>
      </c>
      <c r="AU681" s="64" t="str">
        <f t="shared" si="53"/>
        <v>08-2017</v>
      </c>
      <c r="BA681" s="428" t="str">
        <f t="shared" si="54"/>
        <v>WIP - 30 Days</v>
      </c>
    </row>
    <row r="682" spans="2:53">
      <c r="B682" s="36" t="str">
        <f>'[6]price list MAN'!B682</f>
        <v>78W-6356</v>
      </c>
      <c r="C682" s="10" t="str">
        <f>'[6]price list MAN'!C682</f>
        <v>TGS-26-4406X4BLS-LX-ALU</v>
      </c>
      <c r="D682" s="16" t="str">
        <f>IFERROR(VLOOKUP(C682&amp;"",'[7]Retail Price List'!$A$3:$B$103,2,FALSE),"Special Order")</f>
        <v>KP000666</v>
      </c>
      <c r="E682" s="494" t="str">
        <f>'[6]price list MAN'!E682</f>
        <v>CKD</v>
      </c>
      <c r="F682" s="11" t="str">
        <f>'[6]price list MAN'!F682</f>
        <v>2018-03-30</v>
      </c>
      <c r="G682" s="32">
        <f>'[6]price list MAN'!G682</f>
        <v>15.3</v>
      </c>
      <c r="H682" s="26">
        <f>'[6]price list MAN'!H682</f>
        <v>42978</v>
      </c>
      <c r="I682" s="51" t="str">
        <f t="shared" si="50"/>
        <v>2017Q3</v>
      </c>
      <c r="J682" s="177">
        <f>'[6]price list MAN'!J682</f>
        <v>1850000</v>
      </c>
      <c r="K682" s="177">
        <f>'[6]price list MAN'!P682</f>
        <v>1417500</v>
      </c>
      <c r="L682" s="177">
        <f>'[6]price list MAN'!R682</f>
        <v>1350000</v>
      </c>
      <c r="M682" s="174">
        <f>'[6]price list MAN'!S682</f>
        <v>1905000</v>
      </c>
      <c r="N682" s="174">
        <f>'[6]price list MAN'!Y682</f>
        <v>1475250</v>
      </c>
      <c r="O682" s="174">
        <f>'[6]price list MAN'!AA682</f>
        <v>1405000</v>
      </c>
      <c r="P682" s="68">
        <f t="shared" si="51"/>
        <v>0.26246719160104987</v>
      </c>
      <c r="Q682" s="62" t="e">
        <f>O682-#REF!</f>
        <v>#REF!</v>
      </c>
      <c r="W682" s="210"/>
      <c r="X682" s="210"/>
      <c r="Y682" s="210"/>
      <c r="Z682" s="210"/>
      <c r="AA682" s="210"/>
      <c r="AB682" s="210"/>
      <c r="AC682" s="210"/>
      <c r="AT682" s="425" t="str">
        <f t="shared" si="52"/>
        <v>KP0006662017Q315,3</v>
      </c>
      <c r="AU682" s="64" t="str">
        <f t="shared" si="53"/>
        <v>08-2017</v>
      </c>
      <c r="BA682" s="428" t="str">
        <f t="shared" si="54"/>
        <v>WIP - 30 Days</v>
      </c>
    </row>
    <row r="683" spans="2:53">
      <c r="B683" s="36" t="str">
        <f>'[6]price list MAN'!B683</f>
        <v>78W-6357</v>
      </c>
      <c r="C683" s="10" t="str">
        <f>'[6]price list MAN'!C683</f>
        <v>TGS-26-4406X4BLS-LX-ALU</v>
      </c>
      <c r="D683" s="16" t="str">
        <f>IFERROR(VLOOKUP(C683&amp;"",'[7]Retail Price List'!$A$3:$B$103,2,FALSE),"Special Order")</f>
        <v>KP000666</v>
      </c>
      <c r="E683" s="494" t="str">
        <f>'[6]price list MAN'!E683</f>
        <v>CKD</v>
      </c>
      <c r="F683" s="11" t="str">
        <f>'[6]price list MAN'!F683</f>
        <v>2018-03-30</v>
      </c>
      <c r="G683" s="32">
        <f>'[6]price list MAN'!G683</f>
        <v>15.3</v>
      </c>
      <c r="H683" s="26">
        <f>'[6]price list MAN'!H683</f>
        <v>42978</v>
      </c>
      <c r="I683" s="51" t="str">
        <f t="shared" si="50"/>
        <v>2017Q3</v>
      </c>
      <c r="J683" s="177">
        <f>'[6]price list MAN'!J683</f>
        <v>1850000</v>
      </c>
      <c r="K683" s="177">
        <f>'[6]price list MAN'!P683</f>
        <v>1417500</v>
      </c>
      <c r="L683" s="177">
        <f>'[6]price list MAN'!R683</f>
        <v>1350000</v>
      </c>
      <c r="M683" s="174">
        <f>'[6]price list MAN'!S683</f>
        <v>1905000</v>
      </c>
      <c r="N683" s="174">
        <f>'[6]price list MAN'!Y683</f>
        <v>1475250</v>
      </c>
      <c r="O683" s="174">
        <f>'[6]price list MAN'!AA683</f>
        <v>1405000</v>
      </c>
      <c r="P683" s="68">
        <f t="shared" si="51"/>
        <v>0.26246719160104987</v>
      </c>
      <c r="Q683" s="62" t="e">
        <f>O683-#REF!</f>
        <v>#REF!</v>
      </c>
      <c r="W683" s="210"/>
      <c r="X683" s="210"/>
      <c r="Y683" s="210"/>
      <c r="Z683" s="210"/>
      <c r="AA683" s="210"/>
      <c r="AB683" s="210"/>
      <c r="AC683" s="210"/>
      <c r="AT683" s="425" t="str">
        <f t="shared" si="52"/>
        <v>KP0006662017Q315,3</v>
      </c>
      <c r="AU683" s="64" t="str">
        <f t="shared" si="53"/>
        <v>08-2017</v>
      </c>
      <c r="BA683" s="428" t="str">
        <f t="shared" si="54"/>
        <v>WIP - 30 Days</v>
      </c>
    </row>
    <row r="684" spans="2:53">
      <c r="B684" s="36" t="str">
        <f>'[6]price list MAN'!B684</f>
        <v>78W-6358</v>
      </c>
      <c r="C684" s="10" t="str">
        <f>'[6]price list MAN'!C684</f>
        <v>TGS-26-4406X4BLS-LX-ALU</v>
      </c>
      <c r="D684" s="16" t="str">
        <f>IFERROR(VLOOKUP(C684&amp;"",'[7]Retail Price List'!$A$3:$B$103,2,FALSE),"Special Order")</f>
        <v>KP000666</v>
      </c>
      <c r="E684" s="494" t="str">
        <f>'[6]price list MAN'!E684</f>
        <v>CKD</v>
      </c>
      <c r="F684" s="11" t="str">
        <f>'[6]price list MAN'!F684</f>
        <v>2018-03-30</v>
      </c>
      <c r="G684" s="32">
        <f>'[6]price list MAN'!G684</f>
        <v>15.3</v>
      </c>
      <c r="H684" s="26">
        <f>'[6]price list MAN'!H684</f>
        <v>42978</v>
      </c>
      <c r="I684" s="51" t="str">
        <f t="shared" si="50"/>
        <v>2017Q3</v>
      </c>
      <c r="J684" s="177">
        <f>'[6]price list MAN'!J684</f>
        <v>1850000</v>
      </c>
      <c r="K684" s="177">
        <f>'[6]price list MAN'!P684</f>
        <v>1417500</v>
      </c>
      <c r="L684" s="177">
        <f>'[6]price list MAN'!R684</f>
        <v>1350000</v>
      </c>
      <c r="M684" s="174">
        <f>'[6]price list MAN'!S684</f>
        <v>1905000</v>
      </c>
      <c r="N684" s="174">
        <f>'[6]price list MAN'!Y684</f>
        <v>1475250</v>
      </c>
      <c r="O684" s="174">
        <f>'[6]price list MAN'!AA684</f>
        <v>1405000</v>
      </c>
      <c r="P684" s="68">
        <f t="shared" si="51"/>
        <v>0.26246719160104987</v>
      </c>
      <c r="Q684" s="62" t="e">
        <f>O684-#REF!</f>
        <v>#REF!</v>
      </c>
      <c r="W684" s="210"/>
      <c r="X684" s="210"/>
      <c r="Y684" s="210"/>
      <c r="Z684" s="210"/>
      <c r="AA684" s="210"/>
      <c r="AB684" s="210"/>
      <c r="AC684" s="210"/>
      <c r="AT684" s="425" t="str">
        <f t="shared" si="52"/>
        <v>KP0006662017Q315,3</v>
      </c>
      <c r="AU684" s="64" t="str">
        <f t="shared" si="53"/>
        <v>08-2017</v>
      </c>
      <c r="BA684" s="428" t="str">
        <f t="shared" si="54"/>
        <v>WIP - 30 Days</v>
      </c>
    </row>
    <row r="685" spans="2:53">
      <c r="B685" s="36" t="str">
        <f>'[6]price list MAN'!B685</f>
        <v>78W-6359</v>
      </c>
      <c r="C685" s="10" t="str">
        <f>'[6]price list MAN'!C685</f>
        <v>TGS-26-4406X4BLS-LX-ALU</v>
      </c>
      <c r="D685" s="16" t="str">
        <f>IFERROR(VLOOKUP(C685&amp;"",'[7]Retail Price List'!$A$3:$B$103,2,FALSE),"Special Order")</f>
        <v>KP000666</v>
      </c>
      <c r="E685" s="494" t="str">
        <f>'[6]price list MAN'!E685</f>
        <v>CKD</v>
      </c>
      <c r="F685" s="11" t="str">
        <f>'[6]price list MAN'!F685</f>
        <v>2018-03-30</v>
      </c>
      <c r="G685" s="32">
        <f>'[6]price list MAN'!G685</f>
        <v>15.3</v>
      </c>
      <c r="H685" s="26">
        <f>'[6]price list MAN'!H685</f>
        <v>42978</v>
      </c>
      <c r="I685" s="51" t="str">
        <f t="shared" si="50"/>
        <v>2017Q3</v>
      </c>
      <c r="J685" s="177">
        <f>'[6]price list MAN'!J685</f>
        <v>1850000</v>
      </c>
      <c r="K685" s="177">
        <f>'[6]price list MAN'!P685</f>
        <v>1417500</v>
      </c>
      <c r="L685" s="177">
        <f>'[6]price list MAN'!R685</f>
        <v>1350000</v>
      </c>
      <c r="M685" s="174">
        <f>'[6]price list MAN'!S685</f>
        <v>1905000</v>
      </c>
      <c r="N685" s="174">
        <f>'[6]price list MAN'!Y685</f>
        <v>1475250</v>
      </c>
      <c r="O685" s="174">
        <f>'[6]price list MAN'!AA685</f>
        <v>1405000</v>
      </c>
      <c r="P685" s="68">
        <f t="shared" si="51"/>
        <v>0.26246719160104987</v>
      </c>
      <c r="Q685" s="62" t="e">
        <f>O685-#REF!</f>
        <v>#REF!</v>
      </c>
      <c r="W685" s="210"/>
      <c r="X685" s="210"/>
      <c r="Y685" s="210"/>
      <c r="Z685" s="210"/>
      <c r="AA685" s="210"/>
      <c r="AB685" s="210"/>
      <c r="AC685" s="210"/>
      <c r="AT685" s="425" t="str">
        <f t="shared" si="52"/>
        <v>KP0006662017Q315,3</v>
      </c>
      <c r="AU685" s="64" t="str">
        <f t="shared" si="53"/>
        <v>08-2017</v>
      </c>
      <c r="BA685" s="428" t="str">
        <f t="shared" si="54"/>
        <v>WIP - 30 Days</v>
      </c>
    </row>
    <row r="686" spans="2:53">
      <c r="B686" s="36" t="str">
        <f>'[6]price list MAN'!B686</f>
        <v>78W-6376</v>
      </c>
      <c r="C686" s="10" t="str">
        <f>'[6]price list MAN'!C686</f>
        <v>TGS-26-4406X4BLS-LX-ALU</v>
      </c>
      <c r="D686" s="16" t="str">
        <f>IFERROR(VLOOKUP(C686&amp;"",'[7]Retail Price List'!$A$3:$B$103,2,FALSE),"Special Order")</f>
        <v>KP000666</v>
      </c>
      <c r="E686" s="494" t="str">
        <f>'[6]price list MAN'!E686</f>
        <v>CKD</v>
      </c>
      <c r="F686" s="11" t="str">
        <f>'[6]price list MAN'!F686</f>
        <v>2018-04-30</v>
      </c>
      <c r="G686" s="32">
        <f>'[6]price list MAN'!G686</f>
        <v>15.3</v>
      </c>
      <c r="H686" s="26">
        <f>'[6]price list MAN'!H686</f>
        <v>42978</v>
      </c>
      <c r="I686" s="51" t="str">
        <f t="shared" si="50"/>
        <v>2017Q3</v>
      </c>
      <c r="J686" s="177">
        <f>'[6]price list MAN'!J686</f>
        <v>1850000</v>
      </c>
      <c r="K686" s="177">
        <f>'[6]price list MAN'!P686</f>
        <v>1417500</v>
      </c>
      <c r="L686" s="177">
        <f>'[6]price list MAN'!R686</f>
        <v>1350000</v>
      </c>
      <c r="M686" s="174">
        <f>'[6]price list MAN'!S686</f>
        <v>1905000</v>
      </c>
      <c r="N686" s="174">
        <f>'[6]price list MAN'!Y686</f>
        <v>1475250</v>
      </c>
      <c r="O686" s="174">
        <f>'[6]price list MAN'!AA686</f>
        <v>1405000</v>
      </c>
      <c r="P686" s="68">
        <f t="shared" si="51"/>
        <v>0.26246719160104987</v>
      </c>
      <c r="Q686" s="62" t="e">
        <f>O686-#REF!</f>
        <v>#REF!</v>
      </c>
      <c r="W686" s="210"/>
      <c r="X686" s="210"/>
      <c r="Y686" s="210"/>
      <c r="Z686" s="210"/>
      <c r="AA686" s="210"/>
      <c r="AB686" s="210"/>
      <c r="AC686" s="210"/>
      <c r="AT686" s="425" t="str">
        <f t="shared" si="52"/>
        <v>KP0006662017Q315,3</v>
      </c>
      <c r="AU686" s="64" t="str">
        <f t="shared" si="53"/>
        <v>08-2017</v>
      </c>
      <c r="BA686" s="428" t="str">
        <f t="shared" si="54"/>
        <v>WIP - 30 Days</v>
      </c>
    </row>
    <row r="687" spans="2:53">
      <c r="B687" s="36" t="str">
        <f>'[6]price list MAN'!B687</f>
        <v>78W-6377</v>
      </c>
      <c r="C687" s="10" t="str">
        <f>'[6]price list MAN'!C687</f>
        <v>TGS-26-4406X4BLS-LX-ALU</v>
      </c>
      <c r="D687" s="16" t="str">
        <f>IFERROR(VLOOKUP(C687&amp;"",'[7]Retail Price List'!$A$3:$B$103,2,FALSE),"Special Order")</f>
        <v>KP000666</v>
      </c>
      <c r="E687" s="494" t="str">
        <f>'[6]price list MAN'!E687</f>
        <v>CKD</v>
      </c>
      <c r="F687" s="11" t="str">
        <f>'[6]price list MAN'!F687</f>
        <v>2018-04-30</v>
      </c>
      <c r="G687" s="32">
        <f>'[6]price list MAN'!G687</f>
        <v>15.3</v>
      </c>
      <c r="H687" s="26">
        <f>'[6]price list MAN'!H687</f>
        <v>42978</v>
      </c>
      <c r="I687" s="51" t="str">
        <f t="shared" si="50"/>
        <v>2017Q3</v>
      </c>
      <c r="J687" s="177">
        <f>'[6]price list MAN'!J687</f>
        <v>1850000</v>
      </c>
      <c r="K687" s="177">
        <f>'[6]price list MAN'!P687</f>
        <v>1417500</v>
      </c>
      <c r="L687" s="177">
        <f>'[6]price list MAN'!R687</f>
        <v>1350000</v>
      </c>
      <c r="M687" s="174">
        <f>'[6]price list MAN'!S687</f>
        <v>1905000</v>
      </c>
      <c r="N687" s="174">
        <f>'[6]price list MAN'!Y687</f>
        <v>1475250</v>
      </c>
      <c r="O687" s="174">
        <f>'[6]price list MAN'!AA687</f>
        <v>1405000</v>
      </c>
      <c r="P687" s="68">
        <f t="shared" si="51"/>
        <v>0.26246719160104987</v>
      </c>
      <c r="Q687" s="62" t="e">
        <f>O687-#REF!</f>
        <v>#REF!</v>
      </c>
      <c r="W687" s="210"/>
      <c r="X687" s="210"/>
      <c r="Y687" s="210"/>
      <c r="Z687" s="210"/>
      <c r="AA687" s="210"/>
      <c r="AB687" s="210"/>
      <c r="AC687" s="210"/>
      <c r="AT687" s="425" t="str">
        <f t="shared" si="52"/>
        <v>KP0006662017Q315,3</v>
      </c>
      <c r="AU687" s="64" t="str">
        <f t="shared" si="53"/>
        <v>08-2017</v>
      </c>
      <c r="BA687" s="428" t="str">
        <f t="shared" si="54"/>
        <v>WIP - 30 Days</v>
      </c>
    </row>
    <row r="688" spans="2:53">
      <c r="B688" s="36" t="str">
        <f>'[6]price list MAN'!B688</f>
        <v>78W-6378</v>
      </c>
      <c r="C688" s="10" t="str">
        <f>'[6]price list MAN'!C688</f>
        <v>TGS-26-4406X4BLS-LX-ALU</v>
      </c>
      <c r="D688" s="16" t="str">
        <f>IFERROR(VLOOKUP(C688&amp;"",'[7]Retail Price List'!$A$3:$B$103,2,FALSE),"Special Order")</f>
        <v>KP000666</v>
      </c>
      <c r="E688" s="494" t="str">
        <f>'[6]price list MAN'!E688</f>
        <v>CKD</v>
      </c>
      <c r="F688" s="11" t="str">
        <f>'[6]price list MAN'!F688</f>
        <v>2018-04-30</v>
      </c>
      <c r="G688" s="32">
        <f>'[6]price list MAN'!G688</f>
        <v>15.3</v>
      </c>
      <c r="H688" s="26">
        <f>'[6]price list MAN'!H688</f>
        <v>42978</v>
      </c>
      <c r="I688" s="51" t="str">
        <f t="shared" si="50"/>
        <v>2017Q3</v>
      </c>
      <c r="J688" s="177">
        <f>'[6]price list MAN'!J688</f>
        <v>1850000</v>
      </c>
      <c r="K688" s="177">
        <f>'[6]price list MAN'!P688</f>
        <v>1417500</v>
      </c>
      <c r="L688" s="177">
        <f>'[6]price list MAN'!R688</f>
        <v>1350000</v>
      </c>
      <c r="M688" s="174">
        <f>'[6]price list MAN'!S688</f>
        <v>1905000</v>
      </c>
      <c r="N688" s="174">
        <f>'[6]price list MAN'!Y688</f>
        <v>1475250</v>
      </c>
      <c r="O688" s="174">
        <f>'[6]price list MAN'!AA688</f>
        <v>1405000</v>
      </c>
      <c r="P688" s="68">
        <f t="shared" si="51"/>
        <v>0.26246719160104987</v>
      </c>
      <c r="Q688" s="62" t="e">
        <f>O688-#REF!</f>
        <v>#REF!</v>
      </c>
      <c r="W688" s="210"/>
      <c r="X688" s="210"/>
      <c r="Y688" s="210"/>
      <c r="Z688" s="210"/>
      <c r="AA688" s="210"/>
      <c r="AB688" s="210"/>
      <c r="AC688" s="210"/>
      <c r="AT688" s="425" t="str">
        <f t="shared" si="52"/>
        <v>KP0006662017Q315,3</v>
      </c>
      <c r="AU688" s="64" t="str">
        <f t="shared" si="53"/>
        <v>08-2017</v>
      </c>
      <c r="BA688" s="428" t="str">
        <f t="shared" si="54"/>
        <v>WIP - 30 Days</v>
      </c>
    </row>
    <row r="689" spans="2:53">
      <c r="B689" s="36" t="str">
        <f>'[6]price list MAN'!B689</f>
        <v>78W-6379</v>
      </c>
      <c r="C689" s="10" t="str">
        <f>'[6]price list MAN'!C689</f>
        <v>TGS-26-4406X4BLS-LX-ALU</v>
      </c>
      <c r="D689" s="16" t="str">
        <f>IFERROR(VLOOKUP(C689&amp;"",'[7]Retail Price List'!$A$3:$B$103,2,FALSE),"Special Order")</f>
        <v>KP000666</v>
      </c>
      <c r="E689" s="494" t="str">
        <f>'[6]price list MAN'!E689</f>
        <v>CKD</v>
      </c>
      <c r="F689" s="11" t="str">
        <f>'[6]price list MAN'!F689</f>
        <v>2018-04-30</v>
      </c>
      <c r="G689" s="32">
        <f>'[6]price list MAN'!G689</f>
        <v>15.3</v>
      </c>
      <c r="H689" s="26">
        <f>'[6]price list MAN'!H689</f>
        <v>42978</v>
      </c>
      <c r="I689" s="51" t="str">
        <f t="shared" si="50"/>
        <v>2017Q3</v>
      </c>
      <c r="J689" s="177">
        <f>'[6]price list MAN'!J689</f>
        <v>1850000</v>
      </c>
      <c r="K689" s="177">
        <f>'[6]price list MAN'!P689</f>
        <v>1417500</v>
      </c>
      <c r="L689" s="177">
        <f>'[6]price list MAN'!R689</f>
        <v>1350000</v>
      </c>
      <c r="M689" s="174">
        <f>'[6]price list MAN'!S689</f>
        <v>1905000</v>
      </c>
      <c r="N689" s="174">
        <f>'[6]price list MAN'!Y689</f>
        <v>1475250</v>
      </c>
      <c r="O689" s="174">
        <f>'[6]price list MAN'!AA689</f>
        <v>1405000</v>
      </c>
      <c r="P689" s="68">
        <f t="shared" si="51"/>
        <v>0.26246719160104987</v>
      </c>
      <c r="Q689" s="62" t="e">
        <f>O689-#REF!</f>
        <v>#REF!</v>
      </c>
      <c r="W689" s="210"/>
      <c r="X689" s="210"/>
      <c r="Y689" s="210"/>
      <c r="Z689" s="210"/>
      <c r="AA689" s="210"/>
      <c r="AB689" s="210"/>
      <c r="AC689" s="210"/>
      <c r="AT689" s="425" t="str">
        <f t="shared" si="52"/>
        <v>KP0006662017Q315,3</v>
      </c>
      <c r="AU689" s="64" t="str">
        <f t="shared" si="53"/>
        <v>08-2017</v>
      </c>
      <c r="BA689" s="428" t="str">
        <f t="shared" si="54"/>
        <v>WIP - 30 Days</v>
      </c>
    </row>
    <row r="690" spans="2:53">
      <c r="B690" s="36" t="str">
        <f>'[6]price list MAN'!B690</f>
        <v>78W-6396</v>
      </c>
      <c r="C690" s="10" t="str">
        <f>'[6]price list MAN'!C690</f>
        <v>TGS-26-4406X4BLS-LX-ALU</v>
      </c>
      <c r="D690" s="16" t="str">
        <f>IFERROR(VLOOKUP(C690&amp;"",'[7]Retail Price List'!$A$3:$B$103,2,FALSE),"Special Order")</f>
        <v>KP000666</v>
      </c>
      <c r="E690" s="494" t="str">
        <f>'[6]price list MAN'!E690</f>
        <v>CKD</v>
      </c>
      <c r="F690" s="11" t="str">
        <f>'[6]price list MAN'!F690</f>
        <v>2018-03-30</v>
      </c>
      <c r="G690" s="32">
        <f>'[6]price list MAN'!G690</f>
        <v>15.3</v>
      </c>
      <c r="H690" s="26">
        <f>'[6]price list MAN'!H690</f>
        <v>42978</v>
      </c>
      <c r="I690" s="51" t="str">
        <f t="shared" si="50"/>
        <v>2017Q3</v>
      </c>
      <c r="J690" s="177">
        <f>'[6]price list MAN'!J690</f>
        <v>1850000</v>
      </c>
      <c r="K690" s="177">
        <f>'[6]price list MAN'!P690</f>
        <v>1417500</v>
      </c>
      <c r="L690" s="177">
        <f>'[6]price list MAN'!R690</f>
        <v>1350000</v>
      </c>
      <c r="M690" s="174">
        <f>'[6]price list MAN'!S690</f>
        <v>1905000</v>
      </c>
      <c r="N690" s="174">
        <f>'[6]price list MAN'!Y690</f>
        <v>1475250</v>
      </c>
      <c r="O690" s="174">
        <f>'[6]price list MAN'!AA690</f>
        <v>1405000</v>
      </c>
      <c r="P690" s="68">
        <f t="shared" si="51"/>
        <v>0.26246719160104987</v>
      </c>
      <c r="Q690" s="62" t="e">
        <f>O690-#REF!</f>
        <v>#REF!</v>
      </c>
      <c r="W690" s="210"/>
      <c r="X690" s="210"/>
      <c r="Y690" s="210"/>
      <c r="Z690" s="210"/>
      <c r="AA690" s="210"/>
      <c r="AB690" s="210"/>
      <c r="AC690" s="210"/>
      <c r="AT690" s="425" t="str">
        <f t="shared" si="52"/>
        <v>KP0006662017Q315,3</v>
      </c>
      <c r="AU690" s="64" t="str">
        <f t="shared" si="53"/>
        <v>08-2017</v>
      </c>
      <c r="BA690" s="428" t="str">
        <f t="shared" si="54"/>
        <v>WIP - 30 Days</v>
      </c>
    </row>
    <row r="691" spans="2:53">
      <c r="B691" s="36" t="str">
        <f>'[6]price list MAN'!B691</f>
        <v>78W-6397</v>
      </c>
      <c r="C691" s="10" t="str">
        <f>'[6]price list MAN'!C691</f>
        <v>TGS-26-4406X4BLS-LX-ALU</v>
      </c>
      <c r="D691" s="16" t="str">
        <f>IFERROR(VLOOKUP(C691&amp;"",'[7]Retail Price List'!$A$3:$B$103,2,FALSE),"Special Order")</f>
        <v>KP000666</v>
      </c>
      <c r="E691" s="494" t="str">
        <f>'[6]price list MAN'!E691</f>
        <v>CKD</v>
      </c>
      <c r="F691" s="11" t="str">
        <f>'[6]price list MAN'!F691</f>
        <v>2018-03-30</v>
      </c>
      <c r="G691" s="32">
        <f>'[6]price list MAN'!G691</f>
        <v>15.3</v>
      </c>
      <c r="H691" s="26">
        <f>'[6]price list MAN'!H691</f>
        <v>42978</v>
      </c>
      <c r="I691" s="51" t="str">
        <f t="shared" si="50"/>
        <v>2017Q3</v>
      </c>
      <c r="J691" s="177">
        <f>'[6]price list MAN'!J691</f>
        <v>1850000</v>
      </c>
      <c r="K691" s="177">
        <f>'[6]price list MAN'!P691</f>
        <v>1417500</v>
      </c>
      <c r="L691" s="177">
        <f>'[6]price list MAN'!R691</f>
        <v>1350000</v>
      </c>
      <c r="M691" s="174">
        <f>'[6]price list MAN'!S691</f>
        <v>1905000</v>
      </c>
      <c r="N691" s="174">
        <f>'[6]price list MAN'!Y691</f>
        <v>1475250</v>
      </c>
      <c r="O691" s="174">
        <f>'[6]price list MAN'!AA691</f>
        <v>1405000</v>
      </c>
      <c r="P691" s="68">
        <f t="shared" si="51"/>
        <v>0.26246719160104987</v>
      </c>
      <c r="Q691" s="62" t="e">
        <f>O691-#REF!</f>
        <v>#REF!</v>
      </c>
      <c r="W691" s="210"/>
      <c r="X691" s="210"/>
      <c r="Y691" s="210"/>
      <c r="Z691" s="210"/>
      <c r="AA691" s="210"/>
      <c r="AB691" s="210"/>
      <c r="AC691" s="210"/>
      <c r="AT691" s="425" t="str">
        <f t="shared" si="52"/>
        <v>KP0006662017Q315,3</v>
      </c>
      <c r="AU691" s="64" t="str">
        <f t="shared" si="53"/>
        <v>08-2017</v>
      </c>
      <c r="BA691" s="428" t="str">
        <f t="shared" si="54"/>
        <v>WIP - 30 Days</v>
      </c>
    </row>
    <row r="692" spans="2:53">
      <c r="B692" s="36" t="str">
        <f>'[6]price list MAN'!B692</f>
        <v>78W-6398</v>
      </c>
      <c r="C692" s="10" t="str">
        <f>'[6]price list MAN'!C692</f>
        <v>TGS-26-4406X4BLS-LX-ALU</v>
      </c>
      <c r="D692" s="16" t="str">
        <f>IFERROR(VLOOKUP(C692&amp;"",'[7]Retail Price List'!$A$3:$B$103,2,FALSE),"Special Order")</f>
        <v>KP000666</v>
      </c>
      <c r="E692" s="494" t="str">
        <f>'[6]price list MAN'!E692</f>
        <v>CKD</v>
      </c>
      <c r="F692" s="11" t="str">
        <f>'[6]price list MAN'!F692</f>
        <v>2018-03-30</v>
      </c>
      <c r="G692" s="32">
        <f>'[6]price list MAN'!G692</f>
        <v>15.3</v>
      </c>
      <c r="H692" s="26">
        <f>'[6]price list MAN'!H692</f>
        <v>42978</v>
      </c>
      <c r="I692" s="51" t="str">
        <f t="shared" si="50"/>
        <v>2017Q3</v>
      </c>
      <c r="J692" s="177">
        <f>'[6]price list MAN'!J692</f>
        <v>1850000</v>
      </c>
      <c r="K692" s="177">
        <f>'[6]price list MAN'!P692</f>
        <v>1417500</v>
      </c>
      <c r="L692" s="177">
        <f>'[6]price list MAN'!R692</f>
        <v>1350000</v>
      </c>
      <c r="M692" s="174">
        <f>'[6]price list MAN'!S692</f>
        <v>1905000</v>
      </c>
      <c r="N692" s="174">
        <f>'[6]price list MAN'!Y692</f>
        <v>1475250</v>
      </c>
      <c r="O692" s="174">
        <f>'[6]price list MAN'!AA692</f>
        <v>1405000</v>
      </c>
      <c r="P692" s="68">
        <f t="shared" si="51"/>
        <v>0.26246719160104987</v>
      </c>
      <c r="Q692" s="62" t="e">
        <f>O692-#REF!</f>
        <v>#REF!</v>
      </c>
      <c r="W692" s="210"/>
      <c r="X692" s="210"/>
      <c r="Y692" s="210"/>
      <c r="Z692" s="210"/>
      <c r="AA692" s="210"/>
      <c r="AB692" s="210"/>
      <c r="AC692" s="210"/>
      <c r="AT692" s="425" t="str">
        <f t="shared" si="52"/>
        <v>KP0006662017Q315,3</v>
      </c>
      <c r="AU692" s="64" t="str">
        <f t="shared" si="53"/>
        <v>08-2017</v>
      </c>
      <c r="BA692" s="428" t="str">
        <f t="shared" si="54"/>
        <v>WIP - 30 Days</v>
      </c>
    </row>
    <row r="693" spans="2:53">
      <c r="B693" s="36" t="str">
        <f>'[6]price list MAN'!B693</f>
        <v>78W-6399</v>
      </c>
      <c r="C693" s="10" t="str">
        <f>'[6]price list MAN'!C693</f>
        <v>TGS-26-4406X4BLS-LX-ALU</v>
      </c>
      <c r="D693" s="16" t="str">
        <f>IFERROR(VLOOKUP(C693&amp;"",'[7]Retail Price List'!$A$3:$B$103,2,FALSE),"Special Order")</f>
        <v>KP000666</v>
      </c>
      <c r="E693" s="494" t="str">
        <f>'[6]price list MAN'!E693</f>
        <v>CKD</v>
      </c>
      <c r="F693" s="11" t="str">
        <f>'[6]price list MAN'!F693</f>
        <v>2018-03-30</v>
      </c>
      <c r="G693" s="32">
        <f>'[6]price list MAN'!G693</f>
        <v>15.3</v>
      </c>
      <c r="H693" s="26">
        <f>'[6]price list MAN'!H693</f>
        <v>42978</v>
      </c>
      <c r="I693" s="51" t="str">
        <f t="shared" si="50"/>
        <v>2017Q3</v>
      </c>
      <c r="J693" s="177">
        <f>'[6]price list MAN'!J693</f>
        <v>1850000</v>
      </c>
      <c r="K693" s="177">
        <f>'[6]price list MAN'!P693</f>
        <v>1417500</v>
      </c>
      <c r="L693" s="177">
        <f>'[6]price list MAN'!R693</f>
        <v>1350000</v>
      </c>
      <c r="M693" s="174">
        <f>'[6]price list MAN'!S693</f>
        <v>1905000</v>
      </c>
      <c r="N693" s="174">
        <f>'[6]price list MAN'!Y693</f>
        <v>1475250</v>
      </c>
      <c r="O693" s="174">
        <f>'[6]price list MAN'!AA693</f>
        <v>1405000</v>
      </c>
      <c r="P693" s="68">
        <f t="shared" si="51"/>
        <v>0.26246719160104987</v>
      </c>
      <c r="Q693" s="62" t="e">
        <f>O693-#REF!</f>
        <v>#REF!</v>
      </c>
      <c r="W693" s="210"/>
      <c r="X693" s="210"/>
      <c r="Y693" s="210"/>
      <c r="Z693" s="210"/>
      <c r="AA693" s="210"/>
      <c r="AB693" s="210"/>
      <c r="AC693" s="210"/>
      <c r="AT693" s="425" t="str">
        <f t="shared" si="52"/>
        <v>KP0006662017Q315,3</v>
      </c>
      <c r="AU693" s="64" t="str">
        <f t="shared" si="53"/>
        <v>08-2017</v>
      </c>
      <c r="BA693" s="428" t="str">
        <f t="shared" si="54"/>
        <v>WIP - 30 Days</v>
      </c>
    </row>
    <row r="694" spans="2:53">
      <c r="B694" s="36" t="str">
        <f>'[6]price list MAN'!B694</f>
        <v>78W-6416</v>
      </c>
      <c r="C694" s="10" t="str">
        <f>'[6]price list MAN'!C694</f>
        <v>TGS-26-4406X4BLS-LX-ALU</v>
      </c>
      <c r="D694" s="16" t="str">
        <f>IFERROR(VLOOKUP(C694&amp;"",'[7]Retail Price List'!$A$3:$B$103,2,FALSE),"Special Order")</f>
        <v>KP000666</v>
      </c>
      <c r="E694" s="494" t="str">
        <f>'[6]price list MAN'!E694</f>
        <v>CKD</v>
      </c>
      <c r="F694" s="11" t="str">
        <f>'[6]price list MAN'!F694</f>
        <v>2018-04-30</v>
      </c>
      <c r="G694" s="32">
        <f>'[6]price list MAN'!G694</f>
        <v>15.3</v>
      </c>
      <c r="H694" s="26">
        <f>'[6]price list MAN'!H694</f>
        <v>42978</v>
      </c>
      <c r="I694" s="51" t="str">
        <f t="shared" si="50"/>
        <v>2017Q3</v>
      </c>
      <c r="J694" s="177">
        <f>'[6]price list MAN'!J694</f>
        <v>1850000</v>
      </c>
      <c r="K694" s="177">
        <f>'[6]price list MAN'!P694</f>
        <v>1417500</v>
      </c>
      <c r="L694" s="177">
        <f>'[6]price list MAN'!R694</f>
        <v>1350000</v>
      </c>
      <c r="M694" s="174">
        <f>'[6]price list MAN'!S694</f>
        <v>1905000</v>
      </c>
      <c r="N694" s="174">
        <f>'[6]price list MAN'!Y694</f>
        <v>1475250</v>
      </c>
      <c r="O694" s="174">
        <f>'[6]price list MAN'!AA694</f>
        <v>1405000</v>
      </c>
      <c r="P694" s="68">
        <f t="shared" si="51"/>
        <v>0.26246719160104987</v>
      </c>
      <c r="Q694" s="62" t="e">
        <f>O694-#REF!</f>
        <v>#REF!</v>
      </c>
      <c r="W694" s="210"/>
      <c r="X694" s="210"/>
      <c r="Y694" s="210"/>
      <c r="Z694" s="210"/>
      <c r="AA694" s="210"/>
      <c r="AB694" s="210"/>
      <c r="AC694" s="210"/>
      <c r="AT694" s="425" t="str">
        <f t="shared" si="52"/>
        <v>KP0006662017Q315,3</v>
      </c>
      <c r="AU694" s="64" t="str">
        <f t="shared" si="53"/>
        <v>08-2017</v>
      </c>
      <c r="BA694" s="428" t="str">
        <f t="shared" si="54"/>
        <v>WIP - 30 Days</v>
      </c>
    </row>
    <row r="695" spans="2:53">
      <c r="B695" s="36" t="str">
        <f>'[6]price list MAN'!B695</f>
        <v>78W-6417</v>
      </c>
      <c r="C695" s="10" t="str">
        <f>'[6]price list MAN'!C695</f>
        <v>TGS-26-4406X4BLS-LX-ALU</v>
      </c>
      <c r="D695" s="16" t="str">
        <f>IFERROR(VLOOKUP(C695&amp;"",'[7]Retail Price List'!$A$3:$B$103,2,FALSE),"Special Order")</f>
        <v>KP000666</v>
      </c>
      <c r="E695" s="494" t="str">
        <f>'[6]price list MAN'!E695</f>
        <v>CKD</v>
      </c>
      <c r="F695" s="11" t="str">
        <f>'[6]price list MAN'!F695</f>
        <v>2018-04-30</v>
      </c>
      <c r="G695" s="32">
        <f>'[6]price list MAN'!G695</f>
        <v>15.3</v>
      </c>
      <c r="H695" s="26">
        <f>'[6]price list MAN'!H695</f>
        <v>42978</v>
      </c>
      <c r="I695" s="51" t="str">
        <f t="shared" si="50"/>
        <v>2017Q3</v>
      </c>
      <c r="J695" s="177">
        <f>'[6]price list MAN'!J695</f>
        <v>1850000</v>
      </c>
      <c r="K695" s="177">
        <f>'[6]price list MAN'!P695</f>
        <v>1417500</v>
      </c>
      <c r="L695" s="177">
        <f>'[6]price list MAN'!R695</f>
        <v>1350000</v>
      </c>
      <c r="M695" s="174">
        <f>'[6]price list MAN'!S695</f>
        <v>1905000</v>
      </c>
      <c r="N695" s="174">
        <f>'[6]price list MAN'!Y695</f>
        <v>1475250</v>
      </c>
      <c r="O695" s="174">
        <f>'[6]price list MAN'!AA695</f>
        <v>1405000</v>
      </c>
      <c r="P695" s="68">
        <f t="shared" si="51"/>
        <v>0.26246719160104987</v>
      </c>
      <c r="Q695" s="62" t="e">
        <f>O695-#REF!</f>
        <v>#REF!</v>
      </c>
      <c r="W695" s="210"/>
      <c r="X695" s="210"/>
      <c r="Y695" s="210"/>
      <c r="Z695" s="210"/>
      <c r="AA695" s="210"/>
      <c r="AB695" s="210"/>
      <c r="AC695" s="210"/>
      <c r="AT695" s="425" t="str">
        <f t="shared" si="52"/>
        <v>KP0006662017Q315,3</v>
      </c>
      <c r="AU695" s="64" t="str">
        <f t="shared" si="53"/>
        <v>08-2017</v>
      </c>
      <c r="BA695" s="428" t="str">
        <f t="shared" si="54"/>
        <v>WIP - 30 Days</v>
      </c>
    </row>
    <row r="696" spans="2:53">
      <c r="B696" s="36" t="str">
        <f>'[6]price list MAN'!B696</f>
        <v>78W-6418</v>
      </c>
      <c r="C696" s="10" t="str">
        <f>'[6]price list MAN'!C696</f>
        <v>TGS-26-4406X4BLS-LX-ALU</v>
      </c>
      <c r="D696" s="16" t="str">
        <f>IFERROR(VLOOKUP(C696&amp;"",'[7]Retail Price List'!$A$3:$B$103,2,FALSE),"Special Order")</f>
        <v>KP000666</v>
      </c>
      <c r="E696" s="494" t="str">
        <f>'[6]price list MAN'!E696</f>
        <v>CKD</v>
      </c>
      <c r="F696" s="11" t="str">
        <f>'[6]price list MAN'!F696</f>
        <v>2018-04-30</v>
      </c>
      <c r="G696" s="32">
        <f>'[6]price list MAN'!G696</f>
        <v>15.3</v>
      </c>
      <c r="H696" s="26">
        <f>'[6]price list MAN'!H696</f>
        <v>42978</v>
      </c>
      <c r="I696" s="51" t="str">
        <f t="shared" si="50"/>
        <v>2017Q3</v>
      </c>
      <c r="J696" s="177">
        <f>'[6]price list MAN'!J696</f>
        <v>1850000</v>
      </c>
      <c r="K696" s="177">
        <f>'[6]price list MAN'!P696</f>
        <v>1417500</v>
      </c>
      <c r="L696" s="177">
        <f>'[6]price list MAN'!R696</f>
        <v>1350000</v>
      </c>
      <c r="M696" s="174">
        <f>'[6]price list MAN'!S696</f>
        <v>1905000</v>
      </c>
      <c r="N696" s="174">
        <f>'[6]price list MAN'!Y696</f>
        <v>1475250</v>
      </c>
      <c r="O696" s="174">
        <f>'[6]price list MAN'!AA696</f>
        <v>1405000</v>
      </c>
      <c r="P696" s="68">
        <f t="shared" si="51"/>
        <v>0.26246719160104987</v>
      </c>
      <c r="Q696" s="62" t="e">
        <f>O696-#REF!</f>
        <v>#REF!</v>
      </c>
      <c r="W696" s="210"/>
      <c r="X696" s="210"/>
      <c r="Y696" s="210"/>
      <c r="Z696" s="210"/>
      <c r="AA696" s="210"/>
      <c r="AB696" s="210"/>
      <c r="AC696" s="210"/>
      <c r="AT696" s="425" t="str">
        <f t="shared" si="52"/>
        <v>KP0006662017Q315,3</v>
      </c>
      <c r="AU696" s="64" t="str">
        <f t="shared" si="53"/>
        <v>08-2017</v>
      </c>
      <c r="BA696" s="428" t="str">
        <f t="shared" si="54"/>
        <v>WIP - 30 Days</v>
      </c>
    </row>
    <row r="697" spans="2:53">
      <c r="B697" s="36" t="str">
        <f>'[6]price list MAN'!B697</f>
        <v>78W-6419</v>
      </c>
      <c r="C697" s="10" t="str">
        <f>'[6]price list MAN'!C697</f>
        <v>TGS-26-4406X4BLS-LX-ALU</v>
      </c>
      <c r="D697" s="16" t="str">
        <f>IFERROR(VLOOKUP(C697&amp;"",'[7]Retail Price List'!$A$3:$B$103,2,FALSE),"Special Order")</f>
        <v>KP000666</v>
      </c>
      <c r="E697" s="494" t="str">
        <f>'[6]price list MAN'!E697</f>
        <v>CKD</v>
      </c>
      <c r="F697" s="11" t="str">
        <f>'[6]price list MAN'!F697</f>
        <v>2018-04-30</v>
      </c>
      <c r="G697" s="32">
        <f>'[6]price list MAN'!G697</f>
        <v>15.3</v>
      </c>
      <c r="H697" s="26">
        <f>'[6]price list MAN'!H697</f>
        <v>42978</v>
      </c>
      <c r="I697" s="51" t="str">
        <f t="shared" si="50"/>
        <v>2017Q3</v>
      </c>
      <c r="J697" s="177">
        <f>'[6]price list MAN'!J697</f>
        <v>1850000</v>
      </c>
      <c r="K697" s="177">
        <f>'[6]price list MAN'!P697</f>
        <v>1417500</v>
      </c>
      <c r="L697" s="177">
        <f>'[6]price list MAN'!R697</f>
        <v>1350000</v>
      </c>
      <c r="M697" s="174">
        <f>'[6]price list MAN'!S697</f>
        <v>1905000</v>
      </c>
      <c r="N697" s="174">
        <f>'[6]price list MAN'!Y697</f>
        <v>1475250</v>
      </c>
      <c r="O697" s="174">
        <f>'[6]price list MAN'!AA697</f>
        <v>1405000</v>
      </c>
      <c r="P697" s="68">
        <f t="shared" si="51"/>
        <v>0.26246719160104987</v>
      </c>
      <c r="Q697" s="62" t="e">
        <f>O697-#REF!</f>
        <v>#REF!</v>
      </c>
      <c r="W697" s="210"/>
      <c r="X697" s="210"/>
      <c r="Y697" s="210"/>
      <c r="Z697" s="210"/>
      <c r="AA697" s="210"/>
      <c r="AB697" s="210"/>
      <c r="AC697" s="210"/>
      <c r="AT697" s="425" t="str">
        <f t="shared" si="52"/>
        <v>KP0006662017Q315,3</v>
      </c>
      <c r="AU697" s="64" t="str">
        <f t="shared" si="53"/>
        <v>08-2017</v>
      </c>
      <c r="BA697" s="428" t="str">
        <f t="shared" si="54"/>
        <v>WIP - 30 Days</v>
      </c>
    </row>
    <row r="698" spans="2:53">
      <c r="B698" s="36" t="str">
        <f>'[6]price list MAN'!B698</f>
        <v>78W-6436</v>
      </c>
      <c r="C698" s="10" t="str">
        <f>'[6]price list MAN'!C698</f>
        <v>TGS-26-4406X4BLS-LX-ALU</v>
      </c>
      <c r="D698" s="16" t="str">
        <f>IFERROR(VLOOKUP(C698&amp;"",'[7]Retail Price List'!$A$3:$B$103,2,FALSE),"Special Order")</f>
        <v>KP000666</v>
      </c>
      <c r="E698" s="494" t="str">
        <f>'[6]price list MAN'!E698</f>
        <v>CKD</v>
      </c>
      <c r="F698" s="11" t="str">
        <f>'[6]price list MAN'!F698</f>
        <v>2018-04-30</v>
      </c>
      <c r="G698" s="32">
        <f>'[6]price list MAN'!G698</f>
        <v>15.3</v>
      </c>
      <c r="H698" s="26">
        <f>'[6]price list MAN'!H698</f>
        <v>42978</v>
      </c>
      <c r="I698" s="51" t="str">
        <f t="shared" si="50"/>
        <v>2017Q3</v>
      </c>
      <c r="J698" s="177">
        <f>'[6]price list MAN'!J698</f>
        <v>1850000</v>
      </c>
      <c r="K698" s="177">
        <f>'[6]price list MAN'!P698</f>
        <v>1417500</v>
      </c>
      <c r="L698" s="177">
        <f>'[6]price list MAN'!R698</f>
        <v>1350000</v>
      </c>
      <c r="M698" s="174">
        <f>'[6]price list MAN'!S698</f>
        <v>1905000</v>
      </c>
      <c r="N698" s="174">
        <f>'[6]price list MAN'!Y698</f>
        <v>1475250</v>
      </c>
      <c r="O698" s="174">
        <f>'[6]price list MAN'!AA698</f>
        <v>1405000</v>
      </c>
      <c r="P698" s="68">
        <f t="shared" si="51"/>
        <v>0.26246719160104987</v>
      </c>
      <c r="Q698" s="62" t="e">
        <f>O698-#REF!</f>
        <v>#REF!</v>
      </c>
      <c r="W698" s="210"/>
      <c r="X698" s="210"/>
      <c r="Y698" s="210"/>
      <c r="Z698" s="210"/>
      <c r="AA698" s="210"/>
      <c r="AB698" s="210"/>
      <c r="AC698" s="210"/>
      <c r="AT698" s="425" t="str">
        <f t="shared" si="52"/>
        <v>KP0006662017Q315,3</v>
      </c>
      <c r="AU698" s="64" t="str">
        <f t="shared" si="53"/>
        <v>08-2017</v>
      </c>
      <c r="BA698" s="428" t="str">
        <f t="shared" si="54"/>
        <v>WIP - 30 Days</v>
      </c>
    </row>
    <row r="699" spans="2:53">
      <c r="B699" s="36" t="str">
        <f>'[6]price list MAN'!B699</f>
        <v>78W-6437</v>
      </c>
      <c r="C699" s="10" t="str">
        <f>'[6]price list MAN'!C699</f>
        <v>TGS-26-4406X4BLS-LX-ALU</v>
      </c>
      <c r="D699" s="16" t="str">
        <f>IFERROR(VLOOKUP(C699&amp;"",'[7]Retail Price List'!$A$3:$B$103,2,FALSE),"Special Order")</f>
        <v>KP000666</v>
      </c>
      <c r="E699" s="494" t="str">
        <f>'[6]price list MAN'!E699</f>
        <v>CKD</v>
      </c>
      <c r="F699" s="11" t="str">
        <f>'[6]price list MAN'!F699</f>
        <v>2018-04-30</v>
      </c>
      <c r="G699" s="32">
        <f>'[6]price list MAN'!G699</f>
        <v>15.3</v>
      </c>
      <c r="H699" s="26">
        <f>'[6]price list MAN'!H699</f>
        <v>42978</v>
      </c>
      <c r="I699" s="51" t="str">
        <f t="shared" si="50"/>
        <v>2017Q3</v>
      </c>
      <c r="J699" s="177">
        <f>'[6]price list MAN'!J699</f>
        <v>1850000</v>
      </c>
      <c r="K699" s="177">
        <f>'[6]price list MAN'!P699</f>
        <v>1417500</v>
      </c>
      <c r="L699" s="177">
        <f>'[6]price list MAN'!R699</f>
        <v>1350000</v>
      </c>
      <c r="M699" s="174">
        <f>'[6]price list MAN'!S699</f>
        <v>1905000</v>
      </c>
      <c r="N699" s="174">
        <f>'[6]price list MAN'!Y699</f>
        <v>1475250</v>
      </c>
      <c r="O699" s="174">
        <f>'[6]price list MAN'!AA699</f>
        <v>1405000</v>
      </c>
      <c r="P699" s="68">
        <f t="shared" si="51"/>
        <v>0.26246719160104987</v>
      </c>
      <c r="Q699" s="62" t="e">
        <f>O699-#REF!</f>
        <v>#REF!</v>
      </c>
      <c r="W699" s="210"/>
      <c r="X699" s="210"/>
      <c r="Y699" s="210"/>
      <c r="Z699" s="210"/>
      <c r="AA699" s="210"/>
      <c r="AB699" s="210"/>
      <c r="AC699" s="210"/>
      <c r="AT699" s="425" t="str">
        <f t="shared" si="52"/>
        <v>KP0006662017Q315,3</v>
      </c>
      <c r="AU699" s="64" t="str">
        <f t="shared" si="53"/>
        <v>08-2017</v>
      </c>
      <c r="BA699" s="428" t="str">
        <f t="shared" si="54"/>
        <v>WIP - 30 Days</v>
      </c>
    </row>
    <row r="700" spans="2:53">
      <c r="B700" s="36" t="str">
        <f>'[6]price list MAN'!B700</f>
        <v>78W-6438</v>
      </c>
      <c r="C700" s="10" t="str">
        <f>'[6]price list MAN'!C700</f>
        <v>TGS-26-4406X4BLS-LX-ALU</v>
      </c>
      <c r="D700" s="16" t="str">
        <f>IFERROR(VLOOKUP(C700&amp;"",'[7]Retail Price List'!$A$3:$B$103,2,FALSE),"Special Order")</f>
        <v>KP000666</v>
      </c>
      <c r="E700" s="494" t="str">
        <f>'[6]price list MAN'!E700</f>
        <v>CKD</v>
      </c>
      <c r="F700" s="11" t="str">
        <f>'[6]price list MAN'!F700</f>
        <v>2018-04-30</v>
      </c>
      <c r="G700" s="32">
        <f>'[6]price list MAN'!G700</f>
        <v>15.3</v>
      </c>
      <c r="H700" s="26">
        <f>'[6]price list MAN'!H700</f>
        <v>42978</v>
      </c>
      <c r="I700" s="51" t="str">
        <f t="shared" si="50"/>
        <v>2017Q3</v>
      </c>
      <c r="J700" s="177">
        <f>'[6]price list MAN'!J700</f>
        <v>1850000</v>
      </c>
      <c r="K700" s="177">
        <f>'[6]price list MAN'!P700</f>
        <v>1417500</v>
      </c>
      <c r="L700" s="177">
        <f>'[6]price list MAN'!R700</f>
        <v>1350000</v>
      </c>
      <c r="M700" s="174">
        <f>'[6]price list MAN'!S700</f>
        <v>1905000</v>
      </c>
      <c r="N700" s="174">
        <f>'[6]price list MAN'!Y700</f>
        <v>1475250</v>
      </c>
      <c r="O700" s="174">
        <f>'[6]price list MAN'!AA700</f>
        <v>1405000</v>
      </c>
      <c r="P700" s="68">
        <f t="shared" si="51"/>
        <v>0.26246719160104987</v>
      </c>
      <c r="Q700" s="62" t="e">
        <f>O700-#REF!</f>
        <v>#REF!</v>
      </c>
      <c r="W700" s="210"/>
      <c r="X700" s="210"/>
      <c r="Y700" s="210"/>
      <c r="Z700" s="210"/>
      <c r="AA700" s="210"/>
      <c r="AB700" s="210"/>
      <c r="AC700" s="210"/>
      <c r="AT700" s="425" t="str">
        <f t="shared" si="52"/>
        <v>KP0006662017Q315,3</v>
      </c>
      <c r="AU700" s="64" t="str">
        <f t="shared" si="53"/>
        <v>08-2017</v>
      </c>
      <c r="BA700" s="428" t="str">
        <f t="shared" si="54"/>
        <v>WIP - 30 Days</v>
      </c>
    </row>
    <row r="701" spans="2:53">
      <c r="B701" s="36" t="str">
        <f>'[6]price list MAN'!B701</f>
        <v>78W-6439</v>
      </c>
      <c r="C701" s="10" t="str">
        <f>'[6]price list MAN'!C701</f>
        <v>TGS-26-4406X4BLS-LX-ALU</v>
      </c>
      <c r="D701" s="16" t="str">
        <f>IFERROR(VLOOKUP(C701&amp;"",'[7]Retail Price List'!$A$3:$B$103,2,FALSE),"Special Order")</f>
        <v>KP000666</v>
      </c>
      <c r="E701" s="494" t="str">
        <f>'[6]price list MAN'!E701</f>
        <v>CKD</v>
      </c>
      <c r="F701" s="11" t="str">
        <f>'[6]price list MAN'!F701</f>
        <v>2018-04-30</v>
      </c>
      <c r="G701" s="32">
        <f>'[6]price list MAN'!G701</f>
        <v>15.3</v>
      </c>
      <c r="H701" s="26">
        <f>'[6]price list MAN'!H701</f>
        <v>42978</v>
      </c>
      <c r="I701" s="51" t="str">
        <f t="shared" si="50"/>
        <v>2017Q3</v>
      </c>
      <c r="J701" s="177">
        <f>'[6]price list MAN'!J701</f>
        <v>1850000</v>
      </c>
      <c r="K701" s="177">
        <f>'[6]price list MAN'!P701</f>
        <v>1417500</v>
      </c>
      <c r="L701" s="177">
        <f>'[6]price list MAN'!R701</f>
        <v>1350000</v>
      </c>
      <c r="M701" s="174">
        <f>'[6]price list MAN'!S701</f>
        <v>1905000</v>
      </c>
      <c r="N701" s="174">
        <f>'[6]price list MAN'!Y701</f>
        <v>1475250</v>
      </c>
      <c r="O701" s="174">
        <f>'[6]price list MAN'!AA701</f>
        <v>1405000</v>
      </c>
      <c r="P701" s="68">
        <f t="shared" si="51"/>
        <v>0.26246719160104987</v>
      </c>
      <c r="Q701" s="62" t="e">
        <f>O701-#REF!</f>
        <v>#REF!</v>
      </c>
      <c r="W701" s="210"/>
      <c r="X701" s="210"/>
      <c r="Y701" s="210"/>
      <c r="Z701" s="210"/>
      <c r="AA701" s="210"/>
      <c r="AB701" s="210"/>
      <c r="AC701" s="210"/>
      <c r="AT701" s="425" t="str">
        <f t="shared" si="52"/>
        <v>KP0006662017Q315,3</v>
      </c>
      <c r="AU701" s="64" t="str">
        <f t="shared" si="53"/>
        <v>08-2017</v>
      </c>
      <c r="BA701" s="428" t="str">
        <f t="shared" si="54"/>
        <v>WIP - 30 Days</v>
      </c>
    </row>
    <row r="702" spans="2:53">
      <c r="B702" s="36" t="str">
        <f>'[6]price list MAN'!B702</f>
        <v>78W-6448</v>
      </c>
      <c r="C702" s="10" t="str">
        <f>'[6]price list MAN'!C702</f>
        <v>TGS-26-4406X4BLS-LX-ALU</v>
      </c>
      <c r="D702" s="16" t="str">
        <f>IFERROR(VLOOKUP(C702&amp;"",'[7]Retail Price List'!$A$3:$B$103,2,FALSE),"Special Order")</f>
        <v>KP000666</v>
      </c>
      <c r="E702" s="494" t="str">
        <f>'[6]price list MAN'!E702</f>
        <v>CKD</v>
      </c>
      <c r="F702" s="11" t="str">
        <f>'[6]price list MAN'!F702</f>
        <v>2018-04-30</v>
      </c>
      <c r="G702" s="32">
        <f>'[6]price list MAN'!G702</f>
        <v>15.3</v>
      </c>
      <c r="H702" s="26">
        <f>'[6]price list MAN'!H702</f>
        <v>42978</v>
      </c>
      <c r="I702" s="51" t="str">
        <f t="shared" si="50"/>
        <v>2017Q3</v>
      </c>
      <c r="J702" s="177">
        <f>'[6]price list MAN'!J702</f>
        <v>1850000</v>
      </c>
      <c r="K702" s="177">
        <f>'[6]price list MAN'!P702</f>
        <v>1417500</v>
      </c>
      <c r="L702" s="177">
        <f>'[6]price list MAN'!R702</f>
        <v>1350000</v>
      </c>
      <c r="M702" s="174">
        <f>'[6]price list MAN'!S702</f>
        <v>1905000</v>
      </c>
      <c r="N702" s="174">
        <f>'[6]price list MAN'!Y702</f>
        <v>1475250</v>
      </c>
      <c r="O702" s="174">
        <f>'[6]price list MAN'!AA702</f>
        <v>1405000</v>
      </c>
      <c r="P702" s="68">
        <f t="shared" si="51"/>
        <v>0.26246719160104987</v>
      </c>
      <c r="Q702" s="62" t="e">
        <f>O702-#REF!</f>
        <v>#REF!</v>
      </c>
      <c r="W702" s="210"/>
      <c r="X702" s="210"/>
      <c r="Y702" s="210"/>
      <c r="Z702" s="210"/>
      <c r="AA702" s="210"/>
      <c r="AB702" s="210"/>
      <c r="AC702" s="210"/>
      <c r="AT702" s="425" t="str">
        <f t="shared" si="52"/>
        <v>KP0006662017Q315,3</v>
      </c>
      <c r="AU702" s="64" t="str">
        <f t="shared" si="53"/>
        <v>08-2017</v>
      </c>
      <c r="BA702" s="428" t="str">
        <f t="shared" si="54"/>
        <v>WIP - 30 Days</v>
      </c>
    </row>
    <row r="703" spans="2:53">
      <c r="B703" s="36" t="str">
        <f>'[6]price list MAN'!B703</f>
        <v>78W-6449</v>
      </c>
      <c r="C703" s="10" t="str">
        <f>'[6]price list MAN'!C703</f>
        <v>TGS-26-4406X4BLS-LX-ALU</v>
      </c>
      <c r="D703" s="16" t="str">
        <f>IFERROR(VLOOKUP(C703&amp;"",'[7]Retail Price List'!$A$3:$B$103,2,FALSE),"Special Order")</f>
        <v>KP000666</v>
      </c>
      <c r="E703" s="494" t="str">
        <f>'[6]price list MAN'!E703</f>
        <v>CKD</v>
      </c>
      <c r="F703" s="11" t="str">
        <f>'[6]price list MAN'!F703</f>
        <v>2018-04-30</v>
      </c>
      <c r="G703" s="32">
        <f>'[6]price list MAN'!G703</f>
        <v>15.3</v>
      </c>
      <c r="H703" s="26">
        <f>'[6]price list MAN'!H703</f>
        <v>42978</v>
      </c>
      <c r="I703" s="51" t="str">
        <f t="shared" si="50"/>
        <v>2017Q3</v>
      </c>
      <c r="J703" s="177">
        <f>'[6]price list MAN'!J703</f>
        <v>1850000</v>
      </c>
      <c r="K703" s="177">
        <f>'[6]price list MAN'!P703</f>
        <v>1407000</v>
      </c>
      <c r="L703" s="177">
        <f>'[6]price list MAN'!R703</f>
        <v>1340000</v>
      </c>
      <c r="M703" s="174">
        <f>'[6]price list MAN'!S703</f>
        <v>1905000</v>
      </c>
      <c r="N703" s="174">
        <f>'[6]price list MAN'!Y703</f>
        <v>1464750</v>
      </c>
      <c r="O703" s="174">
        <f>'[6]price list MAN'!AA703</f>
        <v>1395000</v>
      </c>
      <c r="P703" s="68">
        <f t="shared" si="51"/>
        <v>0.26771653543307089</v>
      </c>
      <c r="Q703" s="62" t="e">
        <f>O703-#REF!</f>
        <v>#REF!</v>
      </c>
      <c r="W703" s="210"/>
      <c r="X703" s="210"/>
      <c r="Y703" s="210"/>
      <c r="Z703" s="210"/>
      <c r="AA703" s="210"/>
      <c r="AB703" s="210"/>
      <c r="AC703" s="210"/>
      <c r="AT703" s="425" t="str">
        <f t="shared" si="52"/>
        <v>KP0006662017Q315,3</v>
      </c>
      <c r="AU703" s="64" t="str">
        <f t="shared" si="53"/>
        <v>08-2017</v>
      </c>
      <c r="BA703" s="428" t="str">
        <f t="shared" si="54"/>
        <v>WIP - 30 Days</v>
      </c>
    </row>
    <row r="704" spans="2:53">
      <c r="B704" s="36" t="str">
        <f>'[6]price list MAN'!B704</f>
        <v>78W-6450</v>
      </c>
      <c r="C704" s="10" t="str">
        <f>'[6]price list MAN'!C704</f>
        <v>TGS-26-4406X4BLS-LX-ALU</v>
      </c>
      <c r="D704" s="16" t="str">
        <f>IFERROR(VLOOKUP(C704&amp;"",'[7]Retail Price List'!$A$3:$B$103,2,FALSE),"Special Order")</f>
        <v>KP000666</v>
      </c>
      <c r="E704" s="494" t="str">
        <f>'[6]price list MAN'!E704</f>
        <v>CKD</v>
      </c>
      <c r="F704" s="11" t="str">
        <f>'[6]price list MAN'!F704</f>
        <v>2018-04-30</v>
      </c>
      <c r="G704" s="32">
        <f>'[6]price list MAN'!G704</f>
        <v>15.3</v>
      </c>
      <c r="H704" s="26">
        <f>'[6]price list MAN'!H704</f>
        <v>42978</v>
      </c>
      <c r="I704" s="51" t="str">
        <f t="shared" si="50"/>
        <v>2017Q3</v>
      </c>
      <c r="J704" s="177">
        <f>'[6]price list MAN'!J704</f>
        <v>1850000</v>
      </c>
      <c r="K704" s="177">
        <f>'[6]price list MAN'!P704</f>
        <v>1407000</v>
      </c>
      <c r="L704" s="177">
        <f>'[6]price list MAN'!R704</f>
        <v>1340000</v>
      </c>
      <c r="M704" s="174">
        <f>'[6]price list MAN'!S704</f>
        <v>1905000</v>
      </c>
      <c r="N704" s="174">
        <f>'[6]price list MAN'!Y704</f>
        <v>1464750</v>
      </c>
      <c r="O704" s="174">
        <f>'[6]price list MAN'!AA704</f>
        <v>1395000</v>
      </c>
      <c r="P704" s="68">
        <f t="shared" si="51"/>
        <v>0.26771653543307089</v>
      </c>
      <c r="Q704" s="62" t="e">
        <f>O704-#REF!</f>
        <v>#REF!</v>
      </c>
      <c r="W704" s="210"/>
      <c r="X704" s="210"/>
      <c r="Y704" s="210"/>
      <c r="Z704" s="210"/>
      <c r="AA704" s="210"/>
      <c r="AB704" s="210"/>
      <c r="AC704" s="210"/>
      <c r="AT704" s="425" t="str">
        <f t="shared" si="52"/>
        <v>KP0006662017Q315,3</v>
      </c>
      <c r="AU704" s="64" t="str">
        <f t="shared" si="53"/>
        <v>08-2017</v>
      </c>
      <c r="BA704" s="428" t="str">
        <f t="shared" si="54"/>
        <v>WIP - 30 Days</v>
      </c>
    </row>
    <row r="705" spans="2:53">
      <c r="B705" s="36" t="str">
        <f>'[6]price list MAN'!B705</f>
        <v>78W-6451</v>
      </c>
      <c r="C705" s="10" t="str">
        <f>'[6]price list MAN'!C705</f>
        <v>TGS-26-4406X4BLS-LX-ALU</v>
      </c>
      <c r="D705" s="16" t="str">
        <f>IFERROR(VLOOKUP(C705&amp;"",'[7]Retail Price List'!$A$3:$B$103,2,FALSE),"Special Order")</f>
        <v>KP000666</v>
      </c>
      <c r="E705" s="494" t="str">
        <f>'[6]price list MAN'!E705</f>
        <v>CKD</v>
      </c>
      <c r="F705" s="11" t="str">
        <f>'[6]price list MAN'!F705</f>
        <v>2018-04-30</v>
      </c>
      <c r="G705" s="32">
        <f>'[6]price list MAN'!G705</f>
        <v>15.3</v>
      </c>
      <c r="H705" s="26">
        <f>'[6]price list MAN'!H705</f>
        <v>42978</v>
      </c>
      <c r="I705" s="51" t="str">
        <f t="shared" si="50"/>
        <v>2017Q3</v>
      </c>
      <c r="J705" s="177">
        <f>'[6]price list MAN'!J705</f>
        <v>1850000</v>
      </c>
      <c r="K705" s="177">
        <f>'[6]price list MAN'!P705</f>
        <v>1417500</v>
      </c>
      <c r="L705" s="177">
        <f>'[6]price list MAN'!R705</f>
        <v>1350000</v>
      </c>
      <c r="M705" s="174">
        <f>'[6]price list MAN'!S705</f>
        <v>1905000</v>
      </c>
      <c r="N705" s="174">
        <f>'[6]price list MAN'!Y705</f>
        <v>1475250</v>
      </c>
      <c r="O705" s="174">
        <f>'[6]price list MAN'!AA705</f>
        <v>1405000</v>
      </c>
      <c r="P705" s="68">
        <f t="shared" si="51"/>
        <v>0.26246719160104987</v>
      </c>
      <c r="Q705" s="62" t="e">
        <f>O705-#REF!</f>
        <v>#REF!</v>
      </c>
      <c r="W705" s="210"/>
      <c r="X705" s="210"/>
      <c r="Y705" s="210"/>
      <c r="Z705" s="210"/>
      <c r="AA705" s="210"/>
      <c r="AB705" s="210"/>
      <c r="AC705" s="210"/>
      <c r="AT705" s="425" t="str">
        <f t="shared" si="52"/>
        <v>KP0006662017Q315,3</v>
      </c>
      <c r="AU705" s="64" t="str">
        <f t="shared" si="53"/>
        <v>08-2017</v>
      </c>
      <c r="BA705" s="428" t="str">
        <f t="shared" si="54"/>
        <v>WIP - 30 Days</v>
      </c>
    </row>
    <row r="706" spans="2:53">
      <c r="B706" s="36" t="str">
        <f>'[6]price list MAN'!B706</f>
        <v>78W-6464</v>
      </c>
      <c r="C706" s="10" t="str">
        <f>'[6]price list MAN'!C706</f>
        <v>TGS-26-4406X4BLS-LX-ALU</v>
      </c>
      <c r="D706" s="16" t="str">
        <f>IFERROR(VLOOKUP(C706&amp;"",'[7]Retail Price List'!$A$3:$B$103,2,FALSE),"Special Order")</f>
        <v>KP000666</v>
      </c>
      <c r="E706" s="494" t="str">
        <f>'[6]price list MAN'!E706</f>
        <v>CKD</v>
      </c>
      <c r="F706" s="11" t="str">
        <f>'[6]price list MAN'!F706</f>
        <v>2018-05-30</v>
      </c>
      <c r="G706" s="32">
        <f>'[6]price list MAN'!G706</f>
        <v>15.3</v>
      </c>
      <c r="H706" s="26">
        <f>'[6]price list MAN'!H706</f>
        <v>42978</v>
      </c>
      <c r="I706" s="51" t="str">
        <f t="shared" si="50"/>
        <v>2017Q3</v>
      </c>
      <c r="J706" s="177">
        <f>'[6]price list MAN'!J706</f>
        <v>1850000</v>
      </c>
      <c r="K706" s="177">
        <f>'[6]price list MAN'!P706</f>
        <v>1417500</v>
      </c>
      <c r="L706" s="177">
        <f>'[6]price list MAN'!R706</f>
        <v>1350000</v>
      </c>
      <c r="M706" s="174">
        <f>'[6]price list MAN'!S706</f>
        <v>1905000</v>
      </c>
      <c r="N706" s="174">
        <f>'[6]price list MAN'!Y706</f>
        <v>1475250</v>
      </c>
      <c r="O706" s="174">
        <f>'[6]price list MAN'!AA706</f>
        <v>1405000</v>
      </c>
      <c r="P706" s="68">
        <f t="shared" si="51"/>
        <v>0.26246719160104987</v>
      </c>
      <c r="Q706" s="62" t="e">
        <f>O706-#REF!</f>
        <v>#REF!</v>
      </c>
      <c r="W706" s="210"/>
      <c r="X706" s="210"/>
      <c r="Y706" s="210"/>
      <c r="Z706" s="210"/>
      <c r="AA706" s="210"/>
      <c r="AB706" s="210"/>
      <c r="AC706" s="210"/>
      <c r="AT706" s="425" t="str">
        <f t="shared" si="52"/>
        <v>KP0006662017Q315,3</v>
      </c>
      <c r="AU706" s="64" t="str">
        <f t="shared" si="53"/>
        <v>08-2017</v>
      </c>
      <c r="BA706" s="428" t="str">
        <f t="shared" si="54"/>
        <v>WIP - 30 Days</v>
      </c>
    </row>
    <row r="707" spans="2:53">
      <c r="B707" s="36" t="str">
        <f>'[6]price list MAN'!B707</f>
        <v>78W-6465</v>
      </c>
      <c r="C707" s="10" t="str">
        <f>'[6]price list MAN'!C707</f>
        <v>TGS-26-4406X4BLS-LX-ALU</v>
      </c>
      <c r="D707" s="16" t="str">
        <f>IFERROR(VLOOKUP(C707&amp;"",'[7]Retail Price List'!$A$3:$B$103,2,FALSE),"Special Order")</f>
        <v>KP000666</v>
      </c>
      <c r="E707" s="494" t="str">
        <f>'[6]price list MAN'!E707</f>
        <v>CKD</v>
      </c>
      <c r="F707" s="11" t="str">
        <f>'[6]price list MAN'!F707</f>
        <v>2018-05-30</v>
      </c>
      <c r="G707" s="32">
        <f>'[6]price list MAN'!G707</f>
        <v>15.3</v>
      </c>
      <c r="H707" s="26">
        <f>'[6]price list MAN'!H707</f>
        <v>42978</v>
      </c>
      <c r="I707" s="51" t="str">
        <f t="shared" si="50"/>
        <v>2017Q3</v>
      </c>
      <c r="J707" s="177">
        <f>'[6]price list MAN'!J707</f>
        <v>1850000</v>
      </c>
      <c r="K707" s="177">
        <f>'[6]price list MAN'!P707</f>
        <v>1417500</v>
      </c>
      <c r="L707" s="177">
        <f>'[6]price list MAN'!R707</f>
        <v>1350000</v>
      </c>
      <c r="M707" s="174">
        <f>'[6]price list MAN'!S707</f>
        <v>1905000</v>
      </c>
      <c r="N707" s="174">
        <f>'[6]price list MAN'!Y707</f>
        <v>1475250</v>
      </c>
      <c r="O707" s="174">
        <f>'[6]price list MAN'!AA707</f>
        <v>1405000</v>
      </c>
      <c r="P707" s="68">
        <f t="shared" si="51"/>
        <v>0.26246719160104987</v>
      </c>
      <c r="Q707" s="62" t="e">
        <f>O707-#REF!</f>
        <v>#REF!</v>
      </c>
      <c r="W707" s="210"/>
      <c r="X707" s="210"/>
      <c r="Y707" s="210"/>
      <c r="Z707" s="210"/>
      <c r="AA707" s="210"/>
      <c r="AB707" s="210"/>
      <c r="AC707" s="210"/>
      <c r="AT707" s="425" t="str">
        <f t="shared" si="52"/>
        <v>KP0006662017Q315,3</v>
      </c>
      <c r="AU707" s="64" t="str">
        <f t="shared" si="53"/>
        <v>08-2017</v>
      </c>
      <c r="BA707" s="428" t="str">
        <f t="shared" si="54"/>
        <v>WIP - 30 Days</v>
      </c>
    </row>
    <row r="708" spans="2:53">
      <c r="B708" s="36" t="str">
        <f>'[6]price list MAN'!B708</f>
        <v>78W-6466</v>
      </c>
      <c r="C708" s="10" t="str">
        <f>'[6]price list MAN'!C708</f>
        <v>TGS-26-4406X4BLS-LX-ALU</v>
      </c>
      <c r="D708" s="16" t="str">
        <f>IFERROR(VLOOKUP(C708&amp;"",'[7]Retail Price List'!$A$3:$B$103,2,FALSE),"Special Order")</f>
        <v>KP000666</v>
      </c>
      <c r="E708" s="494" t="str">
        <f>'[6]price list MAN'!E708</f>
        <v>CKD</v>
      </c>
      <c r="F708" s="11" t="str">
        <f>'[6]price list MAN'!F708</f>
        <v>2018-05-30</v>
      </c>
      <c r="G708" s="32">
        <f>'[6]price list MAN'!G708</f>
        <v>15.3</v>
      </c>
      <c r="H708" s="26">
        <f>'[6]price list MAN'!H708</f>
        <v>42978</v>
      </c>
      <c r="I708" s="51" t="str">
        <f t="shared" si="50"/>
        <v>2017Q3</v>
      </c>
      <c r="J708" s="177">
        <f>'[6]price list MAN'!J708</f>
        <v>1850000</v>
      </c>
      <c r="K708" s="177">
        <f>'[6]price list MAN'!P708</f>
        <v>1417500</v>
      </c>
      <c r="L708" s="177">
        <f>'[6]price list MAN'!R708</f>
        <v>1350000</v>
      </c>
      <c r="M708" s="174">
        <f>'[6]price list MAN'!S708</f>
        <v>1905000</v>
      </c>
      <c r="N708" s="174">
        <f>'[6]price list MAN'!Y708</f>
        <v>1475250</v>
      </c>
      <c r="O708" s="174">
        <f>'[6]price list MAN'!AA708</f>
        <v>1405000</v>
      </c>
      <c r="P708" s="68">
        <f t="shared" si="51"/>
        <v>0.26246719160104987</v>
      </c>
      <c r="Q708" s="62" t="e">
        <f>O708-#REF!</f>
        <v>#REF!</v>
      </c>
      <c r="W708" s="210"/>
      <c r="X708" s="210"/>
      <c r="Y708" s="210"/>
      <c r="Z708" s="210"/>
      <c r="AA708" s="210"/>
      <c r="AB708" s="210"/>
      <c r="AC708" s="210"/>
      <c r="AT708" s="425" t="str">
        <f t="shared" si="52"/>
        <v>KP0006662017Q315,3</v>
      </c>
      <c r="AU708" s="64" t="str">
        <f t="shared" si="53"/>
        <v>08-2017</v>
      </c>
      <c r="BA708" s="428" t="str">
        <f t="shared" si="54"/>
        <v>WIP - 30 Days</v>
      </c>
    </row>
    <row r="709" spans="2:53">
      <c r="B709" s="36" t="str">
        <f>'[6]price list MAN'!B709</f>
        <v>78W-6467</v>
      </c>
      <c r="C709" s="10" t="str">
        <f>'[6]price list MAN'!C709</f>
        <v>TGS-26-4406X4BLS-LX-ALU</v>
      </c>
      <c r="D709" s="16" t="str">
        <f>IFERROR(VLOOKUP(C709&amp;"",'[7]Retail Price List'!$A$3:$B$103,2,FALSE),"Special Order")</f>
        <v>KP000666</v>
      </c>
      <c r="E709" s="494" t="str">
        <f>'[6]price list MAN'!E709</f>
        <v>CKD</v>
      </c>
      <c r="F709" s="11" t="str">
        <f>'[6]price list MAN'!F709</f>
        <v>2018-05-30</v>
      </c>
      <c r="G709" s="32">
        <f>'[6]price list MAN'!G709</f>
        <v>15.3</v>
      </c>
      <c r="H709" s="26">
        <f>'[6]price list MAN'!H709</f>
        <v>42978</v>
      </c>
      <c r="I709" s="51" t="str">
        <f t="shared" ref="I709:I772" si="55">IFERROR(VLOOKUP(AU709,$AW$5:$AY$40,3,FALSE),"")</f>
        <v>2017Q3</v>
      </c>
      <c r="J709" s="177">
        <f>'[6]price list MAN'!J709</f>
        <v>1850000</v>
      </c>
      <c r="K709" s="177">
        <f>'[6]price list MAN'!P709</f>
        <v>1417500</v>
      </c>
      <c r="L709" s="177">
        <f>'[6]price list MAN'!R709</f>
        <v>1350000</v>
      </c>
      <c r="M709" s="174">
        <f>'[6]price list MAN'!S709</f>
        <v>1905000</v>
      </c>
      <c r="N709" s="174">
        <f>'[6]price list MAN'!Y709</f>
        <v>1475250</v>
      </c>
      <c r="O709" s="174">
        <f>'[6]price list MAN'!AA709</f>
        <v>1405000</v>
      </c>
      <c r="P709" s="68">
        <f t="shared" ref="P709:P772" si="56">(M709-O709)/M709</f>
        <v>0.26246719160104987</v>
      </c>
      <c r="Q709" s="62" t="e">
        <f>O709-#REF!</f>
        <v>#REF!</v>
      </c>
      <c r="W709" s="210"/>
      <c r="X709" s="210"/>
      <c r="Y709" s="210"/>
      <c r="Z709" s="210"/>
      <c r="AA709" s="210"/>
      <c r="AB709" s="210"/>
      <c r="AC709" s="210"/>
      <c r="AT709" s="425" t="str">
        <f t="shared" ref="AT709:AT772" si="57">D709&amp;I709&amp;G709</f>
        <v>KP0006662017Q315,3</v>
      </c>
      <c r="AU709" s="64" t="str">
        <f t="shared" ref="AU709:AU772" si="58">IF(MONTH(H709)&lt;10,0&amp;MONTH(H709)&amp;"-"&amp;YEAR(H709),MONTH(H709)&amp;"-"&amp;YEAR(H709))</f>
        <v>08-2017</v>
      </c>
      <c r="BA709" s="428" t="str">
        <f t="shared" ref="BA709:BA772" si="59">IF(B709=0,"",IF(AND(F709&gt;=31,F709&lt;=120),"31-120 Days",IF(AND(F709&gt;=121,F709&lt;=365),"121-365 Days",IF(OR(E709="CKD",F709&lt;=30),"WIP - 30 Days","&gt;365 Days"))))</f>
        <v>WIP - 30 Days</v>
      </c>
    </row>
    <row r="710" spans="2:53">
      <c r="B710" s="36" t="str">
        <f>'[6]price list MAN'!B710</f>
        <v>78W-6479</v>
      </c>
      <c r="C710" s="10" t="str">
        <f>'[6]price list MAN'!C710</f>
        <v>TGS-26-4406X4BLS-LX-ALU</v>
      </c>
      <c r="D710" s="16" t="str">
        <f>IFERROR(VLOOKUP(C710&amp;"",'[7]Retail Price List'!$A$3:$B$103,2,FALSE),"Special Order")</f>
        <v>KP000666</v>
      </c>
      <c r="E710" s="494" t="str">
        <f>'[6]price list MAN'!E710</f>
        <v>CKD</v>
      </c>
      <c r="F710" s="11" t="str">
        <f>'[6]price list MAN'!F710</f>
        <v>2018-06-30</v>
      </c>
      <c r="G710" s="32">
        <f>'[6]price list MAN'!G710</f>
        <v>15.3</v>
      </c>
      <c r="H710" s="26">
        <f>'[6]price list MAN'!H710</f>
        <v>42978</v>
      </c>
      <c r="I710" s="51" t="str">
        <f t="shared" si="55"/>
        <v>2017Q3</v>
      </c>
      <c r="J710" s="177">
        <f>'[6]price list MAN'!J710</f>
        <v>1850000</v>
      </c>
      <c r="K710" s="177">
        <f>'[6]price list MAN'!P710</f>
        <v>1417500</v>
      </c>
      <c r="L710" s="177">
        <f>'[6]price list MAN'!R710</f>
        <v>1350000</v>
      </c>
      <c r="M710" s="174">
        <f>'[6]price list MAN'!S710</f>
        <v>1905000</v>
      </c>
      <c r="N710" s="174">
        <f>'[6]price list MAN'!Y710</f>
        <v>1475250</v>
      </c>
      <c r="O710" s="174">
        <f>'[6]price list MAN'!AA710</f>
        <v>1405000</v>
      </c>
      <c r="P710" s="68">
        <f t="shared" si="56"/>
        <v>0.26246719160104987</v>
      </c>
      <c r="Q710" s="62" t="e">
        <f>O710-#REF!</f>
        <v>#REF!</v>
      </c>
      <c r="W710" s="210"/>
      <c r="X710" s="210"/>
      <c r="Y710" s="210"/>
      <c r="Z710" s="210"/>
      <c r="AA710" s="210"/>
      <c r="AB710" s="210"/>
      <c r="AC710" s="210"/>
      <c r="AT710" s="425" t="str">
        <f t="shared" si="57"/>
        <v>KP0006662017Q315,3</v>
      </c>
      <c r="AU710" s="64" t="str">
        <f t="shared" si="58"/>
        <v>08-2017</v>
      </c>
      <c r="BA710" s="428" t="str">
        <f t="shared" si="59"/>
        <v>WIP - 30 Days</v>
      </c>
    </row>
    <row r="711" spans="2:53">
      <c r="B711" s="36" t="str">
        <f>'[6]price list MAN'!B711</f>
        <v>78W-6480</v>
      </c>
      <c r="C711" s="10" t="str">
        <f>'[6]price list MAN'!C711</f>
        <v>TGS-26-4406X4BLS-LX-ALU</v>
      </c>
      <c r="D711" s="16" t="str">
        <f>IFERROR(VLOOKUP(C711&amp;"",'[7]Retail Price List'!$A$3:$B$103,2,FALSE),"Special Order")</f>
        <v>KP000666</v>
      </c>
      <c r="E711" s="494" t="str">
        <f>'[6]price list MAN'!E711</f>
        <v>CKD</v>
      </c>
      <c r="F711" s="11" t="str">
        <f>'[6]price list MAN'!F711</f>
        <v>2018-05-30</v>
      </c>
      <c r="G711" s="32">
        <f>'[6]price list MAN'!G711</f>
        <v>15.3</v>
      </c>
      <c r="H711" s="26">
        <f>'[6]price list MAN'!H711</f>
        <v>42978</v>
      </c>
      <c r="I711" s="51" t="str">
        <f t="shared" si="55"/>
        <v>2017Q3</v>
      </c>
      <c r="J711" s="177">
        <f>'[6]price list MAN'!J711</f>
        <v>1850000</v>
      </c>
      <c r="K711" s="177">
        <f>'[6]price list MAN'!P711</f>
        <v>1417500</v>
      </c>
      <c r="L711" s="177">
        <f>'[6]price list MAN'!R711</f>
        <v>1350000</v>
      </c>
      <c r="M711" s="174">
        <f>'[6]price list MAN'!S711</f>
        <v>1905000</v>
      </c>
      <c r="N711" s="174">
        <f>'[6]price list MAN'!Y711</f>
        <v>1475250</v>
      </c>
      <c r="O711" s="174">
        <f>'[6]price list MAN'!AA711</f>
        <v>1405000</v>
      </c>
      <c r="P711" s="68">
        <f t="shared" si="56"/>
        <v>0.26246719160104987</v>
      </c>
      <c r="Q711" s="62" t="e">
        <f>O711-#REF!</f>
        <v>#REF!</v>
      </c>
      <c r="W711" s="210"/>
      <c r="X711" s="210"/>
      <c r="Y711" s="210"/>
      <c r="Z711" s="210"/>
      <c r="AA711" s="210"/>
      <c r="AB711" s="210"/>
      <c r="AC711" s="210"/>
      <c r="AT711" s="425" t="str">
        <f t="shared" si="57"/>
        <v>KP0006662017Q315,3</v>
      </c>
      <c r="AU711" s="64" t="str">
        <f t="shared" si="58"/>
        <v>08-2017</v>
      </c>
      <c r="BA711" s="428" t="str">
        <f t="shared" si="59"/>
        <v>WIP - 30 Days</v>
      </c>
    </row>
    <row r="712" spans="2:53">
      <c r="B712" s="36" t="str">
        <f>'[6]price list MAN'!B712</f>
        <v>78W-6481</v>
      </c>
      <c r="C712" s="10" t="str">
        <f>'[6]price list MAN'!C712</f>
        <v>TGS-26-4406X4BLS-LX-ALU</v>
      </c>
      <c r="D712" s="16" t="str">
        <f>IFERROR(VLOOKUP(C712&amp;"",'[7]Retail Price List'!$A$3:$B$103,2,FALSE),"Special Order")</f>
        <v>KP000666</v>
      </c>
      <c r="E712" s="494" t="str">
        <f>'[6]price list MAN'!E712</f>
        <v>CKD</v>
      </c>
      <c r="F712" s="11" t="str">
        <f>'[6]price list MAN'!F712</f>
        <v>2018-05-30</v>
      </c>
      <c r="G712" s="32">
        <f>'[6]price list MAN'!G712</f>
        <v>15.3</v>
      </c>
      <c r="H712" s="26">
        <f>'[6]price list MAN'!H712</f>
        <v>42978</v>
      </c>
      <c r="I712" s="51" t="str">
        <f t="shared" si="55"/>
        <v>2017Q3</v>
      </c>
      <c r="J712" s="177">
        <f>'[6]price list MAN'!J712</f>
        <v>1850000</v>
      </c>
      <c r="K712" s="177">
        <f>'[6]price list MAN'!P712</f>
        <v>1417500</v>
      </c>
      <c r="L712" s="177">
        <f>'[6]price list MAN'!R712</f>
        <v>1350000</v>
      </c>
      <c r="M712" s="174">
        <f>'[6]price list MAN'!S712</f>
        <v>1905000</v>
      </c>
      <c r="N712" s="174">
        <f>'[6]price list MAN'!Y712</f>
        <v>1475250</v>
      </c>
      <c r="O712" s="174">
        <f>'[6]price list MAN'!AA712</f>
        <v>1405000</v>
      </c>
      <c r="P712" s="68">
        <f t="shared" si="56"/>
        <v>0.26246719160104987</v>
      </c>
      <c r="Q712" s="62" t="e">
        <f>O712-#REF!</f>
        <v>#REF!</v>
      </c>
      <c r="W712" s="210"/>
      <c r="X712" s="210"/>
      <c r="Y712" s="210"/>
      <c r="Z712" s="210"/>
      <c r="AA712" s="210"/>
      <c r="AB712" s="210"/>
      <c r="AC712" s="210"/>
      <c r="AT712" s="425" t="str">
        <f t="shared" si="57"/>
        <v>KP0006662017Q315,3</v>
      </c>
      <c r="AU712" s="64" t="str">
        <f t="shared" si="58"/>
        <v>08-2017</v>
      </c>
      <c r="BA712" s="428" t="str">
        <f t="shared" si="59"/>
        <v>WIP - 30 Days</v>
      </c>
    </row>
    <row r="713" spans="2:53">
      <c r="B713" s="36" t="str">
        <f>'[6]price list MAN'!B713</f>
        <v>78W-6482</v>
      </c>
      <c r="C713" s="10" t="str">
        <f>'[6]price list MAN'!C713</f>
        <v>TGS-26-4406X4BLS-LX-ALU</v>
      </c>
      <c r="D713" s="16" t="str">
        <f>IFERROR(VLOOKUP(C713&amp;"",'[7]Retail Price List'!$A$3:$B$103,2,FALSE),"Special Order")</f>
        <v>KP000666</v>
      </c>
      <c r="E713" s="494" t="str">
        <f>'[6]price list MAN'!E713</f>
        <v>CKD</v>
      </c>
      <c r="F713" s="11" t="str">
        <f>'[6]price list MAN'!F713</f>
        <v>2018-05-30</v>
      </c>
      <c r="G713" s="32">
        <f>'[6]price list MAN'!G713</f>
        <v>15.3</v>
      </c>
      <c r="H713" s="26">
        <f>'[6]price list MAN'!H713</f>
        <v>42978</v>
      </c>
      <c r="I713" s="51" t="str">
        <f t="shared" si="55"/>
        <v>2017Q3</v>
      </c>
      <c r="J713" s="177">
        <f>'[6]price list MAN'!J713</f>
        <v>1850000</v>
      </c>
      <c r="K713" s="177">
        <f>'[6]price list MAN'!P713</f>
        <v>1417500</v>
      </c>
      <c r="L713" s="177">
        <f>'[6]price list MAN'!R713</f>
        <v>1350000</v>
      </c>
      <c r="M713" s="174">
        <f>'[6]price list MAN'!S713</f>
        <v>1905000</v>
      </c>
      <c r="N713" s="174">
        <f>'[6]price list MAN'!Y713</f>
        <v>1475250</v>
      </c>
      <c r="O713" s="174">
        <f>'[6]price list MAN'!AA713</f>
        <v>1405000</v>
      </c>
      <c r="P713" s="68">
        <f t="shared" si="56"/>
        <v>0.26246719160104987</v>
      </c>
      <c r="Q713" s="62" t="e">
        <f>O713-#REF!</f>
        <v>#REF!</v>
      </c>
      <c r="W713" s="210"/>
      <c r="X713" s="210"/>
      <c r="Y713" s="210"/>
      <c r="Z713" s="210"/>
      <c r="AA713" s="210"/>
      <c r="AB713" s="210"/>
      <c r="AC713" s="210"/>
      <c r="AT713" s="425" t="str">
        <f t="shared" si="57"/>
        <v>KP0006662017Q315,3</v>
      </c>
      <c r="AU713" s="64" t="str">
        <f t="shared" si="58"/>
        <v>08-2017</v>
      </c>
      <c r="BA713" s="428" t="str">
        <f t="shared" si="59"/>
        <v>WIP - 30 Days</v>
      </c>
    </row>
    <row r="714" spans="2:53">
      <c r="B714" s="36" t="str">
        <f>'[6]price list MAN'!B714</f>
        <v>78W-6502</v>
      </c>
      <c r="C714" s="10" t="str">
        <f>'[6]price list MAN'!C714</f>
        <v>TGS-26-4406X4BLS-LX-ALU</v>
      </c>
      <c r="D714" s="16" t="str">
        <f>IFERROR(VLOOKUP(C714&amp;"",'[7]Retail Price List'!$A$3:$B$103,2,FALSE),"Special Order")</f>
        <v>KP000666</v>
      </c>
      <c r="E714" s="494" t="str">
        <f>'[6]price list MAN'!E714</f>
        <v>CKD</v>
      </c>
      <c r="F714" s="11" t="str">
        <f>'[6]price list MAN'!F714</f>
        <v>2018-05-30</v>
      </c>
      <c r="G714" s="32">
        <f>'[6]price list MAN'!G714</f>
        <v>15.9</v>
      </c>
      <c r="H714" s="26">
        <f>'[6]price list MAN'!H714</f>
        <v>43039</v>
      </c>
      <c r="I714" s="51" t="str">
        <f t="shared" si="55"/>
        <v>2017Q4</v>
      </c>
      <c r="J714" s="177">
        <f>'[6]price list MAN'!J714</f>
        <v>1850000</v>
      </c>
      <c r="K714" s="177">
        <f>'[6]price list MAN'!P714</f>
        <v>1407000</v>
      </c>
      <c r="L714" s="177">
        <f>'[6]price list MAN'!R714</f>
        <v>1340000</v>
      </c>
      <c r="M714" s="174">
        <f>'[6]price list MAN'!S714</f>
        <v>1905000</v>
      </c>
      <c r="N714" s="174">
        <f>'[6]price list MAN'!Y714</f>
        <v>1464750</v>
      </c>
      <c r="O714" s="174">
        <f>'[6]price list MAN'!AA714</f>
        <v>1395000</v>
      </c>
      <c r="P714" s="68">
        <f t="shared" si="56"/>
        <v>0.26771653543307089</v>
      </c>
      <c r="Q714" s="62" t="e">
        <f>O714-#REF!</f>
        <v>#REF!</v>
      </c>
      <c r="W714" s="210"/>
      <c r="X714" s="210"/>
      <c r="Y714" s="210"/>
      <c r="Z714" s="210"/>
      <c r="AA714" s="210"/>
      <c r="AB714" s="210"/>
      <c r="AC714" s="210"/>
      <c r="AT714" s="425" t="str">
        <f t="shared" si="57"/>
        <v>KP0006662017Q415,9</v>
      </c>
      <c r="AU714" s="64" t="str">
        <f t="shared" si="58"/>
        <v>10-2017</v>
      </c>
      <c r="BA714" s="428" t="str">
        <f t="shared" si="59"/>
        <v>WIP - 30 Days</v>
      </c>
    </row>
    <row r="715" spans="2:53">
      <c r="B715" s="36" t="str">
        <f>'[6]price list MAN'!B715</f>
        <v>78W-6503</v>
      </c>
      <c r="C715" s="10" t="str">
        <f>'[6]price list MAN'!C715</f>
        <v>TGS-26-4406X4BLS-LX-ALU</v>
      </c>
      <c r="D715" s="16" t="str">
        <f>IFERROR(VLOOKUP(C715&amp;"",'[7]Retail Price List'!$A$3:$B$103,2,FALSE),"Special Order")</f>
        <v>KP000666</v>
      </c>
      <c r="E715" s="494" t="str">
        <f>'[6]price list MAN'!E715</f>
        <v>CKD</v>
      </c>
      <c r="F715" s="11" t="str">
        <f>'[6]price list MAN'!F715</f>
        <v>2018-05-30</v>
      </c>
      <c r="G715" s="32">
        <f>'[6]price list MAN'!G715</f>
        <v>15.9</v>
      </c>
      <c r="H715" s="26">
        <f>'[6]price list MAN'!H715</f>
        <v>43039</v>
      </c>
      <c r="I715" s="51" t="str">
        <f t="shared" si="55"/>
        <v>2017Q4</v>
      </c>
      <c r="J715" s="177">
        <f>'[6]price list MAN'!J715</f>
        <v>1850000</v>
      </c>
      <c r="K715" s="177">
        <f>'[6]price list MAN'!P715</f>
        <v>1407000</v>
      </c>
      <c r="L715" s="177">
        <f>'[6]price list MAN'!R715</f>
        <v>1340000</v>
      </c>
      <c r="M715" s="174">
        <f>'[6]price list MAN'!S715</f>
        <v>1905000</v>
      </c>
      <c r="N715" s="174">
        <f>'[6]price list MAN'!Y715</f>
        <v>1464750</v>
      </c>
      <c r="O715" s="174">
        <f>'[6]price list MAN'!AA715</f>
        <v>1395000</v>
      </c>
      <c r="P715" s="68">
        <f t="shared" si="56"/>
        <v>0.26771653543307089</v>
      </c>
      <c r="Q715" s="62" t="e">
        <f>O715-#REF!</f>
        <v>#REF!</v>
      </c>
      <c r="W715" s="210"/>
      <c r="X715" s="210"/>
      <c r="Y715" s="210"/>
      <c r="Z715" s="210"/>
      <c r="AA715" s="210"/>
      <c r="AB715" s="210"/>
      <c r="AC715" s="210"/>
      <c r="AT715" s="425" t="str">
        <f t="shared" si="57"/>
        <v>KP0006662017Q415,9</v>
      </c>
      <c r="AU715" s="64" t="str">
        <f t="shared" si="58"/>
        <v>10-2017</v>
      </c>
      <c r="BA715" s="428" t="str">
        <f t="shared" si="59"/>
        <v>WIP - 30 Days</v>
      </c>
    </row>
    <row r="716" spans="2:53">
      <c r="B716" s="36" t="str">
        <f>'[6]price list MAN'!B716</f>
        <v>78W-6504</v>
      </c>
      <c r="C716" s="10" t="str">
        <f>'[6]price list MAN'!C716</f>
        <v>TGS-26-4406X4BLS-LX-ALU</v>
      </c>
      <c r="D716" s="16" t="str">
        <f>IFERROR(VLOOKUP(C716&amp;"",'[7]Retail Price List'!$A$3:$B$103,2,FALSE),"Special Order")</f>
        <v>KP000666</v>
      </c>
      <c r="E716" s="494" t="str">
        <f>'[6]price list MAN'!E716</f>
        <v>CKD</v>
      </c>
      <c r="F716" s="11" t="str">
        <f>'[6]price list MAN'!F716</f>
        <v>2018-05-30</v>
      </c>
      <c r="G716" s="32">
        <f>'[6]price list MAN'!G716</f>
        <v>15.9</v>
      </c>
      <c r="H716" s="26">
        <f>'[6]price list MAN'!H716</f>
        <v>43039</v>
      </c>
      <c r="I716" s="51" t="str">
        <f t="shared" si="55"/>
        <v>2017Q4</v>
      </c>
      <c r="J716" s="177">
        <f>'[6]price list MAN'!J716</f>
        <v>1850000</v>
      </c>
      <c r="K716" s="177">
        <f>'[6]price list MAN'!P716</f>
        <v>1407000</v>
      </c>
      <c r="L716" s="177">
        <f>'[6]price list MAN'!R716</f>
        <v>1340000</v>
      </c>
      <c r="M716" s="174">
        <f>'[6]price list MAN'!S716</f>
        <v>1905000</v>
      </c>
      <c r="N716" s="174">
        <f>'[6]price list MAN'!Y716</f>
        <v>1464750</v>
      </c>
      <c r="O716" s="174">
        <f>'[6]price list MAN'!AA716</f>
        <v>1395000</v>
      </c>
      <c r="P716" s="68">
        <f t="shared" si="56"/>
        <v>0.26771653543307089</v>
      </c>
      <c r="Q716" s="62" t="e">
        <f>O716-#REF!</f>
        <v>#REF!</v>
      </c>
      <c r="W716" s="210"/>
      <c r="X716" s="210"/>
      <c r="Y716" s="210"/>
      <c r="Z716" s="210"/>
      <c r="AA716" s="210"/>
      <c r="AB716" s="210"/>
      <c r="AC716" s="210"/>
      <c r="AT716" s="425" t="str">
        <f t="shared" si="57"/>
        <v>KP0006662017Q415,9</v>
      </c>
      <c r="AU716" s="64" t="str">
        <f t="shared" si="58"/>
        <v>10-2017</v>
      </c>
      <c r="BA716" s="428" t="str">
        <f t="shared" si="59"/>
        <v>WIP - 30 Days</v>
      </c>
    </row>
    <row r="717" spans="2:53">
      <c r="B717" s="36" t="str">
        <f>'[6]price list MAN'!B717</f>
        <v>78W-6505</v>
      </c>
      <c r="C717" s="10" t="str">
        <f>'[6]price list MAN'!C717</f>
        <v>TGS-26-4406X4BLS-LX-ALU</v>
      </c>
      <c r="D717" s="16" t="str">
        <f>IFERROR(VLOOKUP(C717&amp;"",'[7]Retail Price List'!$A$3:$B$103,2,FALSE),"Special Order")</f>
        <v>KP000666</v>
      </c>
      <c r="E717" s="494" t="str">
        <f>'[6]price list MAN'!E717</f>
        <v>CKD</v>
      </c>
      <c r="F717" s="11" t="str">
        <f>'[6]price list MAN'!F717</f>
        <v>2018-05-30</v>
      </c>
      <c r="G717" s="32">
        <f>'[6]price list MAN'!G717</f>
        <v>15.9</v>
      </c>
      <c r="H717" s="26">
        <f>'[6]price list MAN'!H717</f>
        <v>43039</v>
      </c>
      <c r="I717" s="51" t="str">
        <f t="shared" si="55"/>
        <v>2017Q4</v>
      </c>
      <c r="J717" s="177">
        <f>'[6]price list MAN'!J717</f>
        <v>1850000</v>
      </c>
      <c r="K717" s="177">
        <f>'[6]price list MAN'!P717</f>
        <v>1407000</v>
      </c>
      <c r="L717" s="177">
        <f>'[6]price list MAN'!R717</f>
        <v>1340000</v>
      </c>
      <c r="M717" s="174">
        <f>'[6]price list MAN'!S717</f>
        <v>1905000</v>
      </c>
      <c r="N717" s="174">
        <f>'[6]price list MAN'!Y717</f>
        <v>1464750</v>
      </c>
      <c r="O717" s="174">
        <f>'[6]price list MAN'!AA717</f>
        <v>1395000</v>
      </c>
      <c r="P717" s="68">
        <f t="shared" si="56"/>
        <v>0.26771653543307089</v>
      </c>
      <c r="Q717" s="62" t="e">
        <f>O717-#REF!</f>
        <v>#REF!</v>
      </c>
      <c r="W717" s="210"/>
      <c r="X717" s="210"/>
      <c r="Y717" s="210"/>
      <c r="Z717" s="210"/>
      <c r="AA717" s="210"/>
      <c r="AB717" s="210"/>
      <c r="AC717" s="210"/>
      <c r="AT717" s="425" t="str">
        <f t="shared" si="57"/>
        <v>KP0006662017Q415,9</v>
      </c>
      <c r="AU717" s="64" t="str">
        <f t="shared" si="58"/>
        <v>10-2017</v>
      </c>
      <c r="BA717" s="428" t="str">
        <f t="shared" si="59"/>
        <v>WIP - 30 Days</v>
      </c>
    </row>
    <row r="718" spans="2:53">
      <c r="B718" s="36" t="str">
        <f>'[6]price list MAN'!B718</f>
        <v>78W-6506</v>
      </c>
      <c r="C718" s="10" t="str">
        <f>'[6]price list MAN'!C718</f>
        <v>TGS-26-4406X4BLS-LX-ALU</v>
      </c>
      <c r="D718" s="16" t="str">
        <f>IFERROR(VLOOKUP(C718&amp;"",'[7]Retail Price List'!$A$3:$B$103,2,FALSE),"Special Order")</f>
        <v>KP000666</v>
      </c>
      <c r="E718" s="494" t="str">
        <f>'[6]price list MAN'!E718</f>
        <v>CKD</v>
      </c>
      <c r="F718" s="11" t="str">
        <f>'[6]price list MAN'!F718</f>
        <v>2018-05-30</v>
      </c>
      <c r="G718" s="32">
        <f>'[6]price list MAN'!G718</f>
        <v>15.9</v>
      </c>
      <c r="H718" s="26">
        <f>'[6]price list MAN'!H718</f>
        <v>43039</v>
      </c>
      <c r="I718" s="51" t="str">
        <f t="shared" si="55"/>
        <v>2017Q4</v>
      </c>
      <c r="J718" s="177">
        <f>'[6]price list MAN'!J718</f>
        <v>1850000</v>
      </c>
      <c r="K718" s="177">
        <f>'[6]price list MAN'!P718</f>
        <v>1407000</v>
      </c>
      <c r="L718" s="177">
        <f>'[6]price list MAN'!R718</f>
        <v>1340000</v>
      </c>
      <c r="M718" s="174">
        <f>'[6]price list MAN'!S718</f>
        <v>1905000</v>
      </c>
      <c r="N718" s="174">
        <f>'[6]price list MAN'!Y718</f>
        <v>1464750</v>
      </c>
      <c r="O718" s="174">
        <f>'[6]price list MAN'!AA718</f>
        <v>1395000</v>
      </c>
      <c r="P718" s="68">
        <f t="shared" si="56"/>
        <v>0.26771653543307089</v>
      </c>
      <c r="Q718" s="62" t="e">
        <f>O718-#REF!</f>
        <v>#REF!</v>
      </c>
      <c r="W718" s="210"/>
      <c r="X718" s="210"/>
      <c r="Y718" s="210"/>
      <c r="Z718" s="210"/>
      <c r="AA718" s="210"/>
      <c r="AB718" s="210"/>
      <c r="AC718" s="210"/>
      <c r="AT718" s="425" t="str">
        <f t="shared" si="57"/>
        <v>KP0006662017Q415,9</v>
      </c>
      <c r="AU718" s="64" t="str">
        <f t="shared" si="58"/>
        <v>10-2017</v>
      </c>
      <c r="BA718" s="428" t="str">
        <f t="shared" si="59"/>
        <v>WIP - 30 Days</v>
      </c>
    </row>
    <row r="719" spans="2:53">
      <c r="B719" s="36" t="str">
        <f>'[6]price list MAN'!B719</f>
        <v>78W-6507</v>
      </c>
      <c r="C719" s="10" t="str">
        <f>'[6]price list MAN'!C719</f>
        <v>TGS-26-4406X4BLS-LX-ALU</v>
      </c>
      <c r="D719" s="16" t="str">
        <f>IFERROR(VLOOKUP(C719&amp;"",'[7]Retail Price List'!$A$3:$B$103,2,FALSE),"Special Order")</f>
        <v>KP000666</v>
      </c>
      <c r="E719" s="494" t="str">
        <f>'[6]price list MAN'!E719</f>
        <v>CKD</v>
      </c>
      <c r="F719" s="11" t="str">
        <f>'[6]price list MAN'!F719</f>
        <v>2018-05-30</v>
      </c>
      <c r="G719" s="32">
        <f>'[6]price list MAN'!G719</f>
        <v>15.9</v>
      </c>
      <c r="H719" s="26">
        <f>'[6]price list MAN'!H719</f>
        <v>43039</v>
      </c>
      <c r="I719" s="51" t="str">
        <f t="shared" si="55"/>
        <v>2017Q4</v>
      </c>
      <c r="J719" s="177">
        <f>'[6]price list MAN'!J719</f>
        <v>1850000</v>
      </c>
      <c r="K719" s="177">
        <f>'[6]price list MAN'!P719</f>
        <v>1407000</v>
      </c>
      <c r="L719" s="177">
        <f>'[6]price list MAN'!R719</f>
        <v>1340000</v>
      </c>
      <c r="M719" s="174">
        <f>'[6]price list MAN'!S719</f>
        <v>1905000</v>
      </c>
      <c r="N719" s="174">
        <f>'[6]price list MAN'!Y719</f>
        <v>1464750</v>
      </c>
      <c r="O719" s="174">
        <f>'[6]price list MAN'!AA719</f>
        <v>1395000</v>
      </c>
      <c r="P719" s="68">
        <f t="shared" si="56"/>
        <v>0.26771653543307089</v>
      </c>
      <c r="Q719" s="62" t="e">
        <f>O719-#REF!</f>
        <v>#REF!</v>
      </c>
      <c r="W719" s="210"/>
      <c r="X719" s="210"/>
      <c r="Y719" s="210"/>
      <c r="Z719" s="210"/>
      <c r="AA719" s="210"/>
      <c r="AB719" s="210"/>
      <c r="AC719" s="210"/>
      <c r="AT719" s="425" t="str">
        <f t="shared" si="57"/>
        <v>KP0006662017Q415,9</v>
      </c>
      <c r="AU719" s="64" t="str">
        <f t="shared" si="58"/>
        <v>10-2017</v>
      </c>
      <c r="BA719" s="428" t="str">
        <f t="shared" si="59"/>
        <v>WIP - 30 Days</v>
      </c>
    </row>
    <row r="720" spans="2:53">
      <c r="B720" s="36" t="str">
        <f>'[6]price list MAN'!B720</f>
        <v>78W-6508</v>
      </c>
      <c r="C720" s="10" t="str">
        <f>'[6]price list MAN'!C720</f>
        <v>TGS-26-4406X4BLS-LX-ALU</v>
      </c>
      <c r="D720" s="16" t="str">
        <f>IFERROR(VLOOKUP(C720&amp;"",'[7]Retail Price List'!$A$3:$B$103,2,FALSE),"Special Order")</f>
        <v>KP000666</v>
      </c>
      <c r="E720" s="494" t="str">
        <f>'[6]price list MAN'!E720</f>
        <v>CKD</v>
      </c>
      <c r="F720" s="11" t="str">
        <f>'[6]price list MAN'!F720</f>
        <v>2018-05-30</v>
      </c>
      <c r="G720" s="32">
        <f>'[6]price list MAN'!G720</f>
        <v>15.9</v>
      </c>
      <c r="H720" s="26">
        <f>'[6]price list MAN'!H720</f>
        <v>43039</v>
      </c>
      <c r="I720" s="51" t="str">
        <f t="shared" si="55"/>
        <v>2017Q4</v>
      </c>
      <c r="J720" s="177">
        <f>'[6]price list MAN'!J720</f>
        <v>1850000</v>
      </c>
      <c r="K720" s="177">
        <f>'[6]price list MAN'!P720</f>
        <v>1407000</v>
      </c>
      <c r="L720" s="177">
        <f>'[6]price list MAN'!R720</f>
        <v>1340000</v>
      </c>
      <c r="M720" s="174">
        <f>'[6]price list MAN'!S720</f>
        <v>1905000</v>
      </c>
      <c r="N720" s="174">
        <f>'[6]price list MAN'!Y720</f>
        <v>1464750</v>
      </c>
      <c r="O720" s="174">
        <f>'[6]price list MAN'!AA720</f>
        <v>1395000</v>
      </c>
      <c r="P720" s="68">
        <f t="shared" si="56"/>
        <v>0.26771653543307089</v>
      </c>
      <c r="Q720" s="62" t="e">
        <f>O720-#REF!</f>
        <v>#REF!</v>
      </c>
      <c r="W720" s="210"/>
      <c r="X720" s="210"/>
      <c r="Y720" s="210"/>
      <c r="Z720" s="210"/>
      <c r="AA720" s="210"/>
      <c r="AB720" s="210"/>
      <c r="AC720" s="210"/>
      <c r="AT720" s="425" t="str">
        <f t="shared" si="57"/>
        <v>KP0006662017Q415,9</v>
      </c>
      <c r="AU720" s="64" t="str">
        <f t="shared" si="58"/>
        <v>10-2017</v>
      </c>
      <c r="BA720" s="428" t="str">
        <f t="shared" si="59"/>
        <v>WIP - 30 Days</v>
      </c>
    </row>
    <row r="721" spans="2:53">
      <c r="B721" s="36" t="str">
        <f>'[6]price list MAN'!B721</f>
        <v>78W-6509</v>
      </c>
      <c r="C721" s="10" t="str">
        <f>'[6]price list MAN'!C721</f>
        <v>TGS-26-4406X4BLS-LX-ALU</v>
      </c>
      <c r="D721" s="16" t="str">
        <f>IFERROR(VLOOKUP(C721&amp;"",'[7]Retail Price List'!$A$3:$B$103,2,FALSE),"Special Order")</f>
        <v>KP000666</v>
      </c>
      <c r="E721" s="494" t="str">
        <f>'[6]price list MAN'!E721</f>
        <v>CKD</v>
      </c>
      <c r="F721" s="11" t="str">
        <f>'[6]price list MAN'!F721</f>
        <v>2018-05-30</v>
      </c>
      <c r="G721" s="32">
        <f>'[6]price list MAN'!G721</f>
        <v>15.9</v>
      </c>
      <c r="H721" s="26">
        <f>'[6]price list MAN'!H721</f>
        <v>43039</v>
      </c>
      <c r="I721" s="51" t="str">
        <f t="shared" si="55"/>
        <v>2017Q4</v>
      </c>
      <c r="J721" s="177">
        <f>'[6]price list MAN'!J721</f>
        <v>1850000</v>
      </c>
      <c r="K721" s="177">
        <f>'[6]price list MAN'!P721</f>
        <v>1407000</v>
      </c>
      <c r="L721" s="177">
        <f>'[6]price list MAN'!R721</f>
        <v>1340000</v>
      </c>
      <c r="M721" s="174">
        <f>'[6]price list MAN'!S721</f>
        <v>1905000</v>
      </c>
      <c r="N721" s="174">
        <f>'[6]price list MAN'!Y721</f>
        <v>1464750</v>
      </c>
      <c r="O721" s="174">
        <f>'[6]price list MAN'!AA721</f>
        <v>1395000</v>
      </c>
      <c r="P721" s="68">
        <f t="shared" si="56"/>
        <v>0.26771653543307089</v>
      </c>
      <c r="Q721" s="62" t="e">
        <f>O721-#REF!</f>
        <v>#REF!</v>
      </c>
      <c r="W721" s="210"/>
      <c r="X721" s="210"/>
      <c r="Y721" s="210"/>
      <c r="Z721" s="210"/>
      <c r="AA721" s="210"/>
      <c r="AB721" s="210"/>
      <c r="AC721" s="210"/>
      <c r="AT721" s="425" t="str">
        <f t="shared" si="57"/>
        <v>KP0006662017Q415,9</v>
      </c>
      <c r="AU721" s="64" t="str">
        <f t="shared" si="58"/>
        <v>10-2017</v>
      </c>
      <c r="BA721" s="428" t="str">
        <f t="shared" si="59"/>
        <v>WIP - 30 Days</v>
      </c>
    </row>
    <row r="722" spans="2:53">
      <c r="B722" s="36" t="str">
        <f>'[6]price list MAN'!B722</f>
        <v>78W-6542</v>
      </c>
      <c r="C722" s="10" t="str">
        <f>'[6]price list MAN'!C722</f>
        <v>TGS-26-4406X4BLS-LX-ALU</v>
      </c>
      <c r="D722" s="16" t="str">
        <f>IFERROR(VLOOKUP(C722&amp;"",'[7]Retail Price List'!$A$3:$B$103,2,FALSE),"Special Order")</f>
        <v>KP000666</v>
      </c>
      <c r="E722" s="494" t="str">
        <f>'[6]price list MAN'!E722</f>
        <v>CKD</v>
      </c>
      <c r="F722" s="11" t="str">
        <f>'[6]price list MAN'!F722</f>
        <v>2018-06-30</v>
      </c>
      <c r="G722" s="32">
        <f>'[6]price list MAN'!G722</f>
        <v>15.9</v>
      </c>
      <c r="H722" s="26">
        <f>'[6]price list MAN'!H722</f>
        <v>43039</v>
      </c>
      <c r="I722" s="51" t="str">
        <f t="shared" si="55"/>
        <v>2017Q4</v>
      </c>
      <c r="J722" s="177">
        <f>'[6]price list MAN'!J722</f>
        <v>1850000</v>
      </c>
      <c r="K722" s="177">
        <f>'[6]price list MAN'!P722</f>
        <v>1407000</v>
      </c>
      <c r="L722" s="177">
        <f>'[6]price list MAN'!R722</f>
        <v>1340000</v>
      </c>
      <c r="M722" s="174">
        <f>'[6]price list MAN'!S722</f>
        <v>1905000</v>
      </c>
      <c r="N722" s="174">
        <f>'[6]price list MAN'!Y722</f>
        <v>1464750</v>
      </c>
      <c r="O722" s="174">
        <f>'[6]price list MAN'!AA722</f>
        <v>1395000</v>
      </c>
      <c r="P722" s="68">
        <f t="shared" si="56"/>
        <v>0.26771653543307089</v>
      </c>
      <c r="Q722" s="62" t="e">
        <f>O722-#REF!</f>
        <v>#REF!</v>
      </c>
      <c r="W722" s="210"/>
      <c r="X722" s="210"/>
      <c r="Y722" s="210"/>
      <c r="Z722" s="210"/>
      <c r="AA722" s="210"/>
      <c r="AB722" s="210"/>
      <c r="AC722" s="210"/>
      <c r="AT722" s="425" t="str">
        <f t="shared" si="57"/>
        <v>KP0006662017Q415,9</v>
      </c>
      <c r="AU722" s="64" t="str">
        <f t="shared" si="58"/>
        <v>10-2017</v>
      </c>
      <c r="BA722" s="428" t="str">
        <f t="shared" si="59"/>
        <v>WIP - 30 Days</v>
      </c>
    </row>
    <row r="723" spans="2:53">
      <c r="B723" s="36" t="str">
        <f>'[6]price list MAN'!B723</f>
        <v>78W-6543</v>
      </c>
      <c r="C723" s="10" t="str">
        <f>'[6]price list MAN'!C723</f>
        <v>TGS-26-4406X4BLS-LX-ALU</v>
      </c>
      <c r="D723" s="16" t="str">
        <f>IFERROR(VLOOKUP(C723&amp;"",'[7]Retail Price List'!$A$3:$B$103,2,FALSE),"Special Order")</f>
        <v>KP000666</v>
      </c>
      <c r="E723" s="494" t="str">
        <f>'[6]price list MAN'!E723</f>
        <v>CKD</v>
      </c>
      <c r="F723" s="11" t="str">
        <f>'[6]price list MAN'!F723</f>
        <v>2018-06-30</v>
      </c>
      <c r="G723" s="32">
        <f>'[6]price list MAN'!G723</f>
        <v>15.9</v>
      </c>
      <c r="H723" s="26">
        <f>'[6]price list MAN'!H723</f>
        <v>43039</v>
      </c>
      <c r="I723" s="51" t="str">
        <f t="shared" si="55"/>
        <v>2017Q4</v>
      </c>
      <c r="J723" s="177">
        <f>'[6]price list MAN'!J723</f>
        <v>1850000</v>
      </c>
      <c r="K723" s="177">
        <f>'[6]price list MAN'!P723</f>
        <v>1407000</v>
      </c>
      <c r="L723" s="177">
        <f>'[6]price list MAN'!R723</f>
        <v>1340000</v>
      </c>
      <c r="M723" s="174">
        <f>'[6]price list MAN'!S723</f>
        <v>1905000</v>
      </c>
      <c r="N723" s="174">
        <f>'[6]price list MAN'!Y723</f>
        <v>1464750</v>
      </c>
      <c r="O723" s="174">
        <f>'[6]price list MAN'!AA723</f>
        <v>1395000</v>
      </c>
      <c r="P723" s="68">
        <f t="shared" si="56"/>
        <v>0.26771653543307089</v>
      </c>
      <c r="Q723" s="62" t="e">
        <f>O723-#REF!</f>
        <v>#REF!</v>
      </c>
      <c r="W723" s="210"/>
      <c r="X723" s="210"/>
      <c r="Y723" s="210"/>
      <c r="Z723" s="210"/>
      <c r="AA723" s="210"/>
      <c r="AB723" s="210"/>
      <c r="AC723" s="210"/>
      <c r="AT723" s="425" t="str">
        <f t="shared" si="57"/>
        <v>KP0006662017Q415,9</v>
      </c>
      <c r="AU723" s="64" t="str">
        <f t="shared" si="58"/>
        <v>10-2017</v>
      </c>
      <c r="BA723" s="428" t="str">
        <f t="shared" si="59"/>
        <v>WIP - 30 Days</v>
      </c>
    </row>
    <row r="724" spans="2:53">
      <c r="B724" s="36" t="str">
        <f>'[6]price list MAN'!B724</f>
        <v>78W-6544</v>
      </c>
      <c r="C724" s="10" t="str">
        <f>'[6]price list MAN'!C724</f>
        <v>TGS-26-4406X4BLS-LX-ALU</v>
      </c>
      <c r="D724" s="16" t="str">
        <f>IFERROR(VLOOKUP(C724&amp;"",'[7]Retail Price List'!$A$3:$B$103,2,FALSE),"Special Order")</f>
        <v>KP000666</v>
      </c>
      <c r="E724" s="494" t="str">
        <f>'[6]price list MAN'!E724</f>
        <v>CKD</v>
      </c>
      <c r="F724" s="11" t="str">
        <f>'[6]price list MAN'!F724</f>
        <v>2018-06-30</v>
      </c>
      <c r="G724" s="32">
        <f>'[6]price list MAN'!G724</f>
        <v>15.9</v>
      </c>
      <c r="H724" s="26">
        <f>'[6]price list MAN'!H724</f>
        <v>43039</v>
      </c>
      <c r="I724" s="51" t="str">
        <f t="shared" si="55"/>
        <v>2017Q4</v>
      </c>
      <c r="J724" s="177">
        <f>'[6]price list MAN'!J724</f>
        <v>1850000</v>
      </c>
      <c r="K724" s="177">
        <f>'[6]price list MAN'!P724</f>
        <v>1407000</v>
      </c>
      <c r="L724" s="177">
        <f>'[6]price list MAN'!R724</f>
        <v>1340000</v>
      </c>
      <c r="M724" s="174">
        <f>'[6]price list MAN'!S724</f>
        <v>1905000</v>
      </c>
      <c r="N724" s="174">
        <f>'[6]price list MAN'!Y724</f>
        <v>1464750</v>
      </c>
      <c r="O724" s="174">
        <f>'[6]price list MAN'!AA724</f>
        <v>1395000</v>
      </c>
      <c r="P724" s="68">
        <f t="shared" si="56"/>
        <v>0.26771653543307089</v>
      </c>
      <c r="Q724" s="62" t="e">
        <f>O724-#REF!</f>
        <v>#REF!</v>
      </c>
      <c r="W724" s="210"/>
      <c r="X724" s="210"/>
      <c r="Y724" s="210"/>
      <c r="Z724" s="210"/>
      <c r="AA724" s="210"/>
      <c r="AB724" s="210"/>
      <c r="AC724" s="210"/>
      <c r="AT724" s="425" t="str">
        <f t="shared" si="57"/>
        <v>KP0006662017Q415,9</v>
      </c>
      <c r="AU724" s="64" t="str">
        <f t="shared" si="58"/>
        <v>10-2017</v>
      </c>
      <c r="BA724" s="428" t="str">
        <f t="shared" si="59"/>
        <v>WIP - 30 Days</v>
      </c>
    </row>
    <row r="725" spans="2:53">
      <c r="B725" s="36" t="str">
        <f>'[6]price list MAN'!B725</f>
        <v>78W-6545</v>
      </c>
      <c r="C725" s="10" t="str">
        <f>'[6]price list MAN'!C725</f>
        <v>TGS-26-4406X4BLS-LX-ALU</v>
      </c>
      <c r="D725" s="16" t="str">
        <f>IFERROR(VLOOKUP(C725&amp;"",'[7]Retail Price List'!$A$3:$B$103,2,FALSE),"Special Order")</f>
        <v>KP000666</v>
      </c>
      <c r="E725" s="494" t="str">
        <f>'[6]price list MAN'!E725</f>
        <v>CKD</v>
      </c>
      <c r="F725" s="11" t="str">
        <f>'[6]price list MAN'!F725</f>
        <v>2018-06-30</v>
      </c>
      <c r="G725" s="32">
        <f>'[6]price list MAN'!G725</f>
        <v>15.9</v>
      </c>
      <c r="H725" s="26">
        <f>'[6]price list MAN'!H725</f>
        <v>43039</v>
      </c>
      <c r="I725" s="51" t="str">
        <f t="shared" si="55"/>
        <v>2017Q4</v>
      </c>
      <c r="J725" s="177">
        <f>'[6]price list MAN'!J725</f>
        <v>1850000</v>
      </c>
      <c r="K725" s="177">
        <f>'[6]price list MAN'!P725</f>
        <v>1407000</v>
      </c>
      <c r="L725" s="177">
        <f>'[6]price list MAN'!R725</f>
        <v>1340000</v>
      </c>
      <c r="M725" s="174">
        <f>'[6]price list MAN'!S725</f>
        <v>1905000</v>
      </c>
      <c r="N725" s="174">
        <f>'[6]price list MAN'!Y725</f>
        <v>1464750</v>
      </c>
      <c r="O725" s="174">
        <f>'[6]price list MAN'!AA725</f>
        <v>1395000</v>
      </c>
      <c r="P725" s="68">
        <f t="shared" si="56"/>
        <v>0.26771653543307089</v>
      </c>
      <c r="Q725" s="62" t="e">
        <f>O725-#REF!</f>
        <v>#REF!</v>
      </c>
      <c r="W725" s="210"/>
      <c r="X725" s="210"/>
      <c r="Y725" s="210"/>
      <c r="Z725" s="210"/>
      <c r="AA725" s="210"/>
      <c r="AB725" s="210"/>
      <c r="AC725" s="210"/>
      <c r="AT725" s="425" t="str">
        <f t="shared" si="57"/>
        <v>KP0006662017Q415,9</v>
      </c>
      <c r="AU725" s="64" t="str">
        <f t="shared" si="58"/>
        <v>10-2017</v>
      </c>
      <c r="BA725" s="428" t="str">
        <f t="shared" si="59"/>
        <v>WIP - 30 Days</v>
      </c>
    </row>
    <row r="726" spans="2:53">
      <c r="B726" s="36" t="str">
        <f>'[6]price list MAN'!B726</f>
        <v>78W-6546</v>
      </c>
      <c r="C726" s="10" t="str">
        <f>'[6]price list MAN'!C726</f>
        <v>TGS-26-4406X4BLS-LX-ALU</v>
      </c>
      <c r="D726" s="16" t="str">
        <f>IFERROR(VLOOKUP(C726&amp;"",'[7]Retail Price List'!$A$3:$B$103,2,FALSE),"Special Order")</f>
        <v>KP000666</v>
      </c>
      <c r="E726" s="494" t="str">
        <f>'[6]price list MAN'!E726</f>
        <v>CKD</v>
      </c>
      <c r="F726" s="11" t="str">
        <f>'[6]price list MAN'!F726</f>
        <v>2018-06-30</v>
      </c>
      <c r="G726" s="32">
        <f>'[6]price list MAN'!G726</f>
        <v>15.9</v>
      </c>
      <c r="H726" s="26">
        <f>'[6]price list MAN'!H726</f>
        <v>43039</v>
      </c>
      <c r="I726" s="51" t="str">
        <f t="shared" si="55"/>
        <v>2017Q4</v>
      </c>
      <c r="J726" s="177">
        <f>'[6]price list MAN'!J726</f>
        <v>1850000</v>
      </c>
      <c r="K726" s="177">
        <f>'[6]price list MAN'!P726</f>
        <v>1407000</v>
      </c>
      <c r="L726" s="177">
        <f>'[6]price list MAN'!R726</f>
        <v>1340000</v>
      </c>
      <c r="M726" s="174">
        <f>'[6]price list MAN'!S726</f>
        <v>1905000</v>
      </c>
      <c r="N726" s="174">
        <f>'[6]price list MAN'!Y726</f>
        <v>1464750</v>
      </c>
      <c r="O726" s="174">
        <f>'[6]price list MAN'!AA726</f>
        <v>1395000</v>
      </c>
      <c r="P726" s="68">
        <f t="shared" si="56"/>
        <v>0.26771653543307089</v>
      </c>
      <c r="Q726" s="62" t="e">
        <f>O726-#REF!</f>
        <v>#REF!</v>
      </c>
      <c r="W726" s="210"/>
      <c r="X726" s="210"/>
      <c r="Y726" s="210"/>
      <c r="Z726" s="210"/>
      <c r="AA726" s="210"/>
      <c r="AB726" s="210"/>
      <c r="AC726" s="210"/>
      <c r="AT726" s="425" t="str">
        <f t="shared" si="57"/>
        <v>KP0006662017Q415,9</v>
      </c>
      <c r="AU726" s="64" t="str">
        <f t="shared" si="58"/>
        <v>10-2017</v>
      </c>
      <c r="BA726" s="428" t="str">
        <f t="shared" si="59"/>
        <v>WIP - 30 Days</v>
      </c>
    </row>
    <row r="727" spans="2:53">
      <c r="B727" s="36" t="str">
        <f>'[6]price list MAN'!B727</f>
        <v>78W-6547</v>
      </c>
      <c r="C727" s="10" t="str">
        <f>'[6]price list MAN'!C727</f>
        <v>TGS-26-4406X4BLS-LX-ALU</v>
      </c>
      <c r="D727" s="16" t="str">
        <f>IFERROR(VLOOKUP(C727&amp;"",'[7]Retail Price List'!$A$3:$B$103,2,FALSE),"Special Order")</f>
        <v>KP000666</v>
      </c>
      <c r="E727" s="494" t="str">
        <f>'[6]price list MAN'!E727</f>
        <v>CKD</v>
      </c>
      <c r="F727" s="11" t="str">
        <f>'[6]price list MAN'!F727</f>
        <v>2018-06-30</v>
      </c>
      <c r="G727" s="32">
        <f>'[6]price list MAN'!G727</f>
        <v>15.9</v>
      </c>
      <c r="H727" s="26">
        <f>'[6]price list MAN'!H727</f>
        <v>43039</v>
      </c>
      <c r="I727" s="51" t="str">
        <f t="shared" si="55"/>
        <v>2017Q4</v>
      </c>
      <c r="J727" s="177">
        <f>'[6]price list MAN'!J727</f>
        <v>1850000</v>
      </c>
      <c r="K727" s="177">
        <f>'[6]price list MAN'!P727</f>
        <v>1407000</v>
      </c>
      <c r="L727" s="177">
        <f>'[6]price list MAN'!R727</f>
        <v>1340000</v>
      </c>
      <c r="M727" s="174">
        <f>'[6]price list MAN'!S727</f>
        <v>1905000</v>
      </c>
      <c r="N727" s="174">
        <f>'[6]price list MAN'!Y727</f>
        <v>1464750</v>
      </c>
      <c r="O727" s="174">
        <f>'[6]price list MAN'!AA727</f>
        <v>1395000</v>
      </c>
      <c r="P727" s="68">
        <f t="shared" si="56"/>
        <v>0.26771653543307089</v>
      </c>
      <c r="Q727" s="62" t="e">
        <f>O727-#REF!</f>
        <v>#REF!</v>
      </c>
      <c r="W727" s="210"/>
      <c r="X727" s="210"/>
      <c r="Y727" s="210"/>
      <c r="Z727" s="210"/>
      <c r="AA727" s="210"/>
      <c r="AB727" s="210"/>
      <c r="AC727" s="210"/>
      <c r="AT727" s="425" t="str">
        <f t="shared" si="57"/>
        <v>KP0006662017Q415,9</v>
      </c>
      <c r="AU727" s="64" t="str">
        <f t="shared" si="58"/>
        <v>10-2017</v>
      </c>
      <c r="BA727" s="428" t="str">
        <f t="shared" si="59"/>
        <v>WIP - 30 Days</v>
      </c>
    </row>
    <row r="728" spans="2:53">
      <c r="B728" s="36" t="str">
        <f>'[6]price list MAN'!B728</f>
        <v>78W-6548</v>
      </c>
      <c r="C728" s="10" t="str">
        <f>'[6]price list MAN'!C728</f>
        <v>TGS-26-4406X4BLS-LX-ALU</v>
      </c>
      <c r="D728" s="16" t="str">
        <f>IFERROR(VLOOKUP(C728&amp;"",'[7]Retail Price List'!$A$3:$B$103,2,FALSE),"Special Order")</f>
        <v>KP000666</v>
      </c>
      <c r="E728" s="494" t="str">
        <f>'[6]price list MAN'!E728</f>
        <v>CKD</v>
      </c>
      <c r="F728" s="11" t="str">
        <f>'[6]price list MAN'!F728</f>
        <v>2018-06-30</v>
      </c>
      <c r="G728" s="32">
        <f>'[6]price list MAN'!G728</f>
        <v>15.9</v>
      </c>
      <c r="H728" s="26">
        <f>'[6]price list MAN'!H728</f>
        <v>43039</v>
      </c>
      <c r="I728" s="51" t="str">
        <f t="shared" si="55"/>
        <v>2017Q4</v>
      </c>
      <c r="J728" s="177">
        <f>'[6]price list MAN'!J728</f>
        <v>1850000</v>
      </c>
      <c r="K728" s="177">
        <f>'[6]price list MAN'!P728</f>
        <v>1407000</v>
      </c>
      <c r="L728" s="177">
        <f>'[6]price list MAN'!R728</f>
        <v>1340000</v>
      </c>
      <c r="M728" s="174">
        <f>'[6]price list MAN'!S728</f>
        <v>1905000</v>
      </c>
      <c r="N728" s="174">
        <f>'[6]price list MAN'!Y728</f>
        <v>1464750</v>
      </c>
      <c r="O728" s="174">
        <f>'[6]price list MAN'!AA728</f>
        <v>1395000</v>
      </c>
      <c r="P728" s="68">
        <f t="shared" si="56"/>
        <v>0.26771653543307089</v>
      </c>
      <c r="Q728" s="62" t="e">
        <f>O728-#REF!</f>
        <v>#REF!</v>
      </c>
      <c r="W728" s="210"/>
      <c r="X728" s="210"/>
      <c r="Y728" s="210"/>
      <c r="Z728" s="210"/>
      <c r="AA728" s="210"/>
      <c r="AB728" s="210"/>
      <c r="AC728" s="210"/>
      <c r="AT728" s="425" t="str">
        <f t="shared" si="57"/>
        <v>KP0006662017Q415,9</v>
      </c>
      <c r="AU728" s="64" t="str">
        <f t="shared" si="58"/>
        <v>10-2017</v>
      </c>
      <c r="BA728" s="428" t="str">
        <f t="shared" si="59"/>
        <v>WIP - 30 Days</v>
      </c>
    </row>
    <row r="729" spans="2:53">
      <c r="B729" s="36" t="str">
        <f>'[6]price list MAN'!B729</f>
        <v>78W-6549</v>
      </c>
      <c r="C729" s="10" t="str">
        <f>'[6]price list MAN'!C729</f>
        <v>TGS-26-4406X4BLS-LX-ALU</v>
      </c>
      <c r="D729" s="16" t="str">
        <f>IFERROR(VLOOKUP(C729&amp;"",'[7]Retail Price List'!$A$3:$B$103,2,FALSE),"Special Order")</f>
        <v>KP000666</v>
      </c>
      <c r="E729" s="494" t="str">
        <f>'[6]price list MAN'!E729</f>
        <v>CKD</v>
      </c>
      <c r="F729" s="11" t="str">
        <f>'[6]price list MAN'!F729</f>
        <v>2018-06-30</v>
      </c>
      <c r="G729" s="32">
        <f>'[6]price list MAN'!G729</f>
        <v>15.9</v>
      </c>
      <c r="H729" s="26">
        <f>'[6]price list MAN'!H729</f>
        <v>43039</v>
      </c>
      <c r="I729" s="51" t="str">
        <f t="shared" si="55"/>
        <v>2017Q4</v>
      </c>
      <c r="J729" s="177">
        <f>'[6]price list MAN'!J729</f>
        <v>1850000</v>
      </c>
      <c r="K729" s="177">
        <f>'[6]price list MAN'!P729</f>
        <v>1407000</v>
      </c>
      <c r="L729" s="177">
        <f>'[6]price list MAN'!R729</f>
        <v>1340000</v>
      </c>
      <c r="M729" s="174">
        <f>'[6]price list MAN'!S729</f>
        <v>1905000</v>
      </c>
      <c r="N729" s="174">
        <f>'[6]price list MAN'!Y729</f>
        <v>1464750</v>
      </c>
      <c r="O729" s="174">
        <f>'[6]price list MAN'!AA729</f>
        <v>1395000</v>
      </c>
      <c r="P729" s="68">
        <f t="shared" si="56"/>
        <v>0.26771653543307089</v>
      </c>
      <c r="Q729" s="62" t="e">
        <f>O729-#REF!</f>
        <v>#REF!</v>
      </c>
      <c r="W729" s="210"/>
      <c r="X729" s="210"/>
      <c r="Y729" s="210"/>
      <c r="Z729" s="210"/>
      <c r="AA729" s="210"/>
      <c r="AB729" s="210"/>
      <c r="AC729" s="210"/>
      <c r="AT729" s="425" t="str">
        <f t="shared" si="57"/>
        <v>KP0006662017Q415,9</v>
      </c>
      <c r="AU729" s="64" t="str">
        <f t="shared" si="58"/>
        <v>10-2017</v>
      </c>
      <c r="BA729" s="428" t="str">
        <f t="shared" si="59"/>
        <v>WIP - 30 Days</v>
      </c>
    </row>
    <row r="730" spans="2:53">
      <c r="B730" s="36" t="str">
        <f>'[6]price list MAN'!B730</f>
        <v>TBAKP666</v>
      </c>
      <c r="C730" s="10" t="str">
        <f>'[6]price list MAN'!C730</f>
        <v>TGS-26-4406X4BLS-LX-ALU</v>
      </c>
      <c r="D730" s="16" t="str">
        <f>IFERROR(VLOOKUP(C730&amp;"",'[7]Retail Price List'!$A$3:$B$103,2,FALSE),"Special Order")</f>
        <v>KP000666</v>
      </c>
      <c r="E730" s="494" t="str">
        <f>'[6]price list MAN'!E730</f>
        <v>CKD</v>
      </c>
      <c r="F730" s="11" t="str">
        <f>'[6]price list MAN'!F730</f>
        <v>2018-08-19</v>
      </c>
      <c r="G730" s="32">
        <f>'[6]price list MAN'!G730</f>
        <v>15.8</v>
      </c>
      <c r="H730" s="26">
        <f>'[6]price list MAN'!H730</f>
        <v>43159</v>
      </c>
      <c r="I730" s="51" t="str">
        <f t="shared" si="55"/>
        <v>2018Q1</v>
      </c>
      <c r="J730" s="177">
        <f>'[6]price list MAN'!J730</f>
        <v>1850000</v>
      </c>
      <c r="K730" s="177">
        <f>'[6]price list MAN'!P730</f>
        <v>1417500</v>
      </c>
      <c r="L730" s="177">
        <f>'[6]price list MAN'!R730</f>
        <v>1350000</v>
      </c>
      <c r="M730" s="174">
        <f>'[6]price list MAN'!S730</f>
        <v>1905000</v>
      </c>
      <c r="N730" s="174">
        <f>'[6]price list MAN'!Y730</f>
        <v>1475250</v>
      </c>
      <c r="O730" s="174">
        <f>'[6]price list MAN'!AA730</f>
        <v>1405000</v>
      </c>
      <c r="P730" s="68">
        <f t="shared" si="56"/>
        <v>0.26246719160104987</v>
      </c>
      <c r="Q730" s="62" t="e">
        <f>O730-#REF!</f>
        <v>#REF!</v>
      </c>
      <c r="W730" s="210"/>
      <c r="X730" s="210"/>
      <c r="Y730" s="210"/>
      <c r="Z730" s="210"/>
      <c r="AA730" s="210"/>
      <c r="AB730" s="210"/>
      <c r="AC730" s="210"/>
      <c r="AT730" s="425" t="str">
        <f t="shared" si="57"/>
        <v>KP0006662018Q115,8</v>
      </c>
      <c r="AU730" s="64" t="str">
        <f t="shared" si="58"/>
        <v>02-2018</v>
      </c>
      <c r="BA730" s="428" t="str">
        <f t="shared" si="59"/>
        <v>WIP - 30 Days</v>
      </c>
    </row>
    <row r="731" spans="2:53">
      <c r="B731" s="36" t="str">
        <f>'[6]price list MAN'!B731</f>
        <v>78W-3238</v>
      </c>
      <c r="C731" s="10" t="str">
        <f>'[6]price list MAN'!C731</f>
        <v>TGS-26-4406X4BLS-LX-ALU-EL</v>
      </c>
      <c r="D731" s="16" t="str">
        <f>IFERROR(VLOOKUP(C731&amp;"",'[7]Retail Price List'!$A$3:$B$103,2,FALSE),"Special Order")</f>
        <v>KP000707</v>
      </c>
      <c r="E731" s="494" t="str">
        <f>'[6]price list MAN'!E731</f>
        <v>CKD</v>
      </c>
      <c r="F731" s="11" t="str">
        <f>'[6]price list MAN'!F731</f>
        <v>2018-04-30</v>
      </c>
      <c r="G731" s="32">
        <f>'[6]price list MAN'!G731</f>
        <v>15.3</v>
      </c>
      <c r="H731" s="26">
        <f>'[6]price list MAN'!H731</f>
        <v>42978</v>
      </c>
      <c r="I731" s="51" t="str">
        <f t="shared" si="55"/>
        <v>2017Q3</v>
      </c>
      <c r="J731" s="177">
        <f>'[6]price list MAN'!J731</f>
        <v>1875000</v>
      </c>
      <c r="K731" s="177">
        <f>'[6]price list MAN'!P731</f>
        <v>1433250</v>
      </c>
      <c r="L731" s="177">
        <f>'[6]price list MAN'!R731</f>
        <v>1365000</v>
      </c>
      <c r="M731" s="174">
        <f>'[6]price list MAN'!S731</f>
        <v>1955000</v>
      </c>
      <c r="N731" s="174">
        <f>'[6]price list MAN'!Y731</f>
        <v>1517250</v>
      </c>
      <c r="O731" s="174">
        <f>'[6]price list MAN'!AA731</f>
        <v>1445000</v>
      </c>
      <c r="P731" s="68">
        <f t="shared" si="56"/>
        <v>0.2608695652173913</v>
      </c>
      <c r="Q731" s="62" t="e">
        <f>O731-#REF!</f>
        <v>#REF!</v>
      </c>
      <c r="W731" s="210"/>
      <c r="X731" s="210"/>
      <c r="Y731" s="210"/>
      <c r="Z731" s="210"/>
      <c r="AA731" s="210"/>
      <c r="AB731" s="210"/>
      <c r="AC731" s="210"/>
      <c r="AT731" s="425" t="str">
        <f t="shared" si="57"/>
        <v>KP0007072017Q315,3</v>
      </c>
      <c r="AU731" s="64" t="str">
        <f t="shared" si="58"/>
        <v>08-2017</v>
      </c>
      <c r="BA731" s="428" t="str">
        <f t="shared" si="59"/>
        <v>WIP - 30 Days</v>
      </c>
    </row>
    <row r="732" spans="2:53">
      <c r="B732" s="36" t="str">
        <f>'[6]price list MAN'!B732</f>
        <v>78W-3239</v>
      </c>
      <c r="C732" s="10" t="str">
        <f>'[6]price list MAN'!C732</f>
        <v>TGS-26-4406X4BLS-LX-ALU-EL</v>
      </c>
      <c r="D732" s="16" t="str">
        <f>IFERROR(VLOOKUP(C732&amp;"",'[7]Retail Price List'!$A$3:$B$103,2,FALSE),"Special Order")</f>
        <v>KP000707</v>
      </c>
      <c r="E732" s="494" t="str">
        <f>'[6]price list MAN'!E732</f>
        <v>CKD</v>
      </c>
      <c r="F732" s="11" t="str">
        <f>'[6]price list MAN'!F732</f>
        <v>2018-04-30</v>
      </c>
      <c r="G732" s="32">
        <f>'[6]price list MAN'!G732</f>
        <v>15.3</v>
      </c>
      <c r="H732" s="26">
        <f>'[6]price list MAN'!H732</f>
        <v>42978</v>
      </c>
      <c r="I732" s="51" t="str">
        <f t="shared" si="55"/>
        <v>2017Q3</v>
      </c>
      <c r="J732" s="177">
        <f>'[6]price list MAN'!J732</f>
        <v>1875000</v>
      </c>
      <c r="K732" s="177">
        <f>'[6]price list MAN'!P732</f>
        <v>1433250</v>
      </c>
      <c r="L732" s="177">
        <f>'[6]price list MAN'!R732</f>
        <v>1365000</v>
      </c>
      <c r="M732" s="174">
        <f>'[6]price list MAN'!S732</f>
        <v>1955000</v>
      </c>
      <c r="N732" s="174">
        <f>'[6]price list MAN'!Y732</f>
        <v>1517250</v>
      </c>
      <c r="O732" s="174">
        <f>'[6]price list MAN'!AA732</f>
        <v>1445000</v>
      </c>
      <c r="P732" s="68">
        <f t="shared" si="56"/>
        <v>0.2608695652173913</v>
      </c>
      <c r="Q732" s="62" t="e">
        <f>O732-#REF!</f>
        <v>#REF!</v>
      </c>
      <c r="W732" s="210"/>
      <c r="X732" s="210"/>
      <c r="Y732" s="210"/>
      <c r="Z732" s="210"/>
      <c r="AA732" s="210"/>
      <c r="AB732" s="210"/>
      <c r="AC732" s="210"/>
      <c r="AT732" s="425" t="str">
        <f t="shared" si="57"/>
        <v>KP0007072017Q315,3</v>
      </c>
      <c r="AU732" s="64" t="str">
        <f t="shared" si="58"/>
        <v>08-2017</v>
      </c>
      <c r="BA732" s="428" t="str">
        <f t="shared" si="59"/>
        <v>WIP - 30 Days</v>
      </c>
    </row>
    <row r="733" spans="2:53">
      <c r="B733" s="36" t="str">
        <f>'[6]price list MAN'!B733</f>
        <v>78W-3240</v>
      </c>
      <c r="C733" s="10" t="str">
        <f>'[6]price list MAN'!C733</f>
        <v>TGS-26-4406X4BLS-LX-ALU-EL</v>
      </c>
      <c r="D733" s="16" t="str">
        <f>IFERROR(VLOOKUP(C733&amp;"",'[7]Retail Price List'!$A$3:$B$103,2,FALSE),"Special Order")</f>
        <v>KP000707</v>
      </c>
      <c r="E733" s="494" t="str">
        <f>'[6]price list MAN'!E733</f>
        <v>CKD</v>
      </c>
      <c r="F733" s="11" t="str">
        <f>'[6]price list MAN'!F733</f>
        <v>2018-04-30</v>
      </c>
      <c r="G733" s="32">
        <f>'[6]price list MAN'!G733</f>
        <v>15.3</v>
      </c>
      <c r="H733" s="26">
        <f>'[6]price list MAN'!H733</f>
        <v>42978</v>
      </c>
      <c r="I733" s="51" t="str">
        <f t="shared" si="55"/>
        <v>2017Q3</v>
      </c>
      <c r="J733" s="177">
        <f>'[6]price list MAN'!J733</f>
        <v>1875000</v>
      </c>
      <c r="K733" s="177">
        <f>'[6]price list MAN'!P733</f>
        <v>1433250</v>
      </c>
      <c r="L733" s="177">
        <f>'[6]price list MAN'!R733</f>
        <v>1365000</v>
      </c>
      <c r="M733" s="174">
        <f>'[6]price list MAN'!S733</f>
        <v>1955000</v>
      </c>
      <c r="N733" s="174">
        <f>'[6]price list MAN'!Y733</f>
        <v>1517250</v>
      </c>
      <c r="O733" s="174">
        <f>'[6]price list MAN'!AA733</f>
        <v>1445000</v>
      </c>
      <c r="P733" s="68">
        <f t="shared" si="56"/>
        <v>0.2608695652173913</v>
      </c>
      <c r="Q733" s="62" t="e">
        <f>O733-#REF!</f>
        <v>#REF!</v>
      </c>
      <c r="W733" s="210"/>
      <c r="X733" s="210"/>
      <c r="Y733" s="210"/>
      <c r="Z733" s="210"/>
      <c r="AA733" s="210"/>
      <c r="AB733" s="210"/>
      <c r="AC733" s="210"/>
      <c r="AT733" s="425" t="str">
        <f t="shared" si="57"/>
        <v>KP0007072017Q315,3</v>
      </c>
      <c r="AU733" s="64" t="str">
        <f t="shared" si="58"/>
        <v>08-2017</v>
      </c>
      <c r="BA733" s="428" t="str">
        <f t="shared" si="59"/>
        <v>WIP - 30 Days</v>
      </c>
    </row>
    <row r="734" spans="2:53">
      <c r="B734" s="36" t="str">
        <f>'[6]price list MAN'!B734</f>
        <v>78W-3241</v>
      </c>
      <c r="C734" s="10" t="str">
        <f>'[6]price list MAN'!C734</f>
        <v>TGS-26-4406X4BLS-LX-ALU-EL</v>
      </c>
      <c r="D734" s="16" t="str">
        <f>IFERROR(VLOOKUP(C734&amp;"",'[7]Retail Price List'!$A$3:$B$103,2,FALSE),"Special Order")</f>
        <v>KP000707</v>
      </c>
      <c r="E734" s="494" t="str">
        <f>'[6]price list MAN'!E734</f>
        <v>CKD</v>
      </c>
      <c r="F734" s="11" t="str">
        <f>'[6]price list MAN'!F734</f>
        <v>2018-04-30</v>
      </c>
      <c r="G734" s="32">
        <f>'[6]price list MAN'!G734</f>
        <v>15.3</v>
      </c>
      <c r="H734" s="26">
        <f>'[6]price list MAN'!H734</f>
        <v>42978</v>
      </c>
      <c r="I734" s="51" t="str">
        <f t="shared" si="55"/>
        <v>2017Q3</v>
      </c>
      <c r="J734" s="177">
        <f>'[6]price list MAN'!J734</f>
        <v>1875000</v>
      </c>
      <c r="K734" s="177">
        <f>'[6]price list MAN'!P734</f>
        <v>1433250</v>
      </c>
      <c r="L734" s="177">
        <f>'[6]price list MAN'!R734</f>
        <v>1365000</v>
      </c>
      <c r="M734" s="174">
        <f>'[6]price list MAN'!S734</f>
        <v>1955000</v>
      </c>
      <c r="N734" s="174">
        <f>'[6]price list MAN'!Y734</f>
        <v>1517250</v>
      </c>
      <c r="O734" s="174">
        <f>'[6]price list MAN'!AA734</f>
        <v>1445000</v>
      </c>
      <c r="P734" s="68">
        <f t="shared" si="56"/>
        <v>0.2608695652173913</v>
      </c>
      <c r="Q734" s="62" t="e">
        <f>O734-#REF!</f>
        <v>#REF!</v>
      </c>
      <c r="W734" s="210"/>
      <c r="X734" s="210"/>
      <c r="Y734" s="210"/>
      <c r="Z734" s="210"/>
      <c r="AA734" s="210"/>
      <c r="AB734" s="210"/>
      <c r="AC734" s="210"/>
      <c r="AT734" s="425" t="str">
        <f t="shared" si="57"/>
        <v>KP0007072017Q315,3</v>
      </c>
      <c r="AU734" s="64" t="str">
        <f t="shared" si="58"/>
        <v>08-2017</v>
      </c>
      <c r="BA734" s="428" t="str">
        <f t="shared" si="59"/>
        <v>WIP - 30 Days</v>
      </c>
    </row>
    <row r="735" spans="2:53">
      <c r="B735" s="36" t="str">
        <f>'[6]price list MAN'!B735</f>
        <v>78W-6176</v>
      </c>
      <c r="C735" s="10" t="str">
        <f>'[6]price list MAN'!C735</f>
        <v>TGS-26-4406X4BLS-LX-ALU-EL</v>
      </c>
      <c r="D735" s="16" t="str">
        <f>IFERROR(VLOOKUP(C735&amp;"",'[7]Retail Price List'!$A$3:$B$103,2,FALSE),"Special Order")</f>
        <v>KP000707</v>
      </c>
      <c r="E735" s="494" t="str">
        <f>'[6]price list MAN'!E735</f>
        <v>SOLD</v>
      </c>
      <c r="F735" s="11">
        <f>'[6]price list MAN'!F735</f>
        <v>17</v>
      </c>
      <c r="G735" s="32">
        <f>'[6]price list MAN'!G735</f>
        <v>14.7</v>
      </c>
      <c r="H735" s="26">
        <f>'[6]price list MAN'!H735</f>
        <v>42947</v>
      </c>
      <c r="I735" s="51" t="str">
        <f t="shared" si="55"/>
        <v>201707Q3</v>
      </c>
      <c r="J735" s="177">
        <f>'[6]price list MAN'!J735</f>
        <v>1875000</v>
      </c>
      <c r="K735" s="177">
        <f>'[6]price list MAN'!P735</f>
        <v>1433250</v>
      </c>
      <c r="L735" s="177">
        <f>'[6]price list MAN'!R735</f>
        <v>1365000</v>
      </c>
      <c r="M735" s="174">
        <f>'[6]price list MAN'!S735</f>
        <v>1955000</v>
      </c>
      <c r="N735" s="174">
        <f>'[6]price list MAN'!Y735</f>
        <v>1517250</v>
      </c>
      <c r="O735" s="174">
        <f>'[6]price list MAN'!AA735</f>
        <v>1445000</v>
      </c>
      <c r="P735" s="68">
        <f t="shared" si="56"/>
        <v>0.2608695652173913</v>
      </c>
      <c r="Q735" s="62" t="e">
        <f>O735-#REF!</f>
        <v>#REF!</v>
      </c>
      <c r="W735" s="210"/>
      <c r="X735" s="210"/>
      <c r="Y735" s="210"/>
      <c r="Z735" s="210"/>
      <c r="AA735" s="210"/>
      <c r="AB735" s="210"/>
      <c r="AC735" s="210"/>
      <c r="AT735" s="425" t="str">
        <f t="shared" si="57"/>
        <v>KP000707201707Q314,7</v>
      </c>
      <c r="AU735" s="64" t="str">
        <f t="shared" si="58"/>
        <v>07-2017</v>
      </c>
      <c r="BA735" s="428" t="str">
        <f t="shared" si="59"/>
        <v>WIP - 30 Days</v>
      </c>
    </row>
    <row r="736" spans="2:53">
      <c r="B736" s="36" t="str">
        <f>'[6]price list MAN'!B736</f>
        <v>78W-6177</v>
      </c>
      <c r="C736" s="10" t="str">
        <f>'[6]price list MAN'!C736</f>
        <v>TGS-26-4406X4BLS-LX-ALU-EL</v>
      </c>
      <c r="D736" s="16" t="str">
        <f>IFERROR(VLOOKUP(C736&amp;"",'[7]Retail Price List'!$A$3:$B$103,2,FALSE),"Special Order")</f>
        <v>KP000707</v>
      </c>
      <c r="E736" s="494" t="str">
        <f>'[6]price list MAN'!E736</f>
        <v>CKD</v>
      </c>
      <c r="F736" s="11" t="str">
        <f>'[6]price list MAN'!F736</f>
        <v>2018-02-19</v>
      </c>
      <c r="G736" s="32">
        <f>'[6]price list MAN'!G736</f>
        <v>14.7</v>
      </c>
      <c r="H736" s="26">
        <f>'[6]price list MAN'!H736</f>
        <v>42947</v>
      </c>
      <c r="I736" s="51" t="str">
        <f t="shared" si="55"/>
        <v>201707Q3</v>
      </c>
      <c r="J736" s="177">
        <f>'[6]price list MAN'!J736</f>
        <v>1875000</v>
      </c>
      <c r="K736" s="177">
        <f>'[6]price list MAN'!P736</f>
        <v>1443750</v>
      </c>
      <c r="L736" s="177">
        <f>'[6]price list MAN'!R736</f>
        <v>1375000</v>
      </c>
      <c r="M736" s="174">
        <f>'[6]price list MAN'!S736</f>
        <v>1955000</v>
      </c>
      <c r="N736" s="174">
        <f>'[6]price list MAN'!Y736</f>
        <v>1527750</v>
      </c>
      <c r="O736" s="174">
        <f>'[6]price list MAN'!AA736</f>
        <v>1455000</v>
      </c>
      <c r="P736" s="68">
        <f t="shared" si="56"/>
        <v>0.25575447570332482</v>
      </c>
      <c r="Q736" s="62" t="e">
        <f>O736-#REF!</f>
        <v>#REF!</v>
      </c>
      <c r="W736" s="210"/>
      <c r="X736" s="210"/>
      <c r="Y736" s="210"/>
      <c r="Z736" s="210"/>
      <c r="AA736" s="210"/>
      <c r="AB736" s="210"/>
      <c r="AC736" s="210"/>
      <c r="AT736" s="425" t="str">
        <f t="shared" si="57"/>
        <v>KP000707201707Q314,7</v>
      </c>
      <c r="AU736" s="64" t="str">
        <f t="shared" si="58"/>
        <v>07-2017</v>
      </c>
      <c r="BA736" s="428" t="str">
        <f t="shared" si="59"/>
        <v>WIP - 30 Days</v>
      </c>
    </row>
    <row r="737" spans="2:53">
      <c r="B737" s="36" t="str">
        <f>'[6]price list MAN'!B737</f>
        <v>78W-6179</v>
      </c>
      <c r="C737" s="10" t="str">
        <f>'[6]price list MAN'!C737</f>
        <v>TGS-26-4406X4BLS-LX-ALU-EL</v>
      </c>
      <c r="D737" s="16" t="str">
        <f>IFERROR(VLOOKUP(C737&amp;"",'[7]Retail Price List'!$A$3:$B$103,2,FALSE),"Special Order")</f>
        <v>KP000707</v>
      </c>
      <c r="E737" s="494" t="str">
        <f>'[6]price list MAN'!E737</f>
        <v>SOLD</v>
      </c>
      <c r="F737" s="11">
        <f>'[6]price list MAN'!F737</f>
        <v>5</v>
      </c>
      <c r="G737" s="32">
        <f>'[6]price list MAN'!G737</f>
        <v>14.7</v>
      </c>
      <c r="H737" s="26">
        <f>'[6]price list MAN'!H737</f>
        <v>42947</v>
      </c>
      <c r="I737" s="51" t="str">
        <f t="shared" si="55"/>
        <v>201707Q3</v>
      </c>
      <c r="J737" s="177">
        <f>'[6]price list MAN'!J737</f>
        <v>1875000</v>
      </c>
      <c r="K737" s="177">
        <f>'[6]price list MAN'!P737</f>
        <v>1443750</v>
      </c>
      <c r="L737" s="177">
        <f>'[6]price list MAN'!R737</f>
        <v>1375000</v>
      </c>
      <c r="M737" s="174">
        <f>'[6]price list MAN'!S737</f>
        <v>1955000</v>
      </c>
      <c r="N737" s="174">
        <f>'[6]price list MAN'!Y737</f>
        <v>1527750</v>
      </c>
      <c r="O737" s="174">
        <f>'[6]price list MAN'!AA737</f>
        <v>1455000</v>
      </c>
      <c r="P737" s="68">
        <f t="shared" si="56"/>
        <v>0.25575447570332482</v>
      </c>
      <c r="Q737" s="62" t="e">
        <f>O737-#REF!</f>
        <v>#REF!</v>
      </c>
      <c r="W737" s="210"/>
      <c r="X737" s="210"/>
      <c r="Y737" s="210"/>
      <c r="Z737" s="210"/>
      <c r="AA737" s="210"/>
      <c r="AB737" s="210"/>
      <c r="AC737" s="210"/>
      <c r="AT737" s="425" t="str">
        <f t="shared" si="57"/>
        <v>KP000707201707Q314,7</v>
      </c>
      <c r="AU737" s="64" t="str">
        <f t="shared" si="58"/>
        <v>07-2017</v>
      </c>
      <c r="BA737" s="428" t="str">
        <f t="shared" si="59"/>
        <v>WIP - 30 Days</v>
      </c>
    </row>
    <row r="738" spans="2:53">
      <c r="B738" s="36" t="str">
        <f>'[6]price list MAN'!B738</f>
        <v>78W-6192</v>
      </c>
      <c r="C738" s="10" t="str">
        <f>'[6]price list MAN'!C738</f>
        <v>TGS-26-4406X4BLS-LX-ALU-EL</v>
      </c>
      <c r="D738" s="16" t="str">
        <f>IFERROR(VLOOKUP(C738&amp;"",'[7]Retail Price List'!$A$3:$B$103,2,FALSE),"Special Order")</f>
        <v>KP000707</v>
      </c>
      <c r="E738" s="494" t="str">
        <f>'[6]price list MAN'!E738</f>
        <v>CKD</v>
      </c>
      <c r="F738" s="11" t="str">
        <f>'[6]price list MAN'!F738</f>
        <v>2018-02-20</v>
      </c>
      <c r="G738" s="32">
        <f>'[6]price list MAN'!G738</f>
        <v>14.7</v>
      </c>
      <c r="H738" s="26">
        <f>'[6]price list MAN'!H738</f>
        <v>42947</v>
      </c>
      <c r="I738" s="51" t="str">
        <f t="shared" si="55"/>
        <v>201707Q3</v>
      </c>
      <c r="J738" s="177">
        <f>'[6]price list MAN'!J738</f>
        <v>1875000</v>
      </c>
      <c r="K738" s="177">
        <f>'[6]price list MAN'!P738</f>
        <v>1443750</v>
      </c>
      <c r="L738" s="177">
        <f>'[6]price list MAN'!R738</f>
        <v>1375000</v>
      </c>
      <c r="M738" s="174">
        <f>'[6]price list MAN'!S738</f>
        <v>1955000</v>
      </c>
      <c r="N738" s="174">
        <f>'[6]price list MAN'!Y738</f>
        <v>1527750</v>
      </c>
      <c r="O738" s="174">
        <f>'[6]price list MAN'!AA738</f>
        <v>1455000</v>
      </c>
      <c r="P738" s="68">
        <f t="shared" si="56"/>
        <v>0.25575447570332482</v>
      </c>
      <c r="Q738" s="62" t="e">
        <f>O738-#REF!</f>
        <v>#REF!</v>
      </c>
      <c r="W738" s="210"/>
      <c r="X738" s="210"/>
      <c r="Y738" s="210"/>
      <c r="Z738" s="210"/>
      <c r="AA738" s="210"/>
      <c r="AB738" s="210"/>
      <c r="AC738" s="210"/>
      <c r="AT738" s="425" t="str">
        <f t="shared" si="57"/>
        <v>KP000707201707Q314,7</v>
      </c>
      <c r="AU738" s="64" t="str">
        <f t="shared" si="58"/>
        <v>07-2017</v>
      </c>
      <c r="BA738" s="428" t="str">
        <f t="shared" si="59"/>
        <v>WIP - 30 Days</v>
      </c>
    </row>
    <row r="739" spans="2:53">
      <c r="B739" s="36" t="str">
        <f>'[6]price list MAN'!B739</f>
        <v>78W-6193</v>
      </c>
      <c r="C739" s="10" t="str">
        <f>'[6]price list MAN'!C739</f>
        <v>TGS-26-4406X4BLS-LX-ALU-EL</v>
      </c>
      <c r="D739" s="16" t="str">
        <f>IFERROR(VLOOKUP(C739&amp;"",'[7]Retail Price List'!$A$3:$B$103,2,FALSE),"Special Order")</f>
        <v>KP000707</v>
      </c>
      <c r="E739" s="494" t="str">
        <f>'[6]price list MAN'!E739</f>
        <v>CKD</v>
      </c>
      <c r="F739" s="11" t="str">
        <f>'[6]price list MAN'!F739</f>
        <v>2018-02-20</v>
      </c>
      <c r="G739" s="32">
        <f>'[6]price list MAN'!G739</f>
        <v>14.7</v>
      </c>
      <c r="H739" s="26">
        <f>'[6]price list MAN'!H739</f>
        <v>42947</v>
      </c>
      <c r="I739" s="51" t="str">
        <f t="shared" si="55"/>
        <v>201707Q3</v>
      </c>
      <c r="J739" s="177">
        <f>'[6]price list MAN'!J739</f>
        <v>1875000</v>
      </c>
      <c r="K739" s="177">
        <f>'[6]price list MAN'!P739</f>
        <v>1443750</v>
      </c>
      <c r="L739" s="177">
        <f>'[6]price list MAN'!R739</f>
        <v>1375000</v>
      </c>
      <c r="M739" s="174">
        <f>'[6]price list MAN'!S739</f>
        <v>1955000</v>
      </c>
      <c r="N739" s="174">
        <f>'[6]price list MAN'!Y739</f>
        <v>1527750</v>
      </c>
      <c r="O739" s="174">
        <f>'[6]price list MAN'!AA739</f>
        <v>1455000</v>
      </c>
      <c r="P739" s="68">
        <f t="shared" si="56"/>
        <v>0.25575447570332482</v>
      </c>
      <c r="Q739" s="62" t="e">
        <f>O739-#REF!</f>
        <v>#REF!</v>
      </c>
      <c r="W739" s="210"/>
      <c r="X739" s="210"/>
      <c r="Y739" s="210"/>
      <c r="Z739" s="210"/>
      <c r="AA739" s="210"/>
      <c r="AB739" s="210"/>
      <c r="AC739" s="210"/>
      <c r="AT739" s="425" t="str">
        <f t="shared" si="57"/>
        <v>KP000707201707Q314,7</v>
      </c>
      <c r="AU739" s="64" t="str">
        <f t="shared" si="58"/>
        <v>07-2017</v>
      </c>
      <c r="BA739" s="428" t="str">
        <f t="shared" si="59"/>
        <v>WIP - 30 Days</v>
      </c>
    </row>
    <row r="740" spans="2:53">
      <c r="B740" s="36" t="str">
        <f>'[6]price list MAN'!B740</f>
        <v>78W-6194</v>
      </c>
      <c r="C740" s="10" t="str">
        <f>'[6]price list MAN'!C740</f>
        <v>TGS-26-4406X4BLS-LX-ALU-EL</v>
      </c>
      <c r="D740" s="16" t="str">
        <f>IFERROR(VLOOKUP(C740&amp;"",'[7]Retail Price List'!$A$3:$B$103,2,FALSE),"Special Order")</f>
        <v>KP000707</v>
      </c>
      <c r="E740" s="494" t="str">
        <f>'[6]price list MAN'!E740</f>
        <v>SOLD</v>
      </c>
      <c r="F740" s="11">
        <f>'[6]price list MAN'!F740</f>
        <v>4</v>
      </c>
      <c r="G740" s="32">
        <f>'[6]price list MAN'!G740</f>
        <v>14.7</v>
      </c>
      <c r="H740" s="26">
        <f>'[6]price list MAN'!H740</f>
        <v>42947</v>
      </c>
      <c r="I740" s="51" t="str">
        <f t="shared" si="55"/>
        <v>201707Q3</v>
      </c>
      <c r="J740" s="177">
        <f>'[6]price list MAN'!J740</f>
        <v>1875000</v>
      </c>
      <c r="K740" s="177">
        <f>'[6]price list MAN'!P740</f>
        <v>1443750</v>
      </c>
      <c r="L740" s="177">
        <f>'[6]price list MAN'!R740</f>
        <v>1375000</v>
      </c>
      <c r="M740" s="174">
        <f>'[6]price list MAN'!S740</f>
        <v>1955000</v>
      </c>
      <c r="N740" s="174">
        <f>'[6]price list MAN'!Y740</f>
        <v>1527750</v>
      </c>
      <c r="O740" s="174">
        <f>'[6]price list MAN'!AA740</f>
        <v>1455000</v>
      </c>
      <c r="P740" s="68">
        <f t="shared" si="56"/>
        <v>0.25575447570332482</v>
      </c>
      <c r="Q740" s="62" t="e">
        <f>O740-#REF!</f>
        <v>#REF!</v>
      </c>
      <c r="W740" s="210"/>
      <c r="X740" s="210"/>
      <c r="Y740" s="210"/>
      <c r="Z740" s="210"/>
      <c r="AA740" s="210"/>
      <c r="AB740" s="210"/>
      <c r="AC740" s="210"/>
      <c r="AT740" s="425" t="str">
        <f t="shared" si="57"/>
        <v>KP000707201707Q314,7</v>
      </c>
      <c r="AU740" s="64" t="str">
        <f t="shared" si="58"/>
        <v>07-2017</v>
      </c>
      <c r="BA740" s="428" t="str">
        <f t="shared" si="59"/>
        <v>WIP - 30 Days</v>
      </c>
    </row>
    <row r="741" spans="2:53">
      <c r="B741" s="36" t="str">
        <f>'[6]price list MAN'!B741</f>
        <v>78W-6195</v>
      </c>
      <c r="C741" s="10" t="str">
        <f>'[6]price list MAN'!C741</f>
        <v>TGS-26-4406X4BLS-LX-ALU-EL</v>
      </c>
      <c r="D741" s="16" t="str">
        <f>IFERROR(VLOOKUP(C741&amp;"",'[7]Retail Price List'!$A$3:$B$103,2,FALSE),"Special Order")</f>
        <v>KP000707</v>
      </c>
      <c r="E741" s="494" t="str">
        <f>'[6]price list MAN'!E741</f>
        <v>CKD</v>
      </c>
      <c r="F741" s="11" t="str">
        <f>'[6]price list MAN'!F741</f>
        <v>2018-02-20</v>
      </c>
      <c r="G741" s="32">
        <f>'[6]price list MAN'!G741</f>
        <v>14.7</v>
      </c>
      <c r="H741" s="26">
        <f>'[6]price list MAN'!H741</f>
        <v>42947</v>
      </c>
      <c r="I741" s="51" t="str">
        <f t="shared" si="55"/>
        <v>201707Q3</v>
      </c>
      <c r="J741" s="177">
        <f>'[6]price list MAN'!J741</f>
        <v>1875000</v>
      </c>
      <c r="K741" s="177">
        <f>'[6]price list MAN'!P741</f>
        <v>1443750</v>
      </c>
      <c r="L741" s="177">
        <f>'[6]price list MAN'!R741</f>
        <v>1375000</v>
      </c>
      <c r="M741" s="174">
        <f>'[6]price list MAN'!S741</f>
        <v>1955000</v>
      </c>
      <c r="N741" s="174">
        <f>'[6]price list MAN'!Y741</f>
        <v>1527750</v>
      </c>
      <c r="O741" s="174">
        <f>'[6]price list MAN'!AA741</f>
        <v>1455000</v>
      </c>
      <c r="P741" s="68">
        <f t="shared" si="56"/>
        <v>0.25575447570332482</v>
      </c>
      <c r="Q741" s="62" t="e">
        <f>O741-#REF!</f>
        <v>#REF!</v>
      </c>
      <c r="W741" s="210"/>
      <c r="X741" s="210"/>
      <c r="Y741" s="210"/>
      <c r="Z741" s="210"/>
      <c r="AA741" s="210"/>
      <c r="AB741" s="210"/>
      <c r="AC741" s="210"/>
      <c r="AT741" s="425" t="str">
        <f t="shared" si="57"/>
        <v>KP000707201707Q314,7</v>
      </c>
      <c r="AU741" s="64" t="str">
        <f t="shared" si="58"/>
        <v>07-2017</v>
      </c>
      <c r="BA741" s="428" t="str">
        <f t="shared" si="59"/>
        <v>WIP - 30 Days</v>
      </c>
    </row>
    <row r="742" spans="2:53">
      <c r="B742" s="36" t="str">
        <f>'[6]price list MAN'!B742</f>
        <v>78W-6296</v>
      </c>
      <c r="C742" s="10" t="str">
        <f>'[6]price list MAN'!C742</f>
        <v>TGS-26-4406X4BLS-LX-ALU-EL</v>
      </c>
      <c r="D742" s="16" t="str">
        <f>IFERROR(VLOOKUP(C742&amp;"",'[7]Retail Price List'!$A$3:$B$103,2,FALSE),"Special Order")</f>
        <v>KP000707</v>
      </c>
      <c r="E742" s="494" t="str">
        <f>'[6]price list MAN'!E742</f>
        <v>CKD</v>
      </c>
      <c r="F742" s="11" t="str">
        <f>'[6]price list MAN'!F742</f>
        <v>2018-02-23</v>
      </c>
      <c r="G742" s="32">
        <f>'[6]price list MAN'!G742</f>
        <v>15.3</v>
      </c>
      <c r="H742" s="26">
        <f>'[6]price list MAN'!H742</f>
        <v>42978</v>
      </c>
      <c r="I742" s="51" t="str">
        <f t="shared" si="55"/>
        <v>2017Q3</v>
      </c>
      <c r="J742" s="177">
        <f>'[6]price list MAN'!J742</f>
        <v>1875000</v>
      </c>
      <c r="K742" s="177">
        <f>'[6]price list MAN'!P742</f>
        <v>1443750</v>
      </c>
      <c r="L742" s="177">
        <f>'[6]price list MAN'!R742</f>
        <v>1375000</v>
      </c>
      <c r="M742" s="174">
        <f>'[6]price list MAN'!S742</f>
        <v>1955000</v>
      </c>
      <c r="N742" s="174">
        <f>'[6]price list MAN'!Y742</f>
        <v>1527750</v>
      </c>
      <c r="O742" s="174">
        <f>'[6]price list MAN'!AA742</f>
        <v>1455000</v>
      </c>
      <c r="P742" s="68">
        <f t="shared" si="56"/>
        <v>0.25575447570332482</v>
      </c>
      <c r="Q742" s="62" t="e">
        <f>O742-#REF!</f>
        <v>#REF!</v>
      </c>
      <c r="W742" s="210"/>
      <c r="X742" s="210"/>
      <c r="Y742" s="210"/>
      <c r="Z742" s="210"/>
      <c r="AA742" s="210"/>
      <c r="AB742" s="210"/>
      <c r="AC742" s="210"/>
      <c r="AT742" s="425" t="str">
        <f t="shared" si="57"/>
        <v>KP0007072017Q315,3</v>
      </c>
      <c r="AU742" s="64" t="str">
        <f t="shared" si="58"/>
        <v>08-2017</v>
      </c>
      <c r="BA742" s="428" t="str">
        <f t="shared" si="59"/>
        <v>WIP - 30 Days</v>
      </c>
    </row>
    <row r="743" spans="2:53">
      <c r="B743" s="36" t="str">
        <f>'[6]price list MAN'!B743</f>
        <v>78W-6297</v>
      </c>
      <c r="C743" s="10" t="str">
        <f>'[6]price list MAN'!C743</f>
        <v>TGS-26-4406X4BLS-LX-ALU-EL</v>
      </c>
      <c r="D743" s="16" t="str">
        <f>IFERROR(VLOOKUP(C743&amp;"",'[7]Retail Price List'!$A$3:$B$103,2,FALSE),"Special Order")</f>
        <v>KP000707</v>
      </c>
      <c r="E743" s="494" t="str">
        <f>'[6]price list MAN'!E743</f>
        <v>CKD</v>
      </c>
      <c r="F743" s="11" t="str">
        <f>'[6]price list MAN'!F743</f>
        <v>2018-02-23</v>
      </c>
      <c r="G743" s="32">
        <f>'[6]price list MAN'!G743</f>
        <v>15.3</v>
      </c>
      <c r="H743" s="26">
        <f>'[6]price list MAN'!H743</f>
        <v>42978</v>
      </c>
      <c r="I743" s="51" t="str">
        <f t="shared" si="55"/>
        <v>2017Q3</v>
      </c>
      <c r="J743" s="177">
        <f>'[6]price list MAN'!J743</f>
        <v>1875000</v>
      </c>
      <c r="K743" s="177">
        <f>'[6]price list MAN'!P743</f>
        <v>1443750</v>
      </c>
      <c r="L743" s="177">
        <f>'[6]price list MAN'!R743</f>
        <v>1375000</v>
      </c>
      <c r="M743" s="174">
        <f>'[6]price list MAN'!S743</f>
        <v>1955000</v>
      </c>
      <c r="N743" s="174">
        <f>'[6]price list MAN'!Y743</f>
        <v>1527750</v>
      </c>
      <c r="O743" s="174">
        <f>'[6]price list MAN'!AA743</f>
        <v>1455000</v>
      </c>
      <c r="P743" s="68">
        <f t="shared" si="56"/>
        <v>0.25575447570332482</v>
      </c>
      <c r="Q743" s="62" t="e">
        <f>O743-#REF!</f>
        <v>#REF!</v>
      </c>
      <c r="W743" s="210"/>
      <c r="X743" s="210"/>
      <c r="Y743" s="210"/>
      <c r="Z743" s="210"/>
      <c r="AA743" s="210"/>
      <c r="AB743" s="210"/>
      <c r="AC743" s="210"/>
      <c r="AT743" s="425" t="str">
        <f t="shared" si="57"/>
        <v>KP0007072017Q315,3</v>
      </c>
      <c r="AU743" s="64" t="str">
        <f t="shared" si="58"/>
        <v>08-2017</v>
      </c>
      <c r="BA743" s="428" t="str">
        <f t="shared" si="59"/>
        <v>WIP - 30 Days</v>
      </c>
    </row>
    <row r="744" spans="2:53">
      <c r="B744" s="36" t="str">
        <f>'[6]price list MAN'!B744</f>
        <v>78W-6298</v>
      </c>
      <c r="C744" s="10" t="str">
        <f>'[6]price list MAN'!C744</f>
        <v>TGS-26-4406X4BLS-LX-ALU-EL</v>
      </c>
      <c r="D744" s="16" t="str">
        <f>IFERROR(VLOOKUP(C744&amp;"",'[7]Retail Price List'!$A$3:$B$103,2,FALSE),"Special Order")</f>
        <v>KP000707</v>
      </c>
      <c r="E744" s="494" t="str">
        <f>'[6]price list MAN'!E744</f>
        <v>CKD</v>
      </c>
      <c r="F744" s="11" t="str">
        <f>'[6]price list MAN'!F744</f>
        <v>2018-03-30</v>
      </c>
      <c r="G744" s="32">
        <f>'[6]price list MAN'!G744</f>
        <v>15.3</v>
      </c>
      <c r="H744" s="26">
        <f>'[6]price list MAN'!H744</f>
        <v>42978</v>
      </c>
      <c r="I744" s="51" t="str">
        <f t="shared" si="55"/>
        <v>2017Q3</v>
      </c>
      <c r="J744" s="177">
        <f>'[6]price list MAN'!J744</f>
        <v>1875000</v>
      </c>
      <c r="K744" s="177">
        <f>'[6]price list MAN'!P744</f>
        <v>1443750</v>
      </c>
      <c r="L744" s="177">
        <f>'[6]price list MAN'!R744</f>
        <v>1375000</v>
      </c>
      <c r="M744" s="174">
        <f>'[6]price list MAN'!S744</f>
        <v>1955000</v>
      </c>
      <c r="N744" s="174">
        <f>'[6]price list MAN'!Y744</f>
        <v>1527750</v>
      </c>
      <c r="O744" s="174">
        <f>'[6]price list MAN'!AA744</f>
        <v>1455000</v>
      </c>
      <c r="P744" s="68">
        <f t="shared" si="56"/>
        <v>0.25575447570332482</v>
      </c>
      <c r="Q744" s="62" t="e">
        <f>O744-#REF!</f>
        <v>#REF!</v>
      </c>
      <c r="W744" s="210"/>
      <c r="X744" s="210"/>
      <c r="Y744" s="210"/>
      <c r="Z744" s="210"/>
      <c r="AA744" s="210"/>
      <c r="AB744" s="210"/>
      <c r="AC744" s="210"/>
      <c r="AT744" s="425" t="str">
        <f t="shared" si="57"/>
        <v>KP0007072017Q315,3</v>
      </c>
      <c r="AU744" s="64" t="str">
        <f t="shared" si="58"/>
        <v>08-2017</v>
      </c>
      <c r="BA744" s="428" t="str">
        <f t="shared" si="59"/>
        <v>WIP - 30 Days</v>
      </c>
    </row>
    <row r="745" spans="2:53">
      <c r="B745" s="36" t="str">
        <f>'[6]price list MAN'!B745</f>
        <v>78W-6299</v>
      </c>
      <c r="C745" s="10" t="str">
        <f>'[6]price list MAN'!C745</f>
        <v>TGS-26-4406X4BLS-LX-ALU-EL</v>
      </c>
      <c r="D745" s="16" t="str">
        <f>IFERROR(VLOOKUP(C745&amp;"",'[7]Retail Price List'!$A$3:$B$103,2,FALSE),"Special Order")</f>
        <v>KP000707</v>
      </c>
      <c r="E745" s="494" t="str">
        <f>'[6]price list MAN'!E745</f>
        <v>CKD</v>
      </c>
      <c r="F745" s="11" t="str">
        <f>'[6]price list MAN'!F745</f>
        <v>2018-03-30</v>
      </c>
      <c r="G745" s="32">
        <f>'[6]price list MAN'!G745</f>
        <v>15.3</v>
      </c>
      <c r="H745" s="26">
        <f>'[6]price list MAN'!H745</f>
        <v>42978</v>
      </c>
      <c r="I745" s="51" t="str">
        <f t="shared" si="55"/>
        <v>2017Q3</v>
      </c>
      <c r="J745" s="177">
        <f>'[6]price list MAN'!J745</f>
        <v>1875000</v>
      </c>
      <c r="K745" s="177">
        <f>'[6]price list MAN'!P745</f>
        <v>1443750</v>
      </c>
      <c r="L745" s="177">
        <f>'[6]price list MAN'!R745</f>
        <v>1375000</v>
      </c>
      <c r="M745" s="174">
        <f>'[6]price list MAN'!S745</f>
        <v>1955000</v>
      </c>
      <c r="N745" s="174">
        <f>'[6]price list MAN'!Y745</f>
        <v>1527750</v>
      </c>
      <c r="O745" s="174">
        <f>'[6]price list MAN'!AA745</f>
        <v>1455000</v>
      </c>
      <c r="P745" s="68">
        <f t="shared" si="56"/>
        <v>0.25575447570332482</v>
      </c>
      <c r="Q745" s="62" t="e">
        <f>O745-#REF!</f>
        <v>#REF!</v>
      </c>
      <c r="W745" s="210"/>
      <c r="X745" s="210"/>
      <c r="Y745" s="210"/>
      <c r="Z745" s="210"/>
      <c r="AA745" s="210"/>
      <c r="AB745" s="210"/>
      <c r="AC745" s="210"/>
      <c r="AT745" s="425" t="str">
        <f t="shared" si="57"/>
        <v>KP0007072017Q315,3</v>
      </c>
      <c r="AU745" s="64" t="str">
        <f t="shared" si="58"/>
        <v>08-2017</v>
      </c>
      <c r="BA745" s="428" t="str">
        <f t="shared" si="59"/>
        <v>WIP - 30 Days</v>
      </c>
    </row>
    <row r="746" spans="2:53">
      <c r="B746" s="36" t="str">
        <f>'[6]price list MAN'!B746</f>
        <v>78W-6304</v>
      </c>
      <c r="C746" s="10" t="str">
        <f>'[6]price list MAN'!C746</f>
        <v>TGS-26-4406X4BLS-LX-ALU-EL</v>
      </c>
      <c r="D746" s="16" t="str">
        <f>IFERROR(VLOOKUP(C746&amp;"",'[7]Retail Price List'!$A$3:$B$103,2,FALSE),"Special Order")</f>
        <v>KP000707</v>
      </c>
      <c r="E746" s="494" t="str">
        <f>'[6]price list MAN'!E746</f>
        <v>BOOKED: 2018-01-29</v>
      </c>
      <c r="F746" s="11" t="str">
        <f>'[6]price list MAN'!F746</f>
        <v>2018-03-30</v>
      </c>
      <c r="G746" s="32">
        <f>'[6]price list MAN'!G746</f>
        <v>15.3</v>
      </c>
      <c r="H746" s="26">
        <f>'[6]price list MAN'!H746</f>
        <v>42978</v>
      </c>
      <c r="I746" s="51" t="str">
        <f t="shared" si="55"/>
        <v>2017Q3</v>
      </c>
      <c r="J746" s="177">
        <f>'[6]price list MAN'!J746</f>
        <v>1875000</v>
      </c>
      <c r="K746" s="177">
        <f>'[6]price list MAN'!P746</f>
        <v>1443750</v>
      </c>
      <c r="L746" s="177">
        <f>'[6]price list MAN'!R746</f>
        <v>1375000</v>
      </c>
      <c r="M746" s="174">
        <f>'[6]price list MAN'!S746</f>
        <v>1955000</v>
      </c>
      <c r="N746" s="174">
        <f>'[6]price list MAN'!Y746</f>
        <v>1527750</v>
      </c>
      <c r="O746" s="174">
        <f>'[6]price list MAN'!AA746</f>
        <v>1455000</v>
      </c>
      <c r="P746" s="68">
        <f t="shared" si="56"/>
        <v>0.25575447570332482</v>
      </c>
      <c r="Q746" s="62" t="e">
        <f>O746-#REF!</f>
        <v>#REF!</v>
      </c>
      <c r="W746" s="210"/>
      <c r="X746" s="210"/>
      <c r="Y746" s="210"/>
      <c r="Z746" s="210"/>
      <c r="AA746" s="210"/>
      <c r="AB746" s="210"/>
      <c r="AC746" s="210"/>
      <c r="AT746" s="425" t="str">
        <f t="shared" si="57"/>
        <v>KP0007072017Q315,3</v>
      </c>
      <c r="AU746" s="64" t="str">
        <f t="shared" si="58"/>
        <v>08-2017</v>
      </c>
      <c r="BA746" s="428" t="str">
        <f t="shared" si="59"/>
        <v>&gt;365 Days</v>
      </c>
    </row>
    <row r="747" spans="2:53">
      <c r="B747" s="36" t="str">
        <f>'[6]price list MAN'!B747</f>
        <v>78W-6305</v>
      </c>
      <c r="C747" s="10" t="str">
        <f>'[6]price list MAN'!C747</f>
        <v>TGS-26-4406X4BLS-LX-ALU-EL</v>
      </c>
      <c r="D747" s="16" t="str">
        <f>IFERROR(VLOOKUP(C747&amp;"",'[7]Retail Price List'!$A$3:$B$103,2,FALSE),"Special Order")</f>
        <v>KP000707</v>
      </c>
      <c r="E747" s="494" t="str">
        <f>'[6]price list MAN'!E747</f>
        <v>BOOKED: 2018-01-29</v>
      </c>
      <c r="F747" s="11" t="str">
        <f>'[6]price list MAN'!F747</f>
        <v>2018-03-30</v>
      </c>
      <c r="G747" s="32">
        <f>'[6]price list MAN'!G747</f>
        <v>15.3</v>
      </c>
      <c r="H747" s="26">
        <f>'[6]price list MAN'!H747</f>
        <v>42978</v>
      </c>
      <c r="I747" s="51" t="str">
        <f t="shared" si="55"/>
        <v>2017Q3</v>
      </c>
      <c r="J747" s="177">
        <f>'[6]price list MAN'!J747</f>
        <v>1875000</v>
      </c>
      <c r="K747" s="177">
        <f>'[6]price list MAN'!P747</f>
        <v>1443750</v>
      </c>
      <c r="L747" s="177">
        <f>'[6]price list MAN'!R747</f>
        <v>1375000</v>
      </c>
      <c r="M747" s="174">
        <f>'[6]price list MAN'!S747</f>
        <v>1955000</v>
      </c>
      <c r="N747" s="174">
        <f>'[6]price list MAN'!Y747</f>
        <v>1527750</v>
      </c>
      <c r="O747" s="174">
        <f>'[6]price list MAN'!AA747</f>
        <v>1455000</v>
      </c>
      <c r="P747" s="68">
        <f t="shared" si="56"/>
        <v>0.25575447570332482</v>
      </c>
      <c r="Q747" s="62" t="e">
        <f>O747-#REF!</f>
        <v>#REF!</v>
      </c>
      <c r="W747" s="210"/>
      <c r="X747" s="210"/>
      <c r="Y747" s="210"/>
      <c r="Z747" s="210"/>
      <c r="AA747" s="210"/>
      <c r="AB747" s="210"/>
      <c r="AC747" s="210"/>
      <c r="AT747" s="425" t="str">
        <f t="shared" si="57"/>
        <v>KP0007072017Q315,3</v>
      </c>
      <c r="AU747" s="64" t="str">
        <f t="shared" si="58"/>
        <v>08-2017</v>
      </c>
      <c r="BA747" s="428" t="str">
        <f t="shared" si="59"/>
        <v>&gt;365 Days</v>
      </c>
    </row>
    <row r="748" spans="2:53">
      <c r="B748" s="36" t="str">
        <f>'[6]price list MAN'!B748</f>
        <v>78W-6306</v>
      </c>
      <c r="C748" s="10" t="str">
        <f>'[6]price list MAN'!C748</f>
        <v>TGS-26-4406X4BLS-LX-ALU-EL</v>
      </c>
      <c r="D748" s="16" t="str">
        <f>IFERROR(VLOOKUP(C748&amp;"",'[7]Retail Price List'!$A$3:$B$103,2,FALSE),"Special Order")</f>
        <v>KP000707</v>
      </c>
      <c r="E748" s="494" t="str">
        <f>'[6]price list MAN'!E748</f>
        <v>BOOKED: 2018-01-29</v>
      </c>
      <c r="F748" s="11" t="str">
        <f>'[6]price list MAN'!F748</f>
        <v>2018-03-30</v>
      </c>
      <c r="G748" s="32">
        <f>'[6]price list MAN'!G748</f>
        <v>15.3</v>
      </c>
      <c r="H748" s="26">
        <f>'[6]price list MAN'!H748</f>
        <v>42978</v>
      </c>
      <c r="I748" s="51" t="str">
        <f t="shared" si="55"/>
        <v>2017Q3</v>
      </c>
      <c r="J748" s="177">
        <f>'[6]price list MAN'!J748</f>
        <v>1875000</v>
      </c>
      <c r="K748" s="177">
        <f>'[6]price list MAN'!P748</f>
        <v>1443750</v>
      </c>
      <c r="L748" s="177">
        <f>'[6]price list MAN'!R748</f>
        <v>1375000</v>
      </c>
      <c r="M748" s="174">
        <f>'[6]price list MAN'!S748</f>
        <v>1955000</v>
      </c>
      <c r="N748" s="174">
        <f>'[6]price list MAN'!Y748</f>
        <v>1527750</v>
      </c>
      <c r="O748" s="174">
        <f>'[6]price list MAN'!AA748</f>
        <v>1455000</v>
      </c>
      <c r="P748" s="68">
        <f t="shared" si="56"/>
        <v>0.25575447570332482</v>
      </c>
      <c r="Q748" s="62" t="e">
        <f>O748-#REF!</f>
        <v>#REF!</v>
      </c>
      <c r="W748" s="210"/>
      <c r="X748" s="210"/>
      <c r="Y748" s="210"/>
      <c r="Z748" s="210"/>
      <c r="AA748" s="210"/>
      <c r="AB748" s="210"/>
      <c r="AC748" s="210"/>
      <c r="AT748" s="425" t="str">
        <f t="shared" si="57"/>
        <v>KP0007072017Q315,3</v>
      </c>
      <c r="AU748" s="64" t="str">
        <f t="shared" si="58"/>
        <v>08-2017</v>
      </c>
      <c r="BA748" s="428" t="str">
        <f t="shared" si="59"/>
        <v>&gt;365 Days</v>
      </c>
    </row>
    <row r="749" spans="2:53">
      <c r="B749" s="36" t="str">
        <f>'[6]price list MAN'!B749</f>
        <v>78W-6311</v>
      </c>
      <c r="C749" s="10" t="str">
        <f>'[6]price list MAN'!C749</f>
        <v>TGS-26-4406X4BLS-LX-ALU-EL</v>
      </c>
      <c r="D749" s="16" t="str">
        <f>IFERROR(VLOOKUP(C749&amp;"",'[7]Retail Price List'!$A$3:$B$103,2,FALSE),"Special Order")</f>
        <v>KP000707</v>
      </c>
      <c r="E749" s="494" t="str">
        <f>'[6]price list MAN'!E749</f>
        <v>CKD</v>
      </c>
      <c r="F749" s="11" t="str">
        <f>'[6]price list MAN'!F749</f>
        <v>2018-03-30</v>
      </c>
      <c r="G749" s="32">
        <f>'[6]price list MAN'!G749</f>
        <v>15.3</v>
      </c>
      <c r="H749" s="26">
        <f>'[6]price list MAN'!H749</f>
        <v>42978</v>
      </c>
      <c r="I749" s="51" t="str">
        <f t="shared" si="55"/>
        <v>2017Q3</v>
      </c>
      <c r="J749" s="177">
        <f>'[6]price list MAN'!J749</f>
        <v>1875000</v>
      </c>
      <c r="K749" s="177">
        <f>'[6]price list MAN'!P749</f>
        <v>1433250</v>
      </c>
      <c r="L749" s="177">
        <f>'[6]price list MAN'!R749</f>
        <v>1365000</v>
      </c>
      <c r="M749" s="174">
        <f>'[6]price list MAN'!S749</f>
        <v>1955000</v>
      </c>
      <c r="N749" s="174">
        <f>'[6]price list MAN'!Y749</f>
        <v>1517250</v>
      </c>
      <c r="O749" s="174">
        <f>'[6]price list MAN'!AA749</f>
        <v>1445000</v>
      </c>
      <c r="P749" s="68">
        <f t="shared" si="56"/>
        <v>0.2608695652173913</v>
      </c>
      <c r="Q749" s="62" t="e">
        <f>O749-#REF!</f>
        <v>#REF!</v>
      </c>
      <c r="W749" s="210"/>
      <c r="X749" s="210"/>
      <c r="Y749" s="210"/>
      <c r="Z749" s="210"/>
      <c r="AA749" s="210"/>
      <c r="AB749" s="210"/>
      <c r="AC749" s="210"/>
      <c r="AT749" s="425" t="str">
        <f t="shared" si="57"/>
        <v>KP0007072017Q315,3</v>
      </c>
      <c r="AU749" s="64" t="str">
        <f t="shared" si="58"/>
        <v>08-2017</v>
      </c>
      <c r="BA749" s="428" t="str">
        <f t="shared" si="59"/>
        <v>WIP - 30 Days</v>
      </c>
    </row>
    <row r="750" spans="2:53">
      <c r="B750" s="36" t="str">
        <f>'[6]price list MAN'!B750</f>
        <v>78W-6336</v>
      </c>
      <c r="C750" s="10" t="str">
        <f>'[6]price list MAN'!C750</f>
        <v>TGS-26-4406X4BLS-LX-ALU-EL</v>
      </c>
      <c r="D750" s="16" t="str">
        <f>IFERROR(VLOOKUP(C750&amp;"",'[7]Retail Price List'!$A$3:$B$103,2,FALSE),"Special Order")</f>
        <v>KP000707</v>
      </c>
      <c r="E750" s="494" t="str">
        <f>'[6]price list MAN'!E750</f>
        <v>CKD</v>
      </c>
      <c r="F750" s="11" t="str">
        <f>'[6]price list MAN'!F750</f>
        <v>2018-04-30</v>
      </c>
      <c r="G750" s="32">
        <f>'[6]price list MAN'!G750</f>
        <v>15.3</v>
      </c>
      <c r="H750" s="26">
        <f>'[6]price list MAN'!H750</f>
        <v>42978</v>
      </c>
      <c r="I750" s="51" t="str">
        <f t="shared" si="55"/>
        <v>2017Q3</v>
      </c>
      <c r="J750" s="177">
        <f>'[6]price list MAN'!J750</f>
        <v>1875000</v>
      </c>
      <c r="K750" s="177">
        <f>'[6]price list MAN'!P750</f>
        <v>1433250</v>
      </c>
      <c r="L750" s="177">
        <f>'[6]price list MAN'!R750</f>
        <v>1365000</v>
      </c>
      <c r="M750" s="174">
        <f>'[6]price list MAN'!S750</f>
        <v>1955000</v>
      </c>
      <c r="N750" s="174">
        <f>'[6]price list MAN'!Y750</f>
        <v>1517250</v>
      </c>
      <c r="O750" s="174">
        <f>'[6]price list MAN'!AA750</f>
        <v>1445000</v>
      </c>
      <c r="P750" s="68">
        <f t="shared" si="56"/>
        <v>0.2608695652173913</v>
      </c>
      <c r="Q750" s="62" t="e">
        <f>O750-#REF!</f>
        <v>#REF!</v>
      </c>
      <c r="W750" s="210"/>
      <c r="X750" s="210"/>
      <c r="Y750" s="210"/>
      <c r="Z750" s="210"/>
      <c r="AA750" s="210"/>
      <c r="AB750" s="210"/>
      <c r="AC750" s="210"/>
      <c r="AT750" s="425" t="str">
        <f t="shared" si="57"/>
        <v>KP0007072017Q315,3</v>
      </c>
      <c r="AU750" s="64" t="str">
        <f t="shared" si="58"/>
        <v>08-2017</v>
      </c>
      <c r="BA750" s="428" t="str">
        <f t="shared" si="59"/>
        <v>WIP - 30 Days</v>
      </c>
    </row>
    <row r="751" spans="2:53">
      <c r="B751" s="36" t="str">
        <f>'[6]price list MAN'!B751</f>
        <v>78W-6337</v>
      </c>
      <c r="C751" s="10" t="str">
        <f>'[6]price list MAN'!C751</f>
        <v>TGS-26-4406X4BLS-LX-ALU-EL</v>
      </c>
      <c r="D751" s="16" t="str">
        <f>IFERROR(VLOOKUP(C751&amp;"",'[7]Retail Price List'!$A$3:$B$103,2,FALSE),"Special Order")</f>
        <v>KP000707</v>
      </c>
      <c r="E751" s="494" t="str">
        <f>'[6]price list MAN'!E751</f>
        <v>CKD</v>
      </c>
      <c r="F751" s="11" t="str">
        <f>'[6]price list MAN'!F751</f>
        <v>2018-04-30</v>
      </c>
      <c r="G751" s="32">
        <f>'[6]price list MAN'!G751</f>
        <v>15.3</v>
      </c>
      <c r="H751" s="26">
        <f>'[6]price list MAN'!H751</f>
        <v>42978</v>
      </c>
      <c r="I751" s="51" t="str">
        <f t="shared" si="55"/>
        <v>2017Q3</v>
      </c>
      <c r="J751" s="177">
        <f>'[6]price list MAN'!J751</f>
        <v>1875000</v>
      </c>
      <c r="K751" s="177">
        <f>'[6]price list MAN'!P751</f>
        <v>1433250</v>
      </c>
      <c r="L751" s="177">
        <f>'[6]price list MAN'!R751</f>
        <v>1365000</v>
      </c>
      <c r="M751" s="174">
        <f>'[6]price list MAN'!S751</f>
        <v>1955000</v>
      </c>
      <c r="N751" s="174">
        <f>'[6]price list MAN'!Y751</f>
        <v>1517250</v>
      </c>
      <c r="O751" s="174">
        <f>'[6]price list MAN'!AA751</f>
        <v>1445000</v>
      </c>
      <c r="P751" s="68">
        <f t="shared" si="56"/>
        <v>0.2608695652173913</v>
      </c>
      <c r="Q751" s="62" t="e">
        <f>O751-#REF!</f>
        <v>#REF!</v>
      </c>
      <c r="W751" s="210"/>
      <c r="X751" s="210"/>
      <c r="Y751" s="210"/>
      <c r="Z751" s="210"/>
      <c r="AA751" s="210"/>
      <c r="AB751" s="210"/>
      <c r="AC751" s="210"/>
      <c r="AT751" s="425" t="str">
        <f t="shared" si="57"/>
        <v>KP0007072017Q315,3</v>
      </c>
      <c r="AU751" s="64" t="str">
        <f t="shared" si="58"/>
        <v>08-2017</v>
      </c>
      <c r="BA751" s="428" t="str">
        <f t="shared" si="59"/>
        <v>WIP - 30 Days</v>
      </c>
    </row>
    <row r="752" spans="2:53">
      <c r="B752" s="36" t="str">
        <f>'[6]price list MAN'!B752</f>
        <v>78W-6338</v>
      </c>
      <c r="C752" s="10" t="str">
        <f>'[6]price list MAN'!C752</f>
        <v>TGS-26-4406X4BLS-LX-ALU-EL</v>
      </c>
      <c r="D752" s="16" t="str">
        <f>IFERROR(VLOOKUP(C752&amp;"",'[7]Retail Price List'!$A$3:$B$103,2,FALSE),"Special Order")</f>
        <v>KP000707</v>
      </c>
      <c r="E752" s="494" t="str">
        <f>'[6]price list MAN'!E752</f>
        <v>CKD</v>
      </c>
      <c r="F752" s="11" t="str">
        <f>'[6]price list MAN'!F752</f>
        <v>2018-04-30</v>
      </c>
      <c r="G752" s="32">
        <f>'[6]price list MAN'!G752</f>
        <v>15.3</v>
      </c>
      <c r="H752" s="26">
        <f>'[6]price list MAN'!H752</f>
        <v>42978</v>
      </c>
      <c r="I752" s="51" t="str">
        <f t="shared" si="55"/>
        <v>2017Q3</v>
      </c>
      <c r="J752" s="177">
        <f>'[6]price list MAN'!J752</f>
        <v>1875000</v>
      </c>
      <c r="K752" s="177">
        <f>'[6]price list MAN'!P752</f>
        <v>1433250</v>
      </c>
      <c r="L752" s="177">
        <f>'[6]price list MAN'!R752</f>
        <v>1365000</v>
      </c>
      <c r="M752" s="174">
        <f>'[6]price list MAN'!S752</f>
        <v>1955000</v>
      </c>
      <c r="N752" s="174">
        <f>'[6]price list MAN'!Y752</f>
        <v>1517250</v>
      </c>
      <c r="O752" s="174">
        <f>'[6]price list MAN'!AA752</f>
        <v>1445000</v>
      </c>
      <c r="P752" s="68">
        <f t="shared" si="56"/>
        <v>0.2608695652173913</v>
      </c>
      <c r="Q752" s="62" t="e">
        <f>O752-#REF!</f>
        <v>#REF!</v>
      </c>
      <c r="W752" s="210"/>
      <c r="X752" s="210"/>
      <c r="Y752" s="210"/>
      <c r="Z752" s="210"/>
      <c r="AA752" s="210"/>
      <c r="AB752" s="210"/>
      <c r="AC752" s="210"/>
      <c r="AT752" s="425" t="str">
        <f t="shared" si="57"/>
        <v>KP0007072017Q315,3</v>
      </c>
      <c r="AU752" s="64" t="str">
        <f t="shared" si="58"/>
        <v>08-2017</v>
      </c>
      <c r="BA752" s="428" t="str">
        <f t="shared" si="59"/>
        <v>WIP - 30 Days</v>
      </c>
    </row>
    <row r="753" spans="2:53">
      <c r="B753" s="36" t="str">
        <f>'[6]price list MAN'!B753</f>
        <v>78W-6339</v>
      </c>
      <c r="C753" s="10" t="str">
        <f>'[6]price list MAN'!C753</f>
        <v>TGS-26-4406X4BLS-LX-ALU-EL</v>
      </c>
      <c r="D753" s="16" t="str">
        <f>IFERROR(VLOOKUP(C753&amp;"",'[7]Retail Price List'!$A$3:$B$103,2,FALSE),"Special Order")</f>
        <v>KP000707</v>
      </c>
      <c r="E753" s="494" t="str">
        <f>'[6]price list MAN'!E753</f>
        <v>CKD</v>
      </c>
      <c r="F753" s="11" t="str">
        <f>'[6]price list MAN'!F753</f>
        <v>2018-04-30</v>
      </c>
      <c r="G753" s="32">
        <f>'[6]price list MAN'!G753</f>
        <v>15.3</v>
      </c>
      <c r="H753" s="26">
        <f>'[6]price list MAN'!H753</f>
        <v>42978</v>
      </c>
      <c r="I753" s="51" t="str">
        <f t="shared" si="55"/>
        <v>2017Q3</v>
      </c>
      <c r="J753" s="177">
        <f>'[6]price list MAN'!J753</f>
        <v>1875000</v>
      </c>
      <c r="K753" s="177">
        <f>'[6]price list MAN'!P753</f>
        <v>1433250</v>
      </c>
      <c r="L753" s="177">
        <f>'[6]price list MAN'!R753</f>
        <v>1365000</v>
      </c>
      <c r="M753" s="174">
        <f>'[6]price list MAN'!S753</f>
        <v>1955000</v>
      </c>
      <c r="N753" s="174">
        <f>'[6]price list MAN'!Y753</f>
        <v>1517250</v>
      </c>
      <c r="O753" s="174">
        <f>'[6]price list MAN'!AA753</f>
        <v>1445000</v>
      </c>
      <c r="P753" s="68">
        <f t="shared" si="56"/>
        <v>0.2608695652173913</v>
      </c>
      <c r="Q753" s="62" t="e">
        <f>O753-#REF!</f>
        <v>#REF!</v>
      </c>
      <c r="W753" s="210"/>
      <c r="X753" s="210"/>
      <c r="Y753" s="210"/>
      <c r="Z753" s="210"/>
      <c r="AA753" s="210"/>
      <c r="AB753" s="210"/>
      <c r="AC753" s="210"/>
      <c r="AT753" s="425" t="str">
        <f t="shared" si="57"/>
        <v>KP0007072017Q315,3</v>
      </c>
      <c r="AU753" s="64" t="str">
        <f t="shared" si="58"/>
        <v>08-2017</v>
      </c>
      <c r="BA753" s="428" t="str">
        <f t="shared" si="59"/>
        <v>WIP - 30 Days</v>
      </c>
    </row>
    <row r="754" spans="2:53">
      <c r="B754" s="36" t="str">
        <f>'[6]price list MAN'!B754</f>
        <v>78W-6348</v>
      </c>
      <c r="C754" s="10" t="str">
        <f>'[6]price list MAN'!C754</f>
        <v>TGS-26-4406X4BLS-LX-ALU-EL</v>
      </c>
      <c r="D754" s="16" t="str">
        <f>IFERROR(VLOOKUP(C754&amp;"",'[7]Retail Price List'!$A$3:$B$103,2,FALSE),"Special Order")</f>
        <v>KP000707</v>
      </c>
      <c r="E754" s="494" t="str">
        <f>'[6]price list MAN'!E754</f>
        <v>CKD</v>
      </c>
      <c r="F754" s="11" t="str">
        <f>'[6]price list MAN'!F754</f>
        <v>2018-05-30</v>
      </c>
      <c r="G754" s="32">
        <f>'[6]price list MAN'!G754</f>
        <v>15.3</v>
      </c>
      <c r="H754" s="26">
        <f>'[6]price list MAN'!H754</f>
        <v>42978</v>
      </c>
      <c r="I754" s="51" t="str">
        <f t="shared" si="55"/>
        <v>2017Q3</v>
      </c>
      <c r="J754" s="177">
        <f>'[6]price list MAN'!J754</f>
        <v>1875000</v>
      </c>
      <c r="K754" s="177">
        <f>'[6]price list MAN'!P754</f>
        <v>1433250</v>
      </c>
      <c r="L754" s="177">
        <f>'[6]price list MAN'!R754</f>
        <v>1365000</v>
      </c>
      <c r="M754" s="174">
        <f>'[6]price list MAN'!S754</f>
        <v>1955000</v>
      </c>
      <c r="N754" s="174">
        <f>'[6]price list MAN'!Y754</f>
        <v>1517250</v>
      </c>
      <c r="O754" s="174">
        <f>'[6]price list MAN'!AA754</f>
        <v>1445000</v>
      </c>
      <c r="P754" s="68">
        <f t="shared" si="56"/>
        <v>0.2608695652173913</v>
      </c>
      <c r="Q754" s="62" t="e">
        <f>O754-#REF!</f>
        <v>#REF!</v>
      </c>
      <c r="W754" s="210"/>
      <c r="X754" s="210"/>
      <c r="Y754" s="210"/>
      <c r="Z754" s="210"/>
      <c r="AA754" s="210"/>
      <c r="AB754" s="210"/>
      <c r="AC754" s="210"/>
      <c r="AT754" s="425" t="str">
        <f t="shared" si="57"/>
        <v>KP0007072017Q315,3</v>
      </c>
      <c r="AU754" s="64" t="str">
        <f t="shared" si="58"/>
        <v>08-2017</v>
      </c>
      <c r="BA754" s="428" t="str">
        <f t="shared" si="59"/>
        <v>WIP - 30 Days</v>
      </c>
    </row>
    <row r="755" spans="2:53">
      <c r="B755" s="36" t="str">
        <f>'[6]price list MAN'!B755</f>
        <v>78W-6349</v>
      </c>
      <c r="C755" s="10" t="str">
        <f>'[6]price list MAN'!C755</f>
        <v>TGS-26-4406X4BLS-LX-ALU-EL</v>
      </c>
      <c r="D755" s="16" t="str">
        <f>IFERROR(VLOOKUP(C755&amp;"",'[7]Retail Price List'!$A$3:$B$103,2,FALSE),"Special Order")</f>
        <v>KP000707</v>
      </c>
      <c r="E755" s="494" t="str">
        <f>'[6]price list MAN'!E755</f>
        <v>CKD</v>
      </c>
      <c r="F755" s="11" t="str">
        <f>'[6]price list MAN'!F755</f>
        <v>2018-05-30</v>
      </c>
      <c r="G755" s="32">
        <f>'[6]price list MAN'!G755</f>
        <v>15.3</v>
      </c>
      <c r="H755" s="26">
        <f>'[6]price list MAN'!H755</f>
        <v>42978</v>
      </c>
      <c r="I755" s="51" t="str">
        <f t="shared" si="55"/>
        <v>2017Q3</v>
      </c>
      <c r="J755" s="177">
        <f>'[6]price list MAN'!J755</f>
        <v>1875000</v>
      </c>
      <c r="K755" s="177">
        <f>'[6]price list MAN'!P755</f>
        <v>1433250</v>
      </c>
      <c r="L755" s="177">
        <f>'[6]price list MAN'!R755</f>
        <v>1365000</v>
      </c>
      <c r="M755" s="174">
        <f>'[6]price list MAN'!S755</f>
        <v>1955000</v>
      </c>
      <c r="N755" s="174">
        <f>'[6]price list MAN'!Y755</f>
        <v>1517250</v>
      </c>
      <c r="O755" s="174">
        <f>'[6]price list MAN'!AA755</f>
        <v>1445000</v>
      </c>
      <c r="P755" s="68">
        <f t="shared" si="56"/>
        <v>0.2608695652173913</v>
      </c>
      <c r="Q755" s="62" t="e">
        <f>O755-#REF!</f>
        <v>#REF!</v>
      </c>
      <c r="W755" s="210"/>
      <c r="X755" s="210"/>
      <c r="Y755" s="210"/>
      <c r="Z755" s="210"/>
      <c r="AA755" s="210"/>
      <c r="AB755" s="210"/>
      <c r="AC755" s="210"/>
      <c r="AT755" s="425" t="str">
        <f t="shared" si="57"/>
        <v>KP0007072017Q315,3</v>
      </c>
      <c r="AU755" s="64" t="str">
        <f t="shared" si="58"/>
        <v>08-2017</v>
      </c>
      <c r="BA755" s="428" t="str">
        <f t="shared" si="59"/>
        <v>WIP - 30 Days</v>
      </c>
    </row>
    <row r="756" spans="2:53">
      <c r="B756" s="36" t="str">
        <f>'[6]price list MAN'!B756</f>
        <v>78W-6350</v>
      </c>
      <c r="C756" s="10" t="str">
        <f>'[6]price list MAN'!C756</f>
        <v>TGS-26-4406X4BLS-LX-ALU-EL</v>
      </c>
      <c r="D756" s="16" t="str">
        <f>IFERROR(VLOOKUP(C756&amp;"",'[7]Retail Price List'!$A$3:$B$103,2,FALSE),"Special Order")</f>
        <v>KP000707</v>
      </c>
      <c r="E756" s="494" t="str">
        <f>'[6]price list MAN'!E756</f>
        <v>CKD</v>
      </c>
      <c r="F756" s="11" t="str">
        <f>'[6]price list MAN'!F756</f>
        <v>2018-05-30</v>
      </c>
      <c r="G756" s="32">
        <f>'[6]price list MAN'!G756</f>
        <v>15.3</v>
      </c>
      <c r="H756" s="26">
        <f>'[6]price list MAN'!H756</f>
        <v>42978</v>
      </c>
      <c r="I756" s="51" t="str">
        <f t="shared" si="55"/>
        <v>2017Q3</v>
      </c>
      <c r="J756" s="177">
        <f>'[6]price list MAN'!J756</f>
        <v>1875000</v>
      </c>
      <c r="K756" s="177">
        <f>'[6]price list MAN'!P756</f>
        <v>1433250</v>
      </c>
      <c r="L756" s="177">
        <f>'[6]price list MAN'!R756</f>
        <v>1365000</v>
      </c>
      <c r="M756" s="174">
        <f>'[6]price list MAN'!S756</f>
        <v>1955000</v>
      </c>
      <c r="N756" s="174">
        <f>'[6]price list MAN'!Y756</f>
        <v>1517250</v>
      </c>
      <c r="O756" s="174">
        <f>'[6]price list MAN'!AA756</f>
        <v>1445000</v>
      </c>
      <c r="P756" s="68">
        <f t="shared" si="56"/>
        <v>0.2608695652173913</v>
      </c>
      <c r="Q756" s="62" t="e">
        <f>O756-#REF!</f>
        <v>#REF!</v>
      </c>
      <c r="W756" s="210"/>
      <c r="X756" s="210"/>
      <c r="Y756" s="210"/>
      <c r="Z756" s="210"/>
      <c r="AA756" s="210"/>
      <c r="AB756" s="210"/>
      <c r="AC756" s="210"/>
      <c r="AT756" s="425" t="str">
        <f t="shared" si="57"/>
        <v>KP0007072017Q315,3</v>
      </c>
      <c r="AU756" s="64" t="str">
        <f t="shared" si="58"/>
        <v>08-2017</v>
      </c>
      <c r="BA756" s="428" t="str">
        <f t="shared" si="59"/>
        <v>WIP - 30 Days</v>
      </c>
    </row>
    <row r="757" spans="2:53">
      <c r="B757" s="36" t="str">
        <f>'[6]price list MAN'!B757</f>
        <v>78W-6351</v>
      </c>
      <c r="C757" s="10" t="str">
        <f>'[6]price list MAN'!C757</f>
        <v>TGS-26-4406X4BLS-LX-ALU-EL</v>
      </c>
      <c r="D757" s="16" t="str">
        <f>IFERROR(VLOOKUP(C757&amp;"",'[7]Retail Price List'!$A$3:$B$103,2,FALSE),"Special Order")</f>
        <v>KP000707</v>
      </c>
      <c r="E757" s="494" t="str">
        <f>'[6]price list MAN'!E757</f>
        <v>CKD</v>
      </c>
      <c r="F757" s="11" t="str">
        <f>'[6]price list MAN'!F757</f>
        <v>2018-05-30</v>
      </c>
      <c r="G757" s="32">
        <f>'[6]price list MAN'!G757</f>
        <v>15.3</v>
      </c>
      <c r="H757" s="26">
        <f>'[6]price list MAN'!H757</f>
        <v>42978</v>
      </c>
      <c r="I757" s="51" t="str">
        <f t="shared" si="55"/>
        <v>2017Q3</v>
      </c>
      <c r="J757" s="177">
        <f>'[6]price list MAN'!J757</f>
        <v>1875000</v>
      </c>
      <c r="K757" s="177">
        <f>'[6]price list MAN'!P757</f>
        <v>1433250</v>
      </c>
      <c r="L757" s="177">
        <f>'[6]price list MAN'!R757</f>
        <v>1365000</v>
      </c>
      <c r="M757" s="174">
        <f>'[6]price list MAN'!S757</f>
        <v>1955000</v>
      </c>
      <c r="N757" s="174">
        <f>'[6]price list MAN'!Y757</f>
        <v>1517250</v>
      </c>
      <c r="O757" s="174">
        <f>'[6]price list MAN'!AA757</f>
        <v>1445000</v>
      </c>
      <c r="P757" s="68">
        <f t="shared" si="56"/>
        <v>0.2608695652173913</v>
      </c>
      <c r="Q757" s="62" t="e">
        <f>O757-#REF!</f>
        <v>#REF!</v>
      </c>
      <c r="W757" s="210"/>
      <c r="X757" s="210"/>
      <c r="Y757" s="210"/>
      <c r="Z757" s="210"/>
      <c r="AA757" s="210"/>
      <c r="AB757" s="210"/>
      <c r="AC757" s="210"/>
      <c r="AT757" s="425" t="str">
        <f t="shared" si="57"/>
        <v>KP0007072017Q315,3</v>
      </c>
      <c r="AU757" s="64" t="str">
        <f t="shared" si="58"/>
        <v>08-2017</v>
      </c>
      <c r="BA757" s="428" t="str">
        <f t="shared" si="59"/>
        <v>WIP - 30 Days</v>
      </c>
    </row>
    <row r="758" spans="2:53">
      <c r="B758" s="36" t="str">
        <f>'[6]price list MAN'!B758</f>
        <v>TBAKP707</v>
      </c>
      <c r="C758" s="10" t="str">
        <f>'[6]price list MAN'!C758</f>
        <v>TGS-26-4406X4BLS-LX-ALU-EL</v>
      </c>
      <c r="D758" s="16" t="str">
        <f>IFERROR(VLOOKUP(C758&amp;"",'[7]Retail Price List'!$A$3:$B$103,2,FALSE),"Special Order")</f>
        <v>KP000707</v>
      </c>
      <c r="E758" s="494" t="str">
        <f>'[6]price list MAN'!E758</f>
        <v>CKD</v>
      </c>
      <c r="F758" s="11" t="str">
        <f>'[6]price list MAN'!F758</f>
        <v>2018-08-19</v>
      </c>
      <c r="G758" s="32">
        <f>'[6]price list MAN'!G758</f>
        <v>15.8</v>
      </c>
      <c r="H758" s="26">
        <f>'[6]price list MAN'!H758</f>
        <v>43159</v>
      </c>
      <c r="I758" s="51" t="str">
        <f t="shared" si="55"/>
        <v>2018Q1</v>
      </c>
      <c r="J758" s="177">
        <f>'[6]price list MAN'!J758</f>
        <v>1875000</v>
      </c>
      <c r="K758" s="177">
        <f>'[6]price list MAN'!P758</f>
        <v>1443750</v>
      </c>
      <c r="L758" s="177">
        <f>'[6]price list MAN'!R758</f>
        <v>1375000</v>
      </c>
      <c r="M758" s="174">
        <f>'[6]price list MAN'!S758</f>
        <v>1955000</v>
      </c>
      <c r="N758" s="174">
        <f>'[6]price list MAN'!Y758</f>
        <v>1527750</v>
      </c>
      <c r="O758" s="174">
        <f>'[6]price list MAN'!AA758</f>
        <v>1455000</v>
      </c>
      <c r="P758" s="68">
        <f t="shared" si="56"/>
        <v>0.25575447570332482</v>
      </c>
      <c r="Q758" s="62" t="e">
        <f>O758-#REF!</f>
        <v>#REF!</v>
      </c>
      <c r="W758" s="210"/>
      <c r="X758" s="210"/>
      <c r="Y758" s="210"/>
      <c r="Z758" s="210"/>
      <c r="AA758" s="210"/>
      <c r="AB758" s="210"/>
      <c r="AC758" s="210"/>
      <c r="AT758" s="425" t="str">
        <f t="shared" si="57"/>
        <v>KP0007072018Q115,8</v>
      </c>
      <c r="AU758" s="64" t="str">
        <f t="shared" si="58"/>
        <v>02-2018</v>
      </c>
      <c r="BA758" s="428" t="str">
        <f t="shared" si="59"/>
        <v>WIP - 30 Days</v>
      </c>
    </row>
    <row r="759" spans="2:53">
      <c r="B759" s="36">
        <f>'[6]price list MAN'!B759</f>
        <v>48677</v>
      </c>
      <c r="C759" s="10" t="str">
        <f>'[6]price list MAN'!C759</f>
        <v>TGS-26-4406X4BLS-LX-EL-ACC</v>
      </c>
      <c r="D759" s="16" t="str">
        <f>IFERROR(VLOOKUP(C759&amp;"",'[7]Retail Price List'!$A$3:$B$103,2,FALSE),"Special Order")</f>
        <v>TGS00013</v>
      </c>
      <c r="E759" s="494" t="str">
        <f>'[6]price list MAN'!E759</f>
        <v>CKD</v>
      </c>
      <c r="F759" s="11" t="str">
        <f>'[6]price list MAN'!F759</f>
        <v>2018-10-30</v>
      </c>
      <c r="G759" s="32">
        <f>'[6]price list MAN'!G759</f>
        <v>15.9</v>
      </c>
      <c r="H759" s="26">
        <f>'[6]price list MAN'!H759</f>
        <v>43039</v>
      </c>
      <c r="I759" s="51" t="str">
        <f t="shared" si="55"/>
        <v>2017Q4</v>
      </c>
      <c r="J759" s="177">
        <f>'[6]price list MAN'!J759</f>
        <v>1900000</v>
      </c>
      <c r="K759" s="177">
        <f>'[6]price list MAN'!P759</f>
        <v>1459500</v>
      </c>
      <c r="L759" s="177">
        <f>'[6]price list MAN'!R759</f>
        <v>1390000</v>
      </c>
      <c r="M759" s="174">
        <f>'[6]price list MAN'!S759</f>
        <v>1955000</v>
      </c>
      <c r="N759" s="174">
        <f>'[6]price list MAN'!Y759</f>
        <v>1517250</v>
      </c>
      <c r="O759" s="174">
        <f>'[6]price list MAN'!AA759</f>
        <v>1445000</v>
      </c>
      <c r="P759" s="68">
        <f t="shared" si="56"/>
        <v>0.2608695652173913</v>
      </c>
      <c r="Q759" s="62" t="e">
        <f>O759-#REF!</f>
        <v>#REF!</v>
      </c>
      <c r="W759" s="210"/>
      <c r="X759" s="210"/>
      <c r="Y759" s="210"/>
      <c r="Z759" s="210"/>
      <c r="AA759" s="210"/>
      <c r="AB759" s="210"/>
      <c r="AC759" s="210"/>
      <c r="AT759" s="425" t="str">
        <f t="shared" si="57"/>
        <v>TGS000132017Q415,9</v>
      </c>
      <c r="AU759" s="64" t="str">
        <f t="shared" si="58"/>
        <v>10-2017</v>
      </c>
      <c r="BA759" s="428" t="str">
        <f t="shared" si="59"/>
        <v>WIP - 30 Days</v>
      </c>
    </row>
    <row r="760" spans="2:53">
      <c r="B760" s="36">
        <f>'[6]price list MAN'!B760</f>
        <v>48678</v>
      </c>
      <c r="C760" s="10" t="str">
        <f>'[6]price list MAN'!C760</f>
        <v>TGS-26-4406X4BLS-LX-EL-ACC</v>
      </c>
      <c r="D760" s="16" t="str">
        <f>IFERROR(VLOOKUP(C760&amp;"",'[7]Retail Price List'!$A$3:$B$103,2,FALSE),"Special Order")</f>
        <v>TGS00013</v>
      </c>
      <c r="E760" s="494" t="str">
        <f>'[6]price list MAN'!E760</f>
        <v>CKD</v>
      </c>
      <c r="F760" s="11" t="str">
        <f>'[6]price list MAN'!F760</f>
        <v>2018-10-30</v>
      </c>
      <c r="G760" s="32">
        <f>'[6]price list MAN'!G760</f>
        <v>15.9</v>
      </c>
      <c r="H760" s="26">
        <f>'[6]price list MAN'!H760</f>
        <v>43039</v>
      </c>
      <c r="I760" s="51" t="str">
        <f t="shared" si="55"/>
        <v>2017Q4</v>
      </c>
      <c r="J760" s="177">
        <f>'[6]price list MAN'!J760</f>
        <v>1900000</v>
      </c>
      <c r="K760" s="177">
        <f>'[6]price list MAN'!P760</f>
        <v>1459500</v>
      </c>
      <c r="L760" s="177">
        <f>'[6]price list MAN'!R760</f>
        <v>1390000</v>
      </c>
      <c r="M760" s="174">
        <f>'[6]price list MAN'!S760</f>
        <v>1955000</v>
      </c>
      <c r="N760" s="174">
        <f>'[6]price list MAN'!Y760</f>
        <v>1517250</v>
      </c>
      <c r="O760" s="174">
        <f>'[6]price list MAN'!AA760</f>
        <v>1445000</v>
      </c>
      <c r="P760" s="68">
        <f t="shared" si="56"/>
        <v>0.2608695652173913</v>
      </c>
      <c r="Q760" s="62" t="e">
        <f>O760-#REF!</f>
        <v>#REF!</v>
      </c>
      <c r="W760" s="210"/>
      <c r="X760" s="210"/>
      <c r="Y760" s="210"/>
      <c r="Z760" s="210"/>
      <c r="AA760" s="210"/>
      <c r="AB760" s="210"/>
      <c r="AC760" s="210"/>
      <c r="AT760" s="425" t="str">
        <f t="shared" si="57"/>
        <v>TGS000132017Q415,9</v>
      </c>
      <c r="AU760" s="64" t="str">
        <f t="shared" si="58"/>
        <v>10-2017</v>
      </c>
      <c r="BA760" s="428" t="str">
        <f t="shared" si="59"/>
        <v>WIP - 30 Days</v>
      </c>
    </row>
    <row r="761" spans="2:53">
      <c r="B761" s="36">
        <f>'[6]price list MAN'!B761</f>
        <v>48679</v>
      </c>
      <c r="C761" s="10" t="str">
        <f>'[6]price list MAN'!C761</f>
        <v>TGS-26-4406X4BLS-LX-EL-ACC</v>
      </c>
      <c r="D761" s="16" t="str">
        <f>IFERROR(VLOOKUP(C761&amp;"",'[7]Retail Price List'!$A$3:$B$103,2,FALSE),"Special Order")</f>
        <v>TGS00013</v>
      </c>
      <c r="E761" s="494" t="str">
        <f>'[6]price list MAN'!E761</f>
        <v>CKD</v>
      </c>
      <c r="F761" s="11" t="str">
        <f>'[6]price list MAN'!F761</f>
        <v>2018-10-30</v>
      </c>
      <c r="G761" s="32">
        <f>'[6]price list MAN'!G761</f>
        <v>15.9</v>
      </c>
      <c r="H761" s="26">
        <f>'[6]price list MAN'!H761</f>
        <v>43039</v>
      </c>
      <c r="I761" s="51" t="str">
        <f t="shared" si="55"/>
        <v>2017Q4</v>
      </c>
      <c r="J761" s="177">
        <f>'[6]price list MAN'!J761</f>
        <v>1900000</v>
      </c>
      <c r="K761" s="177">
        <f>'[6]price list MAN'!P761</f>
        <v>1459500</v>
      </c>
      <c r="L761" s="177">
        <f>'[6]price list MAN'!R761</f>
        <v>1390000</v>
      </c>
      <c r="M761" s="174">
        <f>'[6]price list MAN'!S761</f>
        <v>1955000</v>
      </c>
      <c r="N761" s="174">
        <f>'[6]price list MAN'!Y761</f>
        <v>1517250</v>
      </c>
      <c r="O761" s="174">
        <f>'[6]price list MAN'!AA761</f>
        <v>1445000</v>
      </c>
      <c r="P761" s="68">
        <f t="shared" si="56"/>
        <v>0.2608695652173913</v>
      </c>
      <c r="Q761" s="62" t="e">
        <f>O761-#REF!</f>
        <v>#REF!</v>
      </c>
      <c r="W761" s="210"/>
      <c r="X761" s="210"/>
      <c r="Y761" s="210"/>
      <c r="Z761" s="210"/>
      <c r="AA761" s="210"/>
      <c r="AB761" s="210"/>
      <c r="AC761" s="210"/>
      <c r="AT761" s="425" t="str">
        <f t="shared" si="57"/>
        <v>TGS000132017Q415,9</v>
      </c>
      <c r="AU761" s="64" t="str">
        <f t="shared" si="58"/>
        <v>10-2017</v>
      </c>
      <c r="BA761" s="428" t="str">
        <f t="shared" si="59"/>
        <v>WIP - 30 Days</v>
      </c>
    </row>
    <row r="762" spans="2:53">
      <c r="B762" s="36">
        <f>'[6]price list MAN'!B762</f>
        <v>48680</v>
      </c>
      <c r="C762" s="10" t="str">
        <f>'[6]price list MAN'!C762</f>
        <v>TGS-26-4406X4BLS-LX-EL-ACC</v>
      </c>
      <c r="D762" s="16" t="str">
        <f>IFERROR(VLOOKUP(C762&amp;"",'[7]Retail Price List'!$A$3:$B$103,2,FALSE),"Special Order")</f>
        <v>TGS00013</v>
      </c>
      <c r="E762" s="494" t="str">
        <f>'[6]price list MAN'!E762</f>
        <v>CKD</v>
      </c>
      <c r="F762" s="11" t="str">
        <f>'[6]price list MAN'!F762</f>
        <v>2018-10-30</v>
      </c>
      <c r="G762" s="32">
        <f>'[6]price list MAN'!G762</f>
        <v>15.9</v>
      </c>
      <c r="H762" s="26">
        <f>'[6]price list MAN'!H762</f>
        <v>43039</v>
      </c>
      <c r="I762" s="51" t="str">
        <f t="shared" si="55"/>
        <v>2017Q4</v>
      </c>
      <c r="J762" s="177">
        <f>'[6]price list MAN'!J762</f>
        <v>1900000</v>
      </c>
      <c r="K762" s="177">
        <f>'[6]price list MAN'!P762</f>
        <v>1459500</v>
      </c>
      <c r="L762" s="177">
        <f>'[6]price list MAN'!R762</f>
        <v>1390000</v>
      </c>
      <c r="M762" s="174">
        <f>'[6]price list MAN'!S762</f>
        <v>1955000</v>
      </c>
      <c r="N762" s="174">
        <f>'[6]price list MAN'!Y762</f>
        <v>1517250</v>
      </c>
      <c r="O762" s="174">
        <f>'[6]price list MAN'!AA762</f>
        <v>1445000</v>
      </c>
      <c r="P762" s="68">
        <f t="shared" si="56"/>
        <v>0.2608695652173913</v>
      </c>
      <c r="Q762" s="62" t="e">
        <f>O762-#REF!</f>
        <v>#REF!</v>
      </c>
      <c r="W762" s="210"/>
      <c r="X762" s="210"/>
      <c r="Y762" s="210"/>
      <c r="Z762" s="210"/>
      <c r="AA762" s="210"/>
      <c r="AB762" s="210"/>
      <c r="AC762" s="210"/>
      <c r="AT762" s="425" t="str">
        <f t="shared" si="57"/>
        <v>TGS000132017Q415,9</v>
      </c>
      <c r="AU762" s="64" t="str">
        <f t="shared" si="58"/>
        <v>10-2017</v>
      </c>
      <c r="BA762" s="428" t="str">
        <f t="shared" si="59"/>
        <v>WIP - 30 Days</v>
      </c>
    </row>
    <row r="763" spans="2:53">
      <c r="B763" s="36">
        <f>'[6]price list MAN'!B763</f>
        <v>48681</v>
      </c>
      <c r="C763" s="10" t="str">
        <f>'[6]price list MAN'!C763</f>
        <v>TGS-26-4406X4BLS-LX-EL-ACC</v>
      </c>
      <c r="D763" s="16" t="str">
        <f>IFERROR(VLOOKUP(C763&amp;"",'[7]Retail Price List'!$A$3:$B$103,2,FALSE),"Special Order")</f>
        <v>TGS00013</v>
      </c>
      <c r="E763" s="494" t="str">
        <f>'[6]price list MAN'!E763</f>
        <v>CKD</v>
      </c>
      <c r="F763" s="11" t="str">
        <f>'[6]price list MAN'!F763</f>
        <v>2018-10-30</v>
      </c>
      <c r="G763" s="32">
        <f>'[6]price list MAN'!G763</f>
        <v>15.9</v>
      </c>
      <c r="H763" s="26">
        <f>'[6]price list MAN'!H763</f>
        <v>43039</v>
      </c>
      <c r="I763" s="51" t="str">
        <f t="shared" si="55"/>
        <v>2017Q4</v>
      </c>
      <c r="J763" s="177">
        <f>'[6]price list MAN'!J763</f>
        <v>1900000</v>
      </c>
      <c r="K763" s="177">
        <f>'[6]price list MAN'!P763</f>
        <v>1459500</v>
      </c>
      <c r="L763" s="177">
        <f>'[6]price list MAN'!R763</f>
        <v>1390000</v>
      </c>
      <c r="M763" s="174">
        <f>'[6]price list MAN'!S763</f>
        <v>1955000</v>
      </c>
      <c r="N763" s="174">
        <f>'[6]price list MAN'!Y763</f>
        <v>1517250</v>
      </c>
      <c r="O763" s="174">
        <f>'[6]price list MAN'!AA763</f>
        <v>1445000</v>
      </c>
      <c r="P763" s="68">
        <f t="shared" si="56"/>
        <v>0.2608695652173913</v>
      </c>
      <c r="Q763" s="62" t="e">
        <f>O763-#REF!</f>
        <v>#REF!</v>
      </c>
      <c r="W763" s="210"/>
      <c r="X763" s="210"/>
      <c r="Y763" s="210"/>
      <c r="Z763" s="210"/>
      <c r="AA763" s="210"/>
      <c r="AB763" s="210"/>
      <c r="AC763" s="210"/>
      <c r="AT763" s="425" t="str">
        <f t="shared" si="57"/>
        <v>TGS000132017Q415,9</v>
      </c>
      <c r="AU763" s="64" t="str">
        <f t="shared" si="58"/>
        <v>10-2017</v>
      </c>
      <c r="BA763" s="428" t="str">
        <f t="shared" si="59"/>
        <v>WIP - 30 Days</v>
      </c>
    </row>
    <row r="764" spans="2:53">
      <c r="B764" s="36">
        <f>'[6]price list MAN'!B764</f>
        <v>48682</v>
      </c>
      <c r="C764" s="10" t="str">
        <f>'[6]price list MAN'!C764</f>
        <v>TGS-26-4406X4BLS-LX-EL-ACC</v>
      </c>
      <c r="D764" s="16" t="str">
        <f>IFERROR(VLOOKUP(C764&amp;"",'[7]Retail Price List'!$A$3:$B$103,2,FALSE),"Special Order")</f>
        <v>TGS00013</v>
      </c>
      <c r="E764" s="494" t="str">
        <f>'[6]price list MAN'!E764</f>
        <v>CKD</v>
      </c>
      <c r="F764" s="11" t="str">
        <f>'[6]price list MAN'!F764</f>
        <v>2018-10-30</v>
      </c>
      <c r="G764" s="32">
        <f>'[6]price list MAN'!G764</f>
        <v>15.9</v>
      </c>
      <c r="H764" s="26">
        <f>'[6]price list MAN'!H764</f>
        <v>43039</v>
      </c>
      <c r="I764" s="51" t="str">
        <f t="shared" si="55"/>
        <v>2017Q4</v>
      </c>
      <c r="J764" s="177">
        <f>'[6]price list MAN'!J764</f>
        <v>1900000</v>
      </c>
      <c r="K764" s="177">
        <f>'[6]price list MAN'!P764</f>
        <v>1459500</v>
      </c>
      <c r="L764" s="177">
        <f>'[6]price list MAN'!R764</f>
        <v>1390000</v>
      </c>
      <c r="M764" s="174">
        <f>'[6]price list MAN'!S764</f>
        <v>1955000</v>
      </c>
      <c r="N764" s="174">
        <f>'[6]price list MAN'!Y764</f>
        <v>1517250</v>
      </c>
      <c r="O764" s="174">
        <f>'[6]price list MAN'!AA764</f>
        <v>1445000</v>
      </c>
      <c r="P764" s="68">
        <f t="shared" si="56"/>
        <v>0.2608695652173913</v>
      </c>
      <c r="Q764" s="62" t="e">
        <f>O764-#REF!</f>
        <v>#REF!</v>
      </c>
      <c r="W764" s="210"/>
      <c r="X764" s="210"/>
      <c r="Y764" s="210"/>
      <c r="Z764" s="210"/>
      <c r="AA764" s="210"/>
      <c r="AB764" s="210"/>
      <c r="AC764" s="210"/>
      <c r="AT764" s="425" t="str">
        <f t="shared" si="57"/>
        <v>TGS000132017Q415,9</v>
      </c>
      <c r="AU764" s="64" t="str">
        <f t="shared" si="58"/>
        <v>10-2017</v>
      </c>
      <c r="BA764" s="428" t="str">
        <f t="shared" si="59"/>
        <v>WIP - 30 Days</v>
      </c>
    </row>
    <row r="765" spans="2:53">
      <c r="B765" s="36">
        <f>'[6]price list MAN'!B765</f>
        <v>48683</v>
      </c>
      <c r="C765" s="10" t="str">
        <f>'[6]price list MAN'!C765</f>
        <v>TGS-26-4406X4BLS-LX-EL-ACC</v>
      </c>
      <c r="D765" s="16" t="str">
        <f>IFERROR(VLOOKUP(C765&amp;"",'[7]Retail Price List'!$A$3:$B$103,2,FALSE),"Special Order")</f>
        <v>TGS00013</v>
      </c>
      <c r="E765" s="494" t="str">
        <f>'[6]price list MAN'!E765</f>
        <v>CKD</v>
      </c>
      <c r="F765" s="11" t="str">
        <f>'[6]price list MAN'!F765</f>
        <v>2018-10-30</v>
      </c>
      <c r="G765" s="32">
        <f>'[6]price list MAN'!G765</f>
        <v>15.9</v>
      </c>
      <c r="H765" s="26">
        <f>'[6]price list MAN'!H765</f>
        <v>43039</v>
      </c>
      <c r="I765" s="51" t="str">
        <f t="shared" si="55"/>
        <v>2017Q4</v>
      </c>
      <c r="J765" s="177">
        <f>'[6]price list MAN'!J765</f>
        <v>1900000</v>
      </c>
      <c r="K765" s="177">
        <f>'[6]price list MAN'!P765</f>
        <v>1459500</v>
      </c>
      <c r="L765" s="177">
        <f>'[6]price list MAN'!R765</f>
        <v>1390000</v>
      </c>
      <c r="M765" s="174">
        <f>'[6]price list MAN'!S765</f>
        <v>1955000</v>
      </c>
      <c r="N765" s="174">
        <f>'[6]price list MAN'!Y765</f>
        <v>1517250</v>
      </c>
      <c r="O765" s="174">
        <f>'[6]price list MAN'!AA765</f>
        <v>1445000</v>
      </c>
      <c r="P765" s="68">
        <f t="shared" si="56"/>
        <v>0.2608695652173913</v>
      </c>
      <c r="Q765" s="62" t="e">
        <f>O765-#REF!</f>
        <v>#REF!</v>
      </c>
      <c r="W765" s="210"/>
      <c r="X765" s="210"/>
      <c r="Y765" s="210"/>
      <c r="Z765" s="210"/>
      <c r="AA765" s="210"/>
      <c r="AB765" s="210"/>
      <c r="AC765" s="210"/>
      <c r="AT765" s="425" t="str">
        <f t="shared" si="57"/>
        <v>TGS000132017Q415,9</v>
      </c>
      <c r="AU765" s="64" t="str">
        <f t="shared" si="58"/>
        <v>10-2017</v>
      </c>
      <c r="BA765" s="428" t="str">
        <f t="shared" si="59"/>
        <v>WIP - 30 Days</v>
      </c>
    </row>
    <row r="766" spans="2:53">
      <c r="B766" s="36">
        <f>'[6]price list MAN'!B766</f>
        <v>48684</v>
      </c>
      <c r="C766" s="10" t="str">
        <f>'[6]price list MAN'!C766</f>
        <v>TGS-26-4406X4BLS-LX-EL-ACC</v>
      </c>
      <c r="D766" s="16" t="str">
        <f>IFERROR(VLOOKUP(C766&amp;"",'[7]Retail Price List'!$A$3:$B$103,2,FALSE),"Special Order")</f>
        <v>TGS00013</v>
      </c>
      <c r="E766" s="494" t="str">
        <f>'[6]price list MAN'!E766</f>
        <v>CKD</v>
      </c>
      <c r="F766" s="11" t="str">
        <f>'[6]price list MAN'!F766</f>
        <v>2018-10-30</v>
      </c>
      <c r="G766" s="32">
        <f>'[6]price list MAN'!G766</f>
        <v>15.9</v>
      </c>
      <c r="H766" s="26">
        <f>'[6]price list MAN'!H766</f>
        <v>43039</v>
      </c>
      <c r="I766" s="51" t="str">
        <f t="shared" si="55"/>
        <v>2017Q4</v>
      </c>
      <c r="J766" s="177">
        <f>'[6]price list MAN'!J766</f>
        <v>1900000</v>
      </c>
      <c r="K766" s="177">
        <f>'[6]price list MAN'!P766</f>
        <v>1459500</v>
      </c>
      <c r="L766" s="177">
        <f>'[6]price list MAN'!R766</f>
        <v>1390000</v>
      </c>
      <c r="M766" s="174">
        <f>'[6]price list MAN'!S766</f>
        <v>1955000</v>
      </c>
      <c r="N766" s="174">
        <f>'[6]price list MAN'!Y766</f>
        <v>1517250</v>
      </c>
      <c r="O766" s="174">
        <f>'[6]price list MAN'!AA766</f>
        <v>1445000</v>
      </c>
      <c r="P766" s="68">
        <f t="shared" si="56"/>
        <v>0.2608695652173913</v>
      </c>
      <c r="Q766" s="62" t="e">
        <f>O766-#REF!</f>
        <v>#REF!</v>
      </c>
      <c r="W766" s="210"/>
      <c r="X766" s="210"/>
      <c r="Y766" s="210"/>
      <c r="Z766" s="210"/>
      <c r="AA766" s="210"/>
      <c r="AB766" s="210"/>
      <c r="AC766" s="210"/>
      <c r="AT766" s="425" t="str">
        <f t="shared" si="57"/>
        <v>TGS000132017Q415,9</v>
      </c>
      <c r="AU766" s="64" t="str">
        <f t="shared" si="58"/>
        <v>10-2017</v>
      </c>
      <c r="BA766" s="428" t="str">
        <f t="shared" si="59"/>
        <v>WIP - 30 Days</v>
      </c>
    </row>
    <row r="767" spans="2:53">
      <c r="B767" s="36">
        <f>'[6]price list MAN'!B767</f>
        <v>48685</v>
      </c>
      <c r="C767" s="10" t="str">
        <f>'[6]price list MAN'!C767</f>
        <v>TGS-26-4406X4BLS-LX-EL-ACC</v>
      </c>
      <c r="D767" s="16" t="str">
        <f>IFERROR(VLOOKUP(C767&amp;"",'[7]Retail Price List'!$A$3:$B$103,2,FALSE),"Special Order")</f>
        <v>TGS00013</v>
      </c>
      <c r="E767" s="494" t="str">
        <f>'[6]price list MAN'!E767</f>
        <v>CKD</v>
      </c>
      <c r="F767" s="11" t="str">
        <f>'[6]price list MAN'!F767</f>
        <v>2018-10-30</v>
      </c>
      <c r="G767" s="32">
        <f>'[6]price list MAN'!G767</f>
        <v>15.9</v>
      </c>
      <c r="H767" s="26">
        <f>'[6]price list MAN'!H767</f>
        <v>43039</v>
      </c>
      <c r="I767" s="51" t="str">
        <f t="shared" si="55"/>
        <v>2017Q4</v>
      </c>
      <c r="J767" s="177">
        <f>'[6]price list MAN'!J767</f>
        <v>1900000</v>
      </c>
      <c r="K767" s="177">
        <f>'[6]price list MAN'!P767</f>
        <v>1459500</v>
      </c>
      <c r="L767" s="177">
        <f>'[6]price list MAN'!R767</f>
        <v>1390000</v>
      </c>
      <c r="M767" s="174">
        <f>'[6]price list MAN'!S767</f>
        <v>1955000</v>
      </c>
      <c r="N767" s="174">
        <f>'[6]price list MAN'!Y767</f>
        <v>1517250</v>
      </c>
      <c r="O767" s="174">
        <f>'[6]price list MAN'!AA767</f>
        <v>1445000</v>
      </c>
      <c r="P767" s="68">
        <f t="shared" si="56"/>
        <v>0.2608695652173913</v>
      </c>
      <c r="Q767" s="62" t="e">
        <f>O767-#REF!</f>
        <v>#REF!</v>
      </c>
      <c r="W767" s="210"/>
      <c r="X767" s="210"/>
      <c r="Y767" s="210"/>
      <c r="Z767" s="210"/>
      <c r="AA767" s="210"/>
      <c r="AB767" s="210"/>
      <c r="AC767" s="210"/>
      <c r="AT767" s="425" t="str">
        <f t="shared" si="57"/>
        <v>TGS000132017Q415,9</v>
      </c>
      <c r="AU767" s="64" t="str">
        <f t="shared" si="58"/>
        <v>10-2017</v>
      </c>
      <c r="BA767" s="428" t="str">
        <f t="shared" si="59"/>
        <v>WIP - 30 Days</v>
      </c>
    </row>
    <row r="768" spans="2:53">
      <c r="B768" s="36">
        <f>'[6]price list MAN'!B768</f>
        <v>48686</v>
      </c>
      <c r="C768" s="10" t="str">
        <f>'[6]price list MAN'!C768</f>
        <v>TGS-26-4406X4BLS-LX-EL-ACC</v>
      </c>
      <c r="D768" s="16" t="str">
        <f>IFERROR(VLOOKUP(C768&amp;"",'[7]Retail Price List'!$A$3:$B$103,2,FALSE),"Special Order")</f>
        <v>TGS00013</v>
      </c>
      <c r="E768" s="494" t="str">
        <f>'[6]price list MAN'!E768</f>
        <v>CKD</v>
      </c>
      <c r="F768" s="11" t="str">
        <f>'[6]price list MAN'!F768</f>
        <v>2018-10-30</v>
      </c>
      <c r="G768" s="32">
        <f>'[6]price list MAN'!G768</f>
        <v>15.9</v>
      </c>
      <c r="H768" s="26">
        <f>'[6]price list MAN'!H768</f>
        <v>43039</v>
      </c>
      <c r="I768" s="51" t="str">
        <f t="shared" si="55"/>
        <v>2017Q4</v>
      </c>
      <c r="J768" s="177">
        <f>'[6]price list MAN'!J768</f>
        <v>1900000</v>
      </c>
      <c r="K768" s="177">
        <f>'[6]price list MAN'!P768</f>
        <v>1459500</v>
      </c>
      <c r="L768" s="177">
        <f>'[6]price list MAN'!R768</f>
        <v>1390000</v>
      </c>
      <c r="M768" s="174">
        <f>'[6]price list MAN'!S768</f>
        <v>1955000</v>
      </c>
      <c r="N768" s="174">
        <f>'[6]price list MAN'!Y768</f>
        <v>1517250</v>
      </c>
      <c r="O768" s="174">
        <f>'[6]price list MAN'!AA768</f>
        <v>1445000</v>
      </c>
      <c r="P768" s="68">
        <f t="shared" si="56"/>
        <v>0.2608695652173913</v>
      </c>
      <c r="Q768" s="62" t="e">
        <f>O768-#REF!</f>
        <v>#REF!</v>
      </c>
      <c r="W768" s="210"/>
      <c r="X768" s="210"/>
      <c r="Y768" s="210"/>
      <c r="Z768" s="210"/>
      <c r="AA768" s="210"/>
      <c r="AB768" s="210"/>
      <c r="AC768" s="210"/>
      <c r="AT768" s="425" t="str">
        <f t="shared" si="57"/>
        <v>TGS000132017Q415,9</v>
      </c>
      <c r="AU768" s="64" t="str">
        <f t="shared" si="58"/>
        <v>10-2017</v>
      </c>
      <c r="BA768" s="428" t="str">
        <f t="shared" si="59"/>
        <v>WIP - 30 Days</v>
      </c>
    </row>
    <row r="769" spans="2:53">
      <c r="B769" s="36">
        <f>'[6]price list MAN'!B769</f>
        <v>48687</v>
      </c>
      <c r="C769" s="10" t="str">
        <f>'[6]price list MAN'!C769</f>
        <v>TGS-26-4406X4BLS-LX-EL-ACC</v>
      </c>
      <c r="D769" s="16" t="str">
        <f>IFERROR(VLOOKUP(C769&amp;"",'[7]Retail Price List'!$A$3:$B$103,2,FALSE),"Special Order")</f>
        <v>TGS00013</v>
      </c>
      <c r="E769" s="494" t="str">
        <f>'[6]price list MAN'!E769</f>
        <v>CKD</v>
      </c>
      <c r="F769" s="11" t="str">
        <f>'[6]price list MAN'!F769</f>
        <v>2018-10-30</v>
      </c>
      <c r="G769" s="32">
        <f>'[6]price list MAN'!G769</f>
        <v>15.9</v>
      </c>
      <c r="H769" s="26">
        <f>'[6]price list MAN'!H769</f>
        <v>43039</v>
      </c>
      <c r="I769" s="51" t="str">
        <f t="shared" si="55"/>
        <v>2017Q4</v>
      </c>
      <c r="J769" s="177">
        <f>'[6]price list MAN'!J769</f>
        <v>1900000</v>
      </c>
      <c r="K769" s="177">
        <f>'[6]price list MAN'!P769</f>
        <v>1459500</v>
      </c>
      <c r="L769" s="177">
        <f>'[6]price list MAN'!R769</f>
        <v>1390000</v>
      </c>
      <c r="M769" s="174">
        <f>'[6]price list MAN'!S769</f>
        <v>1955000</v>
      </c>
      <c r="N769" s="174">
        <f>'[6]price list MAN'!Y769</f>
        <v>1517250</v>
      </c>
      <c r="O769" s="174">
        <f>'[6]price list MAN'!AA769</f>
        <v>1445000</v>
      </c>
      <c r="P769" s="68">
        <f t="shared" si="56"/>
        <v>0.2608695652173913</v>
      </c>
      <c r="Q769" s="62" t="e">
        <f>O769-#REF!</f>
        <v>#REF!</v>
      </c>
      <c r="W769" s="210"/>
      <c r="X769" s="210"/>
      <c r="Y769" s="210"/>
      <c r="Z769" s="210"/>
      <c r="AA769" s="210"/>
      <c r="AB769" s="210"/>
      <c r="AC769" s="210"/>
      <c r="AT769" s="425" t="str">
        <f t="shared" si="57"/>
        <v>TGS000132017Q415,9</v>
      </c>
      <c r="AU769" s="64" t="str">
        <f t="shared" si="58"/>
        <v>10-2017</v>
      </c>
      <c r="BA769" s="428" t="str">
        <f t="shared" si="59"/>
        <v>WIP - 30 Days</v>
      </c>
    </row>
    <row r="770" spans="2:53">
      <c r="B770" s="36">
        <f>'[6]price list MAN'!B770</f>
        <v>48688</v>
      </c>
      <c r="C770" s="10" t="str">
        <f>'[6]price list MAN'!C770</f>
        <v>TGS-26-4406X4BLS-LX-EL-ACC</v>
      </c>
      <c r="D770" s="16" t="str">
        <f>IFERROR(VLOOKUP(C770&amp;"",'[7]Retail Price List'!$A$3:$B$103,2,FALSE),"Special Order")</f>
        <v>TGS00013</v>
      </c>
      <c r="E770" s="494" t="str">
        <f>'[6]price list MAN'!E770</f>
        <v>CKD</v>
      </c>
      <c r="F770" s="11" t="str">
        <f>'[6]price list MAN'!F770</f>
        <v>2018-10-30</v>
      </c>
      <c r="G770" s="32">
        <f>'[6]price list MAN'!G770</f>
        <v>15.9</v>
      </c>
      <c r="H770" s="26">
        <f>'[6]price list MAN'!H770</f>
        <v>43039</v>
      </c>
      <c r="I770" s="51" t="str">
        <f t="shared" si="55"/>
        <v>2017Q4</v>
      </c>
      <c r="J770" s="177">
        <f>'[6]price list MAN'!J770</f>
        <v>1900000</v>
      </c>
      <c r="K770" s="177">
        <f>'[6]price list MAN'!P770</f>
        <v>1459500</v>
      </c>
      <c r="L770" s="177">
        <f>'[6]price list MAN'!R770</f>
        <v>1390000</v>
      </c>
      <c r="M770" s="174">
        <f>'[6]price list MAN'!S770</f>
        <v>1955000</v>
      </c>
      <c r="N770" s="174">
        <f>'[6]price list MAN'!Y770</f>
        <v>1517250</v>
      </c>
      <c r="O770" s="174">
        <f>'[6]price list MAN'!AA770</f>
        <v>1445000</v>
      </c>
      <c r="P770" s="68">
        <f t="shared" si="56"/>
        <v>0.2608695652173913</v>
      </c>
      <c r="Q770" s="62" t="e">
        <f>O770-#REF!</f>
        <v>#REF!</v>
      </c>
      <c r="W770" s="210"/>
      <c r="X770" s="210"/>
      <c r="Y770" s="210"/>
      <c r="Z770" s="210"/>
      <c r="AA770" s="210"/>
      <c r="AB770" s="210"/>
      <c r="AC770" s="210"/>
      <c r="AT770" s="425" t="str">
        <f t="shared" si="57"/>
        <v>TGS000132017Q415,9</v>
      </c>
      <c r="AU770" s="64" t="str">
        <f t="shared" si="58"/>
        <v>10-2017</v>
      </c>
      <c r="BA770" s="428" t="str">
        <f t="shared" si="59"/>
        <v>WIP - 30 Days</v>
      </c>
    </row>
    <row r="771" spans="2:53">
      <c r="B771" s="36">
        <f>'[6]price list MAN'!B771</f>
        <v>48761</v>
      </c>
      <c r="C771" s="10" t="str">
        <f>'[6]price list MAN'!C771</f>
        <v>TGS-26-4406X4BLS-LX-EL-ACC</v>
      </c>
      <c r="D771" s="16" t="str">
        <f>IFERROR(VLOOKUP(C771&amp;"",'[7]Retail Price List'!$A$3:$B$103,2,FALSE),"Special Order")</f>
        <v>TGS00013</v>
      </c>
      <c r="E771" s="494" t="str">
        <f>'[6]price list MAN'!E771</f>
        <v>CKD</v>
      </c>
      <c r="F771" s="11" t="str">
        <f>'[6]price list MAN'!F771</f>
        <v>2018-10-30</v>
      </c>
      <c r="G771" s="32">
        <f>'[6]price list MAN'!G771</f>
        <v>15.9</v>
      </c>
      <c r="H771" s="26">
        <f>'[6]price list MAN'!H771</f>
        <v>43039</v>
      </c>
      <c r="I771" s="51" t="str">
        <f t="shared" si="55"/>
        <v>2017Q4</v>
      </c>
      <c r="J771" s="177">
        <f>'[6]price list MAN'!J771</f>
        <v>1900000</v>
      </c>
      <c r="K771" s="177">
        <f>'[6]price list MAN'!P771</f>
        <v>1459500</v>
      </c>
      <c r="L771" s="177">
        <f>'[6]price list MAN'!R771</f>
        <v>1390000</v>
      </c>
      <c r="M771" s="174">
        <f>'[6]price list MAN'!S771</f>
        <v>1955000</v>
      </c>
      <c r="N771" s="174">
        <f>'[6]price list MAN'!Y771</f>
        <v>1517250</v>
      </c>
      <c r="O771" s="174">
        <f>'[6]price list MAN'!AA771</f>
        <v>1445000</v>
      </c>
      <c r="P771" s="68">
        <f t="shared" si="56"/>
        <v>0.2608695652173913</v>
      </c>
      <c r="Q771" s="62" t="e">
        <f>O771-#REF!</f>
        <v>#REF!</v>
      </c>
      <c r="W771" s="210"/>
      <c r="X771" s="210"/>
      <c r="Y771" s="210"/>
      <c r="Z771" s="210"/>
      <c r="AA771" s="210"/>
      <c r="AB771" s="210"/>
      <c r="AC771" s="210"/>
      <c r="AT771" s="425" t="str">
        <f t="shared" si="57"/>
        <v>TGS000132017Q415,9</v>
      </c>
      <c r="AU771" s="64" t="str">
        <f t="shared" si="58"/>
        <v>10-2017</v>
      </c>
      <c r="BA771" s="428" t="str">
        <f t="shared" si="59"/>
        <v>WIP - 30 Days</v>
      </c>
    </row>
    <row r="772" spans="2:53">
      <c r="B772" s="36">
        <f>'[6]price list MAN'!B772</f>
        <v>48762</v>
      </c>
      <c r="C772" s="10" t="str">
        <f>'[6]price list MAN'!C772</f>
        <v>TGS-26-4406X4BLS-LX-EL-ACC</v>
      </c>
      <c r="D772" s="16" t="str">
        <f>IFERROR(VLOOKUP(C772&amp;"",'[7]Retail Price List'!$A$3:$B$103,2,FALSE),"Special Order")</f>
        <v>TGS00013</v>
      </c>
      <c r="E772" s="494" t="str">
        <f>'[6]price list MAN'!E772</f>
        <v>CKD</v>
      </c>
      <c r="F772" s="11" t="str">
        <f>'[6]price list MAN'!F772</f>
        <v>2018-10-30</v>
      </c>
      <c r="G772" s="32">
        <f>'[6]price list MAN'!G772</f>
        <v>15.9</v>
      </c>
      <c r="H772" s="26">
        <f>'[6]price list MAN'!H772</f>
        <v>43039</v>
      </c>
      <c r="I772" s="51" t="str">
        <f t="shared" si="55"/>
        <v>2017Q4</v>
      </c>
      <c r="J772" s="177">
        <f>'[6]price list MAN'!J772</f>
        <v>1900000</v>
      </c>
      <c r="K772" s="177">
        <f>'[6]price list MAN'!P772</f>
        <v>1459500</v>
      </c>
      <c r="L772" s="177">
        <f>'[6]price list MAN'!R772</f>
        <v>1390000</v>
      </c>
      <c r="M772" s="174">
        <f>'[6]price list MAN'!S772</f>
        <v>1955000</v>
      </c>
      <c r="N772" s="174">
        <f>'[6]price list MAN'!Y772</f>
        <v>1517250</v>
      </c>
      <c r="O772" s="174">
        <f>'[6]price list MAN'!AA772</f>
        <v>1445000</v>
      </c>
      <c r="P772" s="68">
        <f t="shared" si="56"/>
        <v>0.2608695652173913</v>
      </c>
      <c r="Q772" s="62" t="e">
        <f>O772-#REF!</f>
        <v>#REF!</v>
      </c>
      <c r="W772" s="210"/>
      <c r="X772" s="210"/>
      <c r="Y772" s="210"/>
      <c r="Z772" s="210"/>
      <c r="AA772" s="210"/>
      <c r="AB772" s="210"/>
      <c r="AC772" s="210"/>
      <c r="AT772" s="425" t="str">
        <f t="shared" si="57"/>
        <v>TGS000132017Q415,9</v>
      </c>
      <c r="AU772" s="64" t="str">
        <f t="shared" si="58"/>
        <v>10-2017</v>
      </c>
      <c r="BA772" s="428" t="str">
        <f t="shared" si="59"/>
        <v>WIP - 30 Days</v>
      </c>
    </row>
    <row r="773" spans="2:53">
      <c r="B773" s="36">
        <f>'[6]price list MAN'!B773</f>
        <v>48763</v>
      </c>
      <c r="C773" s="10" t="str">
        <f>'[6]price list MAN'!C773</f>
        <v>TGS-26-4406X4BLS-LX-EL-ACC</v>
      </c>
      <c r="D773" s="16" t="str">
        <f>IFERROR(VLOOKUP(C773&amp;"",'[7]Retail Price List'!$A$3:$B$103,2,FALSE),"Special Order")</f>
        <v>TGS00013</v>
      </c>
      <c r="E773" s="494" t="str">
        <f>'[6]price list MAN'!E773</f>
        <v>CKD</v>
      </c>
      <c r="F773" s="11" t="str">
        <f>'[6]price list MAN'!F773</f>
        <v>2018-11-30</v>
      </c>
      <c r="G773" s="32">
        <f>'[6]price list MAN'!G773</f>
        <v>15.9</v>
      </c>
      <c r="H773" s="26">
        <f>'[6]price list MAN'!H773</f>
        <v>43039</v>
      </c>
      <c r="I773" s="51" t="str">
        <f t="shared" ref="I773:I836" si="60">IFERROR(VLOOKUP(AU773,$AW$5:$AY$40,3,FALSE),"")</f>
        <v>2017Q4</v>
      </c>
      <c r="J773" s="177">
        <f>'[6]price list MAN'!J773</f>
        <v>1900000</v>
      </c>
      <c r="K773" s="177">
        <f>'[6]price list MAN'!P773</f>
        <v>1459500</v>
      </c>
      <c r="L773" s="177">
        <f>'[6]price list MAN'!R773</f>
        <v>1390000</v>
      </c>
      <c r="M773" s="174">
        <f>'[6]price list MAN'!S773</f>
        <v>1955000</v>
      </c>
      <c r="N773" s="174">
        <f>'[6]price list MAN'!Y773</f>
        <v>1517250</v>
      </c>
      <c r="O773" s="174">
        <f>'[6]price list MAN'!AA773</f>
        <v>1445000</v>
      </c>
      <c r="P773" s="68">
        <f t="shared" ref="P773:P836" si="61">(M773-O773)/M773</f>
        <v>0.2608695652173913</v>
      </c>
      <c r="Q773" s="62" t="e">
        <f>O773-#REF!</f>
        <v>#REF!</v>
      </c>
      <c r="W773" s="210"/>
      <c r="X773" s="210"/>
      <c r="Y773" s="210"/>
      <c r="Z773" s="210"/>
      <c r="AA773" s="210"/>
      <c r="AB773" s="210"/>
      <c r="AC773" s="210"/>
      <c r="AT773" s="425" t="str">
        <f t="shared" ref="AT773:AT836" si="62">D773&amp;I773&amp;G773</f>
        <v>TGS000132017Q415,9</v>
      </c>
      <c r="AU773" s="64" t="str">
        <f t="shared" ref="AU773:AU836" si="63">IF(MONTH(H773)&lt;10,0&amp;MONTH(H773)&amp;"-"&amp;YEAR(H773),MONTH(H773)&amp;"-"&amp;YEAR(H773))</f>
        <v>10-2017</v>
      </c>
      <c r="BA773" s="428" t="str">
        <f t="shared" ref="BA773:BA836" si="64">IF(B773=0,"",IF(AND(F773&gt;=31,F773&lt;=120),"31-120 Days",IF(AND(F773&gt;=121,F773&lt;=365),"121-365 Days",IF(OR(E773="CKD",F773&lt;=30),"WIP - 30 Days","&gt;365 Days"))))</f>
        <v>WIP - 30 Days</v>
      </c>
    </row>
    <row r="774" spans="2:53">
      <c r="B774" s="36">
        <f>'[6]price list MAN'!B774</f>
        <v>48764</v>
      </c>
      <c r="C774" s="10" t="str">
        <f>'[6]price list MAN'!C774</f>
        <v>TGS-26-4406X4BLS-LX-EL-ACC</v>
      </c>
      <c r="D774" s="16" t="str">
        <f>IFERROR(VLOOKUP(C774&amp;"",'[7]Retail Price List'!$A$3:$B$103,2,FALSE),"Special Order")</f>
        <v>TGS00013</v>
      </c>
      <c r="E774" s="494" t="str">
        <f>'[6]price list MAN'!E774</f>
        <v>CKD</v>
      </c>
      <c r="F774" s="11" t="str">
        <f>'[6]price list MAN'!F774</f>
        <v>2018-11-30</v>
      </c>
      <c r="G774" s="32">
        <f>'[6]price list MAN'!G774</f>
        <v>15.9</v>
      </c>
      <c r="H774" s="26">
        <f>'[6]price list MAN'!H774</f>
        <v>43039</v>
      </c>
      <c r="I774" s="51" t="str">
        <f t="shared" si="60"/>
        <v>2017Q4</v>
      </c>
      <c r="J774" s="177">
        <f>'[6]price list MAN'!J774</f>
        <v>1900000</v>
      </c>
      <c r="K774" s="177">
        <f>'[6]price list MAN'!P774</f>
        <v>1459500</v>
      </c>
      <c r="L774" s="177">
        <f>'[6]price list MAN'!R774</f>
        <v>1390000</v>
      </c>
      <c r="M774" s="174">
        <f>'[6]price list MAN'!S774</f>
        <v>1955000</v>
      </c>
      <c r="N774" s="174">
        <f>'[6]price list MAN'!Y774</f>
        <v>1517250</v>
      </c>
      <c r="O774" s="174">
        <f>'[6]price list MAN'!AA774</f>
        <v>1445000</v>
      </c>
      <c r="P774" s="68">
        <f t="shared" si="61"/>
        <v>0.2608695652173913</v>
      </c>
      <c r="Q774" s="62" t="e">
        <f>O774-#REF!</f>
        <v>#REF!</v>
      </c>
      <c r="W774" s="210"/>
      <c r="X774" s="210"/>
      <c r="Y774" s="210"/>
      <c r="Z774" s="210"/>
      <c r="AA774" s="210"/>
      <c r="AB774" s="210"/>
      <c r="AC774" s="210"/>
      <c r="AT774" s="425" t="str">
        <f t="shared" si="62"/>
        <v>TGS000132017Q415,9</v>
      </c>
      <c r="AU774" s="64" t="str">
        <f t="shared" si="63"/>
        <v>10-2017</v>
      </c>
      <c r="BA774" s="428" t="str">
        <f t="shared" si="64"/>
        <v>WIP - 30 Days</v>
      </c>
    </row>
    <row r="775" spans="2:53">
      <c r="B775" s="36">
        <f>'[6]price list MAN'!B775</f>
        <v>48765</v>
      </c>
      <c r="C775" s="10" t="str">
        <f>'[6]price list MAN'!C775</f>
        <v>TGS-26-4406X4BLS-LX-EL-ACC</v>
      </c>
      <c r="D775" s="16" t="str">
        <f>IFERROR(VLOOKUP(C775&amp;"",'[7]Retail Price List'!$A$3:$B$103,2,FALSE),"Special Order")</f>
        <v>TGS00013</v>
      </c>
      <c r="E775" s="494" t="str">
        <f>'[6]price list MAN'!E775</f>
        <v>CKD</v>
      </c>
      <c r="F775" s="11" t="str">
        <f>'[6]price list MAN'!F775</f>
        <v>2018-11-30</v>
      </c>
      <c r="G775" s="32">
        <f>'[6]price list MAN'!G775</f>
        <v>15.9</v>
      </c>
      <c r="H775" s="26">
        <f>'[6]price list MAN'!H775</f>
        <v>43039</v>
      </c>
      <c r="I775" s="51" t="str">
        <f t="shared" si="60"/>
        <v>2017Q4</v>
      </c>
      <c r="J775" s="177">
        <f>'[6]price list MAN'!J775</f>
        <v>1900000</v>
      </c>
      <c r="K775" s="177">
        <f>'[6]price list MAN'!P775</f>
        <v>1459500</v>
      </c>
      <c r="L775" s="177">
        <f>'[6]price list MAN'!R775</f>
        <v>1390000</v>
      </c>
      <c r="M775" s="174">
        <f>'[6]price list MAN'!S775</f>
        <v>1955000</v>
      </c>
      <c r="N775" s="174">
        <f>'[6]price list MAN'!Y775</f>
        <v>1517250</v>
      </c>
      <c r="O775" s="174">
        <f>'[6]price list MAN'!AA775</f>
        <v>1445000</v>
      </c>
      <c r="P775" s="68">
        <f t="shared" si="61"/>
        <v>0.2608695652173913</v>
      </c>
      <c r="Q775" s="62" t="e">
        <f>O775-#REF!</f>
        <v>#REF!</v>
      </c>
      <c r="W775" s="210"/>
      <c r="X775" s="210"/>
      <c r="Y775" s="210"/>
      <c r="Z775" s="210"/>
      <c r="AA775" s="210"/>
      <c r="AB775" s="210"/>
      <c r="AC775" s="210"/>
      <c r="AT775" s="425" t="str">
        <f t="shared" si="62"/>
        <v>TGS000132017Q415,9</v>
      </c>
      <c r="AU775" s="64" t="str">
        <f t="shared" si="63"/>
        <v>10-2017</v>
      </c>
      <c r="BA775" s="428" t="str">
        <f t="shared" si="64"/>
        <v>WIP - 30 Days</v>
      </c>
    </row>
    <row r="776" spans="2:53">
      <c r="B776" s="36">
        <f>'[6]price list MAN'!B776</f>
        <v>48766</v>
      </c>
      <c r="C776" s="10" t="str">
        <f>'[6]price list MAN'!C776</f>
        <v>TGS-26-4406X4BLS-LX-EL-ACC</v>
      </c>
      <c r="D776" s="16" t="str">
        <f>IFERROR(VLOOKUP(C776&amp;"",'[7]Retail Price List'!$A$3:$B$103,2,FALSE),"Special Order")</f>
        <v>TGS00013</v>
      </c>
      <c r="E776" s="494" t="str">
        <f>'[6]price list MAN'!E776</f>
        <v>CKD</v>
      </c>
      <c r="F776" s="11" t="str">
        <f>'[6]price list MAN'!F776</f>
        <v>2018-11-30</v>
      </c>
      <c r="G776" s="32">
        <f>'[6]price list MAN'!G776</f>
        <v>15.9</v>
      </c>
      <c r="H776" s="26">
        <f>'[6]price list MAN'!H776</f>
        <v>43039</v>
      </c>
      <c r="I776" s="51" t="str">
        <f t="shared" si="60"/>
        <v>2017Q4</v>
      </c>
      <c r="J776" s="177">
        <f>'[6]price list MAN'!J776</f>
        <v>1900000</v>
      </c>
      <c r="K776" s="177">
        <f>'[6]price list MAN'!P776</f>
        <v>1459500</v>
      </c>
      <c r="L776" s="177">
        <f>'[6]price list MAN'!R776</f>
        <v>1390000</v>
      </c>
      <c r="M776" s="174">
        <f>'[6]price list MAN'!S776</f>
        <v>1955000</v>
      </c>
      <c r="N776" s="174">
        <f>'[6]price list MAN'!Y776</f>
        <v>1517250</v>
      </c>
      <c r="O776" s="174">
        <f>'[6]price list MAN'!AA776</f>
        <v>1445000</v>
      </c>
      <c r="P776" s="68">
        <f t="shared" si="61"/>
        <v>0.2608695652173913</v>
      </c>
      <c r="Q776" s="62" t="e">
        <f>O776-#REF!</f>
        <v>#REF!</v>
      </c>
      <c r="W776" s="210"/>
      <c r="X776" s="210"/>
      <c r="Y776" s="210"/>
      <c r="Z776" s="210"/>
      <c r="AA776" s="210"/>
      <c r="AB776" s="210"/>
      <c r="AC776" s="210"/>
      <c r="AT776" s="425" t="str">
        <f t="shared" si="62"/>
        <v>TGS000132017Q415,9</v>
      </c>
      <c r="AU776" s="64" t="str">
        <f t="shared" si="63"/>
        <v>10-2017</v>
      </c>
      <c r="BA776" s="428" t="str">
        <f t="shared" si="64"/>
        <v>WIP - 30 Days</v>
      </c>
    </row>
    <row r="777" spans="2:53">
      <c r="B777" s="36">
        <f>'[6]price list MAN'!B777</f>
        <v>48767</v>
      </c>
      <c r="C777" s="10" t="str">
        <f>'[6]price list MAN'!C777</f>
        <v>TGS-26-4406X4BLS-LX-EL-ACC</v>
      </c>
      <c r="D777" s="16" t="str">
        <f>IFERROR(VLOOKUP(C777&amp;"",'[7]Retail Price List'!$A$3:$B$103,2,FALSE),"Special Order")</f>
        <v>TGS00013</v>
      </c>
      <c r="E777" s="494" t="str">
        <f>'[6]price list MAN'!E777</f>
        <v>CKD</v>
      </c>
      <c r="F777" s="11" t="str">
        <f>'[6]price list MAN'!F777</f>
        <v>2018-11-30</v>
      </c>
      <c r="G777" s="32">
        <f>'[6]price list MAN'!G777</f>
        <v>15.9</v>
      </c>
      <c r="H777" s="26">
        <f>'[6]price list MAN'!H777</f>
        <v>43039</v>
      </c>
      <c r="I777" s="51" t="str">
        <f t="shared" si="60"/>
        <v>2017Q4</v>
      </c>
      <c r="J777" s="177">
        <f>'[6]price list MAN'!J777</f>
        <v>1900000</v>
      </c>
      <c r="K777" s="177">
        <f>'[6]price list MAN'!P777</f>
        <v>1459500</v>
      </c>
      <c r="L777" s="177">
        <f>'[6]price list MAN'!R777</f>
        <v>1390000</v>
      </c>
      <c r="M777" s="174">
        <f>'[6]price list MAN'!S777</f>
        <v>1955000</v>
      </c>
      <c r="N777" s="174">
        <f>'[6]price list MAN'!Y777</f>
        <v>1517250</v>
      </c>
      <c r="O777" s="174">
        <f>'[6]price list MAN'!AA777</f>
        <v>1445000</v>
      </c>
      <c r="P777" s="68">
        <f t="shared" si="61"/>
        <v>0.2608695652173913</v>
      </c>
      <c r="Q777" s="62" t="e">
        <f>O777-#REF!</f>
        <v>#REF!</v>
      </c>
      <c r="W777" s="210"/>
      <c r="X777" s="210"/>
      <c r="Y777" s="210"/>
      <c r="Z777" s="210"/>
      <c r="AA777" s="210"/>
      <c r="AB777" s="210"/>
      <c r="AC777" s="210"/>
      <c r="AT777" s="425" t="str">
        <f t="shared" si="62"/>
        <v>TGS000132017Q415,9</v>
      </c>
      <c r="AU777" s="64" t="str">
        <f t="shared" si="63"/>
        <v>10-2017</v>
      </c>
      <c r="BA777" s="428" t="str">
        <f t="shared" si="64"/>
        <v>WIP - 30 Days</v>
      </c>
    </row>
    <row r="778" spans="2:53">
      <c r="B778" s="36">
        <f>'[6]price list MAN'!B778</f>
        <v>48768</v>
      </c>
      <c r="C778" s="10" t="str">
        <f>'[6]price list MAN'!C778</f>
        <v>TGS-26-4406X4BLS-LX-EL-ACC</v>
      </c>
      <c r="D778" s="16" t="str">
        <f>IFERROR(VLOOKUP(C778&amp;"",'[7]Retail Price List'!$A$3:$B$103,2,FALSE),"Special Order")</f>
        <v>TGS00013</v>
      </c>
      <c r="E778" s="494" t="str">
        <f>'[6]price list MAN'!E778</f>
        <v>CKD</v>
      </c>
      <c r="F778" s="11" t="str">
        <f>'[6]price list MAN'!F778</f>
        <v>2018-11-30</v>
      </c>
      <c r="G778" s="32">
        <f>'[6]price list MAN'!G778</f>
        <v>15.9</v>
      </c>
      <c r="H778" s="26">
        <f>'[6]price list MAN'!H778</f>
        <v>43039</v>
      </c>
      <c r="I778" s="51" t="str">
        <f t="shared" si="60"/>
        <v>2017Q4</v>
      </c>
      <c r="J778" s="177">
        <f>'[6]price list MAN'!J778</f>
        <v>1900000</v>
      </c>
      <c r="K778" s="177">
        <f>'[6]price list MAN'!P778</f>
        <v>1459500</v>
      </c>
      <c r="L778" s="177">
        <f>'[6]price list MAN'!R778</f>
        <v>1390000</v>
      </c>
      <c r="M778" s="174">
        <f>'[6]price list MAN'!S778</f>
        <v>1955000</v>
      </c>
      <c r="N778" s="174">
        <f>'[6]price list MAN'!Y778</f>
        <v>1517250</v>
      </c>
      <c r="O778" s="174">
        <f>'[6]price list MAN'!AA778</f>
        <v>1445000</v>
      </c>
      <c r="P778" s="68">
        <f t="shared" si="61"/>
        <v>0.2608695652173913</v>
      </c>
      <c r="Q778" s="62" t="e">
        <f>O778-#REF!</f>
        <v>#REF!</v>
      </c>
      <c r="W778" s="210"/>
      <c r="X778" s="210"/>
      <c r="Y778" s="210"/>
      <c r="Z778" s="210"/>
      <c r="AA778" s="210"/>
      <c r="AB778" s="210"/>
      <c r="AC778" s="210"/>
      <c r="AT778" s="425" t="str">
        <f t="shared" si="62"/>
        <v>TGS000132017Q415,9</v>
      </c>
      <c r="AU778" s="64" t="str">
        <f t="shared" si="63"/>
        <v>10-2017</v>
      </c>
      <c r="BA778" s="428" t="str">
        <f t="shared" si="64"/>
        <v>WIP - 30 Days</v>
      </c>
    </row>
    <row r="779" spans="2:53">
      <c r="B779" s="36">
        <f>'[6]price list MAN'!B779</f>
        <v>48769</v>
      </c>
      <c r="C779" s="10" t="str">
        <f>'[6]price list MAN'!C779</f>
        <v>TGS-26-4406X4BLS-LX-EL-ACC</v>
      </c>
      <c r="D779" s="16" t="str">
        <f>IFERROR(VLOOKUP(C779&amp;"",'[7]Retail Price List'!$A$3:$B$103,2,FALSE),"Special Order")</f>
        <v>TGS00013</v>
      </c>
      <c r="E779" s="494" t="str">
        <f>'[6]price list MAN'!E779</f>
        <v>CKD</v>
      </c>
      <c r="F779" s="11" t="str">
        <f>'[6]price list MAN'!F779</f>
        <v>2018-11-30</v>
      </c>
      <c r="G779" s="32">
        <f>'[6]price list MAN'!G779</f>
        <v>15.9</v>
      </c>
      <c r="H779" s="26">
        <f>'[6]price list MAN'!H779</f>
        <v>43039</v>
      </c>
      <c r="I779" s="51" t="str">
        <f t="shared" si="60"/>
        <v>2017Q4</v>
      </c>
      <c r="J779" s="177">
        <f>'[6]price list MAN'!J779</f>
        <v>1900000</v>
      </c>
      <c r="K779" s="177">
        <f>'[6]price list MAN'!P779</f>
        <v>1459500</v>
      </c>
      <c r="L779" s="177">
        <f>'[6]price list MAN'!R779</f>
        <v>1390000</v>
      </c>
      <c r="M779" s="174">
        <f>'[6]price list MAN'!S779</f>
        <v>1955000</v>
      </c>
      <c r="N779" s="174">
        <f>'[6]price list MAN'!Y779</f>
        <v>1517250</v>
      </c>
      <c r="O779" s="174">
        <f>'[6]price list MAN'!AA779</f>
        <v>1445000</v>
      </c>
      <c r="P779" s="68">
        <f t="shared" si="61"/>
        <v>0.2608695652173913</v>
      </c>
      <c r="Q779" s="62" t="e">
        <f>O779-#REF!</f>
        <v>#REF!</v>
      </c>
      <c r="W779" s="210"/>
      <c r="X779" s="210"/>
      <c r="Y779" s="210"/>
      <c r="Z779" s="210"/>
      <c r="AA779" s="210"/>
      <c r="AB779" s="210"/>
      <c r="AC779" s="210"/>
      <c r="AT779" s="425" t="str">
        <f t="shared" si="62"/>
        <v>TGS000132017Q415,9</v>
      </c>
      <c r="AU779" s="64" t="str">
        <f t="shared" si="63"/>
        <v>10-2017</v>
      </c>
      <c r="BA779" s="428" t="str">
        <f t="shared" si="64"/>
        <v>WIP - 30 Days</v>
      </c>
    </row>
    <row r="780" spans="2:53">
      <c r="B780" s="36">
        <f>'[6]price list MAN'!B780</f>
        <v>48770</v>
      </c>
      <c r="C780" s="10" t="str">
        <f>'[6]price list MAN'!C780</f>
        <v>TGS-26-4406X4BLS-LX-EL-ACC</v>
      </c>
      <c r="D780" s="16" t="str">
        <f>IFERROR(VLOOKUP(C780&amp;"",'[7]Retail Price List'!$A$3:$B$103,2,FALSE),"Special Order")</f>
        <v>TGS00013</v>
      </c>
      <c r="E780" s="494" t="str">
        <f>'[6]price list MAN'!E780</f>
        <v>CKD</v>
      </c>
      <c r="F780" s="11" t="str">
        <f>'[6]price list MAN'!F780</f>
        <v>2018-11-30</v>
      </c>
      <c r="G780" s="32">
        <f>'[6]price list MAN'!G780</f>
        <v>15.9</v>
      </c>
      <c r="H780" s="26">
        <f>'[6]price list MAN'!H780</f>
        <v>43039</v>
      </c>
      <c r="I780" s="51" t="str">
        <f t="shared" si="60"/>
        <v>2017Q4</v>
      </c>
      <c r="J780" s="177">
        <f>'[6]price list MAN'!J780</f>
        <v>1900000</v>
      </c>
      <c r="K780" s="177">
        <f>'[6]price list MAN'!P780</f>
        <v>1459500</v>
      </c>
      <c r="L780" s="177">
        <f>'[6]price list MAN'!R780</f>
        <v>1390000</v>
      </c>
      <c r="M780" s="174">
        <f>'[6]price list MAN'!S780</f>
        <v>1955000</v>
      </c>
      <c r="N780" s="174">
        <f>'[6]price list MAN'!Y780</f>
        <v>1517250</v>
      </c>
      <c r="O780" s="174">
        <f>'[6]price list MAN'!AA780</f>
        <v>1445000</v>
      </c>
      <c r="P780" s="68">
        <f t="shared" si="61"/>
        <v>0.2608695652173913</v>
      </c>
      <c r="Q780" s="62" t="e">
        <f>O780-#REF!</f>
        <v>#REF!</v>
      </c>
      <c r="W780" s="210"/>
      <c r="X780" s="210"/>
      <c r="Y780" s="210"/>
      <c r="Z780" s="210"/>
      <c r="AA780" s="210"/>
      <c r="AB780" s="210"/>
      <c r="AC780" s="210"/>
      <c r="AT780" s="425" t="str">
        <f t="shared" si="62"/>
        <v>TGS000132017Q415,9</v>
      </c>
      <c r="AU780" s="64" t="str">
        <f t="shared" si="63"/>
        <v>10-2017</v>
      </c>
      <c r="BA780" s="428" t="str">
        <f t="shared" si="64"/>
        <v>WIP - 30 Days</v>
      </c>
    </row>
    <row r="781" spans="2:53">
      <c r="B781" s="36">
        <f>'[6]price list MAN'!B781</f>
        <v>48771</v>
      </c>
      <c r="C781" s="10" t="str">
        <f>'[6]price list MAN'!C781</f>
        <v>TGS-26-4406X4BLS-LX-EL-ACC</v>
      </c>
      <c r="D781" s="16" t="str">
        <f>IFERROR(VLOOKUP(C781&amp;"",'[7]Retail Price List'!$A$3:$B$103,2,FALSE),"Special Order")</f>
        <v>TGS00013</v>
      </c>
      <c r="E781" s="494" t="str">
        <f>'[6]price list MAN'!E781</f>
        <v>CKD</v>
      </c>
      <c r="F781" s="11" t="str">
        <f>'[6]price list MAN'!F781</f>
        <v>2018-11-30</v>
      </c>
      <c r="G781" s="32">
        <f>'[6]price list MAN'!G781</f>
        <v>15.9</v>
      </c>
      <c r="H781" s="26">
        <f>'[6]price list MAN'!H781</f>
        <v>43039</v>
      </c>
      <c r="I781" s="51" t="str">
        <f t="shared" si="60"/>
        <v>2017Q4</v>
      </c>
      <c r="J781" s="177">
        <f>'[6]price list MAN'!J781</f>
        <v>1900000</v>
      </c>
      <c r="K781" s="177">
        <f>'[6]price list MAN'!P781</f>
        <v>1459500</v>
      </c>
      <c r="L781" s="177">
        <f>'[6]price list MAN'!R781</f>
        <v>1390000</v>
      </c>
      <c r="M781" s="174">
        <f>'[6]price list MAN'!S781</f>
        <v>1955000</v>
      </c>
      <c r="N781" s="174">
        <f>'[6]price list MAN'!Y781</f>
        <v>1517250</v>
      </c>
      <c r="O781" s="174">
        <f>'[6]price list MAN'!AA781</f>
        <v>1445000</v>
      </c>
      <c r="P781" s="68">
        <f t="shared" si="61"/>
        <v>0.2608695652173913</v>
      </c>
      <c r="Q781" s="62" t="e">
        <f>O781-#REF!</f>
        <v>#REF!</v>
      </c>
      <c r="W781" s="210"/>
      <c r="X781" s="210"/>
      <c r="Y781" s="210"/>
      <c r="Z781" s="210"/>
      <c r="AA781" s="210"/>
      <c r="AB781" s="210"/>
      <c r="AC781" s="210"/>
      <c r="AT781" s="425" t="str">
        <f t="shared" si="62"/>
        <v>TGS000132017Q415,9</v>
      </c>
      <c r="AU781" s="64" t="str">
        <f t="shared" si="63"/>
        <v>10-2017</v>
      </c>
      <c r="BA781" s="428" t="str">
        <f t="shared" si="64"/>
        <v>WIP - 30 Days</v>
      </c>
    </row>
    <row r="782" spans="2:53">
      <c r="B782" s="36">
        <f>'[6]price list MAN'!B782</f>
        <v>48772</v>
      </c>
      <c r="C782" s="10" t="str">
        <f>'[6]price list MAN'!C782</f>
        <v>TGS-26-4406X4BLS-LX-EL-ACC</v>
      </c>
      <c r="D782" s="16" t="str">
        <f>IFERROR(VLOOKUP(C782&amp;"",'[7]Retail Price List'!$A$3:$B$103,2,FALSE),"Special Order")</f>
        <v>TGS00013</v>
      </c>
      <c r="E782" s="494" t="str">
        <f>'[6]price list MAN'!E782</f>
        <v>CKD</v>
      </c>
      <c r="F782" s="11" t="str">
        <f>'[6]price list MAN'!F782</f>
        <v>2018-11-30</v>
      </c>
      <c r="G782" s="32">
        <f>'[6]price list MAN'!G782</f>
        <v>15.9</v>
      </c>
      <c r="H782" s="26">
        <f>'[6]price list MAN'!H782</f>
        <v>43039</v>
      </c>
      <c r="I782" s="51" t="str">
        <f t="shared" si="60"/>
        <v>2017Q4</v>
      </c>
      <c r="J782" s="177">
        <f>'[6]price list MAN'!J782</f>
        <v>1900000</v>
      </c>
      <c r="K782" s="177">
        <f>'[6]price list MAN'!P782</f>
        <v>1459500</v>
      </c>
      <c r="L782" s="177">
        <f>'[6]price list MAN'!R782</f>
        <v>1390000</v>
      </c>
      <c r="M782" s="174">
        <f>'[6]price list MAN'!S782</f>
        <v>1955000</v>
      </c>
      <c r="N782" s="174">
        <f>'[6]price list MAN'!Y782</f>
        <v>1517250</v>
      </c>
      <c r="O782" s="174">
        <f>'[6]price list MAN'!AA782</f>
        <v>1445000</v>
      </c>
      <c r="P782" s="68">
        <f t="shared" si="61"/>
        <v>0.2608695652173913</v>
      </c>
      <c r="Q782" s="62" t="e">
        <f>O782-#REF!</f>
        <v>#REF!</v>
      </c>
      <c r="W782" s="210"/>
      <c r="X782" s="210"/>
      <c r="Y782" s="210"/>
      <c r="Z782" s="210"/>
      <c r="AA782" s="210"/>
      <c r="AB782" s="210"/>
      <c r="AC782" s="210"/>
      <c r="AT782" s="425" t="str">
        <f t="shared" si="62"/>
        <v>TGS000132017Q415,9</v>
      </c>
      <c r="AU782" s="64" t="str">
        <f t="shared" si="63"/>
        <v>10-2017</v>
      </c>
      <c r="BA782" s="428" t="str">
        <f t="shared" si="64"/>
        <v>WIP - 30 Days</v>
      </c>
    </row>
    <row r="783" spans="2:53">
      <c r="B783" s="36">
        <f>'[6]price list MAN'!B783</f>
        <v>48773</v>
      </c>
      <c r="C783" s="10" t="str">
        <f>'[6]price list MAN'!C783</f>
        <v>TGS-26-4406X4BLS-LX-EL-ACC</v>
      </c>
      <c r="D783" s="16" t="str">
        <f>IFERROR(VLOOKUP(C783&amp;"",'[7]Retail Price List'!$A$3:$B$103,2,FALSE),"Special Order")</f>
        <v>TGS00013</v>
      </c>
      <c r="E783" s="494" t="str">
        <f>'[6]price list MAN'!E783</f>
        <v>CKD</v>
      </c>
      <c r="F783" s="11" t="str">
        <f>'[6]price list MAN'!F783</f>
        <v>2018-11-30</v>
      </c>
      <c r="G783" s="32">
        <f>'[6]price list MAN'!G783</f>
        <v>15.9</v>
      </c>
      <c r="H783" s="26">
        <f>'[6]price list MAN'!H783</f>
        <v>43039</v>
      </c>
      <c r="I783" s="51" t="str">
        <f t="shared" si="60"/>
        <v>2017Q4</v>
      </c>
      <c r="J783" s="177">
        <f>'[6]price list MAN'!J783</f>
        <v>1900000</v>
      </c>
      <c r="K783" s="177">
        <f>'[6]price list MAN'!P783</f>
        <v>1459500</v>
      </c>
      <c r="L783" s="177">
        <f>'[6]price list MAN'!R783</f>
        <v>1390000</v>
      </c>
      <c r="M783" s="174">
        <f>'[6]price list MAN'!S783</f>
        <v>1955000</v>
      </c>
      <c r="N783" s="174">
        <f>'[6]price list MAN'!Y783</f>
        <v>1517250</v>
      </c>
      <c r="O783" s="174">
        <f>'[6]price list MAN'!AA783</f>
        <v>1445000</v>
      </c>
      <c r="P783" s="68">
        <f t="shared" si="61"/>
        <v>0.2608695652173913</v>
      </c>
      <c r="Q783" s="62" t="e">
        <f>O783-#REF!</f>
        <v>#REF!</v>
      </c>
      <c r="W783" s="210"/>
      <c r="X783" s="210"/>
      <c r="Y783" s="210"/>
      <c r="Z783" s="210"/>
      <c r="AA783" s="210"/>
      <c r="AB783" s="210"/>
      <c r="AC783" s="210"/>
      <c r="AT783" s="425" t="str">
        <f t="shared" si="62"/>
        <v>TGS000132017Q415,9</v>
      </c>
      <c r="AU783" s="64" t="str">
        <f t="shared" si="63"/>
        <v>10-2017</v>
      </c>
      <c r="BA783" s="428" t="str">
        <f t="shared" si="64"/>
        <v>WIP - 30 Days</v>
      </c>
    </row>
    <row r="784" spans="2:53">
      <c r="B784" s="36">
        <f>'[6]price list MAN'!B784</f>
        <v>48774</v>
      </c>
      <c r="C784" s="10" t="str">
        <f>'[6]price list MAN'!C784</f>
        <v>TGS-26-4406X4BLS-LX-EL-ACC</v>
      </c>
      <c r="D784" s="16" t="str">
        <f>IFERROR(VLOOKUP(C784&amp;"",'[7]Retail Price List'!$A$3:$B$103,2,FALSE),"Special Order")</f>
        <v>TGS00013</v>
      </c>
      <c r="E784" s="494" t="str">
        <f>'[6]price list MAN'!E784</f>
        <v>CKD</v>
      </c>
      <c r="F784" s="11" t="str">
        <f>'[6]price list MAN'!F784</f>
        <v>2018-11-30</v>
      </c>
      <c r="G784" s="32">
        <f>'[6]price list MAN'!G784</f>
        <v>15.9</v>
      </c>
      <c r="H784" s="26">
        <f>'[6]price list MAN'!H784</f>
        <v>43039</v>
      </c>
      <c r="I784" s="51" t="str">
        <f t="shared" si="60"/>
        <v>2017Q4</v>
      </c>
      <c r="J784" s="177">
        <f>'[6]price list MAN'!J784</f>
        <v>1900000</v>
      </c>
      <c r="K784" s="177">
        <f>'[6]price list MAN'!P784</f>
        <v>1459500</v>
      </c>
      <c r="L784" s="177">
        <f>'[6]price list MAN'!R784</f>
        <v>1390000</v>
      </c>
      <c r="M784" s="174">
        <f>'[6]price list MAN'!S784</f>
        <v>1955000</v>
      </c>
      <c r="N784" s="174">
        <f>'[6]price list MAN'!Y784</f>
        <v>1517250</v>
      </c>
      <c r="O784" s="174">
        <f>'[6]price list MAN'!AA784</f>
        <v>1445000</v>
      </c>
      <c r="P784" s="68">
        <f t="shared" si="61"/>
        <v>0.2608695652173913</v>
      </c>
      <c r="Q784" s="62" t="e">
        <f>O784-#REF!</f>
        <v>#REF!</v>
      </c>
      <c r="W784" s="210"/>
      <c r="X784" s="210"/>
      <c r="Y784" s="210"/>
      <c r="Z784" s="210"/>
      <c r="AA784" s="210"/>
      <c r="AB784" s="210"/>
      <c r="AC784" s="210"/>
      <c r="AT784" s="425" t="str">
        <f t="shared" si="62"/>
        <v>TGS000132017Q415,9</v>
      </c>
      <c r="AU784" s="64" t="str">
        <f t="shared" si="63"/>
        <v>10-2017</v>
      </c>
      <c r="BA784" s="428" t="str">
        <f t="shared" si="64"/>
        <v>WIP - 30 Days</v>
      </c>
    </row>
    <row r="785" spans="2:53">
      <c r="B785" s="36">
        <f>'[6]price list MAN'!B785</f>
        <v>48776</v>
      </c>
      <c r="C785" s="10" t="str">
        <f>'[6]price list MAN'!C785</f>
        <v>TGS-26-4406X4BLS-LX-EL-ACC</v>
      </c>
      <c r="D785" s="16" t="str">
        <f>IFERROR(VLOOKUP(C785&amp;"",'[7]Retail Price List'!$A$3:$B$103,2,FALSE),"Special Order")</f>
        <v>TGS00013</v>
      </c>
      <c r="E785" s="494" t="str">
        <f>'[6]price list MAN'!E785</f>
        <v>CKD</v>
      </c>
      <c r="F785" s="11" t="str">
        <f>'[6]price list MAN'!F785</f>
        <v>2018-11-30</v>
      </c>
      <c r="G785" s="32">
        <f>'[6]price list MAN'!G785</f>
        <v>15.9</v>
      </c>
      <c r="H785" s="26">
        <f>'[6]price list MAN'!H785</f>
        <v>43039</v>
      </c>
      <c r="I785" s="51" t="str">
        <f t="shared" si="60"/>
        <v>2017Q4</v>
      </c>
      <c r="J785" s="177">
        <f>'[6]price list MAN'!J785</f>
        <v>1900000</v>
      </c>
      <c r="K785" s="177">
        <f>'[6]price list MAN'!P785</f>
        <v>1459500</v>
      </c>
      <c r="L785" s="177">
        <f>'[6]price list MAN'!R785</f>
        <v>1390000</v>
      </c>
      <c r="M785" s="174">
        <f>'[6]price list MAN'!S785</f>
        <v>1955000</v>
      </c>
      <c r="N785" s="174">
        <f>'[6]price list MAN'!Y785</f>
        <v>1517250</v>
      </c>
      <c r="O785" s="174">
        <f>'[6]price list MAN'!AA785</f>
        <v>1445000</v>
      </c>
      <c r="P785" s="68">
        <f t="shared" si="61"/>
        <v>0.2608695652173913</v>
      </c>
      <c r="Q785" s="62" t="e">
        <f>O785-#REF!</f>
        <v>#REF!</v>
      </c>
      <c r="W785" s="210"/>
      <c r="X785" s="210"/>
      <c r="Y785" s="210"/>
      <c r="Z785" s="210"/>
      <c r="AA785" s="210"/>
      <c r="AB785" s="210"/>
      <c r="AC785" s="210"/>
      <c r="AT785" s="425" t="str">
        <f t="shared" si="62"/>
        <v>TGS000132017Q415,9</v>
      </c>
      <c r="AU785" s="64" t="str">
        <f t="shared" si="63"/>
        <v>10-2017</v>
      </c>
      <c r="BA785" s="428" t="str">
        <f t="shared" si="64"/>
        <v>WIP - 30 Days</v>
      </c>
    </row>
    <row r="786" spans="2:53">
      <c r="B786" s="36">
        <f>'[6]price list MAN'!B786</f>
        <v>48777</v>
      </c>
      <c r="C786" s="10" t="str">
        <f>'[6]price list MAN'!C786</f>
        <v>TGS-26-4406X4BLS-LX-EL-ACC</v>
      </c>
      <c r="D786" s="16" t="str">
        <f>IFERROR(VLOOKUP(C786&amp;"",'[7]Retail Price List'!$A$3:$B$103,2,FALSE),"Special Order")</f>
        <v>TGS00013</v>
      </c>
      <c r="E786" s="494" t="str">
        <f>'[6]price list MAN'!E786</f>
        <v>CKD</v>
      </c>
      <c r="F786" s="11" t="str">
        <f>'[6]price list MAN'!F786</f>
        <v>2018-11-30</v>
      </c>
      <c r="G786" s="32">
        <f>'[6]price list MAN'!G786</f>
        <v>15.9</v>
      </c>
      <c r="H786" s="26">
        <f>'[6]price list MAN'!H786</f>
        <v>43039</v>
      </c>
      <c r="I786" s="51" t="str">
        <f t="shared" si="60"/>
        <v>2017Q4</v>
      </c>
      <c r="J786" s="177">
        <f>'[6]price list MAN'!J786</f>
        <v>1900000</v>
      </c>
      <c r="K786" s="177">
        <f>'[6]price list MAN'!P786</f>
        <v>1459500</v>
      </c>
      <c r="L786" s="177">
        <f>'[6]price list MAN'!R786</f>
        <v>1390000</v>
      </c>
      <c r="M786" s="174">
        <f>'[6]price list MAN'!S786</f>
        <v>1955000</v>
      </c>
      <c r="N786" s="174">
        <f>'[6]price list MAN'!Y786</f>
        <v>1517250</v>
      </c>
      <c r="O786" s="174">
        <f>'[6]price list MAN'!AA786</f>
        <v>1445000</v>
      </c>
      <c r="P786" s="68">
        <f t="shared" si="61"/>
        <v>0.2608695652173913</v>
      </c>
      <c r="Q786" s="62" t="e">
        <f>O786-#REF!</f>
        <v>#REF!</v>
      </c>
      <c r="W786" s="210"/>
      <c r="X786" s="210"/>
      <c r="Y786" s="210"/>
      <c r="Z786" s="210"/>
      <c r="AA786" s="210"/>
      <c r="AB786" s="210"/>
      <c r="AC786" s="210"/>
      <c r="AT786" s="425" t="str">
        <f t="shared" si="62"/>
        <v>TGS000132017Q415,9</v>
      </c>
      <c r="AU786" s="64" t="str">
        <f t="shared" si="63"/>
        <v>10-2017</v>
      </c>
      <c r="BA786" s="428" t="str">
        <f t="shared" si="64"/>
        <v>WIP - 30 Days</v>
      </c>
    </row>
    <row r="787" spans="2:53">
      <c r="B787" s="36">
        <f>'[6]price list MAN'!B787</f>
        <v>48778</v>
      </c>
      <c r="C787" s="10" t="str">
        <f>'[6]price list MAN'!C787</f>
        <v>TGS-26-4406X4BLS-LX-EL-ACC</v>
      </c>
      <c r="D787" s="16" t="str">
        <f>IFERROR(VLOOKUP(C787&amp;"",'[7]Retail Price List'!$A$3:$B$103,2,FALSE),"Special Order")</f>
        <v>TGS00013</v>
      </c>
      <c r="E787" s="494" t="str">
        <f>'[6]price list MAN'!E787</f>
        <v>CKD</v>
      </c>
      <c r="F787" s="11" t="str">
        <f>'[6]price list MAN'!F787</f>
        <v>2018-12-30</v>
      </c>
      <c r="G787" s="32">
        <f>'[6]price list MAN'!G787</f>
        <v>15.9</v>
      </c>
      <c r="H787" s="26">
        <f>'[6]price list MAN'!H787</f>
        <v>43039</v>
      </c>
      <c r="I787" s="51" t="str">
        <f t="shared" si="60"/>
        <v>2017Q4</v>
      </c>
      <c r="J787" s="177">
        <f>'[6]price list MAN'!J787</f>
        <v>1900000</v>
      </c>
      <c r="K787" s="177">
        <f>'[6]price list MAN'!P787</f>
        <v>1459500</v>
      </c>
      <c r="L787" s="177">
        <f>'[6]price list MAN'!R787</f>
        <v>1390000</v>
      </c>
      <c r="M787" s="174">
        <f>'[6]price list MAN'!S787</f>
        <v>1955000</v>
      </c>
      <c r="N787" s="174">
        <f>'[6]price list MAN'!Y787</f>
        <v>1517250</v>
      </c>
      <c r="O787" s="174">
        <f>'[6]price list MAN'!AA787</f>
        <v>1445000</v>
      </c>
      <c r="P787" s="68">
        <f t="shared" si="61"/>
        <v>0.2608695652173913</v>
      </c>
      <c r="Q787" s="62" t="e">
        <f>O787-#REF!</f>
        <v>#REF!</v>
      </c>
      <c r="W787" s="210"/>
      <c r="X787" s="210"/>
      <c r="Y787" s="210"/>
      <c r="Z787" s="210"/>
      <c r="AA787" s="210"/>
      <c r="AB787" s="210"/>
      <c r="AC787" s="210"/>
      <c r="AT787" s="425" t="str">
        <f t="shared" si="62"/>
        <v>TGS000132017Q415,9</v>
      </c>
      <c r="AU787" s="64" t="str">
        <f t="shared" si="63"/>
        <v>10-2017</v>
      </c>
      <c r="BA787" s="428" t="str">
        <f t="shared" si="64"/>
        <v>WIP - 30 Days</v>
      </c>
    </row>
    <row r="788" spans="2:53">
      <c r="B788" s="36">
        <f>'[6]price list MAN'!B788</f>
        <v>48779</v>
      </c>
      <c r="C788" s="10" t="str">
        <f>'[6]price list MAN'!C788</f>
        <v>TGS-26-4406X4BLS-LX-EL-ACC</v>
      </c>
      <c r="D788" s="16" t="str">
        <f>IFERROR(VLOOKUP(C788&amp;"",'[7]Retail Price List'!$A$3:$B$103,2,FALSE),"Special Order")</f>
        <v>TGS00013</v>
      </c>
      <c r="E788" s="494" t="str">
        <f>'[6]price list MAN'!E788</f>
        <v>CKD</v>
      </c>
      <c r="F788" s="11" t="str">
        <f>'[6]price list MAN'!F788</f>
        <v>2018-12-30</v>
      </c>
      <c r="G788" s="32">
        <f>'[6]price list MAN'!G788</f>
        <v>15.9</v>
      </c>
      <c r="H788" s="26">
        <f>'[6]price list MAN'!H788</f>
        <v>43039</v>
      </c>
      <c r="I788" s="51" t="str">
        <f t="shared" si="60"/>
        <v>2017Q4</v>
      </c>
      <c r="J788" s="177">
        <f>'[6]price list MAN'!J788</f>
        <v>1900000</v>
      </c>
      <c r="K788" s="177">
        <f>'[6]price list MAN'!P788</f>
        <v>1459500</v>
      </c>
      <c r="L788" s="177">
        <f>'[6]price list MAN'!R788</f>
        <v>1390000</v>
      </c>
      <c r="M788" s="174">
        <f>'[6]price list MAN'!S788</f>
        <v>1955000</v>
      </c>
      <c r="N788" s="174">
        <f>'[6]price list MAN'!Y788</f>
        <v>1517250</v>
      </c>
      <c r="O788" s="174">
        <f>'[6]price list MAN'!AA788</f>
        <v>1445000</v>
      </c>
      <c r="P788" s="68">
        <f t="shared" si="61"/>
        <v>0.2608695652173913</v>
      </c>
      <c r="Q788" s="62" t="e">
        <f>O788-#REF!</f>
        <v>#REF!</v>
      </c>
      <c r="W788" s="210"/>
      <c r="X788" s="210"/>
      <c r="Y788" s="210"/>
      <c r="Z788" s="210"/>
      <c r="AA788" s="210"/>
      <c r="AB788" s="210"/>
      <c r="AC788" s="210"/>
      <c r="AT788" s="425" t="str">
        <f t="shared" si="62"/>
        <v>TGS000132017Q415,9</v>
      </c>
      <c r="AU788" s="64" t="str">
        <f t="shared" si="63"/>
        <v>10-2017</v>
      </c>
      <c r="BA788" s="428" t="str">
        <f t="shared" si="64"/>
        <v>WIP - 30 Days</v>
      </c>
    </row>
    <row r="789" spans="2:53">
      <c r="B789" s="36">
        <f>'[6]price list MAN'!B789</f>
        <v>48780</v>
      </c>
      <c r="C789" s="10" t="str">
        <f>'[6]price list MAN'!C789</f>
        <v>TGS-26-4406X4BLS-LX-EL-ACC</v>
      </c>
      <c r="D789" s="16" t="str">
        <f>IFERROR(VLOOKUP(C789&amp;"",'[7]Retail Price List'!$A$3:$B$103,2,FALSE),"Special Order")</f>
        <v>TGS00013</v>
      </c>
      <c r="E789" s="494" t="str">
        <f>'[6]price list MAN'!E789</f>
        <v>CKD</v>
      </c>
      <c r="F789" s="11" t="str">
        <f>'[6]price list MAN'!F789</f>
        <v>2018-12-30</v>
      </c>
      <c r="G789" s="32">
        <f>'[6]price list MAN'!G789</f>
        <v>15.9</v>
      </c>
      <c r="H789" s="26">
        <f>'[6]price list MAN'!H789</f>
        <v>43039</v>
      </c>
      <c r="I789" s="51" t="str">
        <f t="shared" si="60"/>
        <v>2017Q4</v>
      </c>
      <c r="J789" s="177">
        <f>'[6]price list MAN'!J789</f>
        <v>1900000</v>
      </c>
      <c r="K789" s="177">
        <f>'[6]price list MAN'!P789</f>
        <v>1459500</v>
      </c>
      <c r="L789" s="177">
        <f>'[6]price list MAN'!R789</f>
        <v>1390000</v>
      </c>
      <c r="M789" s="174">
        <f>'[6]price list MAN'!S789</f>
        <v>1955000</v>
      </c>
      <c r="N789" s="174">
        <f>'[6]price list MAN'!Y789</f>
        <v>1517250</v>
      </c>
      <c r="O789" s="174">
        <f>'[6]price list MAN'!AA789</f>
        <v>1445000</v>
      </c>
      <c r="P789" s="68">
        <f t="shared" si="61"/>
        <v>0.2608695652173913</v>
      </c>
      <c r="Q789" s="62" t="e">
        <f>O789-#REF!</f>
        <v>#REF!</v>
      </c>
      <c r="W789" s="210"/>
      <c r="X789" s="210"/>
      <c r="Y789" s="210"/>
      <c r="Z789" s="210"/>
      <c r="AA789" s="210"/>
      <c r="AB789" s="210"/>
      <c r="AC789" s="210"/>
      <c r="AT789" s="425" t="str">
        <f t="shared" si="62"/>
        <v>TGS000132017Q415,9</v>
      </c>
      <c r="AU789" s="64" t="str">
        <f t="shared" si="63"/>
        <v>10-2017</v>
      </c>
      <c r="BA789" s="428" t="str">
        <f t="shared" si="64"/>
        <v>WIP - 30 Days</v>
      </c>
    </row>
    <row r="790" spans="2:53">
      <c r="B790" s="36">
        <f>'[6]price list MAN'!B790</f>
        <v>48781</v>
      </c>
      <c r="C790" s="10" t="str">
        <f>'[6]price list MAN'!C790</f>
        <v>TGS-26-4406X4BLS-LX-EL-ACC</v>
      </c>
      <c r="D790" s="16" t="str">
        <f>IFERROR(VLOOKUP(C790&amp;"",'[7]Retail Price List'!$A$3:$B$103,2,FALSE),"Special Order")</f>
        <v>TGS00013</v>
      </c>
      <c r="E790" s="494" t="str">
        <f>'[6]price list MAN'!E790</f>
        <v>CKD</v>
      </c>
      <c r="F790" s="11" t="str">
        <f>'[6]price list MAN'!F790</f>
        <v>2018-12-30</v>
      </c>
      <c r="G790" s="32">
        <f>'[6]price list MAN'!G790</f>
        <v>15.9</v>
      </c>
      <c r="H790" s="26">
        <f>'[6]price list MAN'!H790</f>
        <v>43039</v>
      </c>
      <c r="I790" s="51" t="str">
        <f t="shared" si="60"/>
        <v>2017Q4</v>
      </c>
      <c r="J790" s="177">
        <f>'[6]price list MAN'!J790</f>
        <v>1900000</v>
      </c>
      <c r="K790" s="177">
        <f>'[6]price list MAN'!P790</f>
        <v>1459500</v>
      </c>
      <c r="L790" s="177">
        <f>'[6]price list MAN'!R790</f>
        <v>1390000</v>
      </c>
      <c r="M790" s="174">
        <f>'[6]price list MAN'!S790</f>
        <v>1955000</v>
      </c>
      <c r="N790" s="174">
        <f>'[6]price list MAN'!Y790</f>
        <v>1517250</v>
      </c>
      <c r="O790" s="174">
        <f>'[6]price list MAN'!AA790</f>
        <v>1445000</v>
      </c>
      <c r="P790" s="68">
        <f t="shared" si="61"/>
        <v>0.2608695652173913</v>
      </c>
      <c r="Q790" s="62" t="e">
        <f>O790-#REF!</f>
        <v>#REF!</v>
      </c>
      <c r="W790" s="210"/>
      <c r="X790" s="210"/>
      <c r="Y790" s="210"/>
      <c r="Z790" s="210"/>
      <c r="AA790" s="210"/>
      <c r="AB790" s="210"/>
      <c r="AC790" s="210"/>
      <c r="AT790" s="425" t="str">
        <f t="shared" si="62"/>
        <v>TGS000132017Q415,9</v>
      </c>
      <c r="AU790" s="64" t="str">
        <f t="shared" si="63"/>
        <v>10-2017</v>
      </c>
      <c r="BA790" s="428" t="str">
        <f t="shared" si="64"/>
        <v>WIP - 30 Days</v>
      </c>
    </row>
    <row r="791" spans="2:53">
      <c r="B791" s="36">
        <f>'[6]price list MAN'!B791</f>
        <v>48782</v>
      </c>
      <c r="C791" s="10" t="str">
        <f>'[6]price list MAN'!C791</f>
        <v>TGS-26-4406X4BLS-LX-EL-ACC</v>
      </c>
      <c r="D791" s="16" t="str">
        <f>IFERROR(VLOOKUP(C791&amp;"",'[7]Retail Price List'!$A$3:$B$103,2,FALSE),"Special Order")</f>
        <v>TGS00013</v>
      </c>
      <c r="E791" s="494" t="str">
        <f>'[6]price list MAN'!E791</f>
        <v>CKD</v>
      </c>
      <c r="F791" s="11" t="str">
        <f>'[6]price list MAN'!F791</f>
        <v>2018-12-30</v>
      </c>
      <c r="G791" s="32">
        <f>'[6]price list MAN'!G791</f>
        <v>15.9</v>
      </c>
      <c r="H791" s="26">
        <f>'[6]price list MAN'!H791</f>
        <v>43039</v>
      </c>
      <c r="I791" s="51" t="str">
        <f t="shared" si="60"/>
        <v>2017Q4</v>
      </c>
      <c r="J791" s="177">
        <f>'[6]price list MAN'!J791</f>
        <v>1900000</v>
      </c>
      <c r="K791" s="177">
        <f>'[6]price list MAN'!P791</f>
        <v>1459500</v>
      </c>
      <c r="L791" s="177">
        <f>'[6]price list MAN'!R791</f>
        <v>1390000</v>
      </c>
      <c r="M791" s="174">
        <f>'[6]price list MAN'!S791</f>
        <v>1955000</v>
      </c>
      <c r="N791" s="174">
        <f>'[6]price list MAN'!Y791</f>
        <v>1517250</v>
      </c>
      <c r="O791" s="174">
        <f>'[6]price list MAN'!AA791</f>
        <v>1445000</v>
      </c>
      <c r="P791" s="68">
        <f t="shared" si="61"/>
        <v>0.2608695652173913</v>
      </c>
      <c r="Q791" s="62" t="e">
        <f>O791-#REF!</f>
        <v>#REF!</v>
      </c>
      <c r="W791" s="210"/>
      <c r="X791" s="210"/>
      <c r="Y791" s="210"/>
      <c r="Z791" s="210"/>
      <c r="AA791" s="210"/>
      <c r="AB791" s="210"/>
      <c r="AC791" s="210"/>
      <c r="AT791" s="425" t="str">
        <f t="shared" si="62"/>
        <v>TGS000132017Q415,9</v>
      </c>
      <c r="AU791" s="64" t="str">
        <f t="shared" si="63"/>
        <v>10-2017</v>
      </c>
      <c r="BA791" s="428" t="str">
        <f t="shared" si="64"/>
        <v>WIP - 30 Days</v>
      </c>
    </row>
    <row r="792" spans="2:53">
      <c r="B792" s="36">
        <f>'[6]price list MAN'!B792</f>
        <v>48783</v>
      </c>
      <c r="C792" s="10" t="str">
        <f>'[6]price list MAN'!C792</f>
        <v>TGS-26-4406X4BLS-LX-EL-ACC</v>
      </c>
      <c r="D792" s="16" t="str">
        <f>IFERROR(VLOOKUP(C792&amp;"",'[7]Retail Price List'!$A$3:$B$103,2,FALSE),"Special Order")</f>
        <v>TGS00013</v>
      </c>
      <c r="E792" s="494" t="str">
        <f>'[6]price list MAN'!E792</f>
        <v>CKD</v>
      </c>
      <c r="F792" s="11" t="str">
        <f>'[6]price list MAN'!F792</f>
        <v>2018-12-30</v>
      </c>
      <c r="G792" s="32">
        <f>'[6]price list MAN'!G792</f>
        <v>15.9</v>
      </c>
      <c r="H792" s="26">
        <f>'[6]price list MAN'!H792</f>
        <v>43039</v>
      </c>
      <c r="I792" s="51" t="str">
        <f t="shared" si="60"/>
        <v>2017Q4</v>
      </c>
      <c r="J792" s="177">
        <f>'[6]price list MAN'!J792</f>
        <v>1900000</v>
      </c>
      <c r="K792" s="177">
        <f>'[6]price list MAN'!P792</f>
        <v>1459500</v>
      </c>
      <c r="L792" s="177">
        <f>'[6]price list MAN'!R792</f>
        <v>1390000</v>
      </c>
      <c r="M792" s="174">
        <f>'[6]price list MAN'!S792</f>
        <v>1955000</v>
      </c>
      <c r="N792" s="174">
        <f>'[6]price list MAN'!Y792</f>
        <v>1517250</v>
      </c>
      <c r="O792" s="174">
        <f>'[6]price list MAN'!AA792</f>
        <v>1445000</v>
      </c>
      <c r="P792" s="68">
        <f t="shared" si="61"/>
        <v>0.2608695652173913</v>
      </c>
      <c r="Q792" s="62" t="e">
        <f>O792-#REF!</f>
        <v>#REF!</v>
      </c>
      <c r="W792" s="210"/>
      <c r="X792" s="210"/>
      <c r="Y792" s="210"/>
      <c r="Z792" s="210"/>
      <c r="AA792" s="210"/>
      <c r="AB792" s="210"/>
      <c r="AC792" s="210"/>
      <c r="AT792" s="425" t="str">
        <f t="shared" si="62"/>
        <v>TGS000132017Q415,9</v>
      </c>
      <c r="AU792" s="64" t="str">
        <f t="shared" si="63"/>
        <v>10-2017</v>
      </c>
      <c r="BA792" s="428" t="str">
        <f t="shared" si="64"/>
        <v>WIP - 30 Days</v>
      </c>
    </row>
    <row r="793" spans="2:53">
      <c r="B793" s="36">
        <f>'[6]price list MAN'!B793</f>
        <v>48784</v>
      </c>
      <c r="C793" s="10" t="str">
        <f>'[6]price list MAN'!C793</f>
        <v>TGS-26-4406X4BLS-LX-EL-ACC</v>
      </c>
      <c r="D793" s="16" t="str">
        <f>IFERROR(VLOOKUP(C793&amp;"",'[7]Retail Price List'!$A$3:$B$103,2,FALSE),"Special Order")</f>
        <v>TGS00013</v>
      </c>
      <c r="E793" s="494" t="str">
        <f>'[6]price list MAN'!E793</f>
        <v>CKD</v>
      </c>
      <c r="F793" s="11" t="str">
        <f>'[6]price list MAN'!F793</f>
        <v>2018-12-30</v>
      </c>
      <c r="G793" s="32">
        <f>'[6]price list MAN'!G793</f>
        <v>15.9</v>
      </c>
      <c r="H793" s="26">
        <f>'[6]price list MAN'!H793</f>
        <v>43039</v>
      </c>
      <c r="I793" s="51" t="str">
        <f t="shared" si="60"/>
        <v>2017Q4</v>
      </c>
      <c r="J793" s="177">
        <f>'[6]price list MAN'!J793</f>
        <v>1900000</v>
      </c>
      <c r="K793" s="177">
        <f>'[6]price list MAN'!P793</f>
        <v>1459500</v>
      </c>
      <c r="L793" s="177">
        <f>'[6]price list MAN'!R793</f>
        <v>1390000</v>
      </c>
      <c r="M793" s="174">
        <f>'[6]price list MAN'!S793</f>
        <v>1955000</v>
      </c>
      <c r="N793" s="174">
        <f>'[6]price list MAN'!Y793</f>
        <v>1517250</v>
      </c>
      <c r="O793" s="174">
        <f>'[6]price list MAN'!AA793</f>
        <v>1445000</v>
      </c>
      <c r="P793" s="68">
        <f t="shared" si="61"/>
        <v>0.2608695652173913</v>
      </c>
      <c r="Q793" s="62" t="e">
        <f>O793-#REF!</f>
        <v>#REF!</v>
      </c>
      <c r="W793" s="210"/>
      <c r="X793" s="210"/>
      <c r="Y793" s="210"/>
      <c r="Z793" s="210"/>
      <c r="AA793" s="210"/>
      <c r="AB793" s="210"/>
      <c r="AC793" s="210"/>
      <c r="AT793" s="425" t="str">
        <f t="shared" si="62"/>
        <v>TGS000132017Q415,9</v>
      </c>
      <c r="AU793" s="64" t="str">
        <f t="shared" si="63"/>
        <v>10-2017</v>
      </c>
      <c r="BA793" s="428" t="str">
        <f t="shared" si="64"/>
        <v>WIP - 30 Days</v>
      </c>
    </row>
    <row r="794" spans="2:53">
      <c r="B794" s="36">
        <f>'[6]price list MAN'!B794</f>
        <v>48785</v>
      </c>
      <c r="C794" s="10" t="str">
        <f>'[6]price list MAN'!C794</f>
        <v>TGS-26-4406X4BLS-LX-EL-ACC</v>
      </c>
      <c r="D794" s="16" t="str">
        <f>IFERROR(VLOOKUP(C794&amp;"",'[7]Retail Price List'!$A$3:$B$103,2,FALSE),"Special Order")</f>
        <v>TGS00013</v>
      </c>
      <c r="E794" s="494" t="str">
        <f>'[6]price list MAN'!E794</f>
        <v>CKD</v>
      </c>
      <c r="F794" s="11" t="str">
        <f>'[6]price list MAN'!F794</f>
        <v>2018-12-30</v>
      </c>
      <c r="G794" s="32">
        <f>'[6]price list MAN'!G794</f>
        <v>15.9</v>
      </c>
      <c r="H794" s="26">
        <f>'[6]price list MAN'!H794</f>
        <v>43039</v>
      </c>
      <c r="I794" s="51" t="str">
        <f t="shared" si="60"/>
        <v>2017Q4</v>
      </c>
      <c r="J794" s="177">
        <f>'[6]price list MAN'!J794</f>
        <v>1900000</v>
      </c>
      <c r="K794" s="177">
        <f>'[6]price list MAN'!P794</f>
        <v>1459500</v>
      </c>
      <c r="L794" s="177">
        <f>'[6]price list MAN'!R794</f>
        <v>1390000</v>
      </c>
      <c r="M794" s="174">
        <f>'[6]price list MAN'!S794</f>
        <v>1955000</v>
      </c>
      <c r="N794" s="174">
        <f>'[6]price list MAN'!Y794</f>
        <v>1517250</v>
      </c>
      <c r="O794" s="174">
        <f>'[6]price list MAN'!AA794</f>
        <v>1445000</v>
      </c>
      <c r="P794" s="68">
        <f t="shared" si="61"/>
        <v>0.2608695652173913</v>
      </c>
      <c r="Q794" s="62" t="e">
        <f>O794-#REF!</f>
        <v>#REF!</v>
      </c>
      <c r="W794" s="210"/>
      <c r="X794" s="210"/>
      <c r="Y794" s="210"/>
      <c r="Z794" s="210"/>
      <c r="AA794" s="210"/>
      <c r="AB794" s="210"/>
      <c r="AC794" s="210"/>
      <c r="AT794" s="425" t="str">
        <f t="shared" si="62"/>
        <v>TGS000132017Q415,9</v>
      </c>
      <c r="AU794" s="64" t="str">
        <f t="shared" si="63"/>
        <v>10-2017</v>
      </c>
      <c r="BA794" s="428" t="str">
        <f t="shared" si="64"/>
        <v>WIP - 30 Days</v>
      </c>
    </row>
    <row r="795" spans="2:53">
      <c r="B795" s="36">
        <f>'[6]price list MAN'!B795</f>
        <v>48786</v>
      </c>
      <c r="C795" s="10" t="str">
        <f>'[6]price list MAN'!C795</f>
        <v>TGS-26-4406X4BLS-LX-EL-ACC</v>
      </c>
      <c r="D795" s="16" t="str">
        <f>IFERROR(VLOOKUP(C795&amp;"",'[7]Retail Price List'!$A$3:$B$103,2,FALSE),"Special Order")</f>
        <v>TGS00013</v>
      </c>
      <c r="E795" s="494" t="str">
        <f>'[6]price list MAN'!E795</f>
        <v>CKD</v>
      </c>
      <c r="F795" s="11" t="str">
        <f>'[6]price list MAN'!F795</f>
        <v>2018-12-30</v>
      </c>
      <c r="G795" s="32">
        <f>'[6]price list MAN'!G795</f>
        <v>15.9</v>
      </c>
      <c r="H795" s="26">
        <f>'[6]price list MAN'!H795</f>
        <v>43039</v>
      </c>
      <c r="I795" s="51" t="str">
        <f t="shared" si="60"/>
        <v>2017Q4</v>
      </c>
      <c r="J795" s="177">
        <f>'[6]price list MAN'!J795</f>
        <v>1900000</v>
      </c>
      <c r="K795" s="177">
        <f>'[6]price list MAN'!P795</f>
        <v>1459500</v>
      </c>
      <c r="L795" s="177">
        <f>'[6]price list MAN'!R795</f>
        <v>1390000</v>
      </c>
      <c r="M795" s="174">
        <f>'[6]price list MAN'!S795</f>
        <v>1955000</v>
      </c>
      <c r="N795" s="174">
        <f>'[6]price list MAN'!Y795</f>
        <v>1517250</v>
      </c>
      <c r="O795" s="174">
        <f>'[6]price list MAN'!AA795</f>
        <v>1445000</v>
      </c>
      <c r="P795" s="68">
        <f t="shared" si="61"/>
        <v>0.2608695652173913</v>
      </c>
      <c r="Q795" s="62" t="e">
        <f>O795-#REF!</f>
        <v>#REF!</v>
      </c>
      <c r="W795" s="210"/>
      <c r="X795" s="210"/>
      <c r="Y795" s="210"/>
      <c r="Z795" s="210"/>
      <c r="AA795" s="210"/>
      <c r="AB795" s="210"/>
      <c r="AC795" s="210"/>
      <c r="AT795" s="425" t="str">
        <f t="shared" si="62"/>
        <v>TGS000132017Q415,9</v>
      </c>
      <c r="AU795" s="64" t="str">
        <f t="shared" si="63"/>
        <v>10-2017</v>
      </c>
      <c r="BA795" s="428" t="str">
        <f t="shared" si="64"/>
        <v>WIP - 30 Days</v>
      </c>
    </row>
    <row r="796" spans="2:53">
      <c r="B796" s="36">
        <f>'[6]price list MAN'!B796</f>
        <v>48787</v>
      </c>
      <c r="C796" s="10" t="str">
        <f>'[6]price list MAN'!C796</f>
        <v>TGS-26-4406X4BLS-LX-EL-ACC</v>
      </c>
      <c r="D796" s="16" t="str">
        <f>IFERROR(VLOOKUP(C796&amp;"",'[7]Retail Price List'!$A$3:$B$103,2,FALSE),"Special Order")</f>
        <v>TGS00013</v>
      </c>
      <c r="E796" s="494" t="str">
        <f>'[6]price list MAN'!E796</f>
        <v>CKD</v>
      </c>
      <c r="F796" s="11" t="str">
        <f>'[6]price list MAN'!F796</f>
        <v>2018-12-30</v>
      </c>
      <c r="G796" s="32">
        <f>'[6]price list MAN'!G796</f>
        <v>15.9</v>
      </c>
      <c r="H796" s="26">
        <f>'[6]price list MAN'!H796</f>
        <v>43039</v>
      </c>
      <c r="I796" s="51" t="str">
        <f t="shared" si="60"/>
        <v>2017Q4</v>
      </c>
      <c r="J796" s="177">
        <f>'[6]price list MAN'!J796</f>
        <v>1900000</v>
      </c>
      <c r="K796" s="177">
        <f>'[6]price list MAN'!P796</f>
        <v>1459500</v>
      </c>
      <c r="L796" s="177">
        <f>'[6]price list MAN'!R796</f>
        <v>1390000</v>
      </c>
      <c r="M796" s="174">
        <f>'[6]price list MAN'!S796</f>
        <v>1955000</v>
      </c>
      <c r="N796" s="174">
        <f>'[6]price list MAN'!Y796</f>
        <v>1517250</v>
      </c>
      <c r="O796" s="174">
        <f>'[6]price list MAN'!AA796</f>
        <v>1445000</v>
      </c>
      <c r="P796" s="68">
        <f t="shared" si="61"/>
        <v>0.2608695652173913</v>
      </c>
      <c r="Q796" s="62" t="e">
        <f>O796-#REF!</f>
        <v>#REF!</v>
      </c>
      <c r="W796" s="210"/>
      <c r="X796" s="210"/>
      <c r="Y796" s="210"/>
      <c r="Z796" s="210"/>
      <c r="AA796" s="210"/>
      <c r="AB796" s="210"/>
      <c r="AC796" s="210"/>
      <c r="AT796" s="425" t="str">
        <f t="shared" si="62"/>
        <v>TGS000132017Q415,9</v>
      </c>
      <c r="AU796" s="64" t="str">
        <f t="shared" si="63"/>
        <v>10-2017</v>
      </c>
      <c r="BA796" s="428" t="str">
        <f t="shared" si="64"/>
        <v>WIP - 30 Days</v>
      </c>
    </row>
    <row r="797" spans="2:53">
      <c r="B797" s="36">
        <f>'[6]price list MAN'!B797</f>
        <v>48788</v>
      </c>
      <c r="C797" s="10" t="str">
        <f>'[6]price list MAN'!C797</f>
        <v>TGS-26-4406X4BLS-LX-EL-ACC</v>
      </c>
      <c r="D797" s="16" t="str">
        <f>IFERROR(VLOOKUP(C797&amp;"",'[7]Retail Price List'!$A$3:$B$103,2,FALSE),"Special Order")</f>
        <v>TGS00013</v>
      </c>
      <c r="E797" s="494" t="str">
        <f>'[6]price list MAN'!E797</f>
        <v>CKD</v>
      </c>
      <c r="F797" s="11" t="str">
        <f>'[6]price list MAN'!F797</f>
        <v>2018-12-30</v>
      </c>
      <c r="G797" s="32">
        <f>'[6]price list MAN'!G797</f>
        <v>15.9</v>
      </c>
      <c r="H797" s="26">
        <f>'[6]price list MAN'!H797</f>
        <v>43039</v>
      </c>
      <c r="I797" s="51" t="str">
        <f t="shared" si="60"/>
        <v>2017Q4</v>
      </c>
      <c r="J797" s="177">
        <f>'[6]price list MAN'!J797</f>
        <v>1900000</v>
      </c>
      <c r="K797" s="177">
        <f>'[6]price list MAN'!P797</f>
        <v>1459500</v>
      </c>
      <c r="L797" s="177">
        <f>'[6]price list MAN'!R797</f>
        <v>1390000</v>
      </c>
      <c r="M797" s="174">
        <f>'[6]price list MAN'!S797</f>
        <v>1955000</v>
      </c>
      <c r="N797" s="174">
        <f>'[6]price list MAN'!Y797</f>
        <v>1517250</v>
      </c>
      <c r="O797" s="174">
        <f>'[6]price list MAN'!AA797</f>
        <v>1445000</v>
      </c>
      <c r="P797" s="68">
        <f t="shared" si="61"/>
        <v>0.2608695652173913</v>
      </c>
      <c r="Q797" s="62" t="e">
        <f>O797-#REF!</f>
        <v>#REF!</v>
      </c>
      <c r="W797" s="210"/>
      <c r="X797" s="210"/>
      <c r="Y797" s="210"/>
      <c r="Z797" s="210"/>
      <c r="AA797" s="210"/>
      <c r="AB797" s="210"/>
      <c r="AC797" s="210"/>
      <c r="AT797" s="425" t="str">
        <f t="shared" si="62"/>
        <v>TGS000132017Q415,9</v>
      </c>
      <c r="AU797" s="64" t="str">
        <f t="shared" si="63"/>
        <v>10-2017</v>
      </c>
      <c r="BA797" s="428" t="str">
        <f t="shared" si="64"/>
        <v>WIP - 30 Days</v>
      </c>
    </row>
    <row r="798" spans="2:53">
      <c r="B798" s="36">
        <f>'[6]price list MAN'!B798</f>
        <v>48789</v>
      </c>
      <c r="C798" s="10" t="str">
        <f>'[6]price list MAN'!C798</f>
        <v>TGS-26-4406X4BLS-LX-EL-ACC</v>
      </c>
      <c r="D798" s="16" t="str">
        <f>IFERROR(VLOOKUP(C798&amp;"",'[7]Retail Price List'!$A$3:$B$103,2,FALSE),"Special Order")</f>
        <v>TGS00013</v>
      </c>
      <c r="E798" s="494" t="str">
        <f>'[6]price list MAN'!E798</f>
        <v>CKD</v>
      </c>
      <c r="F798" s="11" t="str">
        <f>'[6]price list MAN'!F798</f>
        <v>2018-12-30</v>
      </c>
      <c r="G798" s="32">
        <f>'[6]price list MAN'!G798</f>
        <v>15.9</v>
      </c>
      <c r="H798" s="26">
        <f>'[6]price list MAN'!H798</f>
        <v>43039</v>
      </c>
      <c r="I798" s="51" t="str">
        <f t="shared" si="60"/>
        <v>2017Q4</v>
      </c>
      <c r="J798" s="177">
        <f>'[6]price list MAN'!J798</f>
        <v>1900000</v>
      </c>
      <c r="K798" s="177">
        <f>'[6]price list MAN'!P798</f>
        <v>1459500</v>
      </c>
      <c r="L798" s="177">
        <f>'[6]price list MAN'!R798</f>
        <v>1390000</v>
      </c>
      <c r="M798" s="174">
        <f>'[6]price list MAN'!S798</f>
        <v>1955000</v>
      </c>
      <c r="N798" s="174">
        <f>'[6]price list MAN'!Y798</f>
        <v>1517250</v>
      </c>
      <c r="O798" s="174">
        <f>'[6]price list MAN'!AA798</f>
        <v>1445000</v>
      </c>
      <c r="P798" s="68">
        <f t="shared" si="61"/>
        <v>0.2608695652173913</v>
      </c>
      <c r="Q798" s="62" t="e">
        <f>O798-#REF!</f>
        <v>#REF!</v>
      </c>
      <c r="W798" s="210"/>
      <c r="X798" s="210"/>
      <c r="Y798" s="210"/>
      <c r="Z798" s="210"/>
      <c r="AA798" s="210"/>
      <c r="AB798" s="210"/>
      <c r="AC798" s="210"/>
      <c r="AT798" s="425" t="str">
        <f t="shared" si="62"/>
        <v>TGS000132017Q415,9</v>
      </c>
      <c r="AU798" s="64" t="str">
        <f t="shared" si="63"/>
        <v>10-2017</v>
      </c>
      <c r="BA798" s="428" t="str">
        <f t="shared" si="64"/>
        <v>WIP - 30 Days</v>
      </c>
    </row>
    <row r="799" spans="2:53">
      <c r="B799" s="36">
        <f>'[6]price list MAN'!B799</f>
        <v>48790</v>
      </c>
      <c r="C799" s="10" t="str">
        <f>'[6]price list MAN'!C799</f>
        <v>TGS-26-4406X4BLS-LX-EL-ACC</v>
      </c>
      <c r="D799" s="16" t="str">
        <f>IFERROR(VLOOKUP(C799&amp;"",'[7]Retail Price List'!$A$3:$B$103,2,FALSE),"Special Order")</f>
        <v>TGS00013</v>
      </c>
      <c r="E799" s="494" t="str">
        <f>'[6]price list MAN'!E799</f>
        <v>CKD</v>
      </c>
      <c r="F799" s="11" t="str">
        <f>'[6]price list MAN'!F799</f>
        <v>2018-12-30</v>
      </c>
      <c r="G799" s="32">
        <f>'[6]price list MAN'!G799</f>
        <v>15.9</v>
      </c>
      <c r="H799" s="26">
        <f>'[6]price list MAN'!H799</f>
        <v>43039</v>
      </c>
      <c r="I799" s="51" t="str">
        <f t="shared" si="60"/>
        <v>2017Q4</v>
      </c>
      <c r="J799" s="177">
        <f>'[6]price list MAN'!J799</f>
        <v>1900000</v>
      </c>
      <c r="K799" s="177">
        <f>'[6]price list MAN'!P799</f>
        <v>1459500</v>
      </c>
      <c r="L799" s="177">
        <f>'[6]price list MAN'!R799</f>
        <v>1390000</v>
      </c>
      <c r="M799" s="174">
        <f>'[6]price list MAN'!S799</f>
        <v>1955000</v>
      </c>
      <c r="N799" s="174">
        <f>'[6]price list MAN'!Y799</f>
        <v>1517250</v>
      </c>
      <c r="O799" s="174">
        <f>'[6]price list MAN'!AA799</f>
        <v>1445000</v>
      </c>
      <c r="P799" s="68">
        <f t="shared" si="61"/>
        <v>0.2608695652173913</v>
      </c>
      <c r="Q799" s="62" t="e">
        <f>O799-#REF!</f>
        <v>#REF!</v>
      </c>
      <c r="W799" s="210"/>
      <c r="X799" s="210"/>
      <c r="Y799" s="210"/>
      <c r="Z799" s="210"/>
      <c r="AA799" s="210"/>
      <c r="AB799" s="210"/>
      <c r="AC799" s="210"/>
      <c r="AT799" s="425" t="str">
        <f t="shared" si="62"/>
        <v>TGS000132017Q415,9</v>
      </c>
      <c r="AU799" s="64" t="str">
        <f t="shared" si="63"/>
        <v>10-2017</v>
      </c>
      <c r="BA799" s="428" t="str">
        <f t="shared" si="64"/>
        <v>WIP - 30 Days</v>
      </c>
    </row>
    <row r="800" spans="2:53">
      <c r="B800" s="36">
        <f>'[6]price list MAN'!B800</f>
        <v>48791</v>
      </c>
      <c r="C800" s="10" t="str">
        <f>'[6]price list MAN'!C800</f>
        <v>TGS-26-4406X4BLS-LX-EL-ACC</v>
      </c>
      <c r="D800" s="16" t="str">
        <f>IFERROR(VLOOKUP(C800&amp;"",'[7]Retail Price List'!$A$3:$B$103,2,FALSE),"Special Order")</f>
        <v>TGS00013</v>
      </c>
      <c r="E800" s="494" t="str">
        <f>'[6]price list MAN'!E800</f>
        <v>CKD</v>
      </c>
      <c r="F800" s="11" t="str">
        <f>'[6]price list MAN'!F800</f>
        <v>2018-12-30</v>
      </c>
      <c r="G800" s="32">
        <f>'[6]price list MAN'!G800</f>
        <v>15.9</v>
      </c>
      <c r="H800" s="26">
        <f>'[6]price list MAN'!H800</f>
        <v>43039</v>
      </c>
      <c r="I800" s="51" t="str">
        <f t="shared" si="60"/>
        <v>2017Q4</v>
      </c>
      <c r="J800" s="177">
        <f>'[6]price list MAN'!J800</f>
        <v>1900000</v>
      </c>
      <c r="K800" s="177">
        <f>'[6]price list MAN'!P800</f>
        <v>1459500</v>
      </c>
      <c r="L800" s="177">
        <f>'[6]price list MAN'!R800</f>
        <v>1390000</v>
      </c>
      <c r="M800" s="174">
        <f>'[6]price list MAN'!S800</f>
        <v>1955000</v>
      </c>
      <c r="N800" s="174">
        <f>'[6]price list MAN'!Y800</f>
        <v>1517250</v>
      </c>
      <c r="O800" s="174">
        <f>'[6]price list MAN'!AA800</f>
        <v>1445000</v>
      </c>
      <c r="P800" s="68">
        <f t="shared" si="61"/>
        <v>0.2608695652173913</v>
      </c>
      <c r="Q800" s="62" t="e">
        <f>O800-#REF!</f>
        <v>#REF!</v>
      </c>
      <c r="W800" s="210"/>
      <c r="X800" s="210"/>
      <c r="Y800" s="210"/>
      <c r="Z800" s="210"/>
      <c r="AA800" s="210"/>
      <c r="AB800" s="210"/>
      <c r="AC800" s="210"/>
      <c r="AT800" s="425" t="str">
        <f t="shared" si="62"/>
        <v>TGS000132017Q415,9</v>
      </c>
      <c r="AU800" s="64" t="str">
        <f t="shared" si="63"/>
        <v>10-2017</v>
      </c>
      <c r="BA800" s="428" t="str">
        <f t="shared" si="64"/>
        <v>WIP - 30 Days</v>
      </c>
    </row>
    <row r="801" spans="2:53">
      <c r="B801" s="36">
        <f>'[6]price list MAN'!B801</f>
        <v>48792</v>
      </c>
      <c r="C801" s="10" t="str">
        <f>'[6]price list MAN'!C801</f>
        <v>TGS-26-4406X4BLS-LX-EL-ACC</v>
      </c>
      <c r="D801" s="16" t="str">
        <f>IFERROR(VLOOKUP(C801&amp;"",'[7]Retail Price List'!$A$3:$B$103,2,FALSE),"Special Order")</f>
        <v>TGS00013</v>
      </c>
      <c r="E801" s="494" t="str">
        <f>'[6]price list MAN'!E801</f>
        <v>CKD</v>
      </c>
      <c r="F801" s="11" t="str">
        <f>'[6]price list MAN'!F801</f>
        <v>2018-12-30</v>
      </c>
      <c r="G801" s="32">
        <f>'[6]price list MAN'!G801</f>
        <v>15.9</v>
      </c>
      <c r="H801" s="26">
        <f>'[6]price list MAN'!H801</f>
        <v>43039</v>
      </c>
      <c r="I801" s="51" t="str">
        <f t="shared" si="60"/>
        <v>2017Q4</v>
      </c>
      <c r="J801" s="177">
        <f>'[6]price list MAN'!J801</f>
        <v>1900000</v>
      </c>
      <c r="K801" s="177">
        <f>'[6]price list MAN'!P801</f>
        <v>1459500</v>
      </c>
      <c r="L801" s="177">
        <f>'[6]price list MAN'!R801</f>
        <v>1390000</v>
      </c>
      <c r="M801" s="174">
        <f>'[6]price list MAN'!S801</f>
        <v>1955000</v>
      </c>
      <c r="N801" s="174">
        <f>'[6]price list MAN'!Y801</f>
        <v>1517250</v>
      </c>
      <c r="O801" s="174">
        <f>'[6]price list MAN'!AA801</f>
        <v>1445000</v>
      </c>
      <c r="P801" s="68">
        <f t="shared" si="61"/>
        <v>0.2608695652173913</v>
      </c>
      <c r="Q801" s="62" t="e">
        <f>O801-#REF!</f>
        <v>#REF!</v>
      </c>
      <c r="W801" s="210"/>
      <c r="X801" s="210"/>
      <c r="Y801" s="210"/>
      <c r="Z801" s="210"/>
      <c r="AA801" s="210"/>
      <c r="AB801" s="210"/>
      <c r="AC801" s="210"/>
      <c r="AT801" s="425" t="str">
        <f t="shared" si="62"/>
        <v>TGS000132017Q415,9</v>
      </c>
      <c r="AU801" s="64" t="str">
        <f t="shared" si="63"/>
        <v>10-2017</v>
      </c>
      <c r="BA801" s="428" t="str">
        <f t="shared" si="64"/>
        <v>WIP - 30 Days</v>
      </c>
    </row>
    <row r="802" spans="2:53">
      <c r="B802" s="36">
        <f>'[6]price list MAN'!B802</f>
        <v>48931</v>
      </c>
      <c r="C802" s="10" t="str">
        <f>'[6]price list MAN'!C802</f>
        <v>TGS-26-4406X4BLS-LX-EL-ACC</v>
      </c>
      <c r="D802" s="16" t="str">
        <f>IFERROR(VLOOKUP(C802&amp;"",'[7]Retail Price List'!$A$3:$B$103,2,FALSE),"Special Order")</f>
        <v>TGS00013</v>
      </c>
      <c r="E802" s="494" t="str">
        <f>'[6]price list MAN'!E802</f>
        <v>CKD</v>
      </c>
      <c r="F802" s="11" t="str">
        <f>'[6]price list MAN'!F802</f>
        <v>2018-06-30</v>
      </c>
      <c r="G802" s="32">
        <f>'[6]price list MAN'!G802</f>
        <v>15.9</v>
      </c>
      <c r="H802" s="26">
        <f>'[6]price list MAN'!H802</f>
        <v>43069</v>
      </c>
      <c r="I802" s="51" t="str">
        <f t="shared" si="60"/>
        <v>2017Q4</v>
      </c>
      <c r="J802" s="177">
        <f>'[6]price list MAN'!J802</f>
        <v>1900000</v>
      </c>
      <c r="K802" s="177">
        <f>'[6]price list MAN'!P802</f>
        <v>1459500</v>
      </c>
      <c r="L802" s="177">
        <f>'[6]price list MAN'!R802</f>
        <v>1390000</v>
      </c>
      <c r="M802" s="174">
        <f>'[6]price list MAN'!S802</f>
        <v>1955000</v>
      </c>
      <c r="N802" s="174">
        <f>'[6]price list MAN'!Y802</f>
        <v>1517250</v>
      </c>
      <c r="O802" s="174">
        <f>'[6]price list MAN'!AA802</f>
        <v>1445000</v>
      </c>
      <c r="P802" s="68">
        <f t="shared" si="61"/>
        <v>0.2608695652173913</v>
      </c>
      <c r="Q802" s="62" t="e">
        <f>O802-#REF!</f>
        <v>#REF!</v>
      </c>
      <c r="W802" s="210"/>
      <c r="X802" s="210"/>
      <c r="Y802" s="210"/>
      <c r="Z802" s="210"/>
      <c r="AA802" s="210"/>
      <c r="AB802" s="210"/>
      <c r="AC802" s="210"/>
      <c r="AT802" s="425" t="str">
        <f t="shared" si="62"/>
        <v>TGS000132017Q415,9</v>
      </c>
      <c r="AU802" s="64" t="str">
        <f t="shared" si="63"/>
        <v>11-2017</v>
      </c>
      <c r="BA802" s="428" t="str">
        <f t="shared" si="64"/>
        <v>WIP - 30 Days</v>
      </c>
    </row>
    <row r="803" spans="2:53">
      <c r="B803" s="36">
        <f>'[6]price list MAN'!B803</f>
        <v>48932</v>
      </c>
      <c r="C803" s="10" t="str">
        <f>'[6]price list MAN'!C803</f>
        <v>TGS-26-4406X4BLS-LX-EL-ACC</v>
      </c>
      <c r="D803" s="16" t="str">
        <f>IFERROR(VLOOKUP(C803&amp;"",'[7]Retail Price List'!$A$3:$B$103,2,FALSE),"Special Order")</f>
        <v>TGS00013</v>
      </c>
      <c r="E803" s="494" t="str">
        <f>'[6]price list MAN'!E803</f>
        <v>CKD</v>
      </c>
      <c r="F803" s="11" t="str">
        <f>'[6]price list MAN'!F803</f>
        <v>2018-06-30</v>
      </c>
      <c r="G803" s="32">
        <f>'[6]price list MAN'!G803</f>
        <v>15.9</v>
      </c>
      <c r="H803" s="26">
        <f>'[6]price list MAN'!H803</f>
        <v>43069</v>
      </c>
      <c r="I803" s="51" t="str">
        <f t="shared" si="60"/>
        <v>2017Q4</v>
      </c>
      <c r="J803" s="177">
        <f>'[6]price list MAN'!J803</f>
        <v>1900000</v>
      </c>
      <c r="K803" s="177">
        <f>'[6]price list MAN'!P803</f>
        <v>1459500</v>
      </c>
      <c r="L803" s="177">
        <f>'[6]price list MAN'!R803</f>
        <v>1390000</v>
      </c>
      <c r="M803" s="174">
        <f>'[6]price list MAN'!S803</f>
        <v>1955000</v>
      </c>
      <c r="N803" s="174">
        <f>'[6]price list MAN'!Y803</f>
        <v>1517250</v>
      </c>
      <c r="O803" s="174">
        <f>'[6]price list MAN'!AA803</f>
        <v>1445000</v>
      </c>
      <c r="P803" s="68">
        <f t="shared" si="61"/>
        <v>0.2608695652173913</v>
      </c>
      <c r="Q803" s="62" t="e">
        <f>O803-#REF!</f>
        <v>#REF!</v>
      </c>
      <c r="W803" s="210"/>
      <c r="X803" s="210"/>
      <c r="Y803" s="210"/>
      <c r="Z803" s="210"/>
      <c r="AA803" s="210"/>
      <c r="AB803" s="210"/>
      <c r="AC803" s="210"/>
      <c r="AT803" s="425" t="str">
        <f t="shared" si="62"/>
        <v>TGS000132017Q415,9</v>
      </c>
      <c r="AU803" s="64" t="str">
        <f t="shared" si="63"/>
        <v>11-2017</v>
      </c>
      <c r="BA803" s="428" t="str">
        <f t="shared" si="64"/>
        <v>WIP - 30 Days</v>
      </c>
    </row>
    <row r="804" spans="2:53">
      <c r="B804" s="36">
        <f>'[6]price list MAN'!B804</f>
        <v>48933</v>
      </c>
      <c r="C804" s="10" t="str">
        <f>'[6]price list MAN'!C804</f>
        <v>TGS-26-4406X4BLS-LX-EL-ACC</v>
      </c>
      <c r="D804" s="16" t="str">
        <f>IFERROR(VLOOKUP(C804&amp;"",'[7]Retail Price List'!$A$3:$B$103,2,FALSE),"Special Order")</f>
        <v>TGS00013</v>
      </c>
      <c r="E804" s="494" t="str">
        <f>'[6]price list MAN'!E804</f>
        <v>CKD</v>
      </c>
      <c r="F804" s="11" t="str">
        <f>'[6]price list MAN'!F804</f>
        <v>2018-06-30</v>
      </c>
      <c r="G804" s="32">
        <f>'[6]price list MAN'!G804</f>
        <v>15.9</v>
      </c>
      <c r="H804" s="26">
        <f>'[6]price list MAN'!H804</f>
        <v>43069</v>
      </c>
      <c r="I804" s="51" t="str">
        <f t="shared" si="60"/>
        <v>2017Q4</v>
      </c>
      <c r="J804" s="177">
        <f>'[6]price list MAN'!J804</f>
        <v>1900000</v>
      </c>
      <c r="K804" s="177">
        <f>'[6]price list MAN'!P804</f>
        <v>1459500</v>
      </c>
      <c r="L804" s="177">
        <f>'[6]price list MAN'!R804</f>
        <v>1390000</v>
      </c>
      <c r="M804" s="174">
        <f>'[6]price list MAN'!S804</f>
        <v>1955000</v>
      </c>
      <c r="N804" s="174">
        <f>'[6]price list MAN'!Y804</f>
        <v>1517250</v>
      </c>
      <c r="O804" s="174">
        <f>'[6]price list MAN'!AA804</f>
        <v>1445000</v>
      </c>
      <c r="P804" s="68">
        <f t="shared" si="61"/>
        <v>0.2608695652173913</v>
      </c>
      <c r="Q804" s="62" t="e">
        <f>O804-#REF!</f>
        <v>#REF!</v>
      </c>
      <c r="W804" s="210"/>
      <c r="X804" s="210"/>
      <c r="Y804" s="210"/>
      <c r="Z804" s="210"/>
      <c r="AA804" s="210"/>
      <c r="AB804" s="210"/>
      <c r="AC804" s="210"/>
      <c r="AT804" s="425" t="str">
        <f t="shared" si="62"/>
        <v>TGS000132017Q415,9</v>
      </c>
      <c r="AU804" s="64" t="str">
        <f t="shared" si="63"/>
        <v>11-2017</v>
      </c>
      <c r="BA804" s="428" t="str">
        <f t="shared" si="64"/>
        <v>WIP - 30 Days</v>
      </c>
    </row>
    <row r="805" spans="2:53">
      <c r="B805" s="36">
        <f>'[6]price list MAN'!B805</f>
        <v>48934</v>
      </c>
      <c r="C805" s="10" t="str">
        <f>'[6]price list MAN'!C805</f>
        <v>TGS-26-4406X4BLS-LX-EL-ACC</v>
      </c>
      <c r="D805" s="16" t="str">
        <f>IFERROR(VLOOKUP(C805&amp;"",'[7]Retail Price List'!$A$3:$B$103,2,FALSE),"Special Order")</f>
        <v>TGS00013</v>
      </c>
      <c r="E805" s="494" t="str">
        <f>'[6]price list MAN'!E805</f>
        <v>CKD</v>
      </c>
      <c r="F805" s="11" t="str">
        <f>'[6]price list MAN'!F805</f>
        <v>2018-06-30</v>
      </c>
      <c r="G805" s="32">
        <f>'[6]price list MAN'!G805</f>
        <v>15.9</v>
      </c>
      <c r="H805" s="26">
        <f>'[6]price list MAN'!H805</f>
        <v>43069</v>
      </c>
      <c r="I805" s="51" t="str">
        <f t="shared" si="60"/>
        <v>2017Q4</v>
      </c>
      <c r="J805" s="177">
        <f>'[6]price list MAN'!J805</f>
        <v>1900000</v>
      </c>
      <c r="K805" s="177">
        <f>'[6]price list MAN'!P805</f>
        <v>1459500</v>
      </c>
      <c r="L805" s="177">
        <f>'[6]price list MAN'!R805</f>
        <v>1390000</v>
      </c>
      <c r="M805" s="174">
        <f>'[6]price list MAN'!S805</f>
        <v>1955000</v>
      </c>
      <c r="N805" s="174">
        <f>'[6]price list MAN'!Y805</f>
        <v>1517250</v>
      </c>
      <c r="O805" s="174">
        <f>'[6]price list MAN'!AA805</f>
        <v>1445000</v>
      </c>
      <c r="P805" s="68">
        <f t="shared" si="61"/>
        <v>0.2608695652173913</v>
      </c>
      <c r="Q805" s="62" t="e">
        <f>O805-#REF!</f>
        <v>#REF!</v>
      </c>
      <c r="W805" s="210"/>
      <c r="X805" s="210"/>
      <c r="Y805" s="210"/>
      <c r="Z805" s="210"/>
      <c r="AA805" s="210"/>
      <c r="AB805" s="210"/>
      <c r="AC805" s="210"/>
      <c r="AT805" s="425" t="str">
        <f t="shared" si="62"/>
        <v>TGS000132017Q415,9</v>
      </c>
      <c r="AU805" s="64" t="str">
        <f t="shared" si="63"/>
        <v>11-2017</v>
      </c>
      <c r="BA805" s="428" t="str">
        <f t="shared" si="64"/>
        <v>WIP - 30 Days</v>
      </c>
    </row>
    <row r="806" spans="2:53">
      <c r="B806" s="36">
        <f>'[6]price list MAN'!B806</f>
        <v>48935</v>
      </c>
      <c r="C806" s="10" t="str">
        <f>'[6]price list MAN'!C806</f>
        <v>TGS-26-4406X4BLS-LX-EL-ACC</v>
      </c>
      <c r="D806" s="16" t="str">
        <f>IFERROR(VLOOKUP(C806&amp;"",'[7]Retail Price List'!$A$3:$B$103,2,FALSE),"Special Order")</f>
        <v>TGS00013</v>
      </c>
      <c r="E806" s="494" t="str">
        <f>'[6]price list MAN'!E806</f>
        <v>CKD</v>
      </c>
      <c r="F806" s="11" t="str">
        <f>'[6]price list MAN'!F806</f>
        <v>2018-06-30</v>
      </c>
      <c r="G806" s="32">
        <f>'[6]price list MAN'!G806</f>
        <v>15.9</v>
      </c>
      <c r="H806" s="26">
        <f>'[6]price list MAN'!H806</f>
        <v>43069</v>
      </c>
      <c r="I806" s="51" t="str">
        <f t="shared" si="60"/>
        <v>2017Q4</v>
      </c>
      <c r="J806" s="177">
        <f>'[6]price list MAN'!J806</f>
        <v>1900000</v>
      </c>
      <c r="K806" s="177">
        <f>'[6]price list MAN'!P806</f>
        <v>1459500</v>
      </c>
      <c r="L806" s="177">
        <f>'[6]price list MAN'!R806</f>
        <v>1390000</v>
      </c>
      <c r="M806" s="174">
        <f>'[6]price list MAN'!S806</f>
        <v>1955000</v>
      </c>
      <c r="N806" s="174">
        <f>'[6]price list MAN'!Y806</f>
        <v>1517250</v>
      </c>
      <c r="O806" s="174">
        <f>'[6]price list MAN'!AA806</f>
        <v>1445000</v>
      </c>
      <c r="P806" s="68">
        <f t="shared" si="61"/>
        <v>0.2608695652173913</v>
      </c>
      <c r="Q806" s="62" t="e">
        <f>O806-#REF!</f>
        <v>#REF!</v>
      </c>
      <c r="W806" s="210"/>
      <c r="X806" s="210"/>
      <c r="Y806" s="210"/>
      <c r="Z806" s="210"/>
      <c r="AA806" s="210"/>
      <c r="AB806" s="210"/>
      <c r="AC806" s="210"/>
      <c r="AT806" s="425" t="str">
        <f t="shared" si="62"/>
        <v>TGS000132017Q415,9</v>
      </c>
      <c r="AU806" s="64" t="str">
        <f t="shared" si="63"/>
        <v>11-2017</v>
      </c>
      <c r="BA806" s="428" t="str">
        <f t="shared" si="64"/>
        <v>WIP - 30 Days</v>
      </c>
    </row>
    <row r="807" spans="2:53">
      <c r="B807" s="36">
        <f>'[6]price list MAN'!B807</f>
        <v>48936</v>
      </c>
      <c r="C807" s="10" t="str">
        <f>'[6]price list MAN'!C807</f>
        <v>TGS-26-4406X4BLS-LX-EL-ACC</v>
      </c>
      <c r="D807" s="16" t="str">
        <f>IFERROR(VLOOKUP(C807&amp;"",'[7]Retail Price List'!$A$3:$B$103,2,FALSE),"Special Order")</f>
        <v>TGS00013</v>
      </c>
      <c r="E807" s="494" t="str">
        <f>'[6]price list MAN'!E807</f>
        <v>CKD</v>
      </c>
      <c r="F807" s="11" t="str">
        <f>'[6]price list MAN'!F807</f>
        <v>2018-07-30</v>
      </c>
      <c r="G807" s="32">
        <f>'[6]price list MAN'!G807</f>
        <v>15.9</v>
      </c>
      <c r="H807" s="26">
        <f>'[6]price list MAN'!H807</f>
        <v>43069</v>
      </c>
      <c r="I807" s="51" t="str">
        <f t="shared" si="60"/>
        <v>2017Q4</v>
      </c>
      <c r="J807" s="177">
        <f>'[6]price list MAN'!J807</f>
        <v>1900000</v>
      </c>
      <c r="K807" s="177">
        <f>'[6]price list MAN'!P807</f>
        <v>1459500</v>
      </c>
      <c r="L807" s="177">
        <f>'[6]price list MAN'!R807</f>
        <v>1390000</v>
      </c>
      <c r="M807" s="174">
        <f>'[6]price list MAN'!S807</f>
        <v>1955000</v>
      </c>
      <c r="N807" s="174">
        <f>'[6]price list MAN'!Y807</f>
        <v>1517250</v>
      </c>
      <c r="O807" s="174">
        <f>'[6]price list MAN'!AA807</f>
        <v>1445000</v>
      </c>
      <c r="P807" s="68">
        <f t="shared" si="61"/>
        <v>0.2608695652173913</v>
      </c>
      <c r="Q807" s="62" t="e">
        <f>O807-#REF!</f>
        <v>#REF!</v>
      </c>
      <c r="W807" s="210"/>
      <c r="X807" s="210"/>
      <c r="Y807" s="210"/>
      <c r="Z807" s="210"/>
      <c r="AA807" s="210"/>
      <c r="AB807" s="210"/>
      <c r="AC807" s="210"/>
      <c r="AT807" s="425" t="str">
        <f t="shared" si="62"/>
        <v>TGS000132017Q415,9</v>
      </c>
      <c r="AU807" s="64" t="str">
        <f t="shared" si="63"/>
        <v>11-2017</v>
      </c>
      <c r="BA807" s="428" t="str">
        <f t="shared" si="64"/>
        <v>WIP - 30 Days</v>
      </c>
    </row>
    <row r="808" spans="2:53">
      <c r="B808" s="36">
        <f>'[6]price list MAN'!B808</f>
        <v>48937</v>
      </c>
      <c r="C808" s="10" t="str">
        <f>'[6]price list MAN'!C808</f>
        <v>TGS-26-4406X4BLS-LX-EL-ACC</v>
      </c>
      <c r="D808" s="16" t="str">
        <f>IFERROR(VLOOKUP(C808&amp;"",'[7]Retail Price List'!$A$3:$B$103,2,FALSE),"Special Order")</f>
        <v>TGS00013</v>
      </c>
      <c r="E808" s="494" t="str">
        <f>'[6]price list MAN'!E808</f>
        <v>CKD</v>
      </c>
      <c r="F808" s="11" t="str">
        <f>'[6]price list MAN'!F808</f>
        <v>2018-07-30</v>
      </c>
      <c r="G808" s="32">
        <f>'[6]price list MAN'!G808</f>
        <v>15.9</v>
      </c>
      <c r="H808" s="26">
        <f>'[6]price list MAN'!H808</f>
        <v>43069</v>
      </c>
      <c r="I808" s="51" t="str">
        <f t="shared" si="60"/>
        <v>2017Q4</v>
      </c>
      <c r="J808" s="177">
        <f>'[6]price list MAN'!J808</f>
        <v>1900000</v>
      </c>
      <c r="K808" s="177">
        <f>'[6]price list MAN'!P808</f>
        <v>1459500</v>
      </c>
      <c r="L808" s="177">
        <f>'[6]price list MAN'!R808</f>
        <v>1390000</v>
      </c>
      <c r="M808" s="174">
        <f>'[6]price list MAN'!S808</f>
        <v>1955000</v>
      </c>
      <c r="N808" s="174">
        <f>'[6]price list MAN'!Y808</f>
        <v>1517250</v>
      </c>
      <c r="O808" s="174">
        <f>'[6]price list MAN'!AA808</f>
        <v>1445000</v>
      </c>
      <c r="P808" s="68">
        <f t="shared" si="61"/>
        <v>0.2608695652173913</v>
      </c>
      <c r="Q808" s="62" t="e">
        <f>O808-#REF!</f>
        <v>#REF!</v>
      </c>
      <c r="W808" s="210"/>
      <c r="X808" s="210"/>
      <c r="Y808" s="210"/>
      <c r="Z808" s="210"/>
      <c r="AA808" s="210"/>
      <c r="AB808" s="210"/>
      <c r="AC808" s="210"/>
      <c r="AT808" s="425" t="str">
        <f t="shared" si="62"/>
        <v>TGS000132017Q415,9</v>
      </c>
      <c r="AU808" s="64" t="str">
        <f t="shared" si="63"/>
        <v>11-2017</v>
      </c>
      <c r="BA808" s="428" t="str">
        <f t="shared" si="64"/>
        <v>WIP - 30 Days</v>
      </c>
    </row>
    <row r="809" spans="2:53">
      <c r="B809" s="36">
        <f>'[6]price list MAN'!B809</f>
        <v>48938</v>
      </c>
      <c r="C809" s="10" t="str">
        <f>'[6]price list MAN'!C809</f>
        <v>TGS-26-4406X4BLS-LX-EL-ACC</v>
      </c>
      <c r="D809" s="16" t="str">
        <f>IFERROR(VLOOKUP(C809&amp;"",'[7]Retail Price List'!$A$3:$B$103,2,FALSE),"Special Order")</f>
        <v>TGS00013</v>
      </c>
      <c r="E809" s="494" t="str">
        <f>'[6]price list MAN'!E809</f>
        <v>CKD</v>
      </c>
      <c r="F809" s="11" t="str">
        <f>'[6]price list MAN'!F809</f>
        <v>2018-07-30</v>
      </c>
      <c r="G809" s="32">
        <f>'[6]price list MAN'!G809</f>
        <v>15.9</v>
      </c>
      <c r="H809" s="26">
        <f>'[6]price list MAN'!H809</f>
        <v>43069</v>
      </c>
      <c r="I809" s="51" t="str">
        <f t="shared" si="60"/>
        <v>2017Q4</v>
      </c>
      <c r="J809" s="177">
        <f>'[6]price list MAN'!J809</f>
        <v>1900000</v>
      </c>
      <c r="K809" s="177">
        <f>'[6]price list MAN'!P809</f>
        <v>1459500</v>
      </c>
      <c r="L809" s="177">
        <f>'[6]price list MAN'!R809</f>
        <v>1390000</v>
      </c>
      <c r="M809" s="174">
        <f>'[6]price list MAN'!S809</f>
        <v>1955000</v>
      </c>
      <c r="N809" s="174">
        <f>'[6]price list MAN'!Y809</f>
        <v>1517250</v>
      </c>
      <c r="O809" s="174">
        <f>'[6]price list MAN'!AA809</f>
        <v>1445000</v>
      </c>
      <c r="P809" s="68">
        <f t="shared" si="61"/>
        <v>0.2608695652173913</v>
      </c>
      <c r="Q809" s="62" t="e">
        <f>O809-#REF!</f>
        <v>#REF!</v>
      </c>
      <c r="W809" s="210"/>
      <c r="X809" s="210"/>
      <c r="Y809" s="210"/>
      <c r="Z809" s="210"/>
      <c r="AA809" s="210"/>
      <c r="AB809" s="210"/>
      <c r="AC809" s="210"/>
      <c r="AT809" s="425" t="str">
        <f t="shared" si="62"/>
        <v>TGS000132017Q415,9</v>
      </c>
      <c r="AU809" s="64" t="str">
        <f t="shared" si="63"/>
        <v>11-2017</v>
      </c>
      <c r="BA809" s="428" t="str">
        <f t="shared" si="64"/>
        <v>WIP - 30 Days</v>
      </c>
    </row>
    <row r="810" spans="2:53">
      <c r="B810" s="36">
        <f>'[6]price list MAN'!B810</f>
        <v>49031</v>
      </c>
      <c r="C810" s="10" t="str">
        <f>'[6]price list MAN'!C810</f>
        <v>TGS-26-4406X4BLS-LX-EL-ACC</v>
      </c>
      <c r="D810" s="16" t="str">
        <f>IFERROR(VLOOKUP(C810&amp;"",'[7]Retail Price List'!$A$3:$B$103,2,FALSE),"Special Order")</f>
        <v>TGS00013</v>
      </c>
      <c r="E810" s="494" t="str">
        <f>'[6]price list MAN'!E810</f>
        <v>CKD</v>
      </c>
      <c r="F810" s="11" t="str">
        <f>'[6]price list MAN'!F810</f>
        <v>2018-07-30</v>
      </c>
      <c r="G810" s="32">
        <f>'[6]price list MAN'!G810</f>
        <v>15.9</v>
      </c>
      <c r="H810" s="26">
        <f>'[6]price list MAN'!H810</f>
        <v>43069</v>
      </c>
      <c r="I810" s="51" t="str">
        <f t="shared" si="60"/>
        <v>2017Q4</v>
      </c>
      <c r="J810" s="177">
        <f>'[6]price list MAN'!J810</f>
        <v>1900000</v>
      </c>
      <c r="K810" s="177">
        <f>'[6]price list MAN'!P810</f>
        <v>1459500</v>
      </c>
      <c r="L810" s="177">
        <f>'[6]price list MAN'!R810</f>
        <v>1390000</v>
      </c>
      <c r="M810" s="174">
        <f>'[6]price list MAN'!S810</f>
        <v>1955000</v>
      </c>
      <c r="N810" s="174">
        <f>'[6]price list MAN'!Y810</f>
        <v>1517250</v>
      </c>
      <c r="O810" s="174">
        <f>'[6]price list MAN'!AA810</f>
        <v>1445000</v>
      </c>
      <c r="P810" s="68">
        <f t="shared" si="61"/>
        <v>0.2608695652173913</v>
      </c>
      <c r="Q810" s="62" t="e">
        <f>O810-#REF!</f>
        <v>#REF!</v>
      </c>
      <c r="W810" s="210"/>
      <c r="X810" s="210"/>
      <c r="Y810" s="210"/>
      <c r="Z810" s="210"/>
      <c r="AA810" s="210"/>
      <c r="AB810" s="210"/>
      <c r="AC810" s="210"/>
      <c r="AT810" s="425" t="str">
        <f t="shared" si="62"/>
        <v>TGS000132017Q415,9</v>
      </c>
      <c r="AU810" s="64" t="str">
        <f t="shared" si="63"/>
        <v>11-2017</v>
      </c>
      <c r="BA810" s="428" t="str">
        <f t="shared" si="64"/>
        <v>WIP - 30 Days</v>
      </c>
    </row>
    <row r="811" spans="2:53">
      <c r="B811" s="36">
        <f>'[6]price list MAN'!B811</f>
        <v>49032</v>
      </c>
      <c r="C811" s="10" t="str">
        <f>'[6]price list MAN'!C811</f>
        <v>TGS-26-4406X4BLS-LX-EL-ACC</v>
      </c>
      <c r="D811" s="16" t="str">
        <f>IFERROR(VLOOKUP(C811&amp;"",'[7]Retail Price List'!$A$3:$B$103,2,FALSE),"Special Order")</f>
        <v>TGS00013</v>
      </c>
      <c r="E811" s="494" t="str">
        <f>'[6]price list MAN'!E811</f>
        <v>CKD</v>
      </c>
      <c r="F811" s="11" t="str">
        <f>'[6]price list MAN'!F811</f>
        <v>2018-07-30</v>
      </c>
      <c r="G811" s="32">
        <f>'[6]price list MAN'!G811</f>
        <v>15.9</v>
      </c>
      <c r="H811" s="26">
        <f>'[6]price list MAN'!H811</f>
        <v>43069</v>
      </c>
      <c r="I811" s="51" t="str">
        <f t="shared" si="60"/>
        <v>2017Q4</v>
      </c>
      <c r="J811" s="177">
        <f>'[6]price list MAN'!J811</f>
        <v>1900000</v>
      </c>
      <c r="K811" s="177">
        <f>'[6]price list MAN'!P811</f>
        <v>1459500</v>
      </c>
      <c r="L811" s="177">
        <f>'[6]price list MAN'!R811</f>
        <v>1390000</v>
      </c>
      <c r="M811" s="174">
        <f>'[6]price list MAN'!S811</f>
        <v>1955000</v>
      </c>
      <c r="N811" s="174">
        <f>'[6]price list MAN'!Y811</f>
        <v>1517250</v>
      </c>
      <c r="O811" s="174">
        <f>'[6]price list MAN'!AA811</f>
        <v>1445000</v>
      </c>
      <c r="P811" s="68">
        <f t="shared" si="61"/>
        <v>0.2608695652173913</v>
      </c>
      <c r="Q811" s="62" t="e">
        <f>O811-#REF!</f>
        <v>#REF!</v>
      </c>
      <c r="W811" s="210"/>
      <c r="X811" s="210"/>
      <c r="Y811" s="210"/>
      <c r="Z811" s="210"/>
      <c r="AA811" s="210"/>
      <c r="AB811" s="210"/>
      <c r="AC811" s="210"/>
      <c r="AT811" s="425" t="str">
        <f t="shared" si="62"/>
        <v>TGS000132017Q415,9</v>
      </c>
      <c r="AU811" s="64" t="str">
        <f t="shared" si="63"/>
        <v>11-2017</v>
      </c>
      <c r="BA811" s="428" t="str">
        <f t="shared" si="64"/>
        <v>WIP - 30 Days</v>
      </c>
    </row>
    <row r="812" spans="2:53">
      <c r="B812" s="36">
        <f>'[6]price list MAN'!B812</f>
        <v>49033</v>
      </c>
      <c r="C812" s="10" t="str">
        <f>'[6]price list MAN'!C812</f>
        <v>TGS-26-4406X4BLS-LX-EL-ACC</v>
      </c>
      <c r="D812" s="16" t="str">
        <f>IFERROR(VLOOKUP(C812&amp;"",'[7]Retail Price List'!$A$3:$B$103,2,FALSE),"Special Order")</f>
        <v>TGS00013</v>
      </c>
      <c r="E812" s="494" t="str">
        <f>'[6]price list MAN'!E812</f>
        <v>CKD</v>
      </c>
      <c r="F812" s="11" t="str">
        <f>'[6]price list MAN'!F812</f>
        <v>2018-08-30</v>
      </c>
      <c r="G812" s="32">
        <f>'[6]price list MAN'!G812</f>
        <v>15.9</v>
      </c>
      <c r="H812" s="26">
        <f>'[6]price list MAN'!H812</f>
        <v>43069</v>
      </c>
      <c r="I812" s="51" t="str">
        <f t="shared" si="60"/>
        <v>2017Q4</v>
      </c>
      <c r="J812" s="177">
        <f>'[6]price list MAN'!J812</f>
        <v>1900000</v>
      </c>
      <c r="K812" s="177">
        <f>'[6]price list MAN'!P812</f>
        <v>1459500</v>
      </c>
      <c r="L812" s="177">
        <f>'[6]price list MAN'!R812</f>
        <v>1390000</v>
      </c>
      <c r="M812" s="174">
        <f>'[6]price list MAN'!S812</f>
        <v>1955000</v>
      </c>
      <c r="N812" s="174">
        <f>'[6]price list MAN'!Y812</f>
        <v>1517250</v>
      </c>
      <c r="O812" s="174">
        <f>'[6]price list MAN'!AA812</f>
        <v>1445000</v>
      </c>
      <c r="P812" s="68">
        <f t="shared" si="61"/>
        <v>0.2608695652173913</v>
      </c>
      <c r="Q812" s="62" t="e">
        <f>O812-#REF!</f>
        <v>#REF!</v>
      </c>
      <c r="W812" s="210"/>
      <c r="X812" s="210"/>
      <c r="Y812" s="210"/>
      <c r="Z812" s="210"/>
      <c r="AA812" s="210"/>
      <c r="AB812" s="210"/>
      <c r="AC812" s="210"/>
      <c r="AT812" s="425" t="str">
        <f t="shared" si="62"/>
        <v>TGS000132017Q415,9</v>
      </c>
      <c r="AU812" s="64" t="str">
        <f t="shared" si="63"/>
        <v>11-2017</v>
      </c>
      <c r="BA812" s="428" t="str">
        <f t="shared" si="64"/>
        <v>WIP - 30 Days</v>
      </c>
    </row>
    <row r="813" spans="2:53">
      <c r="B813" s="36">
        <f>'[6]price list MAN'!B813</f>
        <v>49034</v>
      </c>
      <c r="C813" s="10" t="str">
        <f>'[6]price list MAN'!C813</f>
        <v>TGS-26-4406X4BLS-LX-EL-ACC</v>
      </c>
      <c r="D813" s="16" t="str">
        <f>IFERROR(VLOOKUP(C813&amp;"",'[7]Retail Price List'!$A$3:$B$103,2,FALSE),"Special Order")</f>
        <v>TGS00013</v>
      </c>
      <c r="E813" s="494" t="str">
        <f>'[6]price list MAN'!E813</f>
        <v>CKD</v>
      </c>
      <c r="F813" s="11" t="str">
        <f>'[6]price list MAN'!F813</f>
        <v>2018-08-30</v>
      </c>
      <c r="G813" s="32">
        <f>'[6]price list MAN'!G813</f>
        <v>15.9</v>
      </c>
      <c r="H813" s="26">
        <f>'[6]price list MAN'!H813</f>
        <v>43069</v>
      </c>
      <c r="I813" s="51" t="str">
        <f t="shared" si="60"/>
        <v>2017Q4</v>
      </c>
      <c r="J813" s="177">
        <f>'[6]price list MAN'!J813</f>
        <v>1900000</v>
      </c>
      <c r="K813" s="177">
        <f>'[6]price list MAN'!P813</f>
        <v>1459500</v>
      </c>
      <c r="L813" s="177">
        <f>'[6]price list MAN'!R813</f>
        <v>1390000</v>
      </c>
      <c r="M813" s="174">
        <f>'[6]price list MAN'!S813</f>
        <v>1955000</v>
      </c>
      <c r="N813" s="174">
        <f>'[6]price list MAN'!Y813</f>
        <v>1517250</v>
      </c>
      <c r="O813" s="174">
        <f>'[6]price list MAN'!AA813</f>
        <v>1445000</v>
      </c>
      <c r="P813" s="68">
        <f t="shared" si="61"/>
        <v>0.2608695652173913</v>
      </c>
      <c r="Q813" s="62" t="e">
        <f>O813-#REF!</f>
        <v>#REF!</v>
      </c>
      <c r="W813" s="210"/>
      <c r="X813" s="210"/>
      <c r="Y813" s="210"/>
      <c r="Z813" s="210"/>
      <c r="AA813" s="210"/>
      <c r="AB813" s="210"/>
      <c r="AC813" s="210"/>
      <c r="AT813" s="425" t="str">
        <f t="shared" si="62"/>
        <v>TGS000132017Q415,9</v>
      </c>
      <c r="AU813" s="64" t="str">
        <f t="shared" si="63"/>
        <v>11-2017</v>
      </c>
      <c r="BA813" s="428" t="str">
        <f t="shared" si="64"/>
        <v>WIP - 30 Days</v>
      </c>
    </row>
    <row r="814" spans="2:53">
      <c r="B814" s="36">
        <f>'[6]price list MAN'!B814</f>
        <v>49035</v>
      </c>
      <c r="C814" s="10" t="str">
        <f>'[6]price list MAN'!C814</f>
        <v>TGS-26-4406X4BLS-LX-EL-ACC</v>
      </c>
      <c r="D814" s="16" t="str">
        <f>IFERROR(VLOOKUP(C814&amp;"",'[7]Retail Price List'!$A$3:$B$103,2,FALSE),"Special Order")</f>
        <v>TGS00013</v>
      </c>
      <c r="E814" s="494" t="str">
        <f>'[6]price list MAN'!E814</f>
        <v>CKD</v>
      </c>
      <c r="F814" s="11" t="str">
        <f>'[6]price list MAN'!F814</f>
        <v>2018-08-30</v>
      </c>
      <c r="G814" s="32">
        <f>'[6]price list MAN'!G814</f>
        <v>15.9</v>
      </c>
      <c r="H814" s="26">
        <f>'[6]price list MAN'!H814</f>
        <v>43069</v>
      </c>
      <c r="I814" s="51" t="str">
        <f t="shared" si="60"/>
        <v>2017Q4</v>
      </c>
      <c r="J814" s="177">
        <f>'[6]price list MAN'!J814</f>
        <v>1900000</v>
      </c>
      <c r="K814" s="177">
        <f>'[6]price list MAN'!P814</f>
        <v>1459500</v>
      </c>
      <c r="L814" s="177">
        <f>'[6]price list MAN'!R814</f>
        <v>1390000</v>
      </c>
      <c r="M814" s="174">
        <f>'[6]price list MAN'!S814</f>
        <v>1955000</v>
      </c>
      <c r="N814" s="174">
        <f>'[6]price list MAN'!Y814</f>
        <v>1517250</v>
      </c>
      <c r="O814" s="174">
        <f>'[6]price list MAN'!AA814</f>
        <v>1445000</v>
      </c>
      <c r="P814" s="68">
        <f t="shared" si="61"/>
        <v>0.2608695652173913</v>
      </c>
      <c r="Q814" s="62" t="e">
        <f>O814-#REF!</f>
        <v>#REF!</v>
      </c>
      <c r="W814" s="210"/>
      <c r="X814" s="210"/>
      <c r="Y814" s="210"/>
      <c r="Z814" s="210"/>
      <c r="AA814" s="210"/>
      <c r="AB814" s="210"/>
      <c r="AC814" s="210"/>
      <c r="AT814" s="425" t="str">
        <f t="shared" si="62"/>
        <v>TGS000132017Q415,9</v>
      </c>
      <c r="AU814" s="64" t="str">
        <f t="shared" si="63"/>
        <v>11-2017</v>
      </c>
      <c r="BA814" s="428" t="str">
        <f t="shared" si="64"/>
        <v>WIP - 30 Days</v>
      </c>
    </row>
    <row r="815" spans="2:53">
      <c r="B815" s="36">
        <f>'[6]price list MAN'!B815</f>
        <v>49036</v>
      </c>
      <c r="C815" s="10" t="str">
        <f>'[6]price list MAN'!C815</f>
        <v>TGS-26-4406X4BLS-LX-EL-ACC</v>
      </c>
      <c r="D815" s="16" t="str">
        <f>IFERROR(VLOOKUP(C815&amp;"",'[7]Retail Price List'!$A$3:$B$103,2,FALSE),"Special Order")</f>
        <v>TGS00013</v>
      </c>
      <c r="E815" s="494" t="str">
        <f>'[6]price list MAN'!E815</f>
        <v>CKD</v>
      </c>
      <c r="F815" s="11" t="str">
        <f>'[6]price list MAN'!F815</f>
        <v>2018-08-30</v>
      </c>
      <c r="G815" s="32">
        <f>'[6]price list MAN'!G815</f>
        <v>15.9</v>
      </c>
      <c r="H815" s="26">
        <f>'[6]price list MAN'!H815</f>
        <v>43069</v>
      </c>
      <c r="I815" s="51" t="str">
        <f t="shared" si="60"/>
        <v>2017Q4</v>
      </c>
      <c r="J815" s="177">
        <f>'[6]price list MAN'!J815</f>
        <v>1900000</v>
      </c>
      <c r="K815" s="177">
        <f>'[6]price list MAN'!P815</f>
        <v>1459500</v>
      </c>
      <c r="L815" s="177">
        <f>'[6]price list MAN'!R815</f>
        <v>1390000</v>
      </c>
      <c r="M815" s="174">
        <f>'[6]price list MAN'!S815</f>
        <v>1955000</v>
      </c>
      <c r="N815" s="174">
        <f>'[6]price list MAN'!Y815</f>
        <v>1517250</v>
      </c>
      <c r="O815" s="174">
        <f>'[6]price list MAN'!AA815</f>
        <v>1445000</v>
      </c>
      <c r="P815" s="68">
        <f t="shared" si="61"/>
        <v>0.2608695652173913</v>
      </c>
      <c r="Q815" s="62" t="e">
        <f>O815-#REF!</f>
        <v>#REF!</v>
      </c>
      <c r="W815" s="210"/>
      <c r="X815" s="210"/>
      <c r="Y815" s="210"/>
      <c r="Z815" s="210"/>
      <c r="AA815" s="210"/>
      <c r="AB815" s="210"/>
      <c r="AC815" s="210"/>
      <c r="AT815" s="425" t="str">
        <f t="shared" si="62"/>
        <v>TGS000132017Q415,9</v>
      </c>
      <c r="AU815" s="64" t="str">
        <f t="shared" si="63"/>
        <v>11-2017</v>
      </c>
      <c r="BA815" s="428" t="str">
        <f t="shared" si="64"/>
        <v>WIP - 30 Days</v>
      </c>
    </row>
    <row r="816" spans="2:53">
      <c r="B816" s="36">
        <f>'[6]price list MAN'!B816</f>
        <v>49037</v>
      </c>
      <c r="C816" s="10" t="str">
        <f>'[6]price list MAN'!C816</f>
        <v>TGS-26-4406X4BLS-LX-EL-ACC</v>
      </c>
      <c r="D816" s="16" t="str">
        <f>IFERROR(VLOOKUP(C816&amp;"",'[7]Retail Price List'!$A$3:$B$103,2,FALSE),"Special Order")</f>
        <v>TGS00013</v>
      </c>
      <c r="E816" s="494" t="str">
        <f>'[6]price list MAN'!E816</f>
        <v>CKD</v>
      </c>
      <c r="F816" s="11" t="str">
        <f>'[6]price list MAN'!F816</f>
        <v>2018-08-30</v>
      </c>
      <c r="G816" s="32">
        <f>'[6]price list MAN'!G816</f>
        <v>15.9</v>
      </c>
      <c r="H816" s="26">
        <f>'[6]price list MAN'!H816</f>
        <v>43069</v>
      </c>
      <c r="I816" s="51" t="str">
        <f t="shared" si="60"/>
        <v>2017Q4</v>
      </c>
      <c r="J816" s="177">
        <f>'[6]price list MAN'!J816</f>
        <v>1900000</v>
      </c>
      <c r="K816" s="177">
        <f>'[6]price list MAN'!P816</f>
        <v>1459500</v>
      </c>
      <c r="L816" s="177">
        <f>'[6]price list MAN'!R816</f>
        <v>1390000</v>
      </c>
      <c r="M816" s="174">
        <f>'[6]price list MAN'!S816</f>
        <v>1955000</v>
      </c>
      <c r="N816" s="174">
        <f>'[6]price list MAN'!Y816</f>
        <v>1517250</v>
      </c>
      <c r="O816" s="174">
        <f>'[6]price list MAN'!AA816</f>
        <v>1445000</v>
      </c>
      <c r="P816" s="68">
        <f t="shared" si="61"/>
        <v>0.2608695652173913</v>
      </c>
      <c r="Q816" s="62" t="e">
        <f>O816-#REF!</f>
        <v>#REF!</v>
      </c>
      <c r="W816" s="210"/>
      <c r="X816" s="210"/>
      <c r="Y816" s="210"/>
      <c r="Z816" s="210"/>
      <c r="AA816" s="210"/>
      <c r="AB816" s="210"/>
      <c r="AC816" s="210"/>
      <c r="AT816" s="425" t="str">
        <f t="shared" si="62"/>
        <v>TGS000132017Q415,9</v>
      </c>
      <c r="AU816" s="64" t="str">
        <f t="shared" si="63"/>
        <v>11-2017</v>
      </c>
      <c r="BA816" s="428" t="str">
        <f t="shared" si="64"/>
        <v>WIP - 30 Days</v>
      </c>
    </row>
    <row r="817" spans="2:53">
      <c r="B817" s="36">
        <f>'[6]price list MAN'!B817</f>
        <v>49038</v>
      </c>
      <c r="C817" s="10" t="str">
        <f>'[6]price list MAN'!C817</f>
        <v>TGS-26-4406X4BLS-LX-EL-ACC</v>
      </c>
      <c r="D817" s="16" t="str">
        <f>IFERROR(VLOOKUP(C817&amp;"",'[7]Retail Price List'!$A$3:$B$103,2,FALSE),"Special Order")</f>
        <v>TGS00013</v>
      </c>
      <c r="E817" s="494" t="str">
        <f>'[6]price list MAN'!E817</f>
        <v>CKD</v>
      </c>
      <c r="F817" s="11" t="str">
        <f>'[6]price list MAN'!F817</f>
        <v>2018-09-30</v>
      </c>
      <c r="G817" s="32">
        <f>'[6]price list MAN'!G817</f>
        <v>15.9</v>
      </c>
      <c r="H817" s="26">
        <f>'[6]price list MAN'!H817</f>
        <v>43069</v>
      </c>
      <c r="I817" s="51" t="str">
        <f t="shared" si="60"/>
        <v>2017Q4</v>
      </c>
      <c r="J817" s="177">
        <f>'[6]price list MAN'!J817</f>
        <v>1900000</v>
      </c>
      <c r="K817" s="177">
        <f>'[6]price list MAN'!P817</f>
        <v>1459500</v>
      </c>
      <c r="L817" s="177">
        <f>'[6]price list MAN'!R817</f>
        <v>1390000</v>
      </c>
      <c r="M817" s="174">
        <f>'[6]price list MAN'!S817</f>
        <v>1955000</v>
      </c>
      <c r="N817" s="174">
        <f>'[6]price list MAN'!Y817</f>
        <v>1517250</v>
      </c>
      <c r="O817" s="174">
        <f>'[6]price list MAN'!AA817</f>
        <v>1445000</v>
      </c>
      <c r="P817" s="68">
        <f t="shared" si="61"/>
        <v>0.2608695652173913</v>
      </c>
      <c r="Q817" s="62" t="e">
        <f>O817-#REF!</f>
        <v>#REF!</v>
      </c>
      <c r="W817" s="210"/>
      <c r="X817" s="210"/>
      <c r="Y817" s="210"/>
      <c r="Z817" s="210"/>
      <c r="AA817" s="210"/>
      <c r="AB817" s="210"/>
      <c r="AC817" s="210"/>
      <c r="AT817" s="425" t="str">
        <f t="shared" si="62"/>
        <v>TGS000132017Q415,9</v>
      </c>
      <c r="AU817" s="64" t="str">
        <f t="shared" si="63"/>
        <v>11-2017</v>
      </c>
      <c r="BA817" s="428" t="str">
        <f t="shared" si="64"/>
        <v>WIP - 30 Days</v>
      </c>
    </row>
    <row r="818" spans="2:53">
      <c r="B818" s="36">
        <f>'[6]price list MAN'!B818</f>
        <v>49039</v>
      </c>
      <c r="C818" s="10" t="str">
        <f>'[6]price list MAN'!C818</f>
        <v>TGS-26-4406X4BLS-LX-EL-ACC</v>
      </c>
      <c r="D818" s="16" t="str">
        <f>IFERROR(VLOOKUP(C818&amp;"",'[7]Retail Price List'!$A$3:$B$103,2,FALSE),"Special Order")</f>
        <v>TGS00013</v>
      </c>
      <c r="E818" s="494" t="str">
        <f>'[6]price list MAN'!E818</f>
        <v>CKD</v>
      </c>
      <c r="F818" s="11" t="str">
        <f>'[6]price list MAN'!F818</f>
        <v>2018-09-30</v>
      </c>
      <c r="G818" s="32">
        <f>'[6]price list MAN'!G818</f>
        <v>15.9</v>
      </c>
      <c r="H818" s="26">
        <f>'[6]price list MAN'!H818</f>
        <v>43069</v>
      </c>
      <c r="I818" s="51" t="str">
        <f t="shared" si="60"/>
        <v>2017Q4</v>
      </c>
      <c r="J818" s="177">
        <f>'[6]price list MAN'!J818</f>
        <v>1900000</v>
      </c>
      <c r="K818" s="177">
        <f>'[6]price list MAN'!P818</f>
        <v>1459500</v>
      </c>
      <c r="L818" s="177">
        <f>'[6]price list MAN'!R818</f>
        <v>1390000</v>
      </c>
      <c r="M818" s="174">
        <f>'[6]price list MAN'!S818</f>
        <v>1955000</v>
      </c>
      <c r="N818" s="174">
        <f>'[6]price list MAN'!Y818</f>
        <v>1517250</v>
      </c>
      <c r="O818" s="174">
        <f>'[6]price list MAN'!AA818</f>
        <v>1445000</v>
      </c>
      <c r="P818" s="68">
        <f t="shared" si="61"/>
        <v>0.2608695652173913</v>
      </c>
      <c r="Q818" s="62" t="e">
        <f>O818-#REF!</f>
        <v>#REF!</v>
      </c>
      <c r="W818" s="210"/>
      <c r="X818" s="210"/>
      <c r="Y818" s="210"/>
      <c r="Z818" s="210"/>
      <c r="AA818" s="210"/>
      <c r="AB818" s="210"/>
      <c r="AC818" s="210"/>
      <c r="AT818" s="425" t="str">
        <f t="shared" si="62"/>
        <v>TGS000132017Q415,9</v>
      </c>
      <c r="AU818" s="64" t="str">
        <f t="shared" si="63"/>
        <v>11-2017</v>
      </c>
      <c r="BA818" s="428" t="str">
        <f t="shared" si="64"/>
        <v>WIP - 30 Days</v>
      </c>
    </row>
    <row r="819" spans="2:53">
      <c r="B819" s="36">
        <f>'[6]price list MAN'!B819</f>
        <v>49040</v>
      </c>
      <c r="C819" s="10" t="str">
        <f>'[6]price list MAN'!C819</f>
        <v>TGS-26-4406X4BLS-LX-EL-ACC</v>
      </c>
      <c r="D819" s="16" t="str">
        <f>IFERROR(VLOOKUP(C819&amp;"",'[7]Retail Price List'!$A$3:$B$103,2,FALSE),"Special Order")</f>
        <v>TGS00013</v>
      </c>
      <c r="E819" s="494" t="str">
        <f>'[6]price list MAN'!E819</f>
        <v>CKD</v>
      </c>
      <c r="F819" s="11" t="str">
        <f>'[6]price list MAN'!F819</f>
        <v>2018-09-30</v>
      </c>
      <c r="G819" s="32">
        <f>'[6]price list MAN'!G819</f>
        <v>15.9</v>
      </c>
      <c r="H819" s="26">
        <f>'[6]price list MAN'!H819</f>
        <v>43069</v>
      </c>
      <c r="I819" s="51" t="str">
        <f t="shared" si="60"/>
        <v>2017Q4</v>
      </c>
      <c r="J819" s="177">
        <f>'[6]price list MAN'!J819</f>
        <v>1900000</v>
      </c>
      <c r="K819" s="177">
        <f>'[6]price list MAN'!P819</f>
        <v>1459500</v>
      </c>
      <c r="L819" s="177">
        <f>'[6]price list MAN'!R819</f>
        <v>1390000</v>
      </c>
      <c r="M819" s="174">
        <f>'[6]price list MAN'!S819</f>
        <v>1955000</v>
      </c>
      <c r="N819" s="174">
        <f>'[6]price list MAN'!Y819</f>
        <v>1517250</v>
      </c>
      <c r="O819" s="174">
        <f>'[6]price list MAN'!AA819</f>
        <v>1445000</v>
      </c>
      <c r="P819" s="68">
        <f t="shared" si="61"/>
        <v>0.2608695652173913</v>
      </c>
      <c r="Q819" s="62" t="e">
        <f>O819-#REF!</f>
        <v>#REF!</v>
      </c>
      <c r="W819" s="210"/>
      <c r="X819" s="210"/>
      <c r="Y819" s="210"/>
      <c r="Z819" s="210"/>
      <c r="AA819" s="210"/>
      <c r="AB819" s="210"/>
      <c r="AC819" s="210"/>
      <c r="AT819" s="425" t="str">
        <f t="shared" si="62"/>
        <v>TGS000132017Q415,9</v>
      </c>
      <c r="AU819" s="64" t="str">
        <f t="shared" si="63"/>
        <v>11-2017</v>
      </c>
      <c r="BA819" s="428" t="str">
        <f t="shared" si="64"/>
        <v>WIP - 30 Days</v>
      </c>
    </row>
    <row r="820" spans="2:53">
      <c r="B820" s="36">
        <f>'[6]price list MAN'!B820</f>
        <v>49041</v>
      </c>
      <c r="C820" s="10" t="str">
        <f>'[6]price list MAN'!C820</f>
        <v>TGS-26-4406X4BLS-LX-EL-ACC</v>
      </c>
      <c r="D820" s="16" t="str">
        <f>IFERROR(VLOOKUP(C820&amp;"",'[7]Retail Price List'!$A$3:$B$103,2,FALSE),"Special Order")</f>
        <v>TGS00013</v>
      </c>
      <c r="E820" s="494" t="str">
        <f>'[6]price list MAN'!E820</f>
        <v>CKD</v>
      </c>
      <c r="F820" s="11" t="str">
        <f>'[6]price list MAN'!F820</f>
        <v>2018-09-30</v>
      </c>
      <c r="G820" s="32">
        <f>'[6]price list MAN'!G820</f>
        <v>15.9</v>
      </c>
      <c r="H820" s="26">
        <f>'[6]price list MAN'!H820</f>
        <v>43069</v>
      </c>
      <c r="I820" s="51" t="str">
        <f t="shared" si="60"/>
        <v>2017Q4</v>
      </c>
      <c r="J820" s="177">
        <f>'[6]price list MAN'!J820</f>
        <v>1900000</v>
      </c>
      <c r="K820" s="177">
        <f>'[6]price list MAN'!P820</f>
        <v>1459500</v>
      </c>
      <c r="L820" s="177">
        <f>'[6]price list MAN'!R820</f>
        <v>1390000</v>
      </c>
      <c r="M820" s="174">
        <f>'[6]price list MAN'!S820</f>
        <v>1955000</v>
      </c>
      <c r="N820" s="174">
        <f>'[6]price list MAN'!Y820</f>
        <v>1517250</v>
      </c>
      <c r="O820" s="174">
        <f>'[6]price list MAN'!AA820</f>
        <v>1445000</v>
      </c>
      <c r="P820" s="68">
        <f t="shared" si="61"/>
        <v>0.2608695652173913</v>
      </c>
      <c r="Q820" s="62" t="e">
        <f>O820-#REF!</f>
        <v>#REF!</v>
      </c>
      <c r="W820" s="210"/>
      <c r="X820" s="210"/>
      <c r="Y820" s="210"/>
      <c r="Z820" s="210"/>
      <c r="AA820" s="210"/>
      <c r="AB820" s="210"/>
      <c r="AC820" s="210"/>
      <c r="AT820" s="425" t="str">
        <f t="shared" si="62"/>
        <v>TGS000132017Q415,9</v>
      </c>
      <c r="AU820" s="64" t="str">
        <f t="shared" si="63"/>
        <v>11-2017</v>
      </c>
      <c r="BA820" s="428" t="str">
        <f t="shared" si="64"/>
        <v>WIP - 30 Days</v>
      </c>
    </row>
    <row r="821" spans="2:53">
      <c r="B821" s="36">
        <f>'[6]price list MAN'!B821</f>
        <v>49042</v>
      </c>
      <c r="C821" s="10" t="str">
        <f>'[6]price list MAN'!C821</f>
        <v>TGS-26-4406X4BLS-LX-EL-ACC</v>
      </c>
      <c r="D821" s="16" t="str">
        <f>IFERROR(VLOOKUP(C821&amp;"",'[7]Retail Price List'!$A$3:$B$103,2,FALSE),"Special Order")</f>
        <v>TGS00013</v>
      </c>
      <c r="E821" s="494" t="str">
        <f>'[6]price list MAN'!E821</f>
        <v>CKD</v>
      </c>
      <c r="F821" s="11" t="str">
        <f>'[6]price list MAN'!F821</f>
        <v>2018-09-30</v>
      </c>
      <c r="G821" s="32">
        <f>'[6]price list MAN'!G821</f>
        <v>15.9</v>
      </c>
      <c r="H821" s="26">
        <f>'[6]price list MAN'!H821</f>
        <v>43069</v>
      </c>
      <c r="I821" s="51" t="str">
        <f t="shared" si="60"/>
        <v>2017Q4</v>
      </c>
      <c r="J821" s="177">
        <f>'[6]price list MAN'!J821</f>
        <v>1900000</v>
      </c>
      <c r="K821" s="177">
        <f>'[6]price list MAN'!P821</f>
        <v>1459500</v>
      </c>
      <c r="L821" s="177">
        <f>'[6]price list MAN'!R821</f>
        <v>1390000</v>
      </c>
      <c r="M821" s="174">
        <f>'[6]price list MAN'!S821</f>
        <v>1955000</v>
      </c>
      <c r="N821" s="174">
        <f>'[6]price list MAN'!Y821</f>
        <v>1517250</v>
      </c>
      <c r="O821" s="174">
        <f>'[6]price list MAN'!AA821</f>
        <v>1445000</v>
      </c>
      <c r="P821" s="68">
        <f t="shared" si="61"/>
        <v>0.2608695652173913</v>
      </c>
      <c r="Q821" s="62" t="e">
        <f>O821-#REF!</f>
        <v>#REF!</v>
      </c>
      <c r="W821" s="210"/>
      <c r="X821" s="210"/>
      <c r="Y821" s="210"/>
      <c r="Z821" s="210"/>
      <c r="AA821" s="210"/>
      <c r="AB821" s="210"/>
      <c r="AC821" s="210"/>
      <c r="AT821" s="425" t="str">
        <f t="shared" si="62"/>
        <v>TGS000132017Q415,9</v>
      </c>
      <c r="AU821" s="64" t="str">
        <f t="shared" si="63"/>
        <v>11-2017</v>
      </c>
      <c r="BA821" s="428" t="str">
        <f t="shared" si="64"/>
        <v>WIP - 30 Days</v>
      </c>
    </row>
    <row r="822" spans="2:53">
      <c r="B822" s="36" t="str">
        <f>'[6]price list MAN'!B822</f>
        <v>78W-1284</v>
      </c>
      <c r="C822" s="10" t="str">
        <f>'[6]price list MAN'!C822</f>
        <v>TGS-26-4406X4BLS-LX-EL-ACC</v>
      </c>
      <c r="D822" s="16" t="str">
        <f>IFERROR(VLOOKUP(C822&amp;"",'[7]Retail Price List'!$A$3:$B$103,2,FALSE),"Special Order")</f>
        <v>TGS00013</v>
      </c>
      <c r="E822" s="494" t="str">
        <f>'[6]price list MAN'!E822</f>
        <v>CKD</v>
      </c>
      <c r="F822" s="11" t="str">
        <f>'[6]price list MAN'!F822</f>
        <v>2018-09-30</v>
      </c>
      <c r="G822" s="32">
        <f>'[6]price list MAN'!G822</f>
        <v>15.9</v>
      </c>
      <c r="H822" s="26">
        <f>'[6]price list MAN'!H822</f>
        <v>43054</v>
      </c>
      <c r="I822" s="51" t="str">
        <f t="shared" si="60"/>
        <v>2017Q4</v>
      </c>
      <c r="J822" s="177">
        <f>'[6]price list MAN'!J822</f>
        <v>1900000</v>
      </c>
      <c r="K822" s="177">
        <f>'[6]price list MAN'!P822</f>
        <v>1459500</v>
      </c>
      <c r="L822" s="177">
        <f>'[6]price list MAN'!R822</f>
        <v>1390000</v>
      </c>
      <c r="M822" s="174">
        <f>'[6]price list MAN'!S822</f>
        <v>1955000</v>
      </c>
      <c r="N822" s="174">
        <f>'[6]price list MAN'!Y822</f>
        <v>1517250</v>
      </c>
      <c r="O822" s="174">
        <f>'[6]price list MAN'!AA822</f>
        <v>1445000</v>
      </c>
      <c r="P822" s="68">
        <f t="shared" si="61"/>
        <v>0.2608695652173913</v>
      </c>
      <c r="Q822" s="62" t="e">
        <f>O822-#REF!</f>
        <v>#REF!</v>
      </c>
      <c r="W822" s="210"/>
      <c r="X822" s="210"/>
      <c r="Y822" s="210"/>
      <c r="Z822" s="210"/>
      <c r="AA822" s="210"/>
      <c r="AB822" s="210"/>
      <c r="AC822" s="210"/>
      <c r="AT822" s="425" t="str">
        <f t="shared" si="62"/>
        <v>TGS000132017Q415,9</v>
      </c>
      <c r="AU822" s="64" t="str">
        <f t="shared" si="63"/>
        <v>11-2017</v>
      </c>
      <c r="BA822" s="428" t="str">
        <f t="shared" si="64"/>
        <v>WIP - 30 Days</v>
      </c>
    </row>
    <row r="823" spans="2:53">
      <c r="B823" s="36" t="str">
        <f>'[6]price list MAN'!B823</f>
        <v>78W-3552</v>
      </c>
      <c r="C823" s="10" t="str">
        <f>'[6]price list MAN'!C823</f>
        <v>TGS-26-4406X4BLS-LX-EL-ACC</v>
      </c>
      <c r="D823" s="16" t="str">
        <f>IFERROR(VLOOKUP(C823&amp;"",'[7]Retail Price List'!$A$3:$B$103,2,FALSE),"Special Order")</f>
        <v>TGS00013</v>
      </c>
      <c r="E823" s="494" t="str">
        <f>'[6]price list MAN'!E823</f>
        <v>CKD</v>
      </c>
      <c r="F823" s="11" t="str">
        <f>'[6]price list MAN'!F823</f>
        <v>2018-09-30</v>
      </c>
      <c r="G823" s="32">
        <f>'[6]price list MAN'!G823</f>
        <v>15.3</v>
      </c>
      <c r="H823" s="26">
        <f>'[6]price list MAN'!H823</f>
        <v>42978</v>
      </c>
      <c r="I823" s="51" t="str">
        <f t="shared" si="60"/>
        <v>2017Q3</v>
      </c>
      <c r="J823" s="177">
        <f>'[6]price list MAN'!J823</f>
        <v>1900000</v>
      </c>
      <c r="K823" s="177">
        <f>'[6]price list MAN'!P823</f>
        <v>1459500</v>
      </c>
      <c r="L823" s="177">
        <f>'[6]price list MAN'!R823</f>
        <v>1390000</v>
      </c>
      <c r="M823" s="174">
        <f>'[6]price list MAN'!S823</f>
        <v>1955000</v>
      </c>
      <c r="N823" s="174">
        <f>'[6]price list MAN'!Y823</f>
        <v>1517250</v>
      </c>
      <c r="O823" s="174">
        <f>'[6]price list MAN'!AA823</f>
        <v>1445000</v>
      </c>
      <c r="P823" s="68">
        <f t="shared" si="61"/>
        <v>0.2608695652173913</v>
      </c>
      <c r="Q823" s="62" t="e">
        <f>O823-#REF!</f>
        <v>#REF!</v>
      </c>
      <c r="W823" s="210"/>
      <c r="X823" s="210"/>
      <c r="Y823" s="210"/>
      <c r="Z823" s="210"/>
      <c r="AA823" s="210"/>
      <c r="AB823" s="210"/>
      <c r="AC823" s="210"/>
      <c r="AT823" s="425" t="str">
        <f t="shared" si="62"/>
        <v>TGS000132017Q315,3</v>
      </c>
      <c r="AU823" s="64" t="str">
        <f t="shared" si="63"/>
        <v>08-2017</v>
      </c>
      <c r="BA823" s="428" t="str">
        <f t="shared" si="64"/>
        <v>WIP - 30 Days</v>
      </c>
    </row>
    <row r="824" spans="2:53">
      <c r="B824" s="36" t="str">
        <f>'[6]price list MAN'!B824</f>
        <v>78W-6372</v>
      </c>
      <c r="C824" s="10" t="str">
        <f>'[6]price list MAN'!C824</f>
        <v>TGS-26-4406X4BLS-LX-EL-ACC</v>
      </c>
      <c r="D824" s="16" t="str">
        <f>IFERROR(VLOOKUP(C824&amp;"",'[7]Retail Price List'!$A$3:$B$103,2,FALSE),"Special Order")</f>
        <v>TGS00013</v>
      </c>
      <c r="E824" s="494" t="str">
        <f>'[6]price list MAN'!E824</f>
        <v>CKD</v>
      </c>
      <c r="F824" s="11" t="str">
        <f>'[6]price list MAN'!F824</f>
        <v>2018-05-30</v>
      </c>
      <c r="G824" s="32">
        <f>'[6]price list MAN'!G824</f>
        <v>15.3</v>
      </c>
      <c r="H824" s="26">
        <f>'[6]price list MAN'!H824</f>
        <v>42978</v>
      </c>
      <c r="I824" s="51" t="str">
        <f t="shared" si="60"/>
        <v>2017Q3</v>
      </c>
      <c r="J824" s="177">
        <f>'[6]price list MAN'!J824</f>
        <v>1900000</v>
      </c>
      <c r="K824" s="177">
        <f>'[6]price list MAN'!P824</f>
        <v>1459500</v>
      </c>
      <c r="L824" s="177">
        <f>'[6]price list MAN'!R824</f>
        <v>1390000</v>
      </c>
      <c r="M824" s="174">
        <f>'[6]price list MAN'!S824</f>
        <v>1955000</v>
      </c>
      <c r="N824" s="174">
        <f>'[6]price list MAN'!Y824</f>
        <v>1517250</v>
      </c>
      <c r="O824" s="174">
        <f>'[6]price list MAN'!AA824</f>
        <v>1445000</v>
      </c>
      <c r="P824" s="68">
        <f t="shared" si="61"/>
        <v>0.2608695652173913</v>
      </c>
      <c r="Q824" s="62" t="e">
        <f>O824-#REF!</f>
        <v>#REF!</v>
      </c>
      <c r="W824" s="210"/>
      <c r="X824" s="210"/>
      <c r="Y824" s="210"/>
      <c r="Z824" s="210"/>
      <c r="AA824" s="210"/>
      <c r="AB824" s="210"/>
      <c r="AC824" s="210"/>
      <c r="AT824" s="425" t="str">
        <f t="shared" si="62"/>
        <v>TGS000132017Q315,3</v>
      </c>
      <c r="AU824" s="64" t="str">
        <f t="shared" si="63"/>
        <v>08-2017</v>
      </c>
      <c r="BA824" s="428" t="str">
        <f t="shared" si="64"/>
        <v>WIP - 30 Days</v>
      </c>
    </row>
    <row r="825" spans="2:53">
      <c r="B825" s="36" t="str">
        <f>'[6]price list MAN'!B825</f>
        <v>78W-6373</v>
      </c>
      <c r="C825" s="10" t="str">
        <f>'[6]price list MAN'!C825</f>
        <v>TGS-26-4406X4BLS-LX-EL-ACC</v>
      </c>
      <c r="D825" s="16" t="str">
        <f>IFERROR(VLOOKUP(C825&amp;"",'[7]Retail Price List'!$A$3:$B$103,2,FALSE),"Special Order")</f>
        <v>TGS00013</v>
      </c>
      <c r="E825" s="494" t="str">
        <f>'[6]price list MAN'!E825</f>
        <v>CKD</v>
      </c>
      <c r="F825" s="11" t="str">
        <f>'[6]price list MAN'!F825</f>
        <v>2018-05-30</v>
      </c>
      <c r="G825" s="32">
        <f>'[6]price list MAN'!G825</f>
        <v>15.3</v>
      </c>
      <c r="H825" s="26">
        <f>'[6]price list MAN'!H825</f>
        <v>42978</v>
      </c>
      <c r="I825" s="51" t="str">
        <f t="shared" si="60"/>
        <v>2017Q3</v>
      </c>
      <c r="J825" s="177">
        <f>'[6]price list MAN'!J825</f>
        <v>1900000</v>
      </c>
      <c r="K825" s="177">
        <f>'[6]price list MAN'!P825</f>
        <v>1459500</v>
      </c>
      <c r="L825" s="177">
        <f>'[6]price list MAN'!R825</f>
        <v>1390000</v>
      </c>
      <c r="M825" s="174">
        <f>'[6]price list MAN'!S825</f>
        <v>1955000</v>
      </c>
      <c r="N825" s="174">
        <f>'[6]price list MAN'!Y825</f>
        <v>1517250</v>
      </c>
      <c r="O825" s="174">
        <f>'[6]price list MAN'!AA825</f>
        <v>1445000</v>
      </c>
      <c r="P825" s="68">
        <f t="shared" si="61"/>
        <v>0.2608695652173913</v>
      </c>
      <c r="Q825" s="62" t="e">
        <f>O825-#REF!</f>
        <v>#REF!</v>
      </c>
      <c r="W825" s="210"/>
      <c r="X825" s="210"/>
      <c r="Y825" s="210"/>
      <c r="Z825" s="210"/>
      <c r="AA825" s="210"/>
      <c r="AB825" s="210"/>
      <c r="AC825" s="210"/>
      <c r="AT825" s="425" t="str">
        <f t="shared" si="62"/>
        <v>TGS000132017Q315,3</v>
      </c>
      <c r="AU825" s="64" t="str">
        <f t="shared" si="63"/>
        <v>08-2017</v>
      </c>
      <c r="BA825" s="428" t="str">
        <f t="shared" si="64"/>
        <v>WIP - 30 Days</v>
      </c>
    </row>
    <row r="826" spans="2:53">
      <c r="B826" s="36" t="str">
        <f>'[6]price list MAN'!B826</f>
        <v>78W-6374</v>
      </c>
      <c r="C826" s="10" t="str">
        <f>'[6]price list MAN'!C826</f>
        <v>TGS-26-4406X4BLS-LX-EL-ACC</v>
      </c>
      <c r="D826" s="16" t="str">
        <f>IFERROR(VLOOKUP(C826&amp;"",'[7]Retail Price List'!$A$3:$B$103,2,FALSE),"Special Order")</f>
        <v>TGS00013</v>
      </c>
      <c r="E826" s="494" t="str">
        <f>'[6]price list MAN'!E826</f>
        <v>CKD</v>
      </c>
      <c r="F826" s="11" t="str">
        <f>'[6]price list MAN'!F826</f>
        <v>2018-04-30</v>
      </c>
      <c r="G826" s="32">
        <f>'[6]price list MAN'!G826</f>
        <v>15.3</v>
      </c>
      <c r="H826" s="26">
        <f>'[6]price list MAN'!H826</f>
        <v>42978</v>
      </c>
      <c r="I826" s="51" t="str">
        <f t="shared" si="60"/>
        <v>2017Q3</v>
      </c>
      <c r="J826" s="177">
        <f>'[6]price list MAN'!J826</f>
        <v>1900000</v>
      </c>
      <c r="K826" s="177">
        <f>'[6]price list MAN'!P826</f>
        <v>1459500</v>
      </c>
      <c r="L826" s="177">
        <f>'[6]price list MAN'!R826</f>
        <v>1390000</v>
      </c>
      <c r="M826" s="174">
        <f>'[6]price list MAN'!S826</f>
        <v>1955000</v>
      </c>
      <c r="N826" s="174">
        <f>'[6]price list MAN'!Y826</f>
        <v>1517250</v>
      </c>
      <c r="O826" s="174">
        <f>'[6]price list MAN'!AA826</f>
        <v>1445000</v>
      </c>
      <c r="P826" s="68">
        <f t="shared" si="61"/>
        <v>0.2608695652173913</v>
      </c>
      <c r="Q826" s="62" t="e">
        <f>O826-#REF!</f>
        <v>#REF!</v>
      </c>
      <c r="W826" s="210"/>
      <c r="X826" s="210"/>
      <c r="Y826" s="210"/>
      <c r="Z826" s="210"/>
      <c r="AA826" s="210"/>
      <c r="AB826" s="210"/>
      <c r="AC826" s="210"/>
      <c r="AT826" s="425" t="str">
        <f t="shared" si="62"/>
        <v>TGS000132017Q315,3</v>
      </c>
      <c r="AU826" s="64" t="str">
        <f t="shared" si="63"/>
        <v>08-2017</v>
      </c>
      <c r="BA826" s="428" t="str">
        <f t="shared" si="64"/>
        <v>WIP - 30 Days</v>
      </c>
    </row>
    <row r="827" spans="2:53">
      <c r="B827" s="36" t="str">
        <f>'[6]price list MAN'!B827</f>
        <v>78W-6375</v>
      </c>
      <c r="C827" s="10" t="str">
        <f>'[6]price list MAN'!C827</f>
        <v>TGS-26-4406X4BLS-LX-EL-ACC</v>
      </c>
      <c r="D827" s="16" t="str">
        <f>IFERROR(VLOOKUP(C827&amp;"",'[7]Retail Price List'!$A$3:$B$103,2,FALSE),"Special Order")</f>
        <v>TGS00013</v>
      </c>
      <c r="E827" s="494" t="str">
        <f>'[6]price list MAN'!E827</f>
        <v>CKD</v>
      </c>
      <c r="F827" s="11" t="str">
        <f>'[6]price list MAN'!F827</f>
        <v>2018-04-30</v>
      </c>
      <c r="G827" s="32">
        <f>'[6]price list MAN'!G827</f>
        <v>15.3</v>
      </c>
      <c r="H827" s="26">
        <f>'[6]price list MAN'!H827</f>
        <v>42978</v>
      </c>
      <c r="I827" s="51" t="str">
        <f t="shared" si="60"/>
        <v>2017Q3</v>
      </c>
      <c r="J827" s="177">
        <f>'[6]price list MAN'!J827</f>
        <v>1900000</v>
      </c>
      <c r="K827" s="177">
        <f>'[6]price list MAN'!P827</f>
        <v>1459500</v>
      </c>
      <c r="L827" s="177">
        <f>'[6]price list MAN'!R827</f>
        <v>1390000</v>
      </c>
      <c r="M827" s="174">
        <f>'[6]price list MAN'!S827</f>
        <v>1955000</v>
      </c>
      <c r="N827" s="174">
        <f>'[6]price list MAN'!Y827</f>
        <v>1517250</v>
      </c>
      <c r="O827" s="174">
        <f>'[6]price list MAN'!AA827</f>
        <v>1445000</v>
      </c>
      <c r="P827" s="68">
        <f t="shared" si="61"/>
        <v>0.2608695652173913</v>
      </c>
      <c r="Q827" s="62" t="e">
        <f>O827-#REF!</f>
        <v>#REF!</v>
      </c>
      <c r="W827" s="210"/>
      <c r="X827" s="210"/>
      <c r="Y827" s="210"/>
      <c r="Z827" s="210"/>
      <c r="AA827" s="210"/>
      <c r="AB827" s="210"/>
      <c r="AC827" s="210"/>
      <c r="AT827" s="425" t="str">
        <f t="shared" si="62"/>
        <v>TGS000132017Q315,3</v>
      </c>
      <c r="AU827" s="64" t="str">
        <f t="shared" si="63"/>
        <v>08-2017</v>
      </c>
      <c r="BA827" s="428" t="str">
        <f t="shared" si="64"/>
        <v>WIP - 30 Days</v>
      </c>
    </row>
    <row r="828" spans="2:53">
      <c r="B828" s="36" t="str">
        <f>'[6]price list MAN'!B828</f>
        <v>78W-6392</v>
      </c>
      <c r="C828" s="10" t="str">
        <f>'[6]price list MAN'!C828</f>
        <v>TGS-26-4406X4BLS-LX-EL-ACC</v>
      </c>
      <c r="D828" s="16" t="str">
        <f>IFERROR(VLOOKUP(C828&amp;"",'[7]Retail Price List'!$A$3:$B$103,2,FALSE),"Special Order")</f>
        <v>TGS00013</v>
      </c>
      <c r="E828" s="494" t="str">
        <f>'[6]price list MAN'!E828</f>
        <v>CKD</v>
      </c>
      <c r="F828" s="11" t="str">
        <f>'[6]price list MAN'!F828</f>
        <v>2018-06-30</v>
      </c>
      <c r="G828" s="32">
        <f>'[6]price list MAN'!G828</f>
        <v>15.3</v>
      </c>
      <c r="H828" s="26">
        <f>'[6]price list MAN'!H828</f>
        <v>42978</v>
      </c>
      <c r="I828" s="51" t="str">
        <f t="shared" si="60"/>
        <v>2017Q3</v>
      </c>
      <c r="J828" s="177">
        <f>'[6]price list MAN'!J828</f>
        <v>1900000</v>
      </c>
      <c r="K828" s="177">
        <f>'[6]price list MAN'!P828</f>
        <v>1459500</v>
      </c>
      <c r="L828" s="177">
        <f>'[6]price list MAN'!R828</f>
        <v>1390000</v>
      </c>
      <c r="M828" s="174">
        <f>'[6]price list MAN'!S828</f>
        <v>1955000</v>
      </c>
      <c r="N828" s="174">
        <f>'[6]price list MAN'!Y828</f>
        <v>1517250</v>
      </c>
      <c r="O828" s="174">
        <f>'[6]price list MAN'!AA828</f>
        <v>1445000</v>
      </c>
      <c r="P828" s="68">
        <f t="shared" si="61"/>
        <v>0.2608695652173913</v>
      </c>
      <c r="Q828" s="62" t="e">
        <f>O828-#REF!</f>
        <v>#REF!</v>
      </c>
      <c r="W828" s="210"/>
      <c r="X828" s="210"/>
      <c r="Y828" s="210"/>
      <c r="Z828" s="210"/>
      <c r="AA828" s="210"/>
      <c r="AB828" s="210"/>
      <c r="AC828" s="210"/>
      <c r="AT828" s="425" t="str">
        <f t="shared" si="62"/>
        <v>TGS000132017Q315,3</v>
      </c>
      <c r="AU828" s="64" t="str">
        <f t="shared" si="63"/>
        <v>08-2017</v>
      </c>
      <c r="BA828" s="428" t="str">
        <f t="shared" si="64"/>
        <v>WIP - 30 Days</v>
      </c>
    </row>
    <row r="829" spans="2:53">
      <c r="B829" s="36" t="str">
        <f>'[6]price list MAN'!B829</f>
        <v>78W-6393</v>
      </c>
      <c r="C829" s="10" t="str">
        <f>'[6]price list MAN'!C829</f>
        <v>TGS-26-4406X4BLS-LX-EL-ACC</v>
      </c>
      <c r="D829" s="16" t="str">
        <f>IFERROR(VLOOKUP(C829&amp;"",'[7]Retail Price List'!$A$3:$B$103,2,FALSE),"Special Order")</f>
        <v>TGS00013</v>
      </c>
      <c r="E829" s="494" t="str">
        <f>'[6]price list MAN'!E829</f>
        <v>CKD</v>
      </c>
      <c r="F829" s="11" t="str">
        <f>'[6]price list MAN'!F829</f>
        <v>2018-06-30</v>
      </c>
      <c r="G829" s="32">
        <f>'[6]price list MAN'!G829</f>
        <v>15.3</v>
      </c>
      <c r="H829" s="26">
        <f>'[6]price list MAN'!H829</f>
        <v>42978</v>
      </c>
      <c r="I829" s="51" t="str">
        <f t="shared" si="60"/>
        <v>2017Q3</v>
      </c>
      <c r="J829" s="177">
        <f>'[6]price list MAN'!J829</f>
        <v>1900000</v>
      </c>
      <c r="K829" s="177">
        <f>'[6]price list MAN'!P829</f>
        <v>1459500</v>
      </c>
      <c r="L829" s="177">
        <f>'[6]price list MAN'!R829</f>
        <v>1390000</v>
      </c>
      <c r="M829" s="174">
        <f>'[6]price list MAN'!S829</f>
        <v>1955000</v>
      </c>
      <c r="N829" s="174">
        <f>'[6]price list MAN'!Y829</f>
        <v>1517250</v>
      </c>
      <c r="O829" s="174">
        <f>'[6]price list MAN'!AA829</f>
        <v>1445000</v>
      </c>
      <c r="P829" s="68">
        <f t="shared" si="61"/>
        <v>0.2608695652173913</v>
      </c>
      <c r="Q829" s="62" t="e">
        <f>O829-#REF!</f>
        <v>#REF!</v>
      </c>
      <c r="W829" s="210"/>
      <c r="X829" s="210"/>
      <c r="Y829" s="210"/>
      <c r="Z829" s="210"/>
      <c r="AA829" s="210"/>
      <c r="AB829" s="210"/>
      <c r="AC829" s="210"/>
      <c r="AT829" s="425" t="str">
        <f t="shared" si="62"/>
        <v>TGS000132017Q315,3</v>
      </c>
      <c r="AU829" s="64" t="str">
        <f t="shared" si="63"/>
        <v>08-2017</v>
      </c>
      <c r="BA829" s="428" t="str">
        <f t="shared" si="64"/>
        <v>WIP - 30 Days</v>
      </c>
    </row>
    <row r="830" spans="2:53">
      <c r="B830" s="36" t="str">
        <f>'[6]price list MAN'!B830</f>
        <v>78W-6394</v>
      </c>
      <c r="C830" s="10" t="str">
        <f>'[6]price list MAN'!C830</f>
        <v>TGS-26-4406X4BLS-LX-EL-ACC</v>
      </c>
      <c r="D830" s="16" t="str">
        <f>IFERROR(VLOOKUP(C830&amp;"",'[7]Retail Price List'!$A$3:$B$103,2,FALSE),"Special Order")</f>
        <v>TGS00013</v>
      </c>
      <c r="E830" s="494" t="str">
        <f>'[6]price list MAN'!E830</f>
        <v>CKD</v>
      </c>
      <c r="F830" s="11" t="str">
        <f>'[6]price list MAN'!F830</f>
        <v>2018-06-30</v>
      </c>
      <c r="G830" s="32">
        <f>'[6]price list MAN'!G830</f>
        <v>15.3</v>
      </c>
      <c r="H830" s="26">
        <f>'[6]price list MAN'!H830</f>
        <v>42978</v>
      </c>
      <c r="I830" s="51" t="str">
        <f t="shared" si="60"/>
        <v>2017Q3</v>
      </c>
      <c r="J830" s="177">
        <f>'[6]price list MAN'!J830</f>
        <v>1900000</v>
      </c>
      <c r="K830" s="177">
        <f>'[6]price list MAN'!P830</f>
        <v>1459500</v>
      </c>
      <c r="L830" s="177">
        <f>'[6]price list MAN'!R830</f>
        <v>1390000</v>
      </c>
      <c r="M830" s="174">
        <f>'[6]price list MAN'!S830</f>
        <v>1955000</v>
      </c>
      <c r="N830" s="174">
        <f>'[6]price list MAN'!Y830</f>
        <v>1517250</v>
      </c>
      <c r="O830" s="174">
        <f>'[6]price list MAN'!AA830</f>
        <v>1445000</v>
      </c>
      <c r="P830" s="68">
        <f t="shared" si="61"/>
        <v>0.2608695652173913</v>
      </c>
      <c r="Q830" s="62" t="e">
        <f>O830-#REF!</f>
        <v>#REF!</v>
      </c>
      <c r="W830" s="210"/>
      <c r="X830" s="210"/>
      <c r="Y830" s="210"/>
      <c r="Z830" s="210"/>
      <c r="AA830" s="210"/>
      <c r="AB830" s="210"/>
      <c r="AC830" s="210"/>
      <c r="AT830" s="425" t="str">
        <f t="shared" si="62"/>
        <v>TGS000132017Q315,3</v>
      </c>
      <c r="AU830" s="64" t="str">
        <f t="shared" si="63"/>
        <v>08-2017</v>
      </c>
      <c r="BA830" s="428" t="str">
        <f t="shared" si="64"/>
        <v>WIP - 30 Days</v>
      </c>
    </row>
    <row r="831" spans="2:53">
      <c r="B831" s="36" t="str">
        <f>'[6]price list MAN'!B831</f>
        <v>78W-6395</v>
      </c>
      <c r="C831" s="10" t="str">
        <f>'[6]price list MAN'!C831</f>
        <v>TGS-26-4406X4BLS-LX-EL-ACC</v>
      </c>
      <c r="D831" s="16" t="str">
        <f>IFERROR(VLOOKUP(C831&amp;"",'[7]Retail Price List'!$A$3:$B$103,2,FALSE),"Special Order")</f>
        <v>TGS00013</v>
      </c>
      <c r="E831" s="494" t="str">
        <f>'[6]price list MAN'!E831</f>
        <v>CKD</v>
      </c>
      <c r="F831" s="11" t="str">
        <f>'[6]price list MAN'!F831</f>
        <v>2018-06-30</v>
      </c>
      <c r="G831" s="32">
        <f>'[6]price list MAN'!G831</f>
        <v>15.3</v>
      </c>
      <c r="H831" s="26">
        <f>'[6]price list MAN'!H831</f>
        <v>42978</v>
      </c>
      <c r="I831" s="51" t="str">
        <f t="shared" si="60"/>
        <v>2017Q3</v>
      </c>
      <c r="J831" s="177">
        <f>'[6]price list MAN'!J831</f>
        <v>1900000</v>
      </c>
      <c r="K831" s="177">
        <f>'[6]price list MAN'!P831</f>
        <v>1459500</v>
      </c>
      <c r="L831" s="177">
        <f>'[6]price list MAN'!R831</f>
        <v>1390000</v>
      </c>
      <c r="M831" s="174">
        <f>'[6]price list MAN'!S831</f>
        <v>1955000</v>
      </c>
      <c r="N831" s="174">
        <f>'[6]price list MAN'!Y831</f>
        <v>1517250</v>
      </c>
      <c r="O831" s="174">
        <f>'[6]price list MAN'!AA831</f>
        <v>1445000</v>
      </c>
      <c r="P831" s="68">
        <f t="shared" si="61"/>
        <v>0.2608695652173913</v>
      </c>
      <c r="Q831" s="62" t="e">
        <f>O831-#REF!</f>
        <v>#REF!</v>
      </c>
      <c r="W831" s="210"/>
      <c r="X831" s="210"/>
      <c r="Y831" s="210"/>
      <c r="Z831" s="210"/>
      <c r="AA831" s="210"/>
      <c r="AB831" s="210"/>
      <c r="AC831" s="210"/>
      <c r="AT831" s="425" t="str">
        <f t="shared" si="62"/>
        <v>TGS000132017Q315,3</v>
      </c>
      <c r="AU831" s="64" t="str">
        <f t="shared" si="63"/>
        <v>08-2017</v>
      </c>
      <c r="BA831" s="428" t="str">
        <f t="shared" si="64"/>
        <v>WIP - 30 Days</v>
      </c>
    </row>
    <row r="832" spans="2:53">
      <c r="B832" s="36" t="str">
        <f>'[6]price list MAN'!B832</f>
        <v>78W-6412</v>
      </c>
      <c r="C832" s="10" t="str">
        <f>'[6]price list MAN'!C832</f>
        <v>TGS-26-4406X4BLS-LX-EL-ACC</v>
      </c>
      <c r="D832" s="16" t="str">
        <f>IFERROR(VLOOKUP(C832&amp;"",'[7]Retail Price List'!$A$3:$B$103,2,FALSE),"Special Order")</f>
        <v>TGS00013</v>
      </c>
      <c r="E832" s="494" t="str">
        <f>'[6]price list MAN'!E832</f>
        <v>CKD</v>
      </c>
      <c r="F832" s="11" t="str">
        <f>'[6]price list MAN'!F832</f>
        <v>2018-07-30</v>
      </c>
      <c r="G832" s="32">
        <f>'[6]price list MAN'!G832</f>
        <v>15.3</v>
      </c>
      <c r="H832" s="26">
        <f>'[6]price list MAN'!H832</f>
        <v>42978</v>
      </c>
      <c r="I832" s="51" t="str">
        <f t="shared" si="60"/>
        <v>2017Q3</v>
      </c>
      <c r="J832" s="177">
        <f>'[6]price list MAN'!J832</f>
        <v>1900000</v>
      </c>
      <c r="K832" s="177">
        <f>'[6]price list MAN'!P832</f>
        <v>1459500</v>
      </c>
      <c r="L832" s="177">
        <f>'[6]price list MAN'!R832</f>
        <v>1390000</v>
      </c>
      <c r="M832" s="174">
        <f>'[6]price list MAN'!S832</f>
        <v>1955000</v>
      </c>
      <c r="N832" s="174">
        <f>'[6]price list MAN'!Y832</f>
        <v>1517250</v>
      </c>
      <c r="O832" s="174">
        <f>'[6]price list MAN'!AA832</f>
        <v>1445000</v>
      </c>
      <c r="P832" s="68">
        <f t="shared" si="61"/>
        <v>0.2608695652173913</v>
      </c>
      <c r="Q832" s="62" t="e">
        <f>O832-#REF!</f>
        <v>#REF!</v>
      </c>
      <c r="W832" s="210"/>
      <c r="X832" s="210"/>
      <c r="Y832" s="210"/>
      <c r="Z832" s="210"/>
      <c r="AA832" s="210"/>
      <c r="AB832" s="210"/>
      <c r="AC832" s="210"/>
      <c r="AT832" s="425" t="str">
        <f t="shared" si="62"/>
        <v>TGS000132017Q315,3</v>
      </c>
      <c r="AU832" s="64" t="str">
        <f t="shared" si="63"/>
        <v>08-2017</v>
      </c>
      <c r="BA832" s="428" t="str">
        <f t="shared" si="64"/>
        <v>WIP - 30 Days</v>
      </c>
    </row>
    <row r="833" spans="2:53">
      <c r="B833" s="36" t="str">
        <f>'[6]price list MAN'!B833</f>
        <v>78W-6413</v>
      </c>
      <c r="C833" s="10" t="str">
        <f>'[6]price list MAN'!C833</f>
        <v>TGS-26-4406X4BLS-LX-EL-ACC</v>
      </c>
      <c r="D833" s="16" t="str">
        <f>IFERROR(VLOOKUP(C833&amp;"",'[7]Retail Price List'!$A$3:$B$103,2,FALSE),"Special Order")</f>
        <v>TGS00013</v>
      </c>
      <c r="E833" s="494" t="str">
        <f>'[6]price list MAN'!E833</f>
        <v>CKD</v>
      </c>
      <c r="F833" s="11" t="str">
        <f>'[6]price list MAN'!F833</f>
        <v>2018-07-30</v>
      </c>
      <c r="G833" s="32">
        <f>'[6]price list MAN'!G833</f>
        <v>15.3</v>
      </c>
      <c r="H833" s="26">
        <f>'[6]price list MAN'!H833</f>
        <v>42978</v>
      </c>
      <c r="I833" s="51" t="str">
        <f t="shared" si="60"/>
        <v>2017Q3</v>
      </c>
      <c r="J833" s="177">
        <f>'[6]price list MAN'!J833</f>
        <v>1900000</v>
      </c>
      <c r="K833" s="177">
        <f>'[6]price list MAN'!P833</f>
        <v>1459500</v>
      </c>
      <c r="L833" s="177">
        <f>'[6]price list MAN'!R833</f>
        <v>1390000</v>
      </c>
      <c r="M833" s="174">
        <f>'[6]price list MAN'!S833</f>
        <v>1955000</v>
      </c>
      <c r="N833" s="174">
        <f>'[6]price list MAN'!Y833</f>
        <v>1517250</v>
      </c>
      <c r="O833" s="174">
        <f>'[6]price list MAN'!AA833</f>
        <v>1445000</v>
      </c>
      <c r="P833" s="68">
        <f t="shared" si="61"/>
        <v>0.2608695652173913</v>
      </c>
      <c r="Q833" s="62" t="e">
        <f>O833-#REF!</f>
        <v>#REF!</v>
      </c>
      <c r="W833" s="210"/>
      <c r="X833" s="210"/>
      <c r="Y833" s="210"/>
      <c r="Z833" s="210"/>
      <c r="AA833" s="210"/>
      <c r="AB833" s="210"/>
      <c r="AC833" s="210"/>
      <c r="AT833" s="425" t="str">
        <f t="shared" si="62"/>
        <v>TGS000132017Q315,3</v>
      </c>
      <c r="AU833" s="64" t="str">
        <f t="shared" si="63"/>
        <v>08-2017</v>
      </c>
      <c r="BA833" s="428" t="str">
        <f t="shared" si="64"/>
        <v>WIP - 30 Days</v>
      </c>
    </row>
    <row r="834" spans="2:53">
      <c r="B834" s="36" t="str">
        <f>'[6]price list MAN'!B834</f>
        <v>78W-6414</v>
      </c>
      <c r="C834" s="10" t="str">
        <f>'[6]price list MAN'!C834</f>
        <v>TGS-26-4406X4BLS-LX-EL-ACC</v>
      </c>
      <c r="D834" s="16" t="str">
        <f>IFERROR(VLOOKUP(C834&amp;"",'[7]Retail Price List'!$A$3:$B$103,2,FALSE),"Special Order")</f>
        <v>TGS00013</v>
      </c>
      <c r="E834" s="494" t="str">
        <f>'[6]price list MAN'!E834</f>
        <v>CKD</v>
      </c>
      <c r="F834" s="11" t="str">
        <f>'[6]price list MAN'!F834</f>
        <v>2018-07-30</v>
      </c>
      <c r="G834" s="32">
        <f>'[6]price list MAN'!G834</f>
        <v>15.3</v>
      </c>
      <c r="H834" s="26">
        <f>'[6]price list MAN'!H834</f>
        <v>42978</v>
      </c>
      <c r="I834" s="51" t="str">
        <f t="shared" si="60"/>
        <v>2017Q3</v>
      </c>
      <c r="J834" s="177">
        <f>'[6]price list MAN'!J834</f>
        <v>1900000</v>
      </c>
      <c r="K834" s="177">
        <f>'[6]price list MAN'!P834</f>
        <v>1459500</v>
      </c>
      <c r="L834" s="177">
        <f>'[6]price list MAN'!R834</f>
        <v>1390000</v>
      </c>
      <c r="M834" s="174">
        <f>'[6]price list MAN'!S834</f>
        <v>1955000</v>
      </c>
      <c r="N834" s="174">
        <f>'[6]price list MAN'!Y834</f>
        <v>1517250</v>
      </c>
      <c r="O834" s="174">
        <f>'[6]price list MAN'!AA834</f>
        <v>1445000</v>
      </c>
      <c r="P834" s="68">
        <f t="shared" si="61"/>
        <v>0.2608695652173913</v>
      </c>
      <c r="Q834" s="62" t="e">
        <f>O834-#REF!</f>
        <v>#REF!</v>
      </c>
      <c r="W834" s="210"/>
      <c r="X834" s="210"/>
      <c r="Y834" s="210"/>
      <c r="Z834" s="210"/>
      <c r="AA834" s="210"/>
      <c r="AB834" s="210"/>
      <c r="AC834" s="210"/>
      <c r="AT834" s="425" t="str">
        <f t="shared" si="62"/>
        <v>TGS000132017Q315,3</v>
      </c>
      <c r="AU834" s="64" t="str">
        <f t="shared" si="63"/>
        <v>08-2017</v>
      </c>
      <c r="BA834" s="428" t="str">
        <f t="shared" si="64"/>
        <v>WIP - 30 Days</v>
      </c>
    </row>
    <row r="835" spans="2:53">
      <c r="B835" s="36" t="str">
        <f>'[6]price list MAN'!B835</f>
        <v>78W-6415</v>
      </c>
      <c r="C835" s="10" t="str">
        <f>'[6]price list MAN'!C835</f>
        <v>TGS-26-4406X4BLS-LX-EL-ACC</v>
      </c>
      <c r="D835" s="16" t="str">
        <f>IFERROR(VLOOKUP(C835&amp;"",'[7]Retail Price List'!$A$3:$B$103,2,FALSE),"Special Order")</f>
        <v>TGS00013</v>
      </c>
      <c r="E835" s="494" t="str">
        <f>'[6]price list MAN'!E835</f>
        <v>CKD</v>
      </c>
      <c r="F835" s="11" t="str">
        <f>'[6]price list MAN'!F835</f>
        <v>2018-07-30</v>
      </c>
      <c r="G835" s="32">
        <f>'[6]price list MAN'!G835</f>
        <v>15.3</v>
      </c>
      <c r="H835" s="26">
        <f>'[6]price list MAN'!H835</f>
        <v>42978</v>
      </c>
      <c r="I835" s="51" t="str">
        <f t="shared" si="60"/>
        <v>2017Q3</v>
      </c>
      <c r="J835" s="177">
        <f>'[6]price list MAN'!J835</f>
        <v>1900000</v>
      </c>
      <c r="K835" s="177">
        <f>'[6]price list MAN'!P835</f>
        <v>1459500</v>
      </c>
      <c r="L835" s="177">
        <f>'[6]price list MAN'!R835</f>
        <v>1390000</v>
      </c>
      <c r="M835" s="174">
        <f>'[6]price list MAN'!S835</f>
        <v>1955000</v>
      </c>
      <c r="N835" s="174">
        <f>'[6]price list MAN'!Y835</f>
        <v>1517250</v>
      </c>
      <c r="O835" s="174">
        <f>'[6]price list MAN'!AA835</f>
        <v>1445000</v>
      </c>
      <c r="P835" s="68">
        <f t="shared" si="61"/>
        <v>0.2608695652173913</v>
      </c>
      <c r="Q835" s="62" t="e">
        <f>O835-#REF!</f>
        <v>#REF!</v>
      </c>
      <c r="W835" s="210"/>
      <c r="X835" s="210"/>
      <c r="Y835" s="210"/>
      <c r="Z835" s="210"/>
      <c r="AA835" s="210"/>
      <c r="AB835" s="210"/>
      <c r="AC835" s="210"/>
      <c r="AT835" s="425" t="str">
        <f t="shared" si="62"/>
        <v>TGS000132017Q315,3</v>
      </c>
      <c r="AU835" s="64" t="str">
        <f t="shared" si="63"/>
        <v>08-2017</v>
      </c>
      <c r="BA835" s="428" t="str">
        <f t="shared" si="64"/>
        <v>WIP - 30 Days</v>
      </c>
    </row>
    <row r="836" spans="2:53">
      <c r="B836" s="36" t="str">
        <f>'[6]price list MAN'!B836</f>
        <v>78W-6432</v>
      </c>
      <c r="C836" s="10" t="str">
        <f>'[6]price list MAN'!C836</f>
        <v>TGS-26-4406X4BLS-LX-EL-ACC</v>
      </c>
      <c r="D836" s="16" t="str">
        <f>IFERROR(VLOOKUP(C836&amp;"",'[7]Retail Price List'!$A$3:$B$103,2,FALSE),"Special Order")</f>
        <v>TGS00013</v>
      </c>
      <c r="E836" s="494" t="str">
        <f>'[6]price list MAN'!E836</f>
        <v>CKD</v>
      </c>
      <c r="F836" s="11" t="str">
        <f>'[6]price list MAN'!F836</f>
        <v>2018-06-30</v>
      </c>
      <c r="G836" s="32">
        <f>'[6]price list MAN'!G836</f>
        <v>15.3</v>
      </c>
      <c r="H836" s="26">
        <f>'[6]price list MAN'!H836</f>
        <v>42978</v>
      </c>
      <c r="I836" s="51" t="str">
        <f t="shared" si="60"/>
        <v>2017Q3</v>
      </c>
      <c r="J836" s="177">
        <f>'[6]price list MAN'!J836</f>
        <v>1900000</v>
      </c>
      <c r="K836" s="177">
        <f>'[6]price list MAN'!P836</f>
        <v>1459500</v>
      </c>
      <c r="L836" s="177">
        <f>'[6]price list MAN'!R836</f>
        <v>1390000</v>
      </c>
      <c r="M836" s="174">
        <f>'[6]price list MAN'!S836</f>
        <v>1955000</v>
      </c>
      <c r="N836" s="174">
        <f>'[6]price list MAN'!Y836</f>
        <v>1517250</v>
      </c>
      <c r="O836" s="174">
        <f>'[6]price list MAN'!AA836</f>
        <v>1445000</v>
      </c>
      <c r="P836" s="68">
        <f t="shared" si="61"/>
        <v>0.2608695652173913</v>
      </c>
      <c r="Q836" s="62" t="e">
        <f>O836-#REF!</f>
        <v>#REF!</v>
      </c>
      <c r="W836" s="210"/>
      <c r="X836" s="210"/>
      <c r="Y836" s="210"/>
      <c r="Z836" s="210"/>
      <c r="AA836" s="210"/>
      <c r="AB836" s="210"/>
      <c r="AC836" s="210"/>
      <c r="AT836" s="425" t="str">
        <f t="shared" si="62"/>
        <v>TGS000132017Q315,3</v>
      </c>
      <c r="AU836" s="64" t="str">
        <f t="shared" si="63"/>
        <v>08-2017</v>
      </c>
      <c r="BA836" s="428" t="str">
        <f t="shared" si="64"/>
        <v>WIP - 30 Days</v>
      </c>
    </row>
    <row r="837" spans="2:53">
      <c r="B837" s="36" t="str">
        <f>'[6]price list MAN'!B837</f>
        <v>78W-6433</v>
      </c>
      <c r="C837" s="10" t="str">
        <f>'[6]price list MAN'!C837</f>
        <v>TGS-26-4406X4BLS-LX-EL-ACC</v>
      </c>
      <c r="D837" s="16" t="str">
        <f>IFERROR(VLOOKUP(C837&amp;"",'[7]Retail Price List'!$A$3:$B$103,2,FALSE),"Special Order")</f>
        <v>TGS00013</v>
      </c>
      <c r="E837" s="494" t="str">
        <f>'[6]price list MAN'!E837</f>
        <v>CKD</v>
      </c>
      <c r="F837" s="11" t="str">
        <f>'[6]price list MAN'!F837</f>
        <v>2018-06-30</v>
      </c>
      <c r="G837" s="32">
        <f>'[6]price list MAN'!G837</f>
        <v>15.3</v>
      </c>
      <c r="H837" s="26">
        <f>'[6]price list MAN'!H837</f>
        <v>42978</v>
      </c>
      <c r="I837" s="51" t="str">
        <f t="shared" ref="I837:I900" si="65">IFERROR(VLOOKUP(AU837,$AW$5:$AY$40,3,FALSE),"")</f>
        <v>2017Q3</v>
      </c>
      <c r="J837" s="177">
        <f>'[6]price list MAN'!J837</f>
        <v>1900000</v>
      </c>
      <c r="K837" s="177">
        <f>'[6]price list MAN'!P837</f>
        <v>1459500</v>
      </c>
      <c r="L837" s="177">
        <f>'[6]price list MAN'!R837</f>
        <v>1390000</v>
      </c>
      <c r="M837" s="174">
        <f>'[6]price list MAN'!S837</f>
        <v>1955000</v>
      </c>
      <c r="N837" s="174">
        <f>'[6]price list MAN'!Y837</f>
        <v>1517250</v>
      </c>
      <c r="O837" s="174">
        <f>'[6]price list MAN'!AA837</f>
        <v>1445000</v>
      </c>
      <c r="P837" s="68">
        <f t="shared" ref="P837:P900" si="66">(M837-O837)/M837</f>
        <v>0.2608695652173913</v>
      </c>
      <c r="Q837" s="62" t="e">
        <f>O837-#REF!</f>
        <v>#REF!</v>
      </c>
      <c r="W837" s="210"/>
      <c r="X837" s="210"/>
      <c r="Y837" s="210"/>
      <c r="Z837" s="210"/>
      <c r="AA837" s="210"/>
      <c r="AB837" s="210"/>
      <c r="AC837" s="210"/>
      <c r="AT837" s="425" t="str">
        <f t="shared" ref="AT837:AT900" si="67">D837&amp;I837&amp;G837</f>
        <v>TGS000132017Q315,3</v>
      </c>
      <c r="AU837" s="64" t="str">
        <f t="shared" ref="AU837:AU900" si="68">IF(MONTH(H837)&lt;10,0&amp;MONTH(H837)&amp;"-"&amp;YEAR(H837),MONTH(H837)&amp;"-"&amp;YEAR(H837))</f>
        <v>08-2017</v>
      </c>
      <c r="BA837" s="428" t="str">
        <f t="shared" ref="BA837:BA900" si="69">IF(B837=0,"",IF(AND(F837&gt;=31,F837&lt;=120),"31-120 Days",IF(AND(F837&gt;=121,F837&lt;=365),"121-365 Days",IF(OR(E837="CKD",F837&lt;=30),"WIP - 30 Days","&gt;365 Days"))))</f>
        <v>WIP - 30 Days</v>
      </c>
    </row>
    <row r="838" spans="2:53">
      <c r="B838" s="36" t="str">
        <f>'[6]price list MAN'!B838</f>
        <v>78W-6434</v>
      </c>
      <c r="C838" s="10" t="str">
        <f>'[6]price list MAN'!C838</f>
        <v>TGS-26-4406X4BLS-LX-EL-ACC</v>
      </c>
      <c r="D838" s="16" t="str">
        <f>IFERROR(VLOOKUP(C838&amp;"",'[7]Retail Price List'!$A$3:$B$103,2,FALSE),"Special Order")</f>
        <v>TGS00013</v>
      </c>
      <c r="E838" s="494" t="str">
        <f>'[6]price list MAN'!E838</f>
        <v>CKD</v>
      </c>
      <c r="F838" s="11" t="str">
        <f>'[6]price list MAN'!F838</f>
        <v>2018-06-30</v>
      </c>
      <c r="G838" s="32">
        <f>'[6]price list MAN'!G838</f>
        <v>15.3</v>
      </c>
      <c r="H838" s="26">
        <f>'[6]price list MAN'!H838</f>
        <v>42978</v>
      </c>
      <c r="I838" s="51" t="str">
        <f t="shared" si="65"/>
        <v>2017Q3</v>
      </c>
      <c r="J838" s="177">
        <f>'[6]price list MAN'!J838</f>
        <v>1900000</v>
      </c>
      <c r="K838" s="177">
        <f>'[6]price list MAN'!P838</f>
        <v>1459500</v>
      </c>
      <c r="L838" s="177">
        <f>'[6]price list MAN'!R838</f>
        <v>1390000</v>
      </c>
      <c r="M838" s="174">
        <f>'[6]price list MAN'!S838</f>
        <v>1955000</v>
      </c>
      <c r="N838" s="174">
        <f>'[6]price list MAN'!Y838</f>
        <v>1517250</v>
      </c>
      <c r="O838" s="174">
        <f>'[6]price list MAN'!AA838</f>
        <v>1445000</v>
      </c>
      <c r="P838" s="68">
        <f t="shared" si="66"/>
        <v>0.2608695652173913</v>
      </c>
      <c r="Q838" s="62" t="e">
        <f>O838-#REF!</f>
        <v>#REF!</v>
      </c>
      <c r="W838" s="210"/>
      <c r="X838" s="210"/>
      <c r="Y838" s="210"/>
      <c r="Z838" s="210"/>
      <c r="AA838" s="210"/>
      <c r="AB838" s="210"/>
      <c r="AC838" s="210"/>
      <c r="AT838" s="425" t="str">
        <f t="shared" si="67"/>
        <v>TGS000132017Q315,3</v>
      </c>
      <c r="AU838" s="64" t="str">
        <f t="shared" si="68"/>
        <v>08-2017</v>
      </c>
      <c r="BA838" s="428" t="str">
        <f t="shared" si="69"/>
        <v>WIP - 30 Days</v>
      </c>
    </row>
    <row r="839" spans="2:53">
      <c r="B839" s="36" t="str">
        <f>'[6]price list MAN'!B839</f>
        <v>78W-6435</v>
      </c>
      <c r="C839" s="10" t="str">
        <f>'[6]price list MAN'!C839</f>
        <v>TGS-26-4406X4BLS-LX-EL-ACC</v>
      </c>
      <c r="D839" s="16" t="str">
        <f>IFERROR(VLOOKUP(C839&amp;"",'[7]Retail Price List'!$A$3:$B$103,2,FALSE),"Special Order")</f>
        <v>TGS00013</v>
      </c>
      <c r="E839" s="494" t="str">
        <f>'[6]price list MAN'!E839</f>
        <v>CKD</v>
      </c>
      <c r="F839" s="11" t="str">
        <f>'[6]price list MAN'!F839</f>
        <v>2018-06-30</v>
      </c>
      <c r="G839" s="32">
        <f>'[6]price list MAN'!G839</f>
        <v>15.3</v>
      </c>
      <c r="H839" s="26">
        <f>'[6]price list MAN'!H839</f>
        <v>42978</v>
      </c>
      <c r="I839" s="51" t="str">
        <f t="shared" si="65"/>
        <v>2017Q3</v>
      </c>
      <c r="J839" s="177">
        <f>'[6]price list MAN'!J839</f>
        <v>1900000</v>
      </c>
      <c r="K839" s="177">
        <f>'[6]price list MAN'!P839</f>
        <v>1459500</v>
      </c>
      <c r="L839" s="177">
        <f>'[6]price list MAN'!R839</f>
        <v>1390000</v>
      </c>
      <c r="M839" s="174">
        <f>'[6]price list MAN'!S839</f>
        <v>1955000</v>
      </c>
      <c r="N839" s="174">
        <f>'[6]price list MAN'!Y839</f>
        <v>1517250</v>
      </c>
      <c r="O839" s="174">
        <f>'[6]price list MAN'!AA839</f>
        <v>1445000</v>
      </c>
      <c r="P839" s="68">
        <f t="shared" si="66"/>
        <v>0.2608695652173913</v>
      </c>
      <c r="Q839" s="62" t="e">
        <f>O839-#REF!</f>
        <v>#REF!</v>
      </c>
      <c r="W839" s="210"/>
      <c r="X839" s="210"/>
      <c r="Y839" s="210"/>
      <c r="Z839" s="210"/>
      <c r="AA839" s="210"/>
      <c r="AB839" s="210"/>
      <c r="AC839" s="210"/>
      <c r="AT839" s="425" t="str">
        <f t="shared" si="67"/>
        <v>TGS000132017Q315,3</v>
      </c>
      <c r="AU839" s="64" t="str">
        <f t="shared" si="68"/>
        <v>08-2017</v>
      </c>
      <c r="BA839" s="428" t="str">
        <f t="shared" si="69"/>
        <v>WIP - 30 Days</v>
      </c>
    </row>
    <row r="840" spans="2:53">
      <c r="B840" s="36" t="str">
        <f>'[6]price list MAN'!B840</f>
        <v>78W-6440</v>
      </c>
      <c r="C840" s="10" t="str">
        <f>'[6]price list MAN'!C840</f>
        <v>TGS-26-4406X4BLS-LX-EL-ACC</v>
      </c>
      <c r="D840" s="16" t="str">
        <f>IFERROR(VLOOKUP(C840&amp;"",'[7]Retail Price List'!$A$3:$B$103,2,FALSE),"Special Order")</f>
        <v>TGS00013</v>
      </c>
      <c r="E840" s="494" t="str">
        <f>'[6]price list MAN'!E840</f>
        <v>CKD</v>
      </c>
      <c r="F840" s="11" t="str">
        <f>'[6]price list MAN'!F840</f>
        <v>2018-07-30</v>
      </c>
      <c r="G840" s="32">
        <f>'[6]price list MAN'!G840</f>
        <v>15.3</v>
      </c>
      <c r="H840" s="26">
        <f>'[6]price list MAN'!H840</f>
        <v>42978</v>
      </c>
      <c r="I840" s="51" t="str">
        <f t="shared" si="65"/>
        <v>2017Q3</v>
      </c>
      <c r="J840" s="177">
        <f>'[6]price list MAN'!J840</f>
        <v>1900000</v>
      </c>
      <c r="K840" s="177">
        <f>'[6]price list MAN'!P840</f>
        <v>1459500</v>
      </c>
      <c r="L840" s="177">
        <f>'[6]price list MAN'!R840</f>
        <v>1390000</v>
      </c>
      <c r="M840" s="174">
        <f>'[6]price list MAN'!S840</f>
        <v>1955000</v>
      </c>
      <c r="N840" s="174">
        <f>'[6]price list MAN'!Y840</f>
        <v>1517250</v>
      </c>
      <c r="O840" s="174">
        <f>'[6]price list MAN'!AA840</f>
        <v>1445000</v>
      </c>
      <c r="P840" s="68">
        <f t="shared" si="66"/>
        <v>0.2608695652173913</v>
      </c>
      <c r="Q840" s="62" t="e">
        <f>O840-#REF!</f>
        <v>#REF!</v>
      </c>
      <c r="W840" s="210"/>
      <c r="X840" s="210"/>
      <c r="Y840" s="210"/>
      <c r="Z840" s="210"/>
      <c r="AA840" s="210"/>
      <c r="AB840" s="210"/>
      <c r="AC840" s="210"/>
      <c r="AT840" s="425" t="str">
        <f t="shared" si="67"/>
        <v>TGS000132017Q315,3</v>
      </c>
      <c r="AU840" s="64" t="str">
        <f t="shared" si="68"/>
        <v>08-2017</v>
      </c>
      <c r="BA840" s="428" t="str">
        <f t="shared" si="69"/>
        <v>WIP - 30 Days</v>
      </c>
    </row>
    <row r="841" spans="2:53">
      <c r="B841" s="36" t="str">
        <f>'[6]price list MAN'!B841</f>
        <v>78W-6441</v>
      </c>
      <c r="C841" s="10" t="str">
        <f>'[6]price list MAN'!C841</f>
        <v>TGS-26-4406X4BLS-LX-EL-ACC</v>
      </c>
      <c r="D841" s="16" t="str">
        <f>IFERROR(VLOOKUP(C841&amp;"",'[7]Retail Price List'!$A$3:$B$103,2,FALSE),"Special Order")</f>
        <v>TGS00013</v>
      </c>
      <c r="E841" s="494" t="str">
        <f>'[6]price list MAN'!E841</f>
        <v>CKD</v>
      </c>
      <c r="F841" s="11" t="str">
        <f>'[6]price list MAN'!F841</f>
        <v>2018-07-30</v>
      </c>
      <c r="G841" s="32">
        <f>'[6]price list MAN'!G841</f>
        <v>15.3</v>
      </c>
      <c r="H841" s="26">
        <f>'[6]price list MAN'!H841</f>
        <v>42978</v>
      </c>
      <c r="I841" s="51" t="str">
        <f t="shared" si="65"/>
        <v>2017Q3</v>
      </c>
      <c r="J841" s="177">
        <f>'[6]price list MAN'!J841</f>
        <v>1900000</v>
      </c>
      <c r="K841" s="177">
        <f>'[6]price list MAN'!P841</f>
        <v>1459500</v>
      </c>
      <c r="L841" s="177">
        <f>'[6]price list MAN'!R841</f>
        <v>1390000</v>
      </c>
      <c r="M841" s="174">
        <f>'[6]price list MAN'!S841</f>
        <v>1955000</v>
      </c>
      <c r="N841" s="174">
        <f>'[6]price list MAN'!Y841</f>
        <v>1517250</v>
      </c>
      <c r="O841" s="174">
        <f>'[6]price list MAN'!AA841</f>
        <v>1445000</v>
      </c>
      <c r="P841" s="68">
        <f t="shared" si="66"/>
        <v>0.2608695652173913</v>
      </c>
      <c r="Q841" s="62" t="e">
        <f>O841-#REF!</f>
        <v>#REF!</v>
      </c>
      <c r="W841" s="210"/>
      <c r="X841" s="210"/>
      <c r="Y841" s="210"/>
      <c r="Z841" s="210"/>
      <c r="AA841" s="210"/>
      <c r="AB841" s="210"/>
      <c r="AC841" s="210"/>
      <c r="AT841" s="425" t="str">
        <f t="shared" si="67"/>
        <v>TGS000132017Q315,3</v>
      </c>
      <c r="AU841" s="64" t="str">
        <f t="shared" si="68"/>
        <v>08-2017</v>
      </c>
      <c r="BA841" s="428" t="str">
        <f t="shared" si="69"/>
        <v>WIP - 30 Days</v>
      </c>
    </row>
    <row r="842" spans="2:53">
      <c r="B842" s="36" t="str">
        <f>'[6]price list MAN'!B842</f>
        <v>78W-6442</v>
      </c>
      <c r="C842" s="10" t="str">
        <f>'[6]price list MAN'!C842</f>
        <v>TGS-26-4406X4BLS-LX-EL-ACC</v>
      </c>
      <c r="D842" s="16" t="str">
        <f>IFERROR(VLOOKUP(C842&amp;"",'[7]Retail Price List'!$A$3:$B$103,2,FALSE),"Special Order")</f>
        <v>TGS00013</v>
      </c>
      <c r="E842" s="494" t="str">
        <f>'[6]price list MAN'!E842</f>
        <v>CKD</v>
      </c>
      <c r="F842" s="11" t="str">
        <f>'[6]price list MAN'!F842</f>
        <v>2018-07-30</v>
      </c>
      <c r="G842" s="32">
        <f>'[6]price list MAN'!G842</f>
        <v>15.3</v>
      </c>
      <c r="H842" s="26">
        <f>'[6]price list MAN'!H842</f>
        <v>42978</v>
      </c>
      <c r="I842" s="51" t="str">
        <f t="shared" si="65"/>
        <v>2017Q3</v>
      </c>
      <c r="J842" s="177">
        <f>'[6]price list MAN'!J842</f>
        <v>1900000</v>
      </c>
      <c r="K842" s="177">
        <f>'[6]price list MAN'!P842</f>
        <v>1459500</v>
      </c>
      <c r="L842" s="177">
        <f>'[6]price list MAN'!R842</f>
        <v>1390000</v>
      </c>
      <c r="M842" s="174">
        <f>'[6]price list MAN'!S842</f>
        <v>1955000</v>
      </c>
      <c r="N842" s="174">
        <f>'[6]price list MAN'!Y842</f>
        <v>1517250</v>
      </c>
      <c r="O842" s="174">
        <f>'[6]price list MAN'!AA842</f>
        <v>1445000</v>
      </c>
      <c r="P842" s="68">
        <f t="shared" si="66"/>
        <v>0.2608695652173913</v>
      </c>
      <c r="Q842" s="62" t="e">
        <f>O842-#REF!</f>
        <v>#REF!</v>
      </c>
      <c r="W842" s="210"/>
      <c r="X842" s="210"/>
      <c r="Y842" s="210"/>
      <c r="Z842" s="210"/>
      <c r="AA842" s="210"/>
      <c r="AB842" s="210"/>
      <c r="AC842" s="210"/>
      <c r="AT842" s="425" t="str">
        <f t="shared" si="67"/>
        <v>TGS000132017Q315,3</v>
      </c>
      <c r="AU842" s="64" t="str">
        <f t="shared" si="68"/>
        <v>08-2017</v>
      </c>
      <c r="BA842" s="428" t="str">
        <f t="shared" si="69"/>
        <v>WIP - 30 Days</v>
      </c>
    </row>
    <row r="843" spans="2:53">
      <c r="B843" s="36" t="str">
        <f>'[6]price list MAN'!B843</f>
        <v>78W-6443</v>
      </c>
      <c r="C843" s="10" t="str">
        <f>'[6]price list MAN'!C843</f>
        <v>TGS-26-4406X4BLS-LX-EL-ACC</v>
      </c>
      <c r="D843" s="16" t="str">
        <f>IFERROR(VLOOKUP(C843&amp;"",'[7]Retail Price List'!$A$3:$B$103,2,FALSE),"Special Order")</f>
        <v>TGS00013</v>
      </c>
      <c r="E843" s="494" t="str">
        <f>'[6]price list MAN'!E843</f>
        <v>CKD</v>
      </c>
      <c r="F843" s="11" t="str">
        <f>'[6]price list MAN'!F843</f>
        <v>2018-07-30</v>
      </c>
      <c r="G843" s="32">
        <f>'[6]price list MAN'!G843</f>
        <v>15.3</v>
      </c>
      <c r="H843" s="26">
        <f>'[6]price list MAN'!H843</f>
        <v>42978</v>
      </c>
      <c r="I843" s="51" t="str">
        <f t="shared" si="65"/>
        <v>2017Q3</v>
      </c>
      <c r="J843" s="177">
        <f>'[6]price list MAN'!J843</f>
        <v>1900000</v>
      </c>
      <c r="K843" s="177">
        <f>'[6]price list MAN'!P843</f>
        <v>1459500</v>
      </c>
      <c r="L843" s="177">
        <f>'[6]price list MAN'!R843</f>
        <v>1390000</v>
      </c>
      <c r="M843" s="174">
        <f>'[6]price list MAN'!S843</f>
        <v>1955000</v>
      </c>
      <c r="N843" s="174">
        <f>'[6]price list MAN'!Y843</f>
        <v>1517250</v>
      </c>
      <c r="O843" s="174">
        <f>'[6]price list MAN'!AA843</f>
        <v>1445000</v>
      </c>
      <c r="P843" s="68">
        <f t="shared" si="66"/>
        <v>0.2608695652173913</v>
      </c>
      <c r="Q843" s="62" t="e">
        <f>O843-#REF!</f>
        <v>#REF!</v>
      </c>
      <c r="W843" s="210"/>
      <c r="X843" s="210"/>
      <c r="Y843" s="210"/>
      <c r="Z843" s="210"/>
      <c r="AA843" s="210"/>
      <c r="AB843" s="210"/>
      <c r="AC843" s="210"/>
      <c r="AT843" s="425" t="str">
        <f t="shared" si="67"/>
        <v>TGS000132017Q315,3</v>
      </c>
      <c r="AU843" s="64" t="str">
        <f t="shared" si="68"/>
        <v>08-2017</v>
      </c>
      <c r="BA843" s="428" t="str">
        <f t="shared" si="69"/>
        <v>WIP - 30 Days</v>
      </c>
    </row>
    <row r="844" spans="2:53">
      <c r="B844" s="36" t="str">
        <f>'[6]price list MAN'!B844</f>
        <v>78W-6452</v>
      </c>
      <c r="C844" s="10" t="str">
        <f>'[6]price list MAN'!C844</f>
        <v>TGS-26-4406X4BLS-LX-EL-ACC</v>
      </c>
      <c r="D844" s="16" t="str">
        <f>IFERROR(VLOOKUP(C844&amp;"",'[7]Retail Price List'!$A$3:$B$103,2,FALSE),"Special Order")</f>
        <v>TGS00013</v>
      </c>
      <c r="E844" s="494" t="str">
        <f>'[6]price list MAN'!E844</f>
        <v>CKD</v>
      </c>
      <c r="F844" s="11" t="str">
        <f>'[6]price list MAN'!F844</f>
        <v>2018-09-30</v>
      </c>
      <c r="G844" s="32">
        <f>'[6]price list MAN'!G844</f>
        <v>15.3</v>
      </c>
      <c r="H844" s="26">
        <f>'[6]price list MAN'!H844</f>
        <v>42978</v>
      </c>
      <c r="I844" s="51" t="str">
        <f t="shared" si="65"/>
        <v>2017Q3</v>
      </c>
      <c r="J844" s="177">
        <f>'[6]price list MAN'!J844</f>
        <v>1900000</v>
      </c>
      <c r="K844" s="177">
        <f>'[6]price list MAN'!P844</f>
        <v>1459500</v>
      </c>
      <c r="L844" s="177">
        <f>'[6]price list MAN'!R844</f>
        <v>1390000</v>
      </c>
      <c r="M844" s="174">
        <f>'[6]price list MAN'!S844</f>
        <v>1955000</v>
      </c>
      <c r="N844" s="174">
        <f>'[6]price list MAN'!Y844</f>
        <v>1517250</v>
      </c>
      <c r="O844" s="174">
        <f>'[6]price list MAN'!AA844</f>
        <v>1445000</v>
      </c>
      <c r="P844" s="68">
        <f t="shared" si="66"/>
        <v>0.2608695652173913</v>
      </c>
      <c r="Q844" s="62" t="e">
        <f>O844-#REF!</f>
        <v>#REF!</v>
      </c>
      <c r="W844" s="210"/>
      <c r="X844" s="210"/>
      <c r="Y844" s="210"/>
      <c r="Z844" s="210"/>
      <c r="AA844" s="210"/>
      <c r="AB844" s="210"/>
      <c r="AC844" s="210"/>
      <c r="AT844" s="425" t="str">
        <f t="shared" si="67"/>
        <v>TGS000132017Q315,3</v>
      </c>
      <c r="AU844" s="64" t="str">
        <f t="shared" si="68"/>
        <v>08-2017</v>
      </c>
      <c r="BA844" s="428" t="str">
        <f t="shared" si="69"/>
        <v>WIP - 30 Days</v>
      </c>
    </row>
    <row r="845" spans="2:53">
      <c r="B845" s="36" t="str">
        <f>'[6]price list MAN'!B845</f>
        <v>78W-6453</v>
      </c>
      <c r="C845" s="10" t="str">
        <f>'[6]price list MAN'!C845</f>
        <v>TGS-26-4406X4BLS-LX-EL-ACC</v>
      </c>
      <c r="D845" s="16" t="str">
        <f>IFERROR(VLOOKUP(C845&amp;"",'[7]Retail Price List'!$A$3:$B$103,2,FALSE),"Special Order")</f>
        <v>TGS00013</v>
      </c>
      <c r="E845" s="494" t="str">
        <f>'[6]price list MAN'!E845</f>
        <v>CKD</v>
      </c>
      <c r="F845" s="11" t="str">
        <f>'[6]price list MAN'!F845</f>
        <v>2018-09-30</v>
      </c>
      <c r="G845" s="32">
        <f>'[6]price list MAN'!G845</f>
        <v>15.3</v>
      </c>
      <c r="H845" s="26">
        <f>'[6]price list MAN'!H845</f>
        <v>42978</v>
      </c>
      <c r="I845" s="51" t="str">
        <f t="shared" si="65"/>
        <v>2017Q3</v>
      </c>
      <c r="J845" s="177">
        <f>'[6]price list MAN'!J845</f>
        <v>1900000</v>
      </c>
      <c r="K845" s="177">
        <f>'[6]price list MAN'!P845</f>
        <v>1459500</v>
      </c>
      <c r="L845" s="177">
        <f>'[6]price list MAN'!R845</f>
        <v>1390000</v>
      </c>
      <c r="M845" s="174">
        <f>'[6]price list MAN'!S845</f>
        <v>1955000</v>
      </c>
      <c r="N845" s="174">
        <f>'[6]price list MAN'!Y845</f>
        <v>1517250</v>
      </c>
      <c r="O845" s="174">
        <f>'[6]price list MAN'!AA845</f>
        <v>1445000</v>
      </c>
      <c r="P845" s="68">
        <f t="shared" si="66"/>
        <v>0.2608695652173913</v>
      </c>
      <c r="Q845" s="62" t="e">
        <f>O845-#REF!</f>
        <v>#REF!</v>
      </c>
      <c r="W845" s="210"/>
      <c r="X845" s="210"/>
      <c r="Y845" s="210"/>
      <c r="Z845" s="210"/>
      <c r="AA845" s="210"/>
      <c r="AB845" s="210"/>
      <c r="AC845" s="210"/>
      <c r="AT845" s="425" t="str">
        <f t="shared" si="67"/>
        <v>TGS000132017Q315,3</v>
      </c>
      <c r="AU845" s="64" t="str">
        <f t="shared" si="68"/>
        <v>08-2017</v>
      </c>
      <c r="BA845" s="428" t="str">
        <f t="shared" si="69"/>
        <v>WIP - 30 Days</v>
      </c>
    </row>
    <row r="846" spans="2:53">
      <c r="B846" s="36" t="str">
        <f>'[6]price list MAN'!B846</f>
        <v>78W-6454</v>
      </c>
      <c r="C846" s="10" t="str">
        <f>'[6]price list MAN'!C846</f>
        <v>TGS-26-4406X4BLS-LX-EL-ACC</v>
      </c>
      <c r="D846" s="16" t="str">
        <f>IFERROR(VLOOKUP(C846&amp;"",'[7]Retail Price List'!$A$3:$B$103,2,FALSE),"Special Order")</f>
        <v>TGS00013</v>
      </c>
      <c r="E846" s="494" t="str">
        <f>'[6]price list MAN'!E846</f>
        <v>CKD</v>
      </c>
      <c r="F846" s="11" t="str">
        <f>'[6]price list MAN'!F846</f>
        <v>2018-09-30</v>
      </c>
      <c r="G846" s="32">
        <f>'[6]price list MAN'!G846</f>
        <v>15.3</v>
      </c>
      <c r="H846" s="26">
        <f>'[6]price list MAN'!H846</f>
        <v>42978</v>
      </c>
      <c r="I846" s="51" t="str">
        <f t="shared" si="65"/>
        <v>2017Q3</v>
      </c>
      <c r="J846" s="177">
        <f>'[6]price list MAN'!J846</f>
        <v>1900000</v>
      </c>
      <c r="K846" s="177">
        <f>'[6]price list MAN'!P846</f>
        <v>1459500</v>
      </c>
      <c r="L846" s="177">
        <f>'[6]price list MAN'!R846</f>
        <v>1390000</v>
      </c>
      <c r="M846" s="174">
        <f>'[6]price list MAN'!S846</f>
        <v>1955000</v>
      </c>
      <c r="N846" s="174">
        <f>'[6]price list MAN'!Y846</f>
        <v>1517250</v>
      </c>
      <c r="O846" s="174">
        <f>'[6]price list MAN'!AA846</f>
        <v>1445000</v>
      </c>
      <c r="P846" s="68">
        <f t="shared" si="66"/>
        <v>0.2608695652173913</v>
      </c>
      <c r="Q846" s="62" t="e">
        <f>O846-#REF!</f>
        <v>#REF!</v>
      </c>
      <c r="W846" s="210"/>
      <c r="X846" s="210"/>
      <c r="Y846" s="210"/>
      <c r="Z846" s="210"/>
      <c r="AA846" s="210"/>
      <c r="AB846" s="210"/>
      <c r="AC846" s="210"/>
      <c r="AT846" s="425" t="str">
        <f t="shared" si="67"/>
        <v>TGS000132017Q315,3</v>
      </c>
      <c r="AU846" s="64" t="str">
        <f t="shared" si="68"/>
        <v>08-2017</v>
      </c>
      <c r="BA846" s="428" t="str">
        <f t="shared" si="69"/>
        <v>WIP - 30 Days</v>
      </c>
    </row>
    <row r="847" spans="2:53">
      <c r="B847" s="36" t="str">
        <f>'[6]price list MAN'!B847</f>
        <v>78W-6455</v>
      </c>
      <c r="C847" s="10" t="str">
        <f>'[6]price list MAN'!C847</f>
        <v>TGS-26-4406X4BLS-LX-EL-ACC</v>
      </c>
      <c r="D847" s="16" t="str">
        <f>IFERROR(VLOOKUP(C847&amp;"",'[7]Retail Price List'!$A$3:$B$103,2,FALSE),"Special Order")</f>
        <v>TGS00013</v>
      </c>
      <c r="E847" s="494" t="str">
        <f>'[6]price list MAN'!E847</f>
        <v>CKD</v>
      </c>
      <c r="F847" s="11" t="str">
        <f>'[6]price list MAN'!F847</f>
        <v>2018-09-30</v>
      </c>
      <c r="G847" s="32">
        <f>'[6]price list MAN'!G847</f>
        <v>15.3</v>
      </c>
      <c r="H847" s="26">
        <f>'[6]price list MAN'!H847</f>
        <v>42978</v>
      </c>
      <c r="I847" s="51" t="str">
        <f t="shared" si="65"/>
        <v>2017Q3</v>
      </c>
      <c r="J847" s="177">
        <f>'[6]price list MAN'!J847</f>
        <v>1900000</v>
      </c>
      <c r="K847" s="177">
        <f>'[6]price list MAN'!P847</f>
        <v>1459500</v>
      </c>
      <c r="L847" s="177">
        <f>'[6]price list MAN'!R847</f>
        <v>1390000</v>
      </c>
      <c r="M847" s="174">
        <f>'[6]price list MAN'!S847</f>
        <v>1955000</v>
      </c>
      <c r="N847" s="174">
        <f>'[6]price list MAN'!Y847</f>
        <v>1517250</v>
      </c>
      <c r="O847" s="174">
        <f>'[6]price list MAN'!AA847</f>
        <v>1445000</v>
      </c>
      <c r="P847" s="68">
        <f t="shared" si="66"/>
        <v>0.2608695652173913</v>
      </c>
      <c r="Q847" s="62" t="e">
        <f>O847-#REF!</f>
        <v>#REF!</v>
      </c>
      <c r="W847" s="210"/>
      <c r="X847" s="210"/>
      <c r="Y847" s="210"/>
      <c r="Z847" s="210"/>
      <c r="AA847" s="210"/>
      <c r="AB847" s="210"/>
      <c r="AC847" s="210"/>
      <c r="AT847" s="425" t="str">
        <f t="shared" si="67"/>
        <v>TGS000132017Q315,3</v>
      </c>
      <c r="AU847" s="64" t="str">
        <f t="shared" si="68"/>
        <v>08-2017</v>
      </c>
      <c r="BA847" s="428" t="str">
        <f t="shared" si="69"/>
        <v>WIP - 30 Days</v>
      </c>
    </row>
    <row r="848" spans="2:53">
      <c r="B848" s="36" t="str">
        <f>'[6]price list MAN'!B848</f>
        <v>78W-6468</v>
      </c>
      <c r="C848" s="10" t="str">
        <f>'[6]price list MAN'!C848</f>
        <v>TGS-26-4406X4BLS-LX-EL-ACC</v>
      </c>
      <c r="D848" s="16" t="str">
        <f>IFERROR(VLOOKUP(C848&amp;"",'[7]Retail Price List'!$A$3:$B$103,2,FALSE),"Special Order")</f>
        <v>TGS00013</v>
      </c>
      <c r="E848" s="494" t="str">
        <f>'[6]price list MAN'!E848</f>
        <v>CKD</v>
      </c>
      <c r="F848" s="11" t="str">
        <f>'[6]price list MAN'!F848</f>
        <v>2018-09-30</v>
      </c>
      <c r="G848" s="32">
        <f>'[6]price list MAN'!G848</f>
        <v>15.3</v>
      </c>
      <c r="H848" s="26">
        <f>'[6]price list MAN'!H848</f>
        <v>42978</v>
      </c>
      <c r="I848" s="51" t="str">
        <f t="shared" si="65"/>
        <v>2017Q3</v>
      </c>
      <c r="J848" s="177">
        <f>'[6]price list MAN'!J848</f>
        <v>1900000</v>
      </c>
      <c r="K848" s="177">
        <f>'[6]price list MAN'!P848</f>
        <v>1459500</v>
      </c>
      <c r="L848" s="177">
        <f>'[6]price list MAN'!R848</f>
        <v>1390000</v>
      </c>
      <c r="M848" s="174">
        <f>'[6]price list MAN'!S848</f>
        <v>1955000</v>
      </c>
      <c r="N848" s="174">
        <f>'[6]price list MAN'!Y848</f>
        <v>1517250</v>
      </c>
      <c r="O848" s="174">
        <f>'[6]price list MAN'!AA848</f>
        <v>1445000</v>
      </c>
      <c r="P848" s="68">
        <f t="shared" si="66"/>
        <v>0.2608695652173913</v>
      </c>
      <c r="Q848" s="62" t="e">
        <f>O848-#REF!</f>
        <v>#REF!</v>
      </c>
      <c r="W848" s="210"/>
      <c r="X848" s="210"/>
      <c r="Y848" s="210"/>
      <c r="Z848" s="210"/>
      <c r="AA848" s="210"/>
      <c r="AB848" s="210"/>
      <c r="AC848" s="210"/>
      <c r="AT848" s="425" t="str">
        <f t="shared" si="67"/>
        <v>TGS000132017Q315,3</v>
      </c>
      <c r="AU848" s="64" t="str">
        <f t="shared" si="68"/>
        <v>08-2017</v>
      </c>
      <c r="BA848" s="428" t="str">
        <f t="shared" si="69"/>
        <v>WIP - 30 Days</v>
      </c>
    </row>
    <row r="849" spans="2:53">
      <c r="B849" s="36" t="str">
        <f>'[6]price list MAN'!B849</f>
        <v>78W-6469</v>
      </c>
      <c r="C849" s="10" t="str">
        <f>'[6]price list MAN'!C849</f>
        <v>TGS-26-4406X4BLS-LX-EL-ACC</v>
      </c>
      <c r="D849" s="16" t="str">
        <f>IFERROR(VLOOKUP(C849&amp;"",'[7]Retail Price List'!$A$3:$B$103,2,FALSE),"Special Order")</f>
        <v>TGS00013</v>
      </c>
      <c r="E849" s="494" t="str">
        <f>'[6]price list MAN'!E849</f>
        <v>CKD</v>
      </c>
      <c r="F849" s="11" t="str">
        <f>'[6]price list MAN'!F849</f>
        <v>2018-09-30</v>
      </c>
      <c r="G849" s="32">
        <f>'[6]price list MAN'!G849</f>
        <v>15.3</v>
      </c>
      <c r="H849" s="26">
        <f>'[6]price list MAN'!H849</f>
        <v>42978</v>
      </c>
      <c r="I849" s="51" t="str">
        <f t="shared" si="65"/>
        <v>2017Q3</v>
      </c>
      <c r="J849" s="177">
        <f>'[6]price list MAN'!J849</f>
        <v>1900000</v>
      </c>
      <c r="K849" s="177">
        <f>'[6]price list MAN'!P849</f>
        <v>1459500</v>
      </c>
      <c r="L849" s="177">
        <f>'[6]price list MAN'!R849</f>
        <v>1390000</v>
      </c>
      <c r="M849" s="174">
        <f>'[6]price list MAN'!S849</f>
        <v>1955000</v>
      </c>
      <c r="N849" s="174">
        <f>'[6]price list MAN'!Y849</f>
        <v>1517250</v>
      </c>
      <c r="O849" s="174">
        <f>'[6]price list MAN'!AA849</f>
        <v>1445000</v>
      </c>
      <c r="P849" s="68">
        <f t="shared" si="66"/>
        <v>0.2608695652173913</v>
      </c>
      <c r="Q849" s="62" t="e">
        <f>O849-#REF!</f>
        <v>#REF!</v>
      </c>
      <c r="W849" s="210"/>
      <c r="X849" s="210"/>
      <c r="Y849" s="210"/>
      <c r="Z849" s="210"/>
      <c r="AA849" s="210"/>
      <c r="AB849" s="210"/>
      <c r="AC849" s="210"/>
      <c r="AT849" s="425" t="str">
        <f t="shared" si="67"/>
        <v>TGS000132017Q315,3</v>
      </c>
      <c r="AU849" s="64" t="str">
        <f t="shared" si="68"/>
        <v>08-2017</v>
      </c>
      <c r="BA849" s="428" t="str">
        <f t="shared" si="69"/>
        <v>WIP - 30 Days</v>
      </c>
    </row>
    <row r="850" spans="2:53">
      <c r="B850" s="36" t="str">
        <f>'[6]price list MAN'!B850</f>
        <v>78W-6470</v>
      </c>
      <c r="C850" s="10" t="str">
        <f>'[6]price list MAN'!C850</f>
        <v>TGS-26-4406X4BLS-LX-EL-ACC</v>
      </c>
      <c r="D850" s="16" t="str">
        <f>IFERROR(VLOOKUP(C850&amp;"",'[7]Retail Price List'!$A$3:$B$103,2,FALSE),"Special Order")</f>
        <v>TGS00013</v>
      </c>
      <c r="E850" s="494" t="str">
        <f>'[6]price list MAN'!E850</f>
        <v>CKD</v>
      </c>
      <c r="F850" s="11" t="str">
        <f>'[6]price list MAN'!F850</f>
        <v>2018-10-30</v>
      </c>
      <c r="G850" s="32">
        <f>'[6]price list MAN'!G850</f>
        <v>15.3</v>
      </c>
      <c r="H850" s="26">
        <f>'[6]price list MAN'!H850</f>
        <v>42978</v>
      </c>
      <c r="I850" s="51" t="str">
        <f t="shared" si="65"/>
        <v>2017Q3</v>
      </c>
      <c r="J850" s="177">
        <f>'[6]price list MAN'!J850</f>
        <v>1900000</v>
      </c>
      <c r="K850" s="177">
        <f>'[6]price list MAN'!P850</f>
        <v>1459500</v>
      </c>
      <c r="L850" s="177">
        <f>'[6]price list MAN'!R850</f>
        <v>1390000</v>
      </c>
      <c r="M850" s="174">
        <f>'[6]price list MAN'!S850</f>
        <v>1955000</v>
      </c>
      <c r="N850" s="174">
        <f>'[6]price list MAN'!Y850</f>
        <v>1517250</v>
      </c>
      <c r="O850" s="174">
        <f>'[6]price list MAN'!AA850</f>
        <v>1445000</v>
      </c>
      <c r="P850" s="68">
        <f t="shared" si="66"/>
        <v>0.2608695652173913</v>
      </c>
      <c r="Q850" s="62" t="e">
        <f>O850-#REF!</f>
        <v>#REF!</v>
      </c>
      <c r="W850" s="210"/>
      <c r="X850" s="210"/>
      <c r="Y850" s="210"/>
      <c r="Z850" s="210"/>
      <c r="AA850" s="210"/>
      <c r="AB850" s="210"/>
      <c r="AC850" s="210"/>
      <c r="AT850" s="425" t="str">
        <f t="shared" si="67"/>
        <v>TGS000132017Q315,3</v>
      </c>
      <c r="AU850" s="64" t="str">
        <f t="shared" si="68"/>
        <v>08-2017</v>
      </c>
      <c r="BA850" s="428" t="str">
        <f t="shared" si="69"/>
        <v>WIP - 30 Days</v>
      </c>
    </row>
    <row r="851" spans="2:53">
      <c r="B851" s="36" t="str">
        <f>'[6]price list MAN'!B851</f>
        <v>78W-6510</v>
      </c>
      <c r="C851" s="10" t="str">
        <f>'[6]price list MAN'!C851</f>
        <v>TGS-26-4406X4BLS-LX-EL-ACC</v>
      </c>
      <c r="D851" s="16" t="str">
        <f>IFERROR(VLOOKUP(C851&amp;"",'[7]Retail Price List'!$A$3:$B$103,2,FALSE),"Special Order")</f>
        <v>TGS00013</v>
      </c>
      <c r="E851" s="494" t="str">
        <f>'[6]price list MAN'!E851</f>
        <v>CKD</v>
      </c>
      <c r="F851" s="11" t="str">
        <f>'[6]price list MAN'!F851</f>
        <v>2018-08-30</v>
      </c>
      <c r="G851" s="32">
        <f>'[6]price list MAN'!G851</f>
        <v>15.9</v>
      </c>
      <c r="H851" s="26">
        <f>'[6]price list MAN'!H851</f>
        <v>43039</v>
      </c>
      <c r="I851" s="51" t="str">
        <f t="shared" si="65"/>
        <v>2017Q4</v>
      </c>
      <c r="J851" s="177">
        <f>'[6]price list MAN'!J851</f>
        <v>1900000</v>
      </c>
      <c r="K851" s="177">
        <f>'[6]price list MAN'!P851</f>
        <v>1459500</v>
      </c>
      <c r="L851" s="177">
        <f>'[6]price list MAN'!R851</f>
        <v>1390000</v>
      </c>
      <c r="M851" s="174">
        <f>'[6]price list MAN'!S851</f>
        <v>1955000</v>
      </c>
      <c r="N851" s="174">
        <f>'[6]price list MAN'!Y851</f>
        <v>1517250</v>
      </c>
      <c r="O851" s="174">
        <f>'[6]price list MAN'!AA851</f>
        <v>1445000</v>
      </c>
      <c r="P851" s="68">
        <f t="shared" si="66"/>
        <v>0.2608695652173913</v>
      </c>
      <c r="Q851" s="62" t="e">
        <f>O851-#REF!</f>
        <v>#REF!</v>
      </c>
      <c r="W851" s="210"/>
      <c r="X851" s="210"/>
      <c r="Y851" s="210"/>
      <c r="Z851" s="210"/>
      <c r="AA851" s="210"/>
      <c r="AB851" s="210"/>
      <c r="AC851" s="210"/>
      <c r="AT851" s="425" t="str">
        <f t="shared" si="67"/>
        <v>TGS000132017Q415,9</v>
      </c>
      <c r="AU851" s="64" t="str">
        <f t="shared" si="68"/>
        <v>10-2017</v>
      </c>
      <c r="BA851" s="428" t="str">
        <f t="shared" si="69"/>
        <v>WIP - 30 Days</v>
      </c>
    </row>
    <row r="852" spans="2:53">
      <c r="B852" s="36" t="str">
        <f>'[6]price list MAN'!B852</f>
        <v>78W-6511</v>
      </c>
      <c r="C852" s="10" t="str">
        <f>'[6]price list MAN'!C852</f>
        <v>TGS-26-4406X4BLS-LX-EL-ACC</v>
      </c>
      <c r="D852" s="16" t="str">
        <f>IFERROR(VLOOKUP(C852&amp;"",'[7]Retail Price List'!$A$3:$B$103,2,FALSE),"Special Order")</f>
        <v>TGS00013</v>
      </c>
      <c r="E852" s="494" t="str">
        <f>'[6]price list MAN'!E852</f>
        <v>CKD</v>
      </c>
      <c r="F852" s="11" t="str">
        <f>'[6]price list MAN'!F852</f>
        <v>2018-08-30</v>
      </c>
      <c r="G852" s="32">
        <f>'[6]price list MAN'!G852</f>
        <v>15.9</v>
      </c>
      <c r="H852" s="26">
        <f>'[6]price list MAN'!H852</f>
        <v>43039</v>
      </c>
      <c r="I852" s="51" t="str">
        <f t="shared" si="65"/>
        <v>2017Q4</v>
      </c>
      <c r="J852" s="177">
        <f>'[6]price list MAN'!J852</f>
        <v>1900000</v>
      </c>
      <c r="K852" s="177">
        <f>'[6]price list MAN'!P852</f>
        <v>1459500</v>
      </c>
      <c r="L852" s="177">
        <f>'[6]price list MAN'!R852</f>
        <v>1390000</v>
      </c>
      <c r="M852" s="174">
        <f>'[6]price list MAN'!S852</f>
        <v>1955000</v>
      </c>
      <c r="N852" s="174">
        <f>'[6]price list MAN'!Y852</f>
        <v>1517250</v>
      </c>
      <c r="O852" s="174">
        <f>'[6]price list MAN'!AA852</f>
        <v>1445000</v>
      </c>
      <c r="P852" s="68">
        <f t="shared" si="66"/>
        <v>0.2608695652173913</v>
      </c>
      <c r="Q852" s="62" t="e">
        <f>O852-#REF!</f>
        <v>#REF!</v>
      </c>
      <c r="W852" s="210"/>
      <c r="X852" s="210"/>
      <c r="Y852" s="210"/>
      <c r="Z852" s="210"/>
      <c r="AA852" s="210"/>
      <c r="AB852" s="210"/>
      <c r="AC852" s="210"/>
      <c r="AT852" s="425" t="str">
        <f t="shared" si="67"/>
        <v>TGS000132017Q415,9</v>
      </c>
      <c r="AU852" s="64" t="str">
        <f t="shared" si="68"/>
        <v>10-2017</v>
      </c>
      <c r="BA852" s="428" t="str">
        <f t="shared" si="69"/>
        <v>WIP - 30 Days</v>
      </c>
    </row>
    <row r="853" spans="2:53">
      <c r="B853" s="36" t="str">
        <f>'[6]price list MAN'!B853</f>
        <v>78W-6512</v>
      </c>
      <c r="C853" s="10" t="str">
        <f>'[6]price list MAN'!C853</f>
        <v>TGS-26-4406X4BLS-LX-EL-ACC</v>
      </c>
      <c r="D853" s="16" t="str">
        <f>IFERROR(VLOOKUP(C853&amp;"",'[7]Retail Price List'!$A$3:$B$103,2,FALSE),"Special Order")</f>
        <v>TGS00013</v>
      </c>
      <c r="E853" s="494" t="str">
        <f>'[6]price list MAN'!E853</f>
        <v>CKD</v>
      </c>
      <c r="F853" s="11" t="str">
        <f>'[6]price list MAN'!F853</f>
        <v>2018-08-30</v>
      </c>
      <c r="G853" s="32">
        <f>'[6]price list MAN'!G853</f>
        <v>15.9</v>
      </c>
      <c r="H853" s="26">
        <f>'[6]price list MAN'!H853</f>
        <v>43039</v>
      </c>
      <c r="I853" s="51" t="str">
        <f t="shared" si="65"/>
        <v>2017Q4</v>
      </c>
      <c r="J853" s="177">
        <f>'[6]price list MAN'!J853</f>
        <v>1900000</v>
      </c>
      <c r="K853" s="177">
        <f>'[6]price list MAN'!P853</f>
        <v>1459500</v>
      </c>
      <c r="L853" s="177">
        <f>'[6]price list MAN'!R853</f>
        <v>1390000</v>
      </c>
      <c r="M853" s="174">
        <f>'[6]price list MAN'!S853</f>
        <v>1955000</v>
      </c>
      <c r="N853" s="174">
        <f>'[6]price list MAN'!Y853</f>
        <v>1517250</v>
      </c>
      <c r="O853" s="174">
        <f>'[6]price list MAN'!AA853</f>
        <v>1445000</v>
      </c>
      <c r="P853" s="68">
        <f t="shared" si="66"/>
        <v>0.2608695652173913</v>
      </c>
      <c r="Q853" s="62" t="e">
        <f>O853-#REF!</f>
        <v>#REF!</v>
      </c>
      <c r="W853" s="210"/>
      <c r="X853" s="210"/>
      <c r="Y853" s="210"/>
      <c r="Z853" s="210"/>
      <c r="AA853" s="210"/>
      <c r="AB853" s="210"/>
      <c r="AC853" s="210"/>
      <c r="AT853" s="425" t="str">
        <f t="shared" si="67"/>
        <v>TGS000132017Q415,9</v>
      </c>
      <c r="AU853" s="64" t="str">
        <f t="shared" si="68"/>
        <v>10-2017</v>
      </c>
      <c r="BA853" s="428" t="str">
        <f t="shared" si="69"/>
        <v>WIP - 30 Days</v>
      </c>
    </row>
    <row r="854" spans="2:53">
      <c r="B854" s="36" t="str">
        <f>'[6]price list MAN'!B854</f>
        <v>78W-6513</v>
      </c>
      <c r="C854" s="10" t="str">
        <f>'[6]price list MAN'!C854</f>
        <v>TGS-26-4406X4BLS-LX-EL-ACC</v>
      </c>
      <c r="D854" s="16" t="str">
        <f>IFERROR(VLOOKUP(C854&amp;"",'[7]Retail Price List'!$A$3:$B$103,2,FALSE),"Special Order")</f>
        <v>TGS00013</v>
      </c>
      <c r="E854" s="494" t="str">
        <f>'[6]price list MAN'!E854</f>
        <v>CKD</v>
      </c>
      <c r="F854" s="11" t="str">
        <f>'[6]price list MAN'!F854</f>
        <v>2018-08-30</v>
      </c>
      <c r="G854" s="32">
        <f>'[6]price list MAN'!G854</f>
        <v>15.9</v>
      </c>
      <c r="H854" s="26">
        <f>'[6]price list MAN'!H854</f>
        <v>43039</v>
      </c>
      <c r="I854" s="51" t="str">
        <f t="shared" si="65"/>
        <v>2017Q4</v>
      </c>
      <c r="J854" s="177">
        <f>'[6]price list MAN'!J854</f>
        <v>1900000</v>
      </c>
      <c r="K854" s="177">
        <f>'[6]price list MAN'!P854</f>
        <v>1459500</v>
      </c>
      <c r="L854" s="177">
        <f>'[6]price list MAN'!R854</f>
        <v>1390000</v>
      </c>
      <c r="M854" s="174">
        <f>'[6]price list MAN'!S854</f>
        <v>1955000</v>
      </c>
      <c r="N854" s="174">
        <f>'[6]price list MAN'!Y854</f>
        <v>1517250</v>
      </c>
      <c r="O854" s="174">
        <f>'[6]price list MAN'!AA854</f>
        <v>1445000</v>
      </c>
      <c r="P854" s="68">
        <f t="shared" si="66"/>
        <v>0.2608695652173913</v>
      </c>
      <c r="Q854" s="62" t="e">
        <f>O854-#REF!</f>
        <v>#REF!</v>
      </c>
      <c r="W854" s="210"/>
      <c r="X854" s="210"/>
      <c r="Y854" s="210"/>
      <c r="Z854" s="210"/>
      <c r="AA854" s="210"/>
      <c r="AB854" s="210"/>
      <c r="AC854" s="210"/>
      <c r="AT854" s="425" t="str">
        <f t="shared" si="67"/>
        <v>TGS000132017Q415,9</v>
      </c>
      <c r="AU854" s="64" t="str">
        <f t="shared" si="68"/>
        <v>10-2017</v>
      </c>
      <c r="BA854" s="428" t="str">
        <f t="shared" si="69"/>
        <v>WIP - 30 Days</v>
      </c>
    </row>
    <row r="855" spans="2:53">
      <c r="B855" s="36" t="str">
        <f>'[6]price list MAN'!B855</f>
        <v>78W-6514</v>
      </c>
      <c r="C855" s="10" t="str">
        <f>'[6]price list MAN'!C855</f>
        <v>TGS-26-4406X4BLS-LX-EL-ACC</v>
      </c>
      <c r="D855" s="16" t="str">
        <f>IFERROR(VLOOKUP(C855&amp;"",'[7]Retail Price List'!$A$3:$B$103,2,FALSE),"Special Order")</f>
        <v>TGS00013</v>
      </c>
      <c r="E855" s="494" t="str">
        <f>'[6]price list MAN'!E855</f>
        <v>CKD</v>
      </c>
      <c r="F855" s="11" t="str">
        <f>'[6]price list MAN'!F855</f>
        <v>2018-08-30</v>
      </c>
      <c r="G855" s="32">
        <f>'[6]price list MAN'!G855</f>
        <v>15.9</v>
      </c>
      <c r="H855" s="26">
        <f>'[6]price list MAN'!H855</f>
        <v>43039</v>
      </c>
      <c r="I855" s="51" t="str">
        <f t="shared" si="65"/>
        <v>2017Q4</v>
      </c>
      <c r="J855" s="177">
        <f>'[6]price list MAN'!J855</f>
        <v>1900000</v>
      </c>
      <c r="K855" s="177">
        <f>'[6]price list MAN'!P855</f>
        <v>1459500</v>
      </c>
      <c r="L855" s="177">
        <f>'[6]price list MAN'!R855</f>
        <v>1390000</v>
      </c>
      <c r="M855" s="174">
        <f>'[6]price list MAN'!S855</f>
        <v>1955000</v>
      </c>
      <c r="N855" s="174">
        <f>'[6]price list MAN'!Y855</f>
        <v>1517250</v>
      </c>
      <c r="O855" s="174">
        <f>'[6]price list MAN'!AA855</f>
        <v>1445000</v>
      </c>
      <c r="P855" s="68">
        <f t="shared" si="66"/>
        <v>0.2608695652173913</v>
      </c>
      <c r="Q855" s="62" t="e">
        <f>O855-#REF!</f>
        <v>#REF!</v>
      </c>
      <c r="W855" s="210"/>
      <c r="X855" s="210"/>
      <c r="Y855" s="210"/>
      <c r="Z855" s="210"/>
      <c r="AA855" s="210"/>
      <c r="AB855" s="210"/>
      <c r="AC855" s="210"/>
      <c r="AT855" s="425" t="str">
        <f t="shared" si="67"/>
        <v>TGS000132017Q415,9</v>
      </c>
      <c r="AU855" s="64" t="str">
        <f t="shared" si="68"/>
        <v>10-2017</v>
      </c>
      <c r="BA855" s="428" t="str">
        <f t="shared" si="69"/>
        <v>WIP - 30 Days</v>
      </c>
    </row>
    <row r="856" spans="2:53">
      <c r="B856" s="36" t="str">
        <f>'[6]price list MAN'!B856</f>
        <v>78W-6515</v>
      </c>
      <c r="C856" s="10" t="str">
        <f>'[6]price list MAN'!C856</f>
        <v>TGS-26-4406X4BLS-LX-EL-ACC</v>
      </c>
      <c r="D856" s="16" t="str">
        <f>IFERROR(VLOOKUP(C856&amp;"",'[7]Retail Price List'!$A$3:$B$103,2,FALSE),"Special Order")</f>
        <v>TGS00013</v>
      </c>
      <c r="E856" s="494" t="str">
        <f>'[6]price list MAN'!E856</f>
        <v>CKD</v>
      </c>
      <c r="F856" s="11" t="str">
        <f>'[6]price list MAN'!F856</f>
        <v>2018-08-30</v>
      </c>
      <c r="G856" s="32">
        <f>'[6]price list MAN'!G856</f>
        <v>15.9</v>
      </c>
      <c r="H856" s="26">
        <f>'[6]price list MAN'!H856</f>
        <v>43039</v>
      </c>
      <c r="I856" s="51" t="str">
        <f t="shared" si="65"/>
        <v>2017Q4</v>
      </c>
      <c r="J856" s="177">
        <f>'[6]price list MAN'!J856</f>
        <v>1900000</v>
      </c>
      <c r="K856" s="177">
        <f>'[6]price list MAN'!P856</f>
        <v>1459500</v>
      </c>
      <c r="L856" s="177">
        <f>'[6]price list MAN'!R856</f>
        <v>1390000</v>
      </c>
      <c r="M856" s="174">
        <f>'[6]price list MAN'!S856</f>
        <v>1955000</v>
      </c>
      <c r="N856" s="174">
        <f>'[6]price list MAN'!Y856</f>
        <v>1517250</v>
      </c>
      <c r="O856" s="174">
        <f>'[6]price list MAN'!AA856</f>
        <v>1445000</v>
      </c>
      <c r="P856" s="68">
        <f t="shared" si="66"/>
        <v>0.2608695652173913</v>
      </c>
      <c r="Q856" s="62" t="e">
        <f>O856-#REF!</f>
        <v>#REF!</v>
      </c>
      <c r="W856" s="210"/>
      <c r="X856" s="210"/>
      <c r="Y856" s="210"/>
      <c r="Z856" s="210"/>
      <c r="AA856" s="210"/>
      <c r="AB856" s="210"/>
      <c r="AC856" s="210"/>
      <c r="AT856" s="425" t="str">
        <f t="shared" si="67"/>
        <v>TGS000132017Q415,9</v>
      </c>
      <c r="AU856" s="64" t="str">
        <f t="shared" si="68"/>
        <v>10-2017</v>
      </c>
      <c r="BA856" s="428" t="str">
        <f t="shared" si="69"/>
        <v>WIP - 30 Days</v>
      </c>
    </row>
    <row r="857" spans="2:53">
      <c r="B857" s="36" t="str">
        <f>'[6]price list MAN'!B857</f>
        <v>78W-6516</v>
      </c>
      <c r="C857" s="10" t="str">
        <f>'[6]price list MAN'!C857</f>
        <v>TGS-26-4406X4BLS-LX-EL-ACC</v>
      </c>
      <c r="D857" s="16" t="str">
        <f>IFERROR(VLOOKUP(C857&amp;"",'[7]Retail Price List'!$A$3:$B$103,2,FALSE),"Special Order")</f>
        <v>TGS00013</v>
      </c>
      <c r="E857" s="494" t="str">
        <f>'[6]price list MAN'!E857</f>
        <v>CKD</v>
      </c>
      <c r="F857" s="11" t="str">
        <f>'[6]price list MAN'!F857</f>
        <v>2018-09-30</v>
      </c>
      <c r="G857" s="32">
        <f>'[6]price list MAN'!G857</f>
        <v>15.9</v>
      </c>
      <c r="H857" s="26">
        <f>'[6]price list MAN'!H857</f>
        <v>43039</v>
      </c>
      <c r="I857" s="51" t="str">
        <f t="shared" si="65"/>
        <v>2017Q4</v>
      </c>
      <c r="J857" s="177">
        <f>'[6]price list MAN'!J857</f>
        <v>1900000</v>
      </c>
      <c r="K857" s="177">
        <f>'[6]price list MAN'!P857</f>
        <v>1459500</v>
      </c>
      <c r="L857" s="177">
        <f>'[6]price list MAN'!R857</f>
        <v>1390000</v>
      </c>
      <c r="M857" s="174">
        <f>'[6]price list MAN'!S857</f>
        <v>1955000</v>
      </c>
      <c r="N857" s="174">
        <f>'[6]price list MAN'!Y857</f>
        <v>1517250</v>
      </c>
      <c r="O857" s="174">
        <f>'[6]price list MAN'!AA857</f>
        <v>1445000</v>
      </c>
      <c r="P857" s="68">
        <f t="shared" si="66"/>
        <v>0.2608695652173913</v>
      </c>
      <c r="Q857" s="62" t="e">
        <f>O857-#REF!</f>
        <v>#REF!</v>
      </c>
      <c r="W857" s="210"/>
      <c r="X857" s="210"/>
      <c r="Y857" s="210"/>
      <c r="Z857" s="210"/>
      <c r="AA857" s="210"/>
      <c r="AB857" s="210"/>
      <c r="AC857" s="210"/>
      <c r="AT857" s="425" t="str">
        <f t="shared" si="67"/>
        <v>TGS000132017Q415,9</v>
      </c>
      <c r="AU857" s="64" t="str">
        <f t="shared" si="68"/>
        <v>10-2017</v>
      </c>
      <c r="BA857" s="428" t="str">
        <f t="shared" si="69"/>
        <v>WIP - 30 Days</v>
      </c>
    </row>
    <row r="858" spans="2:53">
      <c r="B858" s="36" t="str">
        <f>'[6]price list MAN'!B858</f>
        <v>78W-6517</v>
      </c>
      <c r="C858" s="10" t="str">
        <f>'[6]price list MAN'!C858</f>
        <v>TGS-26-4406X4BLS-LX-EL-ACC</v>
      </c>
      <c r="D858" s="16" t="str">
        <f>IFERROR(VLOOKUP(C858&amp;"",'[7]Retail Price List'!$A$3:$B$103,2,FALSE),"Special Order")</f>
        <v>TGS00013</v>
      </c>
      <c r="E858" s="494" t="str">
        <f>'[6]price list MAN'!E858</f>
        <v>CKD</v>
      </c>
      <c r="F858" s="11" t="str">
        <f>'[6]price list MAN'!F858</f>
        <v>2018-09-30</v>
      </c>
      <c r="G858" s="32">
        <f>'[6]price list MAN'!G858</f>
        <v>15.9</v>
      </c>
      <c r="H858" s="26">
        <f>'[6]price list MAN'!H858</f>
        <v>43039</v>
      </c>
      <c r="I858" s="51" t="str">
        <f t="shared" si="65"/>
        <v>2017Q4</v>
      </c>
      <c r="J858" s="177">
        <f>'[6]price list MAN'!J858</f>
        <v>1900000</v>
      </c>
      <c r="K858" s="177">
        <f>'[6]price list MAN'!P858</f>
        <v>1459500</v>
      </c>
      <c r="L858" s="177">
        <f>'[6]price list MAN'!R858</f>
        <v>1390000</v>
      </c>
      <c r="M858" s="174">
        <f>'[6]price list MAN'!S858</f>
        <v>1955000</v>
      </c>
      <c r="N858" s="174">
        <f>'[6]price list MAN'!Y858</f>
        <v>1517250</v>
      </c>
      <c r="O858" s="174">
        <f>'[6]price list MAN'!AA858</f>
        <v>1445000</v>
      </c>
      <c r="P858" s="68">
        <f t="shared" si="66"/>
        <v>0.2608695652173913</v>
      </c>
      <c r="Q858" s="62" t="e">
        <f>O858-#REF!</f>
        <v>#REF!</v>
      </c>
      <c r="W858" s="210"/>
      <c r="X858" s="210"/>
      <c r="Y858" s="210"/>
      <c r="Z858" s="210"/>
      <c r="AA858" s="210"/>
      <c r="AB858" s="210"/>
      <c r="AC858" s="210"/>
      <c r="AT858" s="425" t="str">
        <f t="shared" si="67"/>
        <v>TGS000132017Q415,9</v>
      </c>
      <c r="AU858" s="64" t="str">
        <f t="shared" si="68"/>
        <v>10-2017</v>
      </c>
      <c r="BA858" s="428" t="str">
        <f t="shared" si="69"/>
        <v>WIP - 30 Days</v>
      </c>
    </row>
    <row r="859" spans="2:53">
      <c r="B859" s="36" t="str">
        <f>'[6]price list MAN'!B859</f>
        <v>78W-6550</v>
      </c>
      <c r="C859" s="10" t="str">
        <f>'[6]price list MAN'!C859</f>
        <v>TGS-26-4406X4BLS-LX-EL-ACC</v>
      </c>
      <c r="D859" s="16" t="str">
        <f>IFERROR(VLOOKUP(C859&amp;"",'[7]Retail Price List'!$A$3:$B$103,2,FALSE),"Special Order")</f>
        <v>TGS00013</v>
      </c>
      <c r="E859" s="494" t="str">
        <f>'[6]price list MAN'!E859</f>
        <v>CKD</v>
      </c>
      <c r="F859" s="11" t="str">
        <f>'[6]price list MAN'!F859</f>
        <v>2018-08-30</v>
      </c>
      <c r="G859" s="32">
        <f>'[6]price list MAN'!G859</f>
        <v>15.9</v>
      </c>
      <c r="H859" s="26">
        <f>'[6]price list MAN'!H859</f>
        <v>43039</v>
      </c>
      <c r="I859" s="51" t="str">
        <f t="shared" si="65"/>
        <v>2017Q4</v>
      </c>
      <c r="J859" s="177">
        <f>'[6]price list MAN'!J859</f>
        <v>1900000</v>
      </c>
      <c r="K859" s="177">
        <f>'[6]price list MAN'!P859</f>
        <v>1459500</v>
      </c>
      <c r="L859" s="177">
        <f>'[6]price list MAN'!R859</f>
        <v>1390000</v>
      </c>
      <c r="M859" s="174">
        <f>'[6]price list MAN'!S859</f>
        <v>1955000</v>
      </c>
      <c r="N859" s="174">
        <f>'[6]price list MAN'!Y859</f>
        <v>1517250</v>
      </c>
      <c r="O859" s="174">
        <f>'[6]price list MAN'!AA859</f>
        <v>1445000</v>
      </c>
      <c r="P859" s="68">
        <f t="shared" si="66"/>
        <v>0.2608695652173913</v>
      </c>
      <c r="Q859" s="62" t="e">
        <f>O859-#REF!</f>
        <v>#REF!</v>
      </c>
      <c r="W859" s="210"/>
      <c r="X859" s="210"/>
      <c r="Y859" s="210"/>
      <c r="Z859" s="210"/>
      <c r="AA859" s="210"/>
      <c r="AB859" s="210"/>
      <c r="AC859" s="210"/>
      <c r="AT859" s="425" t="str">
        <f t="shared" si="67"/>
        <v>TGS000132017Q415,9</v>
      </c>
      <c r="AU859" s="64" t="str">
        <f t="shared" si="68"/>
        <v>10-2017</v>
      </c>
      <c r="BA859" s="428" t="str">
        <f t="shared" si="69"/>
        <v>WIP - 30 Days</v>
      </c>
    </row>
    <row r="860" spans="2:53">
      <c r="B860" s="36" t="str">
        <f>'[6]price list MAN'!B860</f>
        <v>78W-6551</v>
      </c>
      <c r="C860" s="10" t="str">
        <f>'[6]price list MAN'!C860</f>
        <v>TGS-26-4406X4BLS-LX-EL-ACC</v>
      </c>
      <c r="D860" s="16" t="str">
        <f>IFERROR(VLOOKUP(C860&amp;"",'[7]Retail Price List'!$A$3:$B$103,2,FALSE),"Special Order")</f>
        <v>TGS00013</v>
      </c>
      <c r="E860" s="494" t="str">
        <f>'[6]price list MAN'!E860</f>
        <v>CKD</v>
      </c>
      <c r="F860" s="11" t="str">
        <f>'[6]price list MAN'!F860</f>
        <v>2018-08-30</v>
      </c>
      <c r="G860" s="32">
        <f>'[6]price list MAN'!G860</f>
        <v>15.9</v>
      </c>
      <c r="H860" s="26">
        <f>'[6]price list MAN'!H860</f>
        <v>43039</v>
      </c>
      <c r="I860" s="51" t="str">
        <f t="shared" si="65"/>
        <v>2017Q4</v>
      </c>
      <c r="J860" s="177">
        <f>'[6]price list MAN'!J860</f>
        <v>1900000</v>
      </c>
      <c r="K860" s="177">
        <f>'[6]price list MAN'!P860</f>
        <v>1459500</v>
      </c>
      <c r="L860" s="177">
        <f>'[6]price list MAN'!R860</f>
        <v>1390000</v>
      </c>
      <c r="M860" s="174">
        <f>'[6]price list MAN'!S860</f>
        <v>1955000</v>
      </c>
      <c r="N860" s="174">
        <f>'[6]price list MAN'!Y860</f>
        <v>1517250</v>
      </c>
      <c r="O860" s="174">
        <f>'[6]price list MAN'!AA860</f>
        <v>1445000</v>
      </c>
      <c r="P860" s="68">
        <f t="shared" si="66"/>
        <v>0.2608695652173913</v>
      </c>
      <c r="Q860" s="62" t="e">
        <f>O860-#REF!</f>
        <v>#REF!</v>
      </c>
      <c r="W860" s="210"/>
      <c r="X860" s="210"/>
      <c r="Y860" s="210"/>
      <c r="Z860" s="210"/>
      <c r="AA860" s="210"/>
      <c r="AB860" s="210"/>
      <c r="AC860" s="210"/>
      <c r="AT860" s="425" t="str">
        <f t="shared" si="67"/>
        <v>TGS000132017Q415,9</v>
      </c>
      <c r="AU860" s="64" t="str">
        <f t="shared" si="68"/>
        <v>10-2017</v>
      </c>
      <c r="BA860" s="428" t="str">
        <f t="shared" si="69"/>
        <v>WIP - 30 Days</v>
      </c>
    </row>
    <row r="861" spans="2:53">
      <c r="B861" s="36" t="str">
        <f>'[6]price list MAN'!B861</f>
        <v>78W-6552</v>
      </c>
      <c r="C861" s="10" t="str">
        <f>'[6]price list MAN'!C861</f>
        <v>TGS-26-4406X4BLS-LX-EL-ACC</v>
      </c>
      <c r="D861" s="16" t="str">
        <f>IFERROR(VLOOKUP(C861&amp;"",'[7]Retail Price List'!$A$3:$B$103,2,FALSE),"Special Order")</f>
        <v>TGS00013</v>
      </c>
      <c r="E861" s="494" t="str">
        <f>'[6]price list MAN'!E861</f>
        <v>CKD</v>
      </c>
      <c r="F861" s="11" t="str">
        <f>'[6]price list MAN'!F861</f>
        <v>2018-08-30</v>
      </c>
      <c r="G861" s="32">
        <f>'[6]price list MAN'!G861</f>
        <v>15.9</v>
      </c>
      <c r="H861" s="26">
        <f>'[6]price list MAN'!H861</f>
        <v>43039</v>
      </c>
      <c r="I861" s="51" t="str">
        <f t="shared" si="65"/>
        <v>2017Q4</v>
      </c>
      <c r="J861" s="177">
        <f>'[6]price list MAN'!J861</f>
        <v>1900000</v>
      </c>
      <c r="K861" s="177">
        <f>'[6]price list MAN'!P861</f>
        <v>1459500</v>
      </c>
      <c r="L861" s="177">
        <f>'[6]price list MAN'!R861</f>
        <v>1390000</v>
      </c>
      <c r="M861" s="174">
        <f>'[6]price list MAN'!S861</f>
        <v>1955000</v>
      </c>
      <c r="N861" s="174">
        <f>'[6]price list MAN'!Y861</f>
        <v>1517250</v>
      </c>
      <c r="O861" s="174">
        <f>'[6]price list MAN'!AA861</f>
        <v>1445000</v>
      </c>
      <c r="P861" s="68">
        <f t="shared" si="66"/>
        <v>0.2608695652173913</v>
      </c>
      <c r="Q861" s="62" t="e">
        <f>O861-#REF!</f>
        <v>#REF!</v>
      </c>
      <c r="W861" s="210"/>
      <c r="X861" s="210"/>
      <c r="Y861" s="210"/>
      <c r="Z861" s="210"/>
      <c r="AA861" s="210"/>
      <c r="AB861" s="210"/>
      <c r="AC861" s="210"/>
      <c r="AT861" s="425" t="str">
        <f t="shared" si="67"/>
        <v>TGS000132017Q415,9</v>
      </c>
      <c r="AU861" s="64" t="str">
        <f t="shared" si="68"/>
        <v>10-2017</v>
      </c>
      <c r="BA861" s="428" t="str">
        <f t="shared" si="69"/>
        <v>WIP - 30 Days</v>
      </c>
    </row>
    <row r="862" spans="2:53">
      <c r="B862" s="36" t="str">
        <f>'[6]price list MAN'!B862</f>
        <v>78W-6553</v>
      </c>
      <c r="C862" s="10" t="str">
        <f>'[6]price list MAN'!C862</f>
        <v>TGS-26-4406X4BLS-LX-EL-ACC</v>
      </c>
      <c r="D862" s="16" t="str">
        <f>IFERROR(VLOOKUP(C862&amp;"",'[7]Retail Price List'!$A$3:$B$103,2,FALSE),"Special Order")</f>
        <v>TGS00013</v>
      </c>
      <c r="E862" s="494" t="str">
        <f>'[6]price list MAN'!E862</f>
        <v>CKD</v>
      </c>
      <c r="F862" s="11" t="str">
        <f>'[6]price list MAN'!F862</f>
        <v>2018-08-30</v>
      </c>
      <c r="G862" s="32">
        <f>'[6]price list MAN'!G862</f>
        <v>15.9</v>
      </c>
      <c r="H862" s="26">
        <f>'[6]price list MAN'!H862</f>
        <v>43039</v>
      </c>
      <c r="I862" s="51" t="str">
        <f t="shared" si="65"/>
        <v>2017Q4</v>
      </c>
      <c r="J862" s="177">
        <f>'[6]price list MAN'!J862</f>
        <v>1900000</v>
      </c>
      <c r="K862" s="177">
        <f>'[6]price list MAN'!P862</f>
        <v>1459500</v>
      </c>
      <c r="L862" s="177">
        <f>'[6]price list MAN'!R862</f>
        <v>1390000</v>
      </c>
      <c r="M862" s="174">
        <f>'[6]price list MAN'!S862</f>
        <v>1955000</v>
      </c>
      <c r="N862" s="174">
        <f>'[6]price list MAN'!Y862</f>
        <v>1517250</v>
      </c>
      <c r="O862" s="174">
        <f>'[6]price list MAN'!AA862</f>
        <v>1445000</v>
      </c>
      <c r="P862" s="68">
        <f t="shared" si="66"/>
        <v>0.2608695652173913</v>
      </c>
      <c r="Q862" s="62" t="e">
        <f>O862-#REF!</f>
        <v>#REF!</v>
      </c>
      <c r="W862" s="210"/>
      <c r="X862" s="210"/>
      <c r="Y862" s="210"/>
      <c r="Z862" s="210"/>
      <c r="AA862" s="210"/>
      <c r="AB862" s="210"/>
      <c r="AC862" s="210"/>
      <c r="AT862" s="425" t="str">
        <f t="shared" si="67"/>
        <v>TGS000132017Q415,9</v>
      </c>
      <c r="AU862" s="64" t="str">
        <f t="shared" si="68"/>
        <v>10-2017</v>
      </c>
      <c r="BA862" s="428" t="str">
        <f t="shared" si="69"/>
        <v>WIP - 30 Days</v>
      </c>
    </row>
    <row r="863" spans="2:53">
      <c r="B863" s="36" t="str">
        <f>'[6]price list MAN'!B863</f>
        <v>78W-6624</v>
      </c>
      <c r="C863" s="10" t="str">
        <f>'[6]price list MAN'!C863</f>
        <v>TGS-26-4406X4BLS-LX-EL-ACC</v>
      </c>
      <c r="D863" s="16" t="str">
        <f>IFERROR(VLOOKUP(C863&amp;"",'[7]Retail Price List'!$A$3:$B$103,2,FALSE),"Special Order")</f>
        <v>TGS00013</v>
      </c>
      <c r="E863" s="494" t="str">
        <f>'[6]price list MAN'!E863</f>
        <v>CKD</v>
      </c>
      <c r="F863" s="11" t="str">
        <f>'[6]price list MAN'!F863</f>
        <v>2018-11-30</v>
      </c>
      <c r="G863" s="32">
        <f>'[6]price list MAN'!G863</f>
        <v>15.9</v>
      </c>
      <c r="H863" s="26">
        <f>'[6]price list MAN'!H863</f>
        <v>43039</v>
      </c>
      <c r="I863" s="51" t="str">
        <f t="shared" si="65"/>
        <v>2017Q4</v>
      </c>
      <c r="J863" s="177">
        <f>'[6]price list MAN'!J863</f>
        <v>1900000</v>
      </c>
      <c r="K863" s="177">
        <f>'[6]price list MAN'!P863</f>
        <v>1459500</v>
      </c>
      <c r="L863" s="177">
        <f>'[6]price list MAN'!R863</f>
        <v>1390000</v>
      </c>
      <c r="M863" s="174">
        <f>'[6]price list MAN'!S863</f>
        <v>1955000</v>
      </c>
      <c r="N863" s="174">
        <f>'[6]price list MAN'!Y863</f>
        <v>1517250</v>
      </c>
      <c r="O863" s="174">
        <f>'[6]price list MAN'!AA863</f>
        <v>1445000</v>
      </c>
      <c r="P863" s="68">
        <f t="shared" si="66"/>
        <v>0.2608695652173913</v>
      </c>
      <c r="Q863" s="62" t="e">
        <f>O863-#REF!</f>
        <v>#REF!</v>
      </c>
      <c r="W863" s="210"/>
      <c r="X863" s="210"/>
      <c r="Y863" s="210"/>
      <c r="Z863" s="210"/>
      <c r="AA863" s="210"/>
      <c r="AB863" s="210"/>
      <c r="AC863" s="210"/>
      <c r="AT863" s="425" t="str">
        <f t="shared" si="67"/>
        <v>TGS000132017Q415,9</v>
      </c>
      <c r="AU863" s="64" t="str">
        <f t="shared" si="68"/>
        <v>10-2017</v>
      </c>
      <c r="BA863" s="428" t="str">
        <f t="shared" si="69"/>
        <v>WIP - 30 Days</v>
      </c>
    </row>
    <row r="864" spans="2:53">
      <c r="B864" s="36" t="str">
        <f>'[6]price list MAN'!B864</f>
        <v>TBATG013</v>
      </c>
      <c r="C864" s="10" t="str">
        <f>'[6]price list MAN'!C864</f>
        <v>TGS-26-4406X4BLS-LX-EL-ACC</v>
      </c>
      <c r="D864" s="16" t="str">
        <f>IFERROR(VLOOKUP(C864&amp;"",'[7]Retail Price List'!$A$3:$B$103,2,FALSE),"Special Order")</f>
        <v>TGS00013</v>
      </c>
      <c r="E864" s="494" t="str">
        <f>'[6]price list MAN'!E864</f>
        <v>CKD</v>
      </c>
      <c r="F864" s="11" t="str">
        <f>'[6]price list MAN'!F864</f>
        <v>2018-06-18</v>
      </c>
      <c r="G864" s="32">
        <f>'[6]price list MAN'!G864</f>
        <v>15.8</v>
      </c>
      <c r="H864" s="26">
        <f>'[6]price list MAN'!H864</f>
        <v>43159</v>
      </c>
      <c r="I864" s="51" t="str">
        <f t="shared" si="65"/>
        <v>2018Q1</v>
      </c>
      <c r="J864" s="177">
        <f>'[6]price list MAN'!J864</f>
        <v>1900000</v>
      </c>
      <c r="K864" s="177">
        <f>'[6]price list MAN'!P864</f>
        <v>1512000</v>
      </c>
      <c r="L864" s="177">
        <f>'[6]price list MAN'!R864</f>
        <v>1440000</v>
      </c>
      <c r="M864" s="174">
        <f>'[6]price list MAN'!S864</f>
        <v>1955000</v>
      </c>
      <c r="N864" s="174">
        <f>'[6]price list MAN'!Y864</f>
        <v>1569750</v>
      </c>
      <c r="O864" s="174">
        <f>'[6]price list MAN'!AA864</f>
        <v>1495000</v>
      </c>
      <c r="P864" s="68">
        <f t="shared" si="66"/>
        <v>0.23529411764705882</v>
      </c>
      <c r="Q864" s="62" t="e">
        <f>O864-#REF!</f>
        <v>#REF!</v>
      </c>
      <c r="W864" s="210"/>
      <c r="X864" s="210"/>
      <c r="Y864" s="210"/>
      <c r="Z864" s="210"/>
      <c r="AA864" s="210"/>
      <c r="AB864" s="210"/>
      <c r="AC864" s="210"/>
      <c r="AT864" s="425" t="str">
        <f t="shared" si="67"/>
        <v>TGS000132018Q115,8</v>
      </c>
      <c r="AU864" s="64" t="str">
        <f t="shared" si="68"/>
        <v>02-2018</v>
      </c>
      <c r="BA864" s="428" t="str">
        <f t="shared" si="69"/>
        <v>WIP - 30 Days</v>
      </c>
    </row>
    <row r="865" spans="2:53">
      <c r="B865" s="36" t="str">
        <f>'[6]price list MAN'!B865</f>
        <v>78W-5236</v>
      </c>
      <c r="C865" s="10" t="str">
        <f>'[6]price list MAN'!C865</f>
        <v>TGS-26-4406X4BLS-M</v>
      </c>
      <c r="D865" s="16" t="str">
        <f>IFERROR(VLOOKUP(C865&amp;"",'[7]Retail Price List'!$A$3:$B$103,2,FALSE),"Special Order")</f>
        <v>TGS00009</v>
      </c>
      <c r="E865" s="494" t="str">
        <f>'[6]price list MAN'!E865</f>
        <v>DEMO</v>
      </c>
      <c r="F865" s="11">
        <f>'[6]price list MAN'!F865</f>
        <v>692</v>
      </c>
      <c r="G865" s="32">
        <f>'[6]price list MAN'!G865</f>
        <v>14.6</v>
      </c>
      <c r="H865" s="26">
        <f>'[6]price list MAN'!H865</f>
        <v>42306</v>
      </c>
      <c r="I865" s="51" t="str">
        <f t="shared" si="65"/>
        <v/>
      </c>
      <c r="J865" s="177">
        <f>'[6]price list MAN'!J865</f>
        <v>1750000</v>
      </c>
      <c r="K865" s="177">
        <f>'[6]price list MAN'!P865</f>
        <v>1039500</v>
      </c>
      <c r="L865" s="177">
        <f>'[6]price list MAN'!R865</f>
        <v>990000</v>
      </c>
      <c r="M865" s="174">
        <f>'[6]price list MAN'!S865</f>
        <v>1750000</v>
      </c>
      <c r="N865" s="174">
        <f>'[6]price list MAN'!Y865</f>
        <v>1039500</v>
      </c>
      <c r="O865" s="174">
        <f>'[6]price list MAN'!AA865</f>
        <v>990000</v>
      </c>
      <c r="P865" s="68">
        <f t="shared" si="66"/>
        <v>0.43428571428571427</v>
      </c>
      <c r="Q865" s="62" t="e">
        <f>O865-#REF!</f>
        <v>#REF!</v>
      </c>
      <c r="W865" s="210"/>
      <c r="X865" s="210"/>
      <c r="Y865" s="210"/>
      <c r="Z865" s="210"/>
      <c r="AA865" s="210"/>
      <c r="AB865" s="210"/>
      <c r="AC865" s="210"/>
      <c r="AT865" s="425" t="str">
        <f t="shared" si="67"/>
        <v>TGS0000914,6</v>
      </c>
      <c r="AU865" s="64" t="str">
        <f t="shared" si="68"/>
        <v>10-2015</v>
      </c>
      <c r="BA865" s="428" t="str">
        <f t="shared" si="69"/>
        <v>&gt;365 Days</v>
      </c>
    </row>
    <row r="866" spans="2:53">
      <c r="B866" s="36" t="str">
        <f>'[6]price list MAN'!B866</f>
        <v>TBAKP635</v>
      </c>
      <c r="C866" s="10" t="str">
        <f>'[6]price list MAN'!C866</f>
        <v>TGS-26-4806X4BLS-LX</v>
      </c>
      <c r="D866" s="16" t="str">
        <f>IFERROR(VLOOKUP(C866&amp;"",'[7]Retail Price List'!$A$3:$B$103,2,FALSE),"Special Order")</f>
        <v>KP000635</v>
      </c>
      <c r="E866" s="494" t="str">
        <f>'[6]price list MAN'!E866</f>
        <v>CKD</v>
      </c>
      <c r="F866" s="11" t="str">
        <f>'[6]price list MAN'!F866</f>
        <v>2018-08-19</v>
      </c>
      <c r="G866" s="32">
        <f>'[6]price list MAN'!G866</f>
        <v>15.8</v>
      </c>
      <c r="H866" s="26">
        <f>'[6]price list MAN'!H866</f>
        <v>43159</v>
      </c>
      <c r="I866" s="51" t="str">
        <f t="shared" si="65"/>
        <v>2018Q1</v>
      </c>
      <c r="J866" s="177">
        <f>'[6]price list MAN'!J866</f>
        <v>1895000</v>
      </c>
      <c r="K866" s="177">
        <f>'[6]price list MAN'!P866</f>
        <v>1443750</v>
      </c>
      <c r="L866" s="177">
        <f>'[6]price list MAN'!R866</f>
        <v>1375000</v>
      </c>
      <c r="M866" s="174">
        <f>'[6]price list MAN'!S866</f>
        <v>1950000</v>
      </c>
      <c r="N866" s="174">
        <f>'[6]price list MAN'!Y866</f>
        <v>1501500</v>
      </c>
      <c r="O866" s="174">
        <f>'[6]price list MAN'!AA866</f>
        <v>1430000</v>
      </c>
      <c r="P866" s="68">
        <f t="shared" si="66"/>
        <v>0.26666666666666666</v>
      </c>
      <c r="Q866" s="62" t="e">
        <f>O866-#REF!</f>
        <v>#REF!</v>
      </c>
      <c r="W866" s="210"/>
      <c r="X866" s="210"/>
      <c r="Y866" s="210"/>
      <c r="Z866" s="210"/>
      <c r="AA866" s="210"/>
      <c r="AB866" s="210"/>
      <c r="AC866" s="210"/>
      <c r="AT866" s="425" t="str">
        <f t="shared" si="67"/>
        <v>KP0006352018Q115,8</v>
      </c>
      <c r="AU866" s="64" t="str">
        <f t="shared" si="68"/>
        <v>02-2018</v>
      </c>
      <c r="BA866" s="428" t="str">
        <f t="shared" si="69"/>
        <v>WIP - 30 Days</v>
      </c>
    </row>
    <row r="867" spans="2:53">
      <c r="B867" s="36" t="str">
        <f>'[6]price list MAN'!B867</f>
        <v>78W-5349</v>
      </c>
      <c r="C867" s="10" t="str">
        <f>'[6]price list MAN'!C867</f>
        <v>TGS-26-4806X4BLS-LX-EL</v>
      </c>
      <c r="D867" s="16" t="str">
        <f>IFERROR(VLOOKUP(C867&amp;"",'[7]Retail Price List'!$A$3:$B$103,2,FALSE),"Special Order")</f>
        <v>KP000709</v>
      </c>
      <c r="E867" s="494" t="str">
        <f>'[6]price list MAN'!E867</f>
        <v>DEMO</v>
      </c>
      <c r="F867" s="11">
        <f>'[6]price list MAN'!F867</f>
        <v>607</v>
      </c>
      <c r="G867" s="32">
        <f>'[6]price list MAN'!G867</f>
        <v>15.2</v>
      </c>
      <c r="H867" s="26">
        <f>'[6]price list MAN'!H867</f>
        <v>42355</v>
      </c>
      <c r="I867" s="51" t="str">
        <f t="shared" si="65"/>
        <v/>
      </c>
      <c r="J867" s="177">
        <f>'[6]price list MAN'!J867</f>
        <v>1950000</v>
      </c>
      <c r="K867" s="177">
        <f>'[6]price list MAN'!P867</f>
        <v>1155000</v>
      </c>
      <c r="L867" s="177">
        <f>'[6]price list MAN'!R867</f>
        <v>1100000</v>
      </c>
      <c r="M867" s="174">
        <f>'[6]price list MAN'!S867</f>
        <v>1950000</v>
      </c>
      <c r="N867" s="174">
        <f>'[6]price list MAN'!Y867</f>
        <v>1155000</v>
      </c>
      <c r="O867" s="174">
        <f>'[6]price list MAN'!AA867</f>
        <v>1100000</v>
      </c>
      <c r="P867" s="68">
        <f t="shared" si="66"/>
        <v>0.4358974358974359</v>
      </c>
      <c r="Q867" s="62" t="e">
        <f>O867-#REF!</f>
        <v>#REF!</v>
      </c>
      <c r="W867" s="210"/>
      <c r="X867" s="210"/>
      <c r="Y867" s="210"/>
      <c r="Z867" s="210"/>
      <c r="AA867" s="210"/>
      <c r="AB867" s="210"/>
      <c r="AC867" s="210"/>
      <c r="AT867" s="425" t="str">
        <f t="shared" si="67"/>
        <v>KP00070915,2</v>
      </c>
      <c r="AU867" s="64" t="str">
        <f t="shared" si="68"/>
        <v>12-2015</v>
      </c>
      <c r="BA867" s="428" t="str">
        <f t="shared" si="69"/>
        <v>&gt;365 Days</v>
      </c>
    </row>
    <row r="868" spans="2:53">
      <c r="B868" s="36" t="str">
        <f>'[6]price list MAN'!B868</f>
        <v>TBAKP709</v>
      </c>
      <c r="C868" s="10" t="str">
        <f>'[6]price list MAN'!C868</f>
        <v>TGS-26-4806X4BLS-LX-EL</v>
      </c>
      <c r="D868" s="16" t="str">
        <f>IFERROR(VLOOKUP(C868&amp;"",'[7]Retail Price List'!$A$3:$B$103,2,FALSE),"Special Order")</f>
        <v>KP000709</v>
      </c>
      <c r="E868" s="494" t="str">
        <f>'[6]price list MAN'!E868</f>
        <v>CKD</v>
      </c>
      <c r="F868" s="11" t="str">
        <f>'[6]price list MAN'!F868</f>
        <v>2018-08-19</v>
      </c>
      <c r="G868" s="32">
        <f>'[6]price list MAN'!G868</f>
        <v>15.8</v>
      </c>
      <c r="H868" s="26">
        <f>'[6]price list MAN'!H868</f>
        <v>43159</v>
      </c>
      <c r="I868" s="51" t="str">
        <f t="shared" si="65"/>
        <v>2018Q1</v>
      </c>
      <c r="J868" s="177">
        <f>'[6]price list MAN'!J868</f>
        <v>1950000</v>
      </c>
      <c r="K868" s="177">
        <f>'[6]price list MAN'!P868</f>
        <v>1512000</v>
      </c>
      <c r="L868" s="177">
        <f>'[6]price list MAN'!R868</f>
        <v>1440000</v>
      </c>
      <c r="M868" s="174">
        <f>'[6]price list MAN'!S868</f>
        <v>2030000</v>
      </c>
      <c r="N868" s="174">
        <f>'[6]price list MAN'!Y868</f>
        <v>1596000</v>
      </c>
      <c r="O868" s="174">
        <f>'[6]price list MAN'!AA868</f>
        <v>1520000</v>
      </c>
      <c r="P868" s="68">
        <f t="shared" si="66"/>
        <v>0.25123152709359609</v>
      </c>
      <c r="Q868" s="62" t="e">
        <f>O868-#REF!</f>
        <v>#REF!</v>
      </c>
      <c r="W868" s="210"/>
      <c r="X868" s="210"/>
      <c r="Y868" s="210"/>
      <c r="Z868" s="210"/>
      <c r="AA868" s="210"/>
      <c r="AB868" s="210"/>
      <c r="AC868" s="210"/>
      <c r="AT868" s="425" t="str">
        <f t="shared" si="67"/>
        <v>KP0007092018Q115,8</v>
      </c>
      <c r="AU868" s="64" t="str">
        <f t="shared" si="68"/>
        <v>02-2018</v>
      </c>
      <c r="BA868" s="428" t="str">
        <f t="shared" si="69"/>
        <v>WIP - 30 Days</v>
      </c>
    </row>
    <row r="869" spans="2:53">
      <c r="B869" s="36">
        <f>'[6]price list MAN'!B869</f>
        <v>48801</v>
      </c>
      <c r="C869" s="10" t="str">
        <f>'[6]price list MAN'!C869</f>
        <v>TGS-26-4806X4BLS-LX-EL-ACC</v>
      </c>
      <c r="D869" s="16" t="str">
        <f>IFERROR(VLOOKUP(C869&amp;"",'[7]Retail Price List'!$A$3:$B$103,2,FALSE),"Special Order")</f>
        <v>TGS00002</v>
      </c>
      <c r="E869" s="494" t="str">
        <f>'[6]price list MAN'!E869</f>
        <v>CKD</v>
      </c>
      <c r="F869" s="11" t="str">
        <f>'[6]price list MAN'!F869</f>
        <v>2018-06-30</v>
      </c>
      <c r="G869" s="32">
        <f>'[6]price list MAN'!G869</f>
        <v>15.9</v>
      </c>
      <c r="H869" s="26">
        <f>'[6]price list MAN'!H869</f>
        <v>43039</v>
      </c>
      <c r="I869" s="51" t="str">
        <f t="shared" si="65"/>
        <v>2017Q4</v>
      </c>
      <c r="J869" s="177">
        <f>'[6]price list MAN'!J869</f>
        <v>1990000</v>
      </c>
      <c r="K869" s="177">
        <f>'[6]price list MAN'!P869</f>
        <v>1480500</v>
      </c>
      <c r="L869" s="177">
        <f>'[6]price list MAN'!R869</f>
        <v>1410000</v>
      </c>
      <c r="M869" s="174">
        <f>'[6]price list MAN'!S869</f>
        <v>2070000</v>
      </c>
      <c r="N869" s="174">
        <f>'[6]price list MAN'!Y869</f>
        <v>1564500</v>
      </c>
      <c r="O869" s="174">
        <f>'[6]price list MAN'!AA869</f>
        <v>1490000</v>
      </c>
      <c r="P869" s="68">
        <f t="shared" si="66"/>
        <v>0.28019323671497587</v>
      </c>
      <c r="Q869" s="62" t="e">
        <f>O869-#REF!</f>
        <v>#REF!</v>
      </c>
      <c r="W869" s="210"/>
      <c r="X869" s="210"/>
      <c r="Y869" s="210"/>
      <c r="Z869" s="210"/>
      <c r="AA869" s="210"/>
      <c r="AB869" s="210"/>
      <c r="AC869" s="210"/>
      <c r="AT869" s="425" t="str">
        <f t="shared" si="67"/>
        <v>TGS000022017Q415,9</v>
      </c>
      <c r="AU869" s="64" t="str">
        <f t="shared" si="68"/>
        <v>10-2017</v>
      </c>
      <c r="BA869" s="428" t="str">
        <f t="shared" si="69"/>
        <v>WIP - 30 Days</v>
      </c>
    </row>
    <row r="870" spans="2:53">
      <c r="B870" s="36">
        <f>'[6]price list MAN'!B870</f>
        <v>48802</v>
      </c>
      <c r="C870" s="10" t="str">
        <f>'[6]price list MAN'!C870</f>
        <v>TGS-26-4806X4BLS-LX-EL-ACC</v>
      </c>
      <c r="D870" s="16" t="str">
        <f>IFERROR(VLOOKUP(C870&amp;"",'[7]Retail Price List'!$A$3:$B$103,2,FALSE),"Special Order")</f>
        <v>TGS00002</v>
      </c>
      <c r="E870" s="494" t="str">
        <f>'[6]price list MAN'!E870</f>
        <v>CKD</v>
      </c>
      <c r="F870" s="11" t="str">
        <f>'[6]price list MAN'!F870</f>
        <v>2018-06-30</v>
      </c>
      <c r="G870" s="32">
        <f>'[6]price list MAN'!G870</f>
        <v>15.9</v>
      </c>
      <c r="H870" s="26">
        <f>'[6]price list MAN'!H870</f>
        <v>43039</v>
      </c>
      <c r="I870" s="51" t="str">
        <f t="shared" si="65"/>
        <v>2017Q4</v>
      </c>
      <c r="J870" s="177">
        <f>'[6]price list MAN'!J870</f>
        <v>1990000</v>
      </c>
      <c r="K870" s="177">
        <f>'[6]price list MAN'!P870</f>
        <v>1480500</v>
      </c>
      <c r="L870" s="177">
        <f>'[6]price list MAN'!R870</f>
        <v>1410000</v>
      </c>
      <c r="M870" s="174">
        <f>'[6]price list MAN'!S870</f>
        <v>2070000</v>
      </c>
      <c r="N870" s="174">
        <f>'[6]price list MAN'!Y870</f>
        <v>1564500</v>
      </c>
      <c r="O870" s="174">
        <f>'[6]price list MAN'!AA870</f>
        <v>1490000</v>
      </c>
      <c r="P870" s="68">
        <f t="shared" si="66"/>
        <v>0.28019323671497587</v>
      </c>
      <c r="Q870" s="62" t="e">
        <f>O870-#REF!</f>
        <v>#REF!</v>
      </c>
      <c r="W870" s="210"/>
      <c r="X870" s="210"/>
      <c r="Y870" s="210"/>
      <c r="Z870" s="210"/>
      <c r="AA870" s="210"/>
      <c r="AB870" s="210"/>
      <c r="AC870" s="210"/>
      <c r="AT870" s="425" t="str">
        <f t="shared" si="67"/>
        <v>TGS000022017Q415,9</v>
      </c>
      <c r="AU870" s="64" t="str">
        <f t="shared" si="68"/>
        <v>10-2017</v>
      </c>
      <c r="BA870" s="428" t="str">
        <f t="shared" si="69"/>
        <v>WIP - 30 Days</v>
      </c>
    </row>
    <row r="871" spans="2:53">
      <c r="B871" s="36">
        <f>'[6]price list MAN'!B871</f>
        <v>48803</v>
      </c>
      <c r="C871" s="10" t="str">
        <f>'[6]price list MAN'!C871</f>
        <v>TGS-26-4806X4BLS-LX-EL-ACC</v>
      </c>
      <c r="D871" s="16" t="str">
        <f>IFERROR(VLOOKUP(C871&amp;"",'[7]Retail Price List'!$A$3:$B$103,2,FALSE),"Special Order")</f>
        <v>TGS00002</v>
      </c>
      <c r="E871" s="494" t="str">
        <f>'[6]price list MAN'!E871</f>
        <v>CKD</v>
      </c>
      <c r="F871" s="11" t="str">
        <f>'[6]price list MAN'!F871</f>
        <v>2018-07-30</v>
      </c>
      <c r="G871" s="32">
        <f>'[6]price list MAN'!G871</f>
        <v>15.9</v>
      </c>
      <c r="H871" s="26">
        <f>'[6]price list MAN'!H871</f>
        <v>43039</v>
      </c>
      <c r="I871" s="51" t="str">
        <f t="shared" si="65"/>
        <v>2017Q4</v>
      </c>
      <c r="J871" s="177">
        <f>'[6]price list MAN'!J871</f>
        <v>1990000</v>
      </c>
      <c r="K871" s="177">
        <f>'[6]price list MAN'!P871</f>
        <v>1480500</v>
      </c>
      <c r="L871" s="177">
        <f>'[6]price list MAN'!R871</f>
        <v>1410000</v>
      </c>
      <c r="M871" s="174">
        <f>'[6]price list MAN'!S871</f>
        <v>2070000</v>
      </c>
      <c r="N871" s="174">
        <f>'[6]price list MAN'!Y871</f>
        <v>1564500</v>
      </c>
      <c r="O871" s="174">
        <f>'[6]price list MAN'!AA871</f>
        <v>1490000</v>
      </c>
      <c r="P871" s="68">
        <f t="shared" si="66"/>
        <v>0.28019323671497587</v>
      </c>
      <c r="Q871" s="62" t="e">
        <f>O871-#REF!</f>
        <v>#REF!</v>
      </c>
      <c r="W871" s="210"/>
      <c r="X871" s="210"/>
      <c r="Y871" s="210"/>
      <c r="Z871" s="210"/>
      <c r="AA871" s="210"/>
      <c r="AB871" s="210"/>
      <c r="AC871" s="210"/>
      <c r="AT871" s="425" t="str">
        <f t="shared" si="67"/>
        <v>TGS000022017Q415,9</v>
      </c>
      <c r="AU871" s="64" t="str">
        <f t="shared" si="68"/>
        <v>10-2017</v>
      </c>
      <c r="BA871" s="428" t="str">
        <f t="shared" si="69"/>
        <v>WIP - 30 Days</v>
      </c>
    </row>
    <row r="872" spans="2:53">
      <c r="B872" s="36">
        <f>'[6]price list MAN'!B872</f>
        <v>48804</v>
      </c>
      <c r="C872" s="10" t="str">
        <f>'[6]price list MAN'!C872</f>
        <v>TGS-26-4806X4BLS-LX-EL-ACC</v>
      </c>
      <c r="D872" s="16" t="str">
        <f>IFERROR(VLOOKUP(C872&amp;"",'[7]Retail Price List'!$A$3:$B$103,2,FALSE),"Special Order")</f>
        <v>TGS00002</v>
      </c>
      <c r="E872" s="494" t="str">
        <f>'[6]price list MAN'!E872</f>
        <v>CKD</v>
      </c>
      <c r="F872" s="11" t="str">
        <f>'[6]price list MAN'!F872</f>
        <v>2018-07-30</v>
      </c>
      <c r="G872" s="32">
        <f>'[6]price list MAN'!G872</f>
        <v>15.9</v>
      </c>
      <c r="H872" s="26">
        <f>'[6]price list MAN'!H872</f>
        <v>43039</v>
      </c>
      <c r="I872" s="51" t="str">
        <f t="shared" si="65"/>
        <v>2017Q4</v>
      </c>
      <c r="J872" s="177">
        <f>'[6]price list MAN'!J872</f>
        <v>1990000</v>
      </c>
      <c r="K872" s="177">
        <f>'[6]price list MAN'!P872</f>
        <v>1480500</v>
      </c>
      <c r="L872" s="177">
        <f>'[6]price list MAN'!R872</f>
        <v>1410000</v>
      </c>
      <c r="M872" s="174">
        <f>'[6]price list MAN'!S872</f>
        <v>2070000</v>
      </c>
      <c r="N872" s="174">
        <f>'[6]price list MAN'!Y872</f>
        <v>1564500</v>
      </c>
      <c r="O872" s="174">
        <f>'[6]price list MAN'!AA872</f>
        <v>1490000</v>
      </c>
      <c r="P872" s="68">
        <f t="shared" si="66"/>
        <v>0.28019323671497587</v>
      </c>
      <c r="Q872" s="62" t="e">
        <f>O872-#REF!</f>
        <v>#REF!</v>
      </c>
      <c r="W872" s="210"/>
      <c r="X872" s="210"/>
      <c r="Y872" s="210"/>
      <c r="Z872" s="210"/>
      <c r="AA872" s="210"/>
      <c r="AB872" s="210"/>
      <c r="AC872" s="210"/>
      <c r="AT872" s="425" t="str">
        <f t="shared" si="67"/>
        <v>TGS000022017Q415,9</v>
      </c>
      <c r="AU872" s="64" t="str">
        <f t="shared" si="68"/>
        <v>10-2017</v>
      </c>
      <c r="BA872" s="428" t="str">
        <f t="shared" si="69"/>
        <v>WIP - 30 Days</v>
      </c>
    </row>
    <row r="873" spans="2:53">
      <c r="B873" s="36">
        <f>'[6]price list MAN'!B873</f>
        <v>48805</v>
      </c>
      <c r="C873" s="10" t="str">
        <f>'[6]price list MAN'!C873</f>
        <v>TGS-26-4806X4BLS-LX-EL-ACC</v>
      </c>
      <c r="D873" s="16" t="str">
        <f>IFERROR(VLOOKUP(C873&amp;"",'[7]Retail Price List'!$A$3:$B$103,2,FALSE),"Special Order")</f>
        <v>TGS00002</v>
      </c>
      <c r="E873" s="494" t="str">
        <f>'[6]price list MAN'!E873</f>
        <v>CKD</v>
      </c>
      <c r="F873" s="11" t="str">
        <f>'[6]price list MAN'!F873</f>
        <v>2018-07-30</v>
      </c>
      <c r="G873" s="32">
        <f>'[6]price list MAN'!G873</f>
        <v>15.9</v>
      </c>
      <c r="H873" s="26">
        <f>'[6]price list MAN'!H873</f>
        <v>43039</v>
      </c>
      <c r="I873" s="51" t="str">
        <f t="shared" si="65"/>
        <v>2017Q4</v>
      </c>
      <c r="J873" s="177">
        <f>'[6]price list MAN'!J873</f>
        <v>1990000</v>
      </c>
      <c r="K873" s="177">
        <f>'[6]price list MAN'!P873</f>
        <v>1480500</v>
      </c>
      <c r="L873" s="177">
        <f>'[6]price list MAN'!R873</f>
        <v>1410000</v>
      </c>
      <c r="M873" s="174">
        <f>'[6]price list MAN'!S873</f>
        <v>2070000</v>
      </c>
      <c r="N873" s="174">
        <f>'[6]price list MAN'!Y873</f>
        <v>1564500</v>
      </c>
      <c r="O873" s="174">
        <f>'[6]price list MAN'!AA873</f>
        <v>1490000</v>
      </c>
      <c r="P873" s="68">
        <f t="shared" si="66"/>
        <v>0.28019323671497587</v>
      </c>
      <c r="Q873" s="62" t="e">
        <f>O873-#REF!</f>
        <v>#REF!</v>
      </c>
      <c r="W873" s="210"/>
      <c r="X873" s="210"/>
      <c r="Y873" s="210"/>
      <c r="Z873" s="210"/>
      <c r="AA873" s="210"/>
      <c r="AB873" s="210"/>
      <c r="AC873" s="210"/>
      <c r="AT873" s="425" t="str">
        <f t="shared" si="67"/>
        <v>TGS000022017Q415,9</v>
      </c>
      <c r="AU873" s="64" t="str">
        <f t="shared" si="68"/>
        <v>10-2017</v>
      </c>
      <c r="BA873" s="428" t="str">
        <f t="shared" si="69"/>
        <v>WIP - 30 Days</v>
      </c>
    </row>
    <row r="874" spans="2:53">
      <c r="B874" s="36">
        <f>'[6]price list MAN'!B874</f>
        <v>48806</v>
      </c>
      <c r="C874" s="10" t="str">
        <f>'[6]price list MAN'!C874</f>
        <v>TGS-26-4806X4BLS-LX-EL-ACC</v>
      </c>
      <c r="D874" s="16" t="str">
        <f>IFERROR(VLOOKUP(C874&amp;"",'[7]Retail Price List'!$A$3:$B$103,2,FALSE),"Special Order")</f>
        <v>TGS00002</v>
      </c>
      <c r="E874" s="494" t="str">
        <f>'[6]price list MAN'!E874</f>
        <v>CKD</v>
      </c>
      <c r="F874" s="11" t="str">
        <f>'[6]price list MAN'!F874</f>
        <v>2018-07-30</v>
      </c>
      <c r="G874" s="32">
        <f>'[6]price list MAN'!G874</f>
        <v>15.9</v>
      </c>
      <c r="H874" s="26">
        <f>'[6]price list MAN'!H874</f>
        <v>43039</v>
      </c>
      <c r="I874" s="51" t="str">
        <f t="shared" si="65"/>
        <v>2017Q4</v>
      </c>
      <c r="J874" s="177">
        <f>'[6]price list MAN'!J874</f>
        <v>1990000</v>
      </c>
      <c r="K874" s="177">
        <f>'[6]price list MAN'!P874</f>
        <v>1480500</v>
      </c>
      <c r="L874" s="177">
        <f>'[6]price list MAN'!R874</f>
        <v>1410000</v>
      </c>
      <c r="M874" s="174">
        <f>'[6]price list MAN'!S874</f>
        <v>2070000</v>
      </c>
      <c r="N874" s="174">
        <f>'[6]price list MAN'!Y874</f>
        <v>1564500</v>
      </c>
      <c r="O874" s="174">
        <f>'[6]price list MAN'!AA874</f>
        <v>1490000</v>
      </c>
      <c r="P874" s="68">
        <f t="shared" si="66"/>
        <v>0.28019323671497587</v>
      </c>
      <c r="Q874" s="62" t="e">
        <f>O874-#REF!</f>
        <v>#REF!</v>
      </c>
      <c r="W874" s="210"/>
      <c r="X874" s="210"/>
      <c r="Y874" s="210"/>
      <c r="Z874" s="210"/>
      <c r="AA874" s="210"/>
      <c r="AB874" s="210"/>
      <c r="AC874" s="210"/>
      <c r="AT874" s="425" t="str">
        <f t="shared" si="67"/>
        <v>TGS000022017Q415,9</v>
      </c>
      <c r="AU874" s="64" t="str">
        <f t="shared" si="68"/>
        <v>10-2017</v>
      </c>
      <c r="BA874" s="428" t="str">
        <f t="shared" si="69"/>
        <v>WIP - 30 Days</v>
      </c>
    </row>
    <row r="875" spans="2:53">
      <c r="B875" s="36">
        <f>'[6]price list MAN'!B875</f>
        <v>48807</v>
      </c>
      <c r="C875" s="10" t="str">
        <f>'[6]price list MAN'!C875</f>
        <v>TGS-26-4806X4BLS-LX-EL-ACC</v>
      </c>
      <c r="D875" s="16" t="str">
        <f>IFERROR(VLOOKUP(C875&amp;"",'[7]Retail Price List'!$A$3:$B$103,2,FALSE),"Special Order")</f>
        <v>TGS00002</v>
      </c>
      <c r="E875" s="494" t="str">
        <f>'[6]price list MAN'!E875</f>
        <v>CKD</v>
      </c>
      <c r="F875" s="11" t="str">
        <f>'[6]price list MAN'!F875</f>
        <v>2018-07-30</v>
      </c>
      <c r="G875" s="32">
        <f>'[6]price list MAN'!G875</f>
        <v>15.9</v>
      </c>
      <c r="H875" s="26">
        <f>'[6]price list MAN'!H875</f>
        <v>43039</v>
      </c>
      <c r="I875" s="51" t="str">
        <f t="shared" si="65"/>
        <v>2017Q4</v>
      </c>
      <c r="J875" s="177">
        <f>'[6]price list MAN'!J875</f>
        <v>1990000</v>
      </c>
      <c r="K875" s="177">
        <f>'[6]price list MAN'!P875</f>
        <v>1480500</v>
      </c>
      <c r="L875" s="177">
        <f>'[6]price list MAN'!R875</f>
        <v>1410000</v>
      </c>
      <c r="M875" s="174">
        <f>'[6]price list MAN'!S875</f>
        <v>2070000</v>
      </c>
      <c r="N875" s="174">
        <f>'[6]price list MAN'!Y875</f>
        <v>1564500</v>
      </c>
      <c r="O875" s="174">
        <f>'[6]price list MAN'!AA875</f>
        <v>1490000</v>
      </c>
      <c r="P875" s="68">
        <f t="shared" si="66"/>
        <v>0.28019323671497587</v>
      </c>
      <c r="Q875" s="62" t="e">
        <f>O875-#REF!</f>
        <v>#REF!</v>
      </c>
      <c r="W875" s="210"/>
      <c r="X875" s="210"/>
      <c r="Y875" s="210"/>
      <c r="Z875" s="210"/>
      <c r="AA875" s="210"/>
      <c r="AB875" s="210"/>
      <c r="AC875" s="210"/>
      <c r="AT875" s="425" t="str">
        <f t="shared" si="67"/>
        <v>TGS000022017Q415,9</v>
      </c>
      <c r="AU875" s="64" t="str">
        <f t="shared" si="68"/>
        <v>10-2017</v>
      </c>
      <c r="BA875" s="428" t="str">
        <f t="shared" si="69"/>
        <v>WIP - 30 Days</v>
      </c>
    </row>
    <row r="876" spans="2:53">
      <c r="B876" s="36">
        <f>'[6]price list MAN'!B876</f>
        <v>48808</v>
      </c>
      <c r="C876" s="10" t="str">
        <f>'[6]price list MAN'!C876</f>
        <v>TGS-26-4806X4BLS-LX-EL-ACC</v>
      </c>
      <c r="D876" s="16" t="str">
        <f>IFERROR(VLOOKUP(C876&amp;"",'[7]Retail Price List'!$A$3:$B$103,2,FALSE),"Special Order")</f>
        <v>TGS00002</v>
      </c>
      <c r="E876" s="494" t="str">
        <f>'[6]price list MAN'!E876</f>
        <v>CKD</v>
      </c>
      <c r="F876" s="11" t="str">
        <f>'[6]price list MAN'!F876</f>
        <v>2018-08-30</v>
      </c>
      <c r="G876" s="32">
        <f>'[6]price list MAN'!G876</f>
        <v>15.9</v>
      </c>
      <c r="H876" s="26">
        <f>'[6]price list MAN'!H876</f>
        <v>43039</v>
      </c>
      <c r="I876" s="51" t="str">
        <f t="shared" si="65"/>
        <v>2017Q4</v>
      </c>
      <c r="J876" s="177">
        <f>'[6]price list MAN'!J876</f>
        <v>1990000</v>
      </c>
      <c r="K876" s="177">
        <f>'[6]price list MAN'!P876</f>
        <v>1480500</v>
      </c>
      <c r="L876" s="177">
        <f>'[6]price list MAN'!R876</f>
        <v>1410000</v>
      </c>
      <c r="M876" s="174">
        <f>'[6]price list MAN'!S876</f>
        <v>2070000</v>
      </c>
      <c r="N876" s="174">
        <f>'[6]price list MAN'!Y876</f>
        <v>1564500</v>
      </c>
      <c r="O876" s="174">
        <f>'[6]price list MAN'!AA876</f>
        <v>1490000</v>
      </c>
      <c r="P876" s="68">
        <f t="shared" si="66"/>
        <v>0.28019323671497587</v>
      </c>
      <c r="Q876" s="62" t="e">
        <f>O876-#REF!</f>
        <v>#REF!</v>
      </c>
      <c r="W876" s="210"/>
      <c r="X876" s="210"/>
      <c r="Y876" s="210"/>
      <c r="Z876" s="210"/>
      <c r="AA876" s="210"/>
      <c r="AB876" s="210"/>
      <c r="AC876" s="210"/>
      <c r="AT876" s="425" t="str">
        <f t="shared" si="67"/>
        <v>TGS000022017Q415,9</v>
      </c>
      <c r="AU876" s="64" t="str">
        <f t="shared" si="68"/>
        <v>10-2017</v>
      </c>
      <c r="BA876" s="428" t="str">
        <f t="shared" si="69"/>
        <v>WIP - 30 Days</v>
      </c>
    </row>
    <row r="877" spans="2:53">
      <c r="B877" s="36">
        <f>'[6]price list MAN'!B877</f>
        <v>48939</v>
      </c>
      <c r="C877" s="10" t="str">
        <f>'[6]price list MAN'!C877</f>
        <v>TGS-26-4806X4BLS-LX-EL-ACC</v>
      </c>
      <c r="D877" s="16" t="str">
        <f>IFERROR(VLOOKUP(C877&amp;"",'[7]Retail Price List'!$A$3:$B$103,2,FALSE),"Special Order")</f>
        <v>TGS00002</v>
      </c>
      <c r="E877" s="494" t="str">
        <f>'[6]price list MAN'!E877</f>
        <v>CKD</v>
      </c>
      <c r="F877" s="11" t="str">
        <f>'[6]price list MAN'!F877</f>
        <v>2018-07-30</v>
      </c>
      <c r="G877" s="32">
        <f>'[6]price list MAN'!G877</f>
        <v>15.9</v>
      </c>
      <c r="H877" s="26">
        <f>'[6]price list MAN'!H877</f>
        <v>43069</v>
      </c>
      <c r="I877" s="51" t="str">
        <f t="shared" si="65"/>
        <v>2017Q4</v>
      </c>
      <c r="J877" s="177">
        <f>'[6]price list MAN'!J877</f>
        <v>1990000</v>
      </c>
      <c r="K877" s="177">
        <f>'[6]price list MAN'!P877</f>
        <v>1480500</v>
      </c>
      <c r="L877" s="177">
        <f>'[6]price list MAN'!R877</f>
        <v>1410000</v>
      </c>
      <c r="M877" s="174">
        <f>'[6]price list MAN'!S877</f>
        <v>2070000</v>
      </c>
      <c r="N877" s="174">
        <f>'[6]price list MAN'!Y877</f>
        <v>1564500</v>
      </c>
      <c r="O877" s="174">
        <f>'[6]price list MAN'!AA877</f>
        <v>1490000</v>
      </c>
      <c r="P877" s="68">
        <f t="shared" si="66"/>
        <v>0.28019323671497587</v>
      </c>
      <c r="Q877" s="62" t="e">
        <f>O877-#REF!</f>
        <v>#REF!</v>
      </c>
      <c r="W877" s="210"/>
      <c r="X877" s="210"/>
      <c r="Y877" s="210"/>
      <c r="Z877" s="210"/>
      <c r="AA877" s="210"/>
      <c r="AB877" s="210"/>
      <c r="AC877" s="210"/>
      <c r="AT877" s="425" t="str">
        <f t="shared" si="67"/>
        <v>TGS000022017Q415,9</v>
      </c>
      <c r="AU877" s="64" t="str">
        <f t="shared" si="68"/>
        <v>11-2017</v>
      </c>
      <c r="BA877" s="428" t="str">
        <f t="shared" si="69"/>
        <v>WIP - 30 Days</v>
      </c>
    </row>
    <row r="878" spans="2:53">
      <c r="B878" s="36">
        <f>'[6]price list MAN'!B878</f>
        <v>48940</v>
      </c>
      <c r="C878" s="10" t="str">
        <f>'[6]price list MAN'!C878</f>
        <v>TGS-26-4806X4BLS-LX-EL-ACC</v>
      </c>
      <c r="D878" s="16" t="str">
        <f>IFERROR(VLOOKUP(C878&amp;"",'[7]Retail Price List'!$A$3:$B$103,2,FALSE),"Special Order")</f>
        <v>TGS00002</v>
      </c>
      <c r="E878" s="494" t="str">
        <f>'[6]price list MAN'!E878</f>
        <v>CKD</v>
      </c>
      <c r="F878" s="11" t="str">
        <f>'[6]price list MAN'!F878</f>
        <v>2018-07-30</v>
      </c>
      <c r="G878" s="32">
        <f>'[6]price list MAN'!G878</f>
        <v>15.9</v>
      </c>
      <c r="H878" s="26">
        <f>'[6]price list MAN'!H878</f>
        <v>43069</v>
      </c>
      <c r="I878" s="51" t="str">
        <f t="shared" si="65"/>
        <v>2017Q4</v>
      </c>
      <c r="J878" s="177">
        <f>'[6]price list MAN'!J878</f>
        <v>1990000</v>
      </c>
      <c r="K878" s="177">
        <f>'[6]price list MAN'!P878</f>
        <v>1480500</v>
      </c>
      <c r="L878" s="177">
        <f>'[6]price list MAN'!R878</f>
        <v>1410000</v>
      </c>
      <c r="M878" s="174">
        <f>'[6]price list MAN'!S878</f>
        <v>2070000</v>
      </c>
      <c r="N878" s="174">
        <f>'[6]price list MAN'!Y878</f>
        <v>1564500</v>
      </c>
      <c r="O878" s="174">
        <f>'[6]price list MAN'!AA878</f>
        <v>1490000</v>
      </c>
      <c r="P878" s="68">
        <f t="shared" si="66"/>
        <v>0.28019323671497587</v>
      </c>
      <c r="Q878" s="62" t="e">
        <f>O878-#REF!</f>
        <v>#REF!</v>
      </c>
      <c r="W878" s="210"/>
      <c r="X878" s="210"/>
      <c r="Y878" s="210"/>
      <c r="Z878" s="210"/>
      <c r="AA878" s="210"/>
      <c r="AB878" s="210"/>
      <c r="AC878" s="210"/>
      <c r="AT878" s="425" t="str">
        <f t="shared" si="67"/>
        <v>TGS000022017Q415,9</v>
      </c>
      <c r="AU878" s="64" t="str">
        <f t="shared" si="68"/>
        <v>11-2017</v>
      </c>
      <c r="BA878" s="428" t="str">
        <f t="shared" si="69"/>
        <v>WIP - 30 Days</v>
      </c>
    </row>
    <row r="879" spans="2:53">
      <c r="B879" s="36">
        <f>'[6]price list MAN'!B879</f>
        <v>48941</v>
      </c>
      <c r="C879" s="10" t="str">
        <f>'[6]price list MAN'!C879</f>
        <v>TGS-26-4806X4BLS-LX-EL-ACC</v>
      </c>
      <c r="D879" s="16" t="str">
        <f>IFERROR(VLOOKUP(C879&amp;"",'[7]Retail Price List'!$A$3:$B$103,2,FALSE),"Special Order")</f>
        <v>TGS00002</v>
      </c>
      <c r="E879" s="494" t="str">
        <f>'[6]price list MAN'!E879</f>
        <v>CKD</v>
      </c>
      <c r="F879" s="11" t="str">
        <f>'[6]price list MAN'!F879</f>
        <v>2018-07-30</v>
      </c>
      <c r="G879" s="32">
        <f>'[6]price list MAN'!G879</f>
        <v>15.9</v>
      </c>
      <c r="H879" s="26">
        <f>'[6]price list MAN'!H879</f>
        <v>43069</v>
      </c>
      <c r="I879" s="51" t="str">
        <f t="shared" si="65"/>
        <v>2017Q4</v>
      </c>
      <c r="J879" s="177">
        <f>'[6]price list MAN'!J879</f>
        <v>1990000</v>
      </c>
      <c r="K879" s="177">
        <f>'[6]price list MAN'!P879</f>
        <v>1480500</v>
      </c>
      <c r="L879" s="177">
        <f>'[6]price list MAN'!R879</f>
        <v>1410000</v>
      </c>
      <c r="M879" s="174">
        <f>'[6]price list MAN'!S879</f>
        <v>2070000</v>
      </c>
      <c r="N879" s="174">
        <f>'[6]price list MAN'!Y879</f>
        <v>1564500</v>
      </c>
      <c r="O879" s="174">
        <f>'[6]price list MAN'!AA879</f>
        <v>1490000</v>
      </c>
      <c r="P879" s="68">
        <f t="shared" si="66"/>
        <v>0.28019323671497587</v>
      </c>
      <c r="Q879" s="62" t="e">
        <f>O879-#REF!</f>
        <v>#REF!</v>
      </c>
      <c r="W879" s="210"/>
      <c r="X879" s="210"/>
      <c r="Y879" s="210"/>
      <c r="Z879" s="210"/>
      <c r="AA879" s="210"/>
      <c r="AB879" s="210"/>
      <c r="AC879" s="210"/>
      <c r="AT879" s="425" t="str">
        <f t="shared" si="67"/>
        <v>TGS000022017Q415,9</v>
      </c>
      <c r="AU879" s="64" t="str">
        <f t="shared" si="68"/>
        <v>11-2017</v>
      </c>
      <c r="BA879" s="428" t="str">
        <f t="shared" si="69"/>
        <v>WIP - 30 Days</v>
      </c>
    </row>
    <row r="880" spans="2:53">
      <c r="B880" s="36">
        <f>'[6]price list MAN'!B880</f>
        <v>48942</v>
      </c>
      <c r="C880" s="10" t="str">
        <f>'[6]price list MAN'!C880</f>
        <v>TGS-26-4806X4BLS-LX-EL-ACC</v>
      </c>
      <c r="D880" s="16" t="str">
        <f>IFERROR(VLOOKUP(C880&amp;"",'[7]Retail Price List'!$A$3:$B$103,2,FALSE),"Special Order")</f>
        <v>TGS00002</v>
      </c>
      <c r="E880" s="494" t="str">
        <f>'[6]price list MAN'!E880</f>
        <v>CKD</v>
      </c>
      <c r="F880" s="11" t="str">
        <f>'[6]price list MAN'!F880</f>
        <v>2018-07-30</v>
      </c>
      <c r="G880" s="32">
        <f>'[6]price list MAN'!G880</f>
        <v>15.9</v>
      </c>
      <c r="H880" s="26">
        <f>'[6]price list MAN'!H880</f>
        <v>43069</v>
      </c>
      <c r="I880" s="51" t="str">
        <f t="shared" si="65"/>
        <v>2017Q4</v>
      </c>
      <c r="J880" s="177">
        <f>'[6]price list MAN'!J880</f>
        <v>1990000</v>
      </c>
      <c r="K880" s="177">
        <f>'[6]price list MAN'!P880</f>
        <v>1480500</v>
      </c>
      <c r="L880" s="177">
        <f>'[6]price list MAN'!R880</f>
        <v>1410000</v>
      </c>
      <c r="M880" s="174">
        <f>'[6]price list MAN'!S880</f>
        <v>2070000</v>
      </c>
      <c r="N880" s="174">
        <f>'[6]price list MAN'!Y880</f>
        <v>1564500</v>
      </c>
      <c r="O880" s="174">
        <f>'[6]price list MAN'!AA880</f>
        <v>1490000</v>
      </c>
      <c r="P880" s="68">
        <f t="shared" si="66"/>
        <v>0.28019323671497587</v>
      </c>
      <c r="Q880" s="62" t="e">
        <f>O880-#REF!</f>
        <v>#REF!</v>
      </c>
      <c r="W880" s="210"/>
      <c r="X880" s="210"/>
      <c r="Y880" s="210"/>
      <c r="Z880" s="210"/>
      <c r="AA880" s="210"/>
      <c r="AB880" s="210"/>
      <c r="AC880" s="210"/>
      <c r="AT880" s="425" t="str">
        <f t="shared" si="67"/>
        <v>TGS000022017Q415,9</v>
      </c>
      <c r="AU880" s="64" t="str">
        <f t="shared" si="68"/>
        <v>11-2017</v>
      </c>
      <c r="BA880" s="428" t="str">
        <f t="shared" si="69"/>
        <v>WIP - 30 Days</v>
      </c>
    </row>
    <row r="881" spans="2:53">
      <c r="B881" s="36">
        <f>'[6]price list MAN'!B881</f>
        <v>48943</v>
      </c>
      <c r="C881" s="10" t="str">
        <f>'[6]price list MAN'!C881</f>
        <v>TGS-26-4806X4BLS-LX-EL-ACC</v>
      </c>
      <c r="D881" s="16" t="str">
        <f>IFERROR(VLOOKUP(C881&amp;"",'[7]Retail Price List'!$A$3:$B$103,2,FALSE),"Special Order")</f>
        <v>TGS00002</v>
      </c>
      <c r="E881" s="494" t="str">
        <f>'[6]price list MAN'!E881</f>
        <v>CKD</v>
      </c>
      <c r="F881" s="11" t="str">
        <f>'[6]price list MAN'!F881</f>
        <v>2018-07-30</v>
      </c>
      <c r="G881" s="32">
        <f>'[6]price list MAN'!G881</f>
        <v>15.9</v>
      </c>
      <c r="H881" s="26">
        <f>'[6]price list MAN'!H881</f>
        <v>43069</v>
      </c>
      <c r="I881" s="51" t="str">
        <f t="shared" si="65"/>
        <v>2017Q4</v>
      </c>
      <c r="J881" s="177">
        <f>'[6]price list MAN'!J881</f>
        <v>1990000</v>
      </c>
      <c r="K881" s="177">
        <f>'[6]price list MAN'!P881</f>
        <v>1480500</v>
      </c>
      <c r="L881" s="177">
        <f>'[6]price list MAN'!R881</f>
        <v>1410000</v>
      </c>
      <c r="M881" s="174">
        <f>'[6]price list MAN'!S881</f>
        <v>2070000</v>
      </c>
      <c r="N881" s="174">
        <f>'[6]price list MAN'!Y881</f>
        <v>1564500</v>
      </c>
      <c r="O881" s="174">
        <f>'[6]price list MAN'!AA881</f>
        <v>1490000</v>
      </c>
      <c r="P881" s="68">
        <f t="shared" si="66"/>
        <v>0.28019323671497587</v>
      </c>
      <c r="Q881" s="62" t="e">
        <f>O881-#REF!</f>
        <v>#REF!</v>
      </c>
      <c r="W881" s="210"/>
      <c r="X881" s="210"/>
      <c r="Y881" s="210"/>
      <c r="Z881" s="210"/>
      <c r="AA881" s="210"/>
      <c r="AB881" s="210"/>
      <c r="AC881" s="210"/>
      <c r="AT881" s="425" t="str">
        <f t="shared" si="67"/>
        <v>TGS000022017Q415,9</v>
      </c>
      <c r="AU881" s="64" t="str">
        <f t="shared" si="68"/>
        <v>11-2017</v>
      </c>
      <c r="BA881" s="428" t="str">
        <f t="shared" si="69"/>
        <v>WIP - 30 Days</v>
      </c>
    </row>
    <row r="882" spans="2:53">
      <c r="B882" s="36">
        <f>'[6]price list MAN'!B882</f>
        <v>48944</v>
      </c>
      <c r="C882" s="10" t="str">
        <f>'[6]price list MAN'!C882</f>
        <v>TGS-26-4806X4BLS-LX-EL-ACC</v>
      </c>
      <c r="D882" s="16" t="str">
        <f>IFERROR(VLOOKUP(C882&amp;"",'[7]Retail Price List'!$A$3:$B$103,2,FALSE),"Special Order")</f>
        <v>TGS00002</v>
      </c>
      <c r="E882" s="494" t="str">
        <f>'[6]price list MAN'!E882</f>
        <v>CKD</v>
      </c>
      <c r="F882" s="11" t="str">
        <f>'[6]price list MAN'!F882</f>
        <v>2018-07-30</v>
      </c>
      <c r="G882" s="32">
        <f>'[6]price list MAN'!G882</f>
        <v>15.9</v>
      </c>
      <c r="H882" s="26">
        <f>'[6]price list MAN'!H882</f>
        <v>43069</v>
      </c>
      <c r="I882" s="51" t="str">
        <f t="shared" si="65"/>
        <v>2017Q4</v>
      </c>
      <c r="J882" s="177">
        <f>'[6]price list MAN'!J882</f>
        <v>1990000</v>
      </c>
      <c r="K882" s="177">
        <f>'[6]price list MAN'!P882</f>
        <v>1480500</v>
      </c>
      <c r="L882" s="177">
        <f>'[6]price list MAN'!R882</f>
        <v>1410000</v>
      </c>
      <c r="M882" s="174">
        <f>'[6]price list MAN'!S882</f>
        <v>2070000</v>
      </c>
      <c r="N882" s="174">
        <f>'[6]price list MAN'!Y882</f>
        <v>1564500</v>
      </c>
      <c r="O882" s="174">
        <f>'[6]price list MAN'!AA882</f>
        <v>1490000</v>
      </c>
      <c r="P882" s="68">
        <f t="shared" si="66"/>
        <v>0.28019323671497587</v>
      </c>
      <c r="Q882" s="62" t="e">
        <f>O882-#REF!</f>
        <v>#REF!</v>
      </c>
      <c r="W882" s="210"/>
      <c r="X882" s="210"/>
      <c r="Y882" s="210"/>
      <c r="Z882" s="210"/>
      <c r="AA882" s="210"/>
      <c r="AB882" s="210"/>
      <c r="AC882" s="210"/>
      <c r="AT882" s="425" t="str">
        <f t="shared" si="67"/>
        <v>TGS000022017Q415,9</v>
      </c>
      <c r="AU882" s="64" t="str">
        <f t="shared" si="68"/>
        <v>11-2017</v>
      </c>
      <c r="BA882" s="428" t="str">
        <f t="shared" si="69"/>
        <v>WIP - 30 Days</v>
      </c>
    </row>
    <row r="883" spans="2:53">
      <c r="B883" s="36">
        <f>'[6]price list MAN'!B883</f>
        <v>48945</v>
      </c>
      <c r="C883" s="10" t="str">
        <f>'[6]price list MAN'!C883</f>
        <v>TGS-26-4806X4BLS-LX-EL-ACC</v>
      </c>
      <c r="D883" s="16" t="str">
        <f>IFERROR(VLOOKUP(C883&amp;"",'[7]Retail Price List'!$A$3:$B$103,2,FALSE),"Special Order")</f>
        <v>TGS00002</v>
      </c>
      <c r="E883" s="494" t="str">
        <f>'[6]price list MAN'!E883</f>
        <v>CKD</v>
      </c>
      <c r="F883" s="11" t="str">
        <f>'[6]price list MAN'!F883</f>
        <v>2018-07-30</v>
      </c>
      <c r="G883" s="32">
        <f>'[6]price list MAN'!G883</f>
        <v>15.9</v>
      </c>
      <c r="H883" s="26">
        <f>'[6]price list MAN'!H883</f>
        <v>43069</v>
      </c>
      <c r="I883" s="51" t="str">
        <f t="shared" si="65"/>
        <v>2017Q4</v>
      </c>
      <c r="J883" s="177">
        <f>'[6]price list MAN'!J883</f>
        <v>1990000</v>
      </c>
      <c r="K883" s="177">
        <f>'[6]price list MAN'!P883</f>
        <v>1480500</v>
      </c>
      <c r="L883" s="177">
        <f>'[6]price list MAN'!R883</f>
        <v>1410000</v>
      </c>
      <c r="M883" s="174">
        <f>'[6]price list MAN'!S883</f>
        <v>2070000</v>
      </c>
      <c r="N883" s="174">
        <f>'[6]price list MAN'!Y883</f>
        <v>1564500</v>
      </c>
      <c r="O883" s="174">
        <f>'[6]price list MAN'!AA883</f>
        <v>1490000</v>
      </c>
      <c r="P883" s="68">
        <f t="shared" si="66"/>
        <v>0.28019323671497587</v>
      </c>
      <c r="Q883" s="62" t="e">
        <f>O883-#REF!</f>
        <v>#REF!</v>
      </c>
      <c r="W883" s="210"/>
      <c r="X883" s="210"/>
      <c r="Y883" s="210"/>
      <c r="Z883" s="210"/>
      <c r="AA883" s="210"/>
      <c r="AB883" s="210"/>
      <c r="AC883" s="210"/>
      <c r="AT883" s="425" t="str">
        <f t="shared" si="67"/>
        <v>TGS000022017Q415,9</v>
      </c>
      <c r="AU883" s="64" t="str">
        <f t="shared" si="68"/>
        <v>11-2017</v>
      </c>
      <c r="BA883" s="428" t="str">
        <f t="shared" si="69"/>
        <v>WIP - 30 Days</v>
      </c>
    </row>
    <row r="884" spans="2:53">
      <c r="B884" s="36">
        <f>'[6]price list MAN'!B884</f>
        <v>48946</v>
      </c>
      <c r="C884" s="10" t="str">
        <f>'[6]price list MAN'!C884</f>
        <v>TGS-26-4806X4BLS-LX-EL-ACC</v>
      </c>
      <c r="D884" s="16" t="str">
        <f>IFERROR(VLOOKUP(C884&amp;"",'[7]Retail Price List'!$A$3:$B$103,2,FALSE),"Special Order")</f>
        <v>TGS00002</v>
      </c>
      <c r="E884" s="494" t="str">
        <f>'[6]price list MAN'!E884</f>
        <v>CKD</v>
      </c>
      <c r="F884" s="11" t="str">
        <f>'[6]price list MAN'!F884</f>
        <v>2018-08-30</v>
      </c>
      <c r="G884" s="32">
        <f>'[6]price list MAN'!G884</f>
        <v>15.9</v>
      </c>
      <c r="H884" s="26">
        <f>'[6]price list MAN'!H884</f>
        <v>43069</v>
      </c>
      <c r="I884" s="51" t="str">
        <f t="shared" si="65"/>
        <v>2017Q4</v>
      </c>
      <c r="J884" s="177">
        <f>'[6]price list MAN'!J884</f>
        <v>1990000</v>
      </c>
      <c r="K884" s="177">
        <f>'[6]price list MAN'!P884</f>
        <v>1480500</v>
      </c>
      <c r="L884" s="177">
        <f>'[6]price list MAN'!R884</f>
        <v>1410000</v>
      </c>
      <c r="M884" s="174">
        <f>'[6]price list MAN'!S884</f>
        <v>2070000</v>
      </c>
      <c r="N884" s="174">
        <f>'[6]price list MAN'!Y884</f>
        <v>1564500</v>
      </c>
      <c r="O884" s="174">
        <f>'[6]price list MAN'!AA884</f>
        <v>1490000</v>
      </c>
      <c r="P884" s="68">
        <f t="shared" si="66"/>
        <v>0.28019323671497587</v>
      </c>
      <c r="Q884" s="62" t="e">
        <f>O884-#REF!</f>
        <v>#REF!</v>
      </c>
      <c r="W884" s="210"/>
      <c r="X884" s="210"/>
      <c r="Y884" s="210"/>
      <c r="Z884" s="210"/>
      <c r="AA884" s="210"/>
      <c r="AB884" s="210"/>
      <c r="AC884" s="210"/>
      <c r="AT884" s="425" t="str">
        <f t="shared" si="67"/>
        <v>TGS000022017Q415,9</v>
      </c>
      <c r="AU884" s="64" t="str">
        <f t="shared" si="68"/>
        <v>11-2017</v>
      </c>
      <c r="BA884" s="428" t="str">
        <f t="shared" si="69"/>
        <v>WIP - 30 Days</v>
      </c>
    </row>
    <row r="885" spans="2:53">
      <c r="B885" s="36">
        <f>'[6]price list MAN'!B885</f>
        <v>49043</v>
      </c>
      <c r="C885" s="10" t="str">
        <f>'[6]price list MAN'!C885</f>
        <v>TGS-26-4806X4BLS-LX-EL-ACC</v>
      </c>
      <c r="D885" s="16" t="str">
        <f>IFERROR(VLOOKUP(C885&amp;"",'[7]Retail Price List'!$A$3:$B$103,2,FALSE),"Special Order")</f>
        <v>TGS00002</v>
      </c>
      <c r="E885" s="494" t="str">
        <f>'[6]price list MAN'!E885</f>
        <v>CKD</v>
      </c>
      <c r="F885" s="11" t="str">
        <f>'[6]price list MAN'!F885</f>
        <v>2018-07-30</v>
      </c>
      <c r="G885" s="32">
        <f>'[6]price list MAN'!G885</f>
        <v>15.9</v>
      </c>
      <c r="H885" s="26">
        <f>'[6]price list MAN'!H885</f>
        <v>43069</v>
      </c>
      <c r="I885" s="51" t="str">
        <f t="shared" si="65"/>
        <v>2017Q4</v>
      </c>
      <c r="J885" s="177">
        <f>'[6]price list MAN'!J885</f>
        <v>1990000</v>
      </c>
      <c r="K885" s="177">
        <f>'[6]price list MAN'!P885</f>
        <v>1480500</v>
      </c>
      <c r="L885" s="177">
        <f>'[6]price list MAN'!R885</f>
        <v>1410000</v>
      </c>
      <c r="M885" s="174">
        <f>'[6]price list MAN'!S885</f>
        <v>2070000</v>
      </c>
      <c r="N885" s="174">
        <f>'[6]price list MAN'!Y885</f>
        <v>1564500</v>
      </c>
      <c r="O885" s="174">
        <f>'[6]price list MAN'!AA885</f>
        <v>1490000</v>
      </c>
      <c r="P885" s="68">
        <f t="shared" si="66"/>
        <v>0.28019323671497587</v>
      </c>
      <c r="Q885" s="62" t="e">
        <f>O885-#REF!</f>
        <v>#REF!</v>
      </c>
      <c r="W885" s="210"/>
      <c r="X885" s="210"/>
      <c r="Y885" s="210"/>
      <c r="Z885" s="210"/>
      <c r="AA885" s="210"/>
      <c r="AB885" s="210"/>
      <c r="AC885" s="210"/>
      <c r="AT885" s="425" t="str">
        <f t="shared" si="67"/>
        <v>TGS000022017Q415,9</v>
      </c>
      <c r="AU885" s="64" t="str">
        <f t="shared" si="68"/>
        <v>11-2017</v>
      </c>
      <c r="BA885" s="428" t="str">
        <f t="shared" si="69"/>
        <v>WIP - 30 Days</v>
      </c>
    </row>
    <row r="886" spans="2:53">
      <c r="B886" s="36">
        <f>'[6]price list MAN'!B886</f>
        <v>49044</v>
      </c>
      <c r="C886" s="10" t="str">
        <f>'[6]price list MAN'!C886</f>
        <v>TGS-26-4806X4BLS-LX-EL-ACC</v>
      </c>
      <c r="D886" s="16" t="str">
        <f>IFERROR(VLOOKUP(C886&amp;"",'[7]Retail Price List'!$A$3:$B$103,2,FALSE),"Special Order")</f>
        <v>TGS00002</v>
      </c>
      <c r="E886" s="494" t="str">
        <f>'[6]price list MAN'!E886</f>
        <v>CKD</v>
      </c>
      <c r="F886" s="11" t="str">
        <f>'[6]price list MAN'!F886</f>
        <v>2018-08-30</v>
      </c>
      <c r="G886" s="32">
        <f>'[6]price list MAN'!G886</f>
        <v>15.9</v>
      </c>
      <c r="H886" s="26">
        <f>'[6]price list MAN'!H886</f>
        <v>43069</v>
      </c>
      <c r="I886" s="51" t="str">
        <f t="shared" si="65"/>
        <v>2017Q4</v>
      </c>
      <c r="J886" s="177">
        <f>'[6]price list MAN'!J886</f>
        <v>1990000</v>
      </c>
      <c r="K886" s="177">
        <f>'[6]price list MAN'!P886</f>
        <v>1480500</v>
      </c>
      <c r="L886" s="177">
        <f>'[6]price list MAN'!R886</f>
        <v>1410000</v>
      </c>
      <c r="M886" s="174">
        <f>'[6]price list MAN'!S886</f>
        <v>2070000</v>
      </c>
      <c r="N886" s="174">
        <f>'[6]price list MAN'!Y886</f>
        <v>1564500</v>
      </c>
      <c r="O886" s="174">
        <f>'[6]price list MAN'!AA886</f>
        <v>1490000</v>
      </c>
      <c r="P886" s="68">
        <f t="shared" si="66"/>
        <v>0.28019323671497587</v>
      </c>
      <c r="Q886" s="62" t="e">
        <f>O886-#REF!</f>
        <v>#REF!</v>
      </c>
      <c r="W886" s="210"/>
      <c r="X886" s="210"/>
      <c r="Y886" s="210"/>
      <c r="Z886" s="210"/>
      <c r="AA886" s="210"/>
      <c r="AB886" s="210"/>
      <c r="AC886" s="210"/>
      <c r="AT886" s="425" t="str">
        <f t="shared" si="67"/>
        <v>TGS000022017Q415,9</v>
      </c>
      <c r="AU886" s="64" t="str">
        <f t="shared" si="68"/>
        <v>11-2017</v>
      </c>
      <c r="BA886" s="428" t="str">
        <f t="shared" si="69"/>
        <v>WIP - 30 Days</v>
      </c>
    </row>
    <row r="887" spans="2:53">
      <c r="B887" s="36">
        <f>'[6]price list MAN'!B887</f>
        <v>49045</v>
      </c>
      <c r="C887" s="10" t="str">
        <f>'[6]price list MAN'!C887</f>
        <v>TGS-26-4806X4BLS-LX-EL-ACC</v>
      </c>
      <c r="D887" s="16" t="str">
        <f>IFERROR(VLOOKUP(C887&amp;"",'[7]Retail Price List'!$A$3:$B$103,2,FALSE),"Special Order")</f>
        <v>TGS00002</v>
      </c>
      <c r="E887" s="494" t="str">
        <f>'[6]price list MAN'!E887</f>
        <v>CKD</v>
      </c>
      <c r="F887" s="11" t="str">
        <f>'[6]price list MAN'!F887</f>
        <v>2018-08-30</v>
      </c>
      <c r="G887" s="32">
        <f>'[6]price list MAN'!G887</f>
        <v>15.9</v>
      </c>
      <c r="H887" s="26">
        <f>'[6]price list MAN'!H887</f>
        <v>43069</v>
      </c>
      <c r="I887" s="51" t="str">
        <f t="shared" si="65"/>
        <v>2017Q4</v>
      </c>
      <c r="J887" s="177">
        <f>'[6]price list MAN'!J887</f>
        <v>1990000</v>
      </c>
      <c r="K887" s="177">
        <f>'[6]price list MAN'!P887</f>
        <v>1480500</v>
      </c>
      <c r="L887" s="177">
        <f>'[6]price list MAN'!R887</f>
        <v>1410000</v>
      </c>
      <c r="M887" s="174">
        <f>'[6]price list MAN'!S887</f>
        <v>2070000</v>
      </c>
      <c r="N887" s="174">
        <f>'[6]price list MAN'!Y887</f>
        <v>1564500</v>
      </c>
      <c r="O887" s="174">
        <f>'[6]price list MAN'!AA887</f>
        <v>1490000</v>
      </c>
      <c r="P887" s="68">
        <f t="shared" si="66"/>
        <v>0.28019323671497587</v>
      </c>
      <c r="Q887" s="62" t="e">
        <f>O887-#REF!</f>
        <v>#REF!</v>
      </c>
      <c r="W887" s="210"/>
      <c r="X887" s="210"/>
      <c r="Y887" s="210"/>
      <c r="Z887" s="210"/>
      <c r="AA887" s="210"/>
      <c r="AB887" s="210"/>
      <c r="AC887" s="210"/>
      <c r="AT887" s="425" t="str">
        <f t="shared" si="67"/>
        <v>TGS000022017Q415,9</v>
      </c>
      <c r="AU887" s="64" t="str">
        <f t="shared" si="68"/>
        <v>11-2017</v>
      </c>
      <c r="BA887" s="428" t="str">
        <f t="shared" si="69"/>
        <v>WIP - 30 Days</v>
      </c>
    </row>
    <row r="888" spans="2:53">
      <c r="B888" s="36">
        <f>'[6]price list MAN'!B888</f>
        <v>49046</v>
      </c>
      <c r="C888" s="10" t="str">
        <f>'[6]price list MAN'!C888</f>
        <v>TGS-26-4806X4BLS-LX-EL-ACC</v>
      </c>
      <c r="D888" s="16" t="str">
        <f>IFERROR(VLOOKUP(C888&amp;"",'[7]Retail Price List'!$A$3:$B$103,2,FALSE),"Special Order")</f>
        <v>TGS00002</v>
      </c>
      <c r="E888" s="494" t="str">
        <f>'[6]price list MAN'!E888</f>
        <v>CKD</v>
      </c>
      <c r="F888" s="11" t="str">
        <f>'[6]price list MAN'!F888</f>
        <v>2018-08-30</v>
      </c>
      <c r="G888" s="32">
        <f>'[6]price list MAN'!G888</f>
        <v>15.9</v>
      </c>
      <c r="H888" s="26">
        <f>'[6]price list MAN'!H888</f>
        <v>43069</v>
      </c>
      <c r="I888" s="51" t="str">
        <f t="shared" si="65"/>
        <v>2017Q4</v>
      </c>
      <c r="J888" s="177">
        <f>'[6]price list MAN'!J888</f>
        <v>1990000</v>
      </c>
      <c r="K888" s="177">
        <f>'[6]price list MAN'!P888</f>
        <v>1480500</v>
      </c>
      <c r="L888" s="177">
        <f>'[6]price list MAN'!R888</f>
        <v>1410000</v>
      </c>
      <c r="M888" s="174">
        <f>'[6]price list MAN'!S888</f>
        <v>2070000</v>
      </c>
      <c r="N888" s="174">
        <f>'[6]price list MAN'!Y888</f>
        <v>1564500</v>
      </c>
      <c r="O888" s="174">
        <f>'[6]price list MAN'!AA888</f>
        <v>1490000</v>
      </c>
      <c r="P888" s="68">
        <f t="shared" si="66"/>
        <v>0.28019323671497587</v>
      </c>
      <c r="Q888" s="62" t="e">
        <f>O888-#REF!</f>
        <v>#REF!</v>
      </c>
      <c r="W888" s="210"/>
      <c r="X888" s="210"/>
      <c r="Y888" s="210"/>
      <c r="Z888" s="210"/>
      <c r="AA888" s="210"/>
      <c r="AB888" s="210"/>
      <c r="AC888" s="210"/>
      <c r="AT888" s="425" t="str">
        <f t="shared" si="67"/>
        <v>TGS000022017Q415,9</v>
      </c>
      <c r="AU888" s="64" t="str">
        <f t="shared" si="68"/>
        <v>11-2017</v>
      </c>
      <c r="BA888" s="428" t="str">
        <f t="shared" si="69"/>
        <v>WIP - 30 Days</v>
      </c>
    </row>
    <row r="889" spans="2:53">
      <c r="B889" s="36">
        <f>'[6]price list MAN'!B889</f>
        <v>49047</v>
      </c>
      <c r="C889" s="10" t="str">
        <f>'[6]price list MAN'!C889</f>
        <v>TGS-26-4806X4BLS-LX-EL-ACC</v>
      </c>
      <c r="D889" s="16" t="str">
        <f>IFERROR(VLOOKUP(C889&amp;"",'[7]Retail Price List'!$A$3:$B$103,2,FALSE),"Special Order")</f>
        <v>TGS00002</v>
      </c>
      <c r="E889" s="494" t="str">
        <f>'[6]price list MAN'!E889</f>
        <v>CKD</v>
      </c>
      <c r="F889" s="11" t="str">
        <f>'[6]price list MAN'!F889</f>
        <v>2018-07-30</v>
      </c>
      <c r="G889" s="32">
        <f>'[6]price list MAN'!G889</f>
        <v>15.9</v>
      </c>
      <c r="H889" s="26">
        <f>'[6]price list MAN'!H889</f>
        <v>43069</v>
      </c>
      <c r="I889" s="51" t="str">
        <f t="shared" si="65"/>
        <v>2017Q4</v>
      </c>
      <c r="J889" s="177">
        <f>'[6]price list MAN'!J889</f>
        <v>1990000</v>
      </c>
      <c r="K889" s="177">
        <f>'[6]price list MAN'!P889</f>
        <v>1480500</v>
      </c>
      <c r="L889" s="177">
        <f>'[6]price list MAN'!R889</f>
        <v>1410000</v>
      </c>
      <c r="M889" s="174">
        <f>'[6]price list MAN'!S889</f>
        <v>2070000</v>
      </c>
      <c r="N889" s="174">
        <f>'[6]price list MAN'!Y889</f>
        <v>1564500</v>
      </c>
      <c r="O889" s="174">
        <f>'[6]price list MAN'!AA889</f>
        <v>1490000</v>
      </c>
      <c r="P889" s="68">
        <f t="shared" si="66"/>
        <v>0.28019323671497587</v>
      </c>
      <c r="Q889" s="62" t="e">
        <f>O889-#REF!</f>
        <v>#REF!</v>
      </c>
      <c r="W889" s="210"/>
      <c r="X889" s="210"/>
      <c r="Y889" s="210"/>
      <c r="Z889" s="210"/>
      <c r="AA889" s="210"/>
      <c r="AB889" s="210"/>
      <c r="AC889" s="210"/>
      <c r="AT889" s="425" t="str">
        <f t="shared" si="67"/>
        <v>TGS000022017Q415,9</v>
      </c>
      <c r="AU889" s="64" t="str">
        <f t="shared" si="68"/>
        <v>11-2017</v>
      </c>
      <c r="BA889" s="428" t="str">
        <f t="shared" si="69"/>
        <v>WIP - 30 Days</v>
      </c>
    </row>
    <row r="890" spans="2:53">
      <c r="B890" s="36">
        <f>'[6]price list MAN'!B890</f>
        <v>49048</v>
      </c>
      <c r="C890" s="10" t="str">
        <f>'[6]price list MAN'!C890</f>
        <v>TGS-26-4806X4BLS-LX-EL-ACC</v>
      </c>
      <c r="D890" s="16" t="str">
        <f>IFERROR(VLOOKUP(C890&amp;"",'[7]Retail Price List'!$A$3:$B$103,2,FALSE),"Special Order")</f>
        <v>TGS00002</v>
      </c>
      <c r="E890" s="494" t="str">
        <f>'[6]price list MAN'!E890</f>
        <v>CKD</v>
      </c>
      <c r="F890" s="11" t="str">
        <f>'[6]price list MAN'!F890</f>
        <v>2018-07-30</v>
      </c>
      <c r="G890" s="32">
        <f>'[6]price list MAN'!G890</f>
        <v>15.9</v>
      </c>
      <c r="H890" s="26">
        <f>'[6]price list MAN'!H890</f>
        <v>43069</v>
      </c>
      <c r="I890" s="51" t="str">
        <f t="shared" si="65"/>
        <v>2017Q4</v>
      </c>
      <c r="J890" s="177">
        <f>'[6]price list MAN'!J890</f>
        <v>1990000</v>
      </c>
      <c r="K890" s="177">
        <f>'[6]price list MAN'!P890</f>
        <v>1480500</v>
      </c>
      <c r="L890" s="177">
        <f>'[6]price list MAN'!R890</f>
        <v>1410000</v>
      </c>
      <c r="M890" s="174">
        <f>'[6]price list MAN'!S890</f>
        <v>2070000</v>
      </c>
      <c r="N890" s="174">
        <f>'[6]price list MAN'!Y890</f>
        <v>1564500</v>
      </c>
      <c r="O890" s="174">
        <f>'[6]price list MAN'!AA890</f>
        <v>1490000</v>
      </c>
      <c r="P890" s="68">
        <f t="shared" si="66"/>
        <v>0.28019323671497587</v>
      </c>
      <c r="Q890" s="62" t="e">
        <f>O890-#REF!</f>
        <v>#REF!</v>
      </c>
      <c r="W890" s="210"/>
      <c r="X890" s="210"/>
      <c r="Y890" s="210"/>
      <c r="Z890" s="210"/>
      <c r="AA890" s="210"/>
      <c r="AB890" s="210"/>
      <c r="AC890" s="210"/>
      <c r="AT890" s="425" t="str">
        <f t="shared" si="67"/>
        <v>TGS000022017Q415,9</v>
      </c>
      <c r="AU890" s="64" t="str">
        <f t="shared" si="68"/>
        <v>11-2017</v>
      </c>
      <c r="BA890" s="428" t="str">
        <f t="shared" si="69"/>
        <v>WIP - 30 Days</v>
      </c>
    </row>
    <row r="891" spans="2:53">
      <c r="B891" s="36">
        <f>'[6]price list MAN'!B891</f>
        <v>49049</v>
      </c>
      <c r="C891" s="10" t="str">
        <f>'[6]price list MAN'!C891</f>
        <v>TGS-26-4806X4BLS-LX-EL-ACC</v>
      </c>
      <c r="D891" s="16" t="str">
        <f>IFERROR(VLOOKUP(C891&amp;"",'[7]Retail Price List'!$A$3:$B$103,2,FALSE),"Special Order")</f>
        <v>TGS00002</v>
      </c>
      <c r="E891" s="494" t="str">
        <f>'[6]price list MAN'!E891</f>
        <v>CKD</v>
      </c>
      <c r="F891" s="11" t="str">
        <f>'[6]price list MAN'!F891</f>
        <v>2018-08-30</v>
      </c>
      <c r="G891" s="32">
        <f>'[6]price list MAN'!G891</f>
        <v>15.9</v>
      </c>
      <c r="H891" s="26">
        <f>'[6]price list MAN'!H891</f>
        <v>43069</v>
      </c>
      <c r="I891" s="51" t="str">
        <f t="shared" si="65"/>
        <v>2017Q4</v>
      </c>
      <c r="J891" s="177">
        <f>'[6]price list MAN'!J891</f>
        <v>1990000</v>
      </c>
      <c r="K891" s="177">
        <f>'[6]price list MAN'!P891</f>
        <v>1480500</v>
      </c>
      <c r="L891" s="177">
        <f>'[6]price list MAN'!R891</f>
        <v>1410000</v>
      </c>
      <c r="M891" s="174">
        <f>'[6]price list MAN'!S891</f>
        <v>2070000</v>
      </c>
      <c r="N891" s="174">
        <f>'[6]price list MAN'!Y891</f>
        <v>1564500</v>
      </c>
      <c r="O891" s="174">
        <f>'[6]price list MAN'!AA891</f>
        <v>1490000</v>
      </c>
      <c r="P891" s="68">
        <f t="shared" si="66"/>
        <v>0.28019323671497587</v>
      </c>
      <c r="Q891" s="62" t="e">
        <f>O891-#REF!</f>
        <v>#REF!</v>
      </c>
      <c r="W891" s="210"/>
      <c r="X891" s="210"/>
      <c r="Y891" s="210"/>
      <c r="Z891" s="210"/>
      <c r="AA891" s="210"/>
      <c r="AB891" s="210"/>
      <c r="AC891" s="210"/>
      <c r="AT891" s="425" t="str">
        <f t="shared" si="67"/>
        <v>TGS000022017Q415,9</v>
      </c>
      <c r="AU891" s="64" t="str">
        <f t="shared" si="68"/>
        <v>11-2017</v>
      </c>
      <c r="BA891" s="428" t="str">
        <f t="shared" si="69"/>
        <v>WIP - 30 Days</v>
      </c>
    </row>
    <row r="892" spans="2:53">
      <c r="B892" s="36">
        <f>'[6]price list MAN'!B892</f>
        <v>49050</v>
      </c>
      <c r="C892" s="10" t="str">
        <f>'[6]price list MAN'!C892</f>
        <v>TGS-26-4806X4BLS-LX-EL-ACC</v>
      </c>
      <c r="D892" s="16" t="str">
        <f>IFERROR(VLOOKUP(C892&amp;"",'[7]Retail Price List'!$A$3:$B$103,2,FALSE),"Special Order")</f>
        <v>TGS00002</v>
      </c>
      <c r="E892" s="494" t="str">
        <f>'[6]price list MAN'!E892</f>
        <v>CKD</v>
      </c>
      <c r="F892" s="11" t="str">
        <f>'[6]price list MAN'!F892</f>
        <v>2018-08-30</v>
      </c>
      <c r="G892" s="32">
        <f>'[6]price list MAN'!G892</f>
        <v>15.9</v>
      </c>
      <c r="H892" s="26">
        <f>'[6]price list MAN'!H892</f>
        <v>43069</v>
      </c>
      <c r="I892" s="51" t="str">
        <f t="shared" si="65"/>
        <v>2017Q4</v>
      </c>
      <c r="J892" s="177">
        <f>'[6]price list MAN'!J892</f>
        <v>1990000</v>
      </c>
      <c r="K892" s="177">
        <f>'[6]price list MAN'!P892</f>
        <v>1480500</v>
      </c>
      <c r="L892" s="177">
        <f>'[6]price list MAN'!R892</f>
        <v>1410000</v>
      </c>
      <c r="M892" s="174">
        <f>'[6]price list MAN'!S892</f>
        <v>2070000</v>
      </c>
      <c r="N892" s="174">
        <f>'[6]price list MAN'!Y892</f>
        <v>1564500</v>
      </c>
      <c r="O892" s="174">
        <f>'[6]price list MAN'!AA892</f>
        <v>1490000</v>
      </c>
      <c r="P892" s="68">
        <f t="shared" si="66"/>
        <v>0.28019323671497587</v>
      </c>
      <c r="Q892" s="62" t="e">
        <f>O892-#REF!</f>
        <v>#REF!</v>
      </c>
      <c r="W892" s="210"/>
      <c r="X892" s="210"/>
      <c r="Y892" s="210"/>
      <c r="Z892" s="210"/>
      <c r="AA892" s="210"/>
      <c r="AB892" s="210"/>
      <c r="AC892" s="210"/>
      <c r="AT892" s="425" t="str">
        <f t="shared" si="67"/>
        <v>TGS000022017Q415,9</v>
      </c>
      <c r="AU892" s="64" t="str">
        <f t="shared" si="68"/>
        <v>11-2017</v>
      </c>
      <c r="BA892" s="428" t="str">
        <f t="shared" si="69"/>
        <v>WIP - 30 Days</v>
      </c>
    </row>
    <row r="893" spans="2:53">
      <c r="B893" s="36">
        <f>'[6]price list MAN'!B893</f>
        <v>49051</v>
      </c>
      <c r="C893" s="10" t="str">
        <f>'[6]price list MAN'!C893</f>
        <v>TGS-26-4806X4BLS-LX-EL-ACC</v>
      </c>
      <c r="D893" s="16" t="str">
        <f>IFERROR(VLOOKUP(C893&amp;"",'[7]Retail Price List'!$A$3:$B$103,2,FALSE),"Special Order")</f>
        <v>TGS00002</v>
      </c>
      <c r="E893" s="494" t="str">
        <f>'[6]price list MAN'!E893</f>
        <v>CKD</v>
      </c>
      <c r="F893" s="11" t="str">
        <f>'[6]price list MAN'!F893</f>
        <v>2018-08-30</v>
      </c>
      <c r="G893" s="32">
        <f>'[6]price list MAN'!G893</f>
        <v>15.9</v>
      </c>
      <c r="H893" s="26">
        <f>'[6]price list MAN'!H893</f>
        <v>43069</v>
      </c>
      <c r="I893" s="51" t="str">
        <f t="shared" si="65"/>
        <v>2017Q4</v>
      </c>
      <c r="J893" s="177">
        <f>'[6]price list MAN'!J893</f>
        <v>1990000</v>
      </c>
      <c r="K893" s="177">
        <f>'[6]price list MAN'!P893</f>
        <v>1480500</v>
      </c>
      <c r="L893" s="177">
        <f>'[6]price list MAN'!R893</f>
        <v>1410000</v>
      </c>
      <c r="M893" s="174">
        <f>'[6]price list MAN'!S893</f>
        <v>2070000</v>
      </c>
      <c r="N893" s="174">
        <f>'[6]price list MAN'!Y893</f>
        <v>1564500</v>
      </c>
      <c r="O893" s="174">
        <f>'[6]price list MAN'!AA893</f>
        <v>1490000</v>
      </c>
      <c r="P893" s="68">
        <f t="shared" si="66"/>
        <v>0.28019323671497587</v>
      </c>
      <c r="Q893" s="62" t="e">
        <f>O893-#REF!</f>
        <v>#REF!</v>
      </c>
      <c r="W893" s="210"/>
      <c r="X893" s="210"/>
      <c r="Y893" s="210"/>
      <c r="Z893" s="210"/>
      <c r="AA893" s="210"/>
      <c r="AB893" s="210"/>
      <c r="AC893" s="210"/>
      <c r="AT893" s="425" t="str">
        <f t="shared" si="67"/>
        <v>TGS000022017Q415,9</v>
      </c>
      <c r="AU893" s="64" t="str">
        <f t="shared" si="68"/>
        <v>11-2017</v>
      </c>
      <c r="BA893" s="428" t="str">
        <f t="shared" si="69"/>
        <v>WIP - 30 Days</v>
      </c>
    </row>
    <row r="894" spans="2:53">
      <c r="B894" s="36">
        <f>'[6]price list MAN'!B894</f>
        <v>49052</v>
      </c>
      <c r="C894" s="10" t="str">
        <f>'[6]price list MAN'!C894</f>
        <v>TGS-26-4806X4BLS-LX-EL-ACC</v>
      </c>
      <c r="D894" s="16" t="str">
        <f>IFERROR(VLOOKUP(C894&amp;"",'[7]Retail Price List'!$A$3:$B$103,2,FALSE),"Special Order")</f>
        <v>TGS00002</v>
      </c>
      <c r="E894" s="494" t="str">
        <f>'[6]price list MAN'!E894</f>
        <v>CKD</v>
      </c>
      <c r="F894" s="11" t="str">
        <f>'[6]price list MAN'!F894</f>
        <v>2018-08-30</v>
      </c>
      <c r="G894" s="32">
        <f>'[6]price list MAN'!G894</f>
        <v>15.9</v>
      </c>
      <c r="H894" s="26">
        <f>'[6]price list MAN'!H894</f>
        <v>43069</v>
      </c>
      <c r="I894" s="51" t="str">
        <f t="shared" si="65"/>
        <v>2017Q4</v>
      </c>
      <c r="J894" s="177">
        <f>'[6]price list MAN'!J894</f>
        <v>1990000</v>
      </c>
      <c r="K894" s="177">
        <f>'[6]price list MAN'!P894</f>
        <v>1480500</v>
      </c>
      <c r="L894" s="177">
        <f>'[6]price list MAN'!R894</f>
        <v>1410000</v>
      </c>
      <c r="M894" s="174">
        <f>'[6]price list MAN'!S894</f>
        <v>2070000</v>
      </c>
      <c r="N894" s="174">
        <f>'[6]price list MAN'!Y894</f>
        <v>1564500</v>
      </c>
      <c r="O894" s="174">
        <f>'[6]price list MAN'!AA894</f>
        <v>1490000</v>
      </c>
      <c r="P894" s="68">
        <f t="shared" si="66"/>
        <v>0.28019323671497587</v>
      </c>
      <c r="Q894" s="62" t="e">
        <f>O894-#REF!</f>
        <v>#REF!</v>
      </c>
      <c r="W894" s="210"/>
      <c r="X894" s="210"/>
      <c r="Y894" s="210"/>
      <c r="Z894" s="210"/>
      <c r="AA894" s="210"/>
      <c r="AB894" s="210"/>
      <c r="AC894" s="210"/>
      <c r="AT894" s="425" t="str">
        <f t="shared" si="67"/>
        <v>TGS000022017Q415,9</v>
      </c>
      <c r="AU894" s="64" t="str">
        <f t="shared" si="68"/>
        <v>11-2017</v>
      </c>
      <c r="BA894" s="428" t="str">
        <f t="shared" si="69"/>
        <v>WIP - 30 Days</v>
      </c>
    </row>
    <row r="895" spans="2:53">
      <c r="B895" s="36">
        <f>'[6]price list MAN'!B895</f>
        <v>49053</v>
      </c>
      <c r="C895" s="10" t="str">
        <f>'[6]price list MAN'!C895</f>
        <v>TGS-26-4806X4BLS-LX-EL-ACC</v>
      </c>
      <c r="D895" s="16" t="str">
        <f>IFERROR(VLOOKUP(C895&amp;"",'[7]Retail Price List'!$A$3:$B$103,2,FALSE),"Special Order")</f>
        <v>TGS00002</v>
      </c>
      <c r="E895" s="494" t="str">
        <f>'[6]price list MAN'!E895</f>
        <v>CKD</v>
      </c>
      <c r="F895" s="11" t="str">
        <f>'[6]price list MAN'!F895</f>
        <v>2018-08-30</v>
      </c>
      <c r="G895" s="32">
        <f>'[6]price list MAN'!G895</f>
        <v>15.9</v>
      </c>
      <c r="H895" s="26">
        <f>'[6]price list MAN'!H895</f>
        <v>43069</v>
      </c>
      <c r="I895" s="51" t="str">
        <f t="shared" si="65"/>
        <v>2017Q4</v>
      </c>
      <c r="J895" s="177">
        <f>'[6]price list MAN'!J895</f>
        <v>1990000</v>
      </c>
      <c r="K895" s="177">
        <f>'[6]price list MAN'!P895</f>
        <v>1480500</v>
      </c>
      <c r="L895" s="177">
        <f>'[6]price list MAN'!R895</f>
        <v>1410000</v>
      </c>
      <c r="M895" s="174">
        <f>'[6]price list MAN'!S895</f>
        <v>2070000</v>
      </c>
      <c r="N895" s="174">
        <f>'[6]price list MAN'!Y895</f>
        <v>1564500</v>
      </c>
      <c r="O895" s="174">
        <f>'[6]price list MAN'!AA895</f>
        <v>1490000</v>
      </c>
      <c r="P895" s="68">
        <f t="shared" si="66"/>
        <v>0.28019323671497587</v>
      </c>
      <c r="Q895" s="62" t="e">
        <f>O895-#REF!</f>
        <v>#REF!</v>
      </c>
      <c r="W895" s="210"/>
      <c r="X895" s="210"/>
      <c r="Y895" s="210"/>
      <c r="Z895" s="210"/>
      <c r="AA895" s="210"/>
      <c r="AB895" s="210"/>
      <c r="AC895" s="210"/>
      <c r="AT895" s="425" t="str">
        <f t="shared" si="67"/>
        <v>TGS000022017Q415,9</v>
      </c>
      <c r="AU895" s="64" t="str">
        <f t="shared" si="68"/>
        <v>11-2017</v>
      </c>
      <c r="BA895" s="428" t="str">
        <f t="shared" si="69"/>
        <v>WIP - 30 Days</v>
      </c>
    </row>
    <row r="896" spans="2:53">
      <c r="B896" s="36">
        <f>'[6]price list MAN'!B896</f>
        <v>49054</v>
      </c>
      <c r="C896" s="10" t="str">
        <f>'[6]price list MAN'!C896</f>
        <v>TGS-26-4806X4BLS-LX-EL-ACC</v>
      </c>
      <c r="D896" s="16" t="str">
        <f>IFERROR(VLOOKUP(C896&amp;"",'[7]Retail Price List'!$A$3:$B$103,2,FALSE),"Special Order")</f>
        <v>TGS00002</v>
      </c>
      <c r="E896" s="494" t="str">
        <f>'[6]price list MAN'!E896</f>
        <v>CKD</v>
      </c>
      <c r="F896" s="11" t="str">
        <f>'[6]price list MAN'!F896</f>
        <v>2018-08-30</v>
      </c>
      <c r="G896" s="32">
        <f>'[6]price list MAN'!G896</f>
        <v>15.9</v>
      </c>
      <c r="H896" s="26">
        <f>'[6]price list MAN'!H896</f>
        <v>43069</v>
      </c>
      <c r="I896" s="51" t="str">
        <f t="shared" si="65"/>
        <v>2017Q4</v>
      </c>
      <c r="J896" s="177">
        <f>'[6]price list MAN'!J896</f>
        <v>1990000</v>
      </c>
      <c r="K896" s="177">
        <f>'[6]price list MAN'!P896</f>
        <v>1480500</v>
      </c>
      <c r="L896" s="177">
        <f>'[6]price list MAN'!R896</f>
        <v>1410000</v>
      </c>
      <c r="M896" s="174">
        <f>'[6]price list MAN'!S896</f>
        <v>2070000</v>
      </c>
      <c r="N896" s="174">
        <f>'[6]price list MAN'!Y896</f>
        <v>1564500</v>
      </c>
      <c r="O896" s="174">
        <f>'[6]price list MAN'!AA896</f>
        <v>1490000</v>
      </c>
      <c r="P896" s="68">
        <f t="shared" si="66"/>
        <v>0.28019323671497587</v>
      </c>
      <c r="Q896" s="62" t="e">
        <f>O896-#REF!</f>
        <v>#REF!</v>
      </c>
      <c r="W896" s="210"/>
      <c r="X896" s="210"/>
      <c r="Y896" s="210"/>
      <c r="Z896" s="210"/>
      <c r="AA896" s="210"/>
      <c r="AB896" s="210"/>
      <c r="AC896" s="210"/>
      <c r="AT896" s="425" t="str">
        <f t="shared" si="67"/>
        <v>TGS000022017Q415,9</v>
      </c>
      <c r="AU896" s="64" t="str">
        <f t="shared" si="68"/>
        <v>11-2017</v>
      </c>
      <c r="BA896" s="428" t="str">
        <f t="shared" si="69"/>
        <v>WIP - 30 Days</v>
      </c>
    </row>
    <row r="897" spans="2:53">
      <c r="B897" s="36" t="str">
        <f>'[6]price list MAN'!B897</f>
        <v>78W-6164</v>
      </c>
      <c r="C897" s="10" t="str">
        <f>'[6]price list MAN'!C897</f>
        <v>TGS-26-4806X4BLS-LX-EL-ACC</v>
      </c>
      <c r="D897" s="16" t="str">
        <f>IFERROR(VLOOKUP(C897&amp;"",'[7]Retail Price List'!$A$3:$B$103,2,FALSE),"Special Order")</f>
        <v>TGS00002</v>
      </c>
      <c r="E897" s="494" t="str">
        <f>'[6]price list MAN'!E897</f>
        <v>SOLD</v>
      </c>
      <c r="F897" s="11">
        <f>'[6]price list MAN'!F897</f>
        <v>26</v>
      </c>
      <c r="G897" s="32">
        <f>'[6]price list MAN'!G897</f>
        <v>14.7</v>
      </c>
      <c r="H897" s="26">
        <f>'[6]price list MAN'!H897</f>
        <v>42937</v>
      </c>
      <c r="I897" s="51" t="str">
        <f t="shared" si="65"/>
        <v>201707Q3</v>
      </c>
      <c r="J897" s="177">
        <f>'[6]price list MAN'!J897</f>
        <v>1990000</v>
      </c>
      <c r="K897" s="177">
        <f>'[6]price list MAN'!P897</f>
        <v>1512000</v>
      </c>
      <c r="L897" s="177">
        <f>'[6]price list MAN'!R897</f>
        <v>1440000</v>
      </c>
      <c r="M897" s="174">
        <f>'[6]price list MAN'!S897</f>
        <v>2070000</v>
      </c>
      <c r="N897" s="174">
        <f>'[6]price list MAN'!Y897</f>
        <v>1596000</v>
      </c>
      <c r="O897" s="174">
        <f>'[6]price list MAN'!AA897</f>
        <v>1520000</v>
      </c>
      <c r="P897" s="68">
        <f t="shared" si="66"/>
        <v>0.26570048309178745</v>
      </c>
      <c r="Q897" s="62" t="e">
        <f>O897-#REF!</f>
        <v>#REF!</v>
      </c>
      <c r="W897" s="210"/>
      <c r="X897" s="210"/>
      <c r="Y897" s="210"/>
      <c r="Z897" s="210"/>
      <c r="AA897" s="210"/>
      <c r="AB897" s="210"/>
      <c r="AC897" s="210"/>
      <c r="AT897" s="425" t="str">
        <f t="shared" si="67"/>
        <v>TGS00002201707Q314,7</v>
      </c>
      <c r="AU897" s="64" t="str">
        <f t="shared" si="68"/>
        <v>07-2017</v>
      </c>
      <c r="BA897" s="428" t="str">
        <f t="shared" si="69"/>
        <v>WIP - 30 Days</v>
      </c>
    </row>
    <row r="898" spans="2:53">
      <c r="B898" s="36" t="str">
        <f>'[6]price list MAN'!B898</f>
        <v>78W-6167</v>
      </c>
      <c r="C898" s="10" t="str">
        <f>'[6]price list MAN'!C898</f>
        <v>TGS-26-4806X4BLS-LX-EL-ACC</v>
      </c>
      <c r="D898" s="16" t="str">
        <f>IFERROR(VLOOKUP(C898&amp;"",'[7]Retail Price List'!$A$3:$B$103,2,FALSE),"Special Order")</f>
        <v>TGS00002</v>
      </c>
      <c r="E898" s="494" t="str">
        <f>'[6]price list MAN'!E898</f>
        <v>SOLD</v>
      </c>
      <c r="F898" s="11">
        <f>'[6]price list MAN'!F898</f>
        <v>28</v>
      </c>
      <c r="G898" s="32">
        <f>'[6]price list MAN'!G898</f>
        <v>14.7</v>
      </c>
      <c r="H898" s="26">
        <f>'[6]price list MAN'!H898</f>
        <v>42937</v>
      </c>
      <c r="I898" s="51" t="str">
        <f t="shared" si="65"/>
        <v>201707Q3</v>
      </c>
      <c r="J898" s="177">
        <f>'[6]price list MAN'!J898</f>
        <v>1990000</v>
      </c>
      <c r="K898" s="177">
        <f>'[6]price list MAN'!P898</f>
        <v>1512000</v>
      </c>
      <c r="L898" s="177">
        <f>'[6]price list MAN'!R898</f>
        <v>1440000</v>
      </c>
      <c r="M898" s="174">
        <f>'[6]price list MAN'!S898</f>
        <v>2070000</v>
      </c>
      <c r="N898" s="174">
        <f>'[6]price list MAN'!Y898</f>
        <v>1596000</v>
      </c>
      <c r="O898" s="174">
        <f>'[6]price list MAN'!AA898</f>
        <v>1520000</v>
      </c>
      <c r="P898" s="68">
        <f t="shared" si="66"/>
        <v>0.26570048309178745</v>
      </c>
      <c r="Q898" s="62" t="e">
        <f>O898-#REF!</f>
        <v>#REF!</v>
      </c>
      <c r="W898" s="210"/>
      <c r="X898" s="210"/>
      <c r="Y898" s="210"/>
      <c r="Z898" s="210"/>
      <c r="AA898" s="210"/>
      <c r="AB898" s="210"/>
      <c r="AC898" s="210"/>
      <c r="AT898" s="425" t="str">
        <f t="shared" si="67"/>
        <v>TGS00002201707Q314,7</v>
      </c>
      <c r="AU898" s="64" t="str">
        <f t="shared" si="68"/>
        <v>07-2017</v>
      </c>
      <c r="BA898" s="428" t="str">
        <f t="shared" si="69"/>
        <v>WIP - 30 Days</v>
      </c>
    </row>
    <row r="899" spans="2:53">
      <c r="B899" s="36" t="str">
        <f>'[6]price list MAN'!B899</f>
        <v>78W-6180</v>
      </c>
      <c r="C899" s="10" t="str">
        <f>'[6]price list MAN'!C899</f>
        <v>TGS-26-4806X4BLS-LX-EL-ACC</v>
      </c>
      <c r="D899" s="16" t="str">
        <f>IFERROR(VLOOKUP(C899&amp;"",'[7]Retail Price List'!$A$3:$B$103,2,FALSE),"Special Order")</f>
        <v>TGS00002</v>
      </c>
      <c r="E899" s="494" t="str">
        <f>'[6]price list MAN'!E899</f>
        <v>CKD</v>
      </c>
      <c r="F899" s="11" t="str">
        <f>'[6]price list MAN'!F899</f>
        <v>2018-02-22</v>
      </c>
      <c r="G899" s="32">
        <f>'[6]price list MAN'!G899</f>
        <v>14.7</v>
      </c>
      <c r="H899" s="26">
        <f>'[6]price list MAN'!H899</f>
        <v>42947</v>
      </c>
      <c r="I899" s="51" t="str">
        <f t="shared" si="65"/>
        <v>201707Q3</v>
      </c>
      <c r="J899" s="177">
        <f>'[6]price list MAN'!J899</f>
        <v>1990000</v>
      </c>
      <c r="K899" s="177">
        <f>'[6]price list MAN'!P899</f>
        <v>1512000</v>
      </c>
      <c r="L899" s="177">
        <f>'[6]price list MAN'!R899</f>
        <v>1440000</v>
      </c>
      <c r="M899" s="174">
        <f>'[6]price list MAN'!S899</f>
        <v>2070000</v>
      </c>
      <c r="N899" s="174">
        <f>'[6]price list MAN'!Y899</f>
        <v>1596000</v>
      </c>
      <c r="O899" s="174">
        <f>'[6]price list MAN'!AA899</f>
        <v>1520000</v>
      </c>
      <c r="P899" s="68">
        <f t="shared" si="66"/>
        <v>0.26570048309178745</v>
      </c>
      <c r="Q899" s="62" t="e">
        <f>O899-#REF!</f>
        <v>#REF!</v>
      </c>
      <c r="W899" s="210"/>
      <c r="X899" s="210"/>
      <c r="Y899" s="210"/>
      <c r="Z899" s="210"/>
      <c r="AA899" s="210"/>
      <c r="AB899" s="210"/>
      <c r="AC899" s="210"/>
      <c r="AT899" s="425" t="str">
        <f t="shared" si="67"/>
        <v>TGS00002201707Q314,7</v>
      </c>
      <c r="AU899" s="64" t="str">
        <f t="shared" si="68"/>
        <v>07-2017</v>
      </c>
      <c r="BA899" s="428" t="str">
        <f t="shared" si="69"/>
        <v>WIP - 30 Days</v>
      </c>
    </row>
    <row r="900" spans="2:53">
      <c r="B900" s="36" t="str">
        <f>'[6]price list MAN'!B900</f>
        <v>78W-6181</v>
      </c>
      <c r="C900" s="10" t="str">
        <f>'[6]price list MAN'!C900</f>
        <v>TGS-26-4806X4BLS-LX-EL-ACC</v>
      </c>
      <c r="D900" s="16" t="str">
        <f>IFERROR(VLOOKUP(C900&amp;"",'[7]Retail Price List'!$A$3:$B$103,2,FALSE),"Special Order")</f>
        <v>TGS00002</v>
      </c>
      <c r="E900" s="494" t="str">
        <f>'[6]price list MAN'!E900</f>
        <v>CKD</v>
      </c>
      <c r="F900" s="11" t="str">
        <f>'[6]price list MAN'!F900</f>
        <v>2018-02-22</v>
      </c>
      <c r="G900" s="32">
        <f>'[6]price list MAN'!G900</f>
        <v>14.7</v>
      </c>
      <c r="H900" s="26">
        <f>'[6]price list MAN'!H900</f>
        <v>42947</v>
      </c>
      <c r="I900" s="51" t="str">
        <f t="shared" si="65"/>
        <v>201707Q3</v>
      </c>
      <c r="J900" s="177">
        <f>'[6]price list MAN'!J900</f>
        <v>1990000</v>
      </c>
      <c r="K900" s="177">
        <f>'[6]price list MAN'!P900</f>
        <v>1512000</v>
      </c>
      <c r="L900" s="177">
        <f>'[6]price list MAN'!R900</f>
        <v>1440000</v>
      </c>
      <c r="M900" s="174">
        <f>'[6]price list MAN'!S900</f>
        <v>2070000</v>
      </c>
      <c r="N900" s="174">
        <f>'[6]price list MAN'!Y900</f>
        <v>1596000</v>
      </c>
      <c r="O900" s="174">
        <f>'[6]price list MAN'!AA900</f>
        <v>1520000</v>
      </c>
      <c r="P900" s="68">
        <f t="shared" si="66"/>
        <v>0.26570048309178745</v>
      </c>
      <c r="Q900" s="62" t="e">
        <f>O900-#REF!</f>
        <v>#REF!</v>
      </c>
      <c r="W900" s="210"/>
      <c r="X900" s="210"/>
      <c r="Y900" s="210"/>
      <c r="Z900" s="210"/>
      <c r="AA900" s="210"/>
      <c r="AB900" s="210"/>
      <c r="AC900" s="210"/>
      <c r="AT900" s="425" t="str">
        <f t="shared" si="67"/>
        <v>TGS00002201707Q314,7</v>
      </c>
      <c r="AU900" s="64" t="str">
        <f t="shared" si="68"/>
        <v>07-2017</v>
      </c>
      <c r="BA900" s="428" t="str">
        <f t="shared" si="69"/>
        <v>WIP - 30 Days</v>
      </c>
    </row>
    <row r="901" spans="2:53">
      <c r="B901" s="36" t="str">
        <f>'[6]price list MAN'!B901</f>
        <v>78W-6182</v>
      </c>
      <c r="C901" s="10" t="str">
        <f>'[6]price list MAN'!C901</f>
        <v>TGS-26-4806X4BLS-LX-EL-ACC</v>
      </c>
      <c r="D901" s="16" t="str">
        <f>IFERROR(VLOOKUP(C901&amp;"",'[7]Retail Price List'!$A$3:$B$103,2,FALSE),"Special Order")</f>
        <v>TGS00002</v>
      </c>
      <c r="E901" s="494" t="str">
        <f>'[6]price list MAN'!E901</f>
        <v>CKD</v>
      </c>
      <c r="F901" s="11" t="str">
        <f>'[6]price list MAN'!F901</f>
        <v>2018-02-22</v>
      </c>
      <c r="G901" s="32">
        <f>'[6]price list MAN'!G901</f>
        <v>14.7</v>
      </c>
      <c r="H901" s="26">
        <f>'[6]price list MAN'!H901</f>
        <v>42947</v>
      </c>
      <c r="I901" s="51" t="str">
        <f t="shared" ref="I901:I964" si="70">IFERROR(VLOOKUP(AU901,$AW$5:$AY$40,3,FALSE),"")</f>
        <v>201707Q3</v>
      </c>
      <c r="J901" s="177">
        <f>'[6]price list MAN'!J901</f>
        <v>1990000</v>
      </c>
      <c r="K901" s="177">
        <f>'[6]price list MAN'!P901</f>
        <v>1512000</v>
      </c>
      <c r="L901" s="177">
        <f>'[6]price list MAN'!R901</f>
        <v>1440000</v>
      </c>
      <c r="M901" s="174">
        <f>'[6]price list MAN'!S901</f>
        <v>2070000</v>
      </c>
      <c r="N901" s="174">
        <f>'[6]price list MAN'!Y901</f>
        <v>1596000</v>
      </c>
      <c r="O901" s="174">
        <f>'[6]price list MAN'!AA901</f>
        <v>1520000</v>
      </c>
      <c r="P901" s="68">
        <f t="shared" ref="P901:P964" si="71">(M901-O901)/M901</f>
        <v>0.26570048309178745</v>
      </c>
      <c r="Q901" s="62" t="e">
        <f>O901-#REF!</f>
        <v>#REF!</v>
      </c>
      <c r="W901" s="210"/>
      <c r="X901" s="210"/>
      <c r="Y901" s="210"/>
      <c r="Z901" s="210"/>
      <c r="AA901" s="210"/>
      <c r="AB901" s="210"/>
      <c r="AC901" s="210"/>
      <c r="AT901" s="425" t="str">
        <f t="shared" ref="AT901:AT964" si="72">D901&amp;I901&amp;G901</f>
        <v>TGS00002201707Q314,7</v>
      </c>
      <c r="AU901" s="64" t="str">
        <f t="shared" ref="AU901:AU964" si="73">IF(MONTH(H901)&lt;10,0&amp;MONTH(H901)&amp;"-"&amp;YEAR(H901),MONTH(H901)&amp;"-"&amp;YEAR(H901))</f>
        <v>07-2017</v>
      </c>
      <c r="BA901" s="428" t="str">
        <f t="shared" ref="BA901:BA964" si="74">IF(B901=0,"",IF(AND(F901&gt;=31,F901&lt;=120),"31-120 Days",IF(AND(F901&gt;=121,F901&lt;=365),"121-365 Days",IF(OR(E901="CKD",F901&lt;=30),"WIP - 30 Days","&gt;365 Days"))))</f>
        <v>WIP - 30 Days</v>
      </c>
    </row>
    <row r="902" spans="2:53">
      <c r="B902" s="36" t="str">
        <f>'[6]price list MAN'!B902</f>
        <v>78W-6183</v>
      </c>
      <c r="C902" s="10" t="str">
        <f>'[6]price list MAN'!C902</f>
        <v>TGS-26-4806X4BLS-LX-EL-ACC</v>
      </c>
      <c r="D902" s="16" t="str">
        <f>IFERROR(VLOOKUP(C902&amp;"",'[7]Retail Price List'!$A$3:$B$103,2,FALSE),"Special Order")</f>
        <v>TGS00002</v>
      </c>
      <c r="E902" s="494" t="str">
        <f>'[6]price list MAN'!E902</f>
        <v>CKD</v>
      </c>
      <c r="F902" s="11" t="str">
        <f>'[6]price list MAN'!F902</f>
        <v>2018-02-22</v>
      </c>
      <c r="G902" s="32">
        <f>'[6]price list MAN'!G902</f>
        <v>14.7</v>
      </c>
      <c r="H902" s="26">
        <f>'[6]price list MAN'!H902</f>
        <v>42947</v>
      </c>
      <c r="I902" s="51" t="str">
        <f t="shared" si="70"/>
        <v>201707Q3</v>
      </c>
      <c r="J902" s="177">
        <f>'[6]price list MAN'!J902</f>
        <v>1990000</v>
      </c>
      <c r="K902" s="177">
        <f>'[6]price list MAN'!P902</f>
        <v>1512000</v>
      </c>
      <c r="L902" s="177">
        <f>'[6]price list MAN'!R902</f>
        <v>1440000</v>
      </c>
      <c r="M902" s="174">
        <f>'[6]price list MAN'!S902</f>
        <v>2070000</v>
      </c>
      <c r="N902" s="174">
        <f>'[6]price list MAN'!Y902</f>
        <v>1596000</v>
      </c>
      <c r="O902" s="174">
        <f>'[6]price list MAN'!AA902</f>
        <v>1520000</v>
      </c>
      <c r="P902" s="68">
        <f t="shared" si="71"/>
        <v>0.26570048309178745</v>
      </c>
      <c r="Q902" s="62" t="e">
        <f>O902-#REF!</f>
        <v>#REF!</v>
      </c>
      <c r="W902" s="210"/>
      <c r="X902" s="210"/>
      <c r="Y902" s="210"/>
      <c r="Z902" s="210"/>
      <c r="AA902" s="210"/>
      <c r="AB902" s="210"/>
      <c r="AC902" s="210"/>
      <c r="AT902" s="425" t="str">
        <f t="shared" si="72"/>
        <v>TGS00002201707Q314,7</v>
      </c>
      <c r="AU902" s="64" t="str">
        <f t="shared" si="73"/>
        <v>07-2017</v>
      </c>
      <c r="BA902" s="428" t="str">
        <f t="shared" si="74"/>
        <v>WIP - 30 Days</v>
      </c>
    </row>
    <row r="903" spans="2:53">
      <c r="B903" s="36" t="str">
        <f>'[6]price list MAN'!B903</f>
        <v>78W-6184</v>
      </c>
      <c r="C903" s="10" t="str">
        <f>'[6]price list MAN'!C903</f>
        <v>TGS-26-4806X4BLS-LX-EL-ACC</v>
      </c>
      <c r="D903" s="16" t="str">
        <f>IFERROR(VLOOKUP(C903&amp;"",'[7]Retail Price List'!$A$3:$B$103,2,FALSE),"Special Order")</f>
        <v>TGS00002</v>
      </c>
      <c r="E903" s="494" t="str">
        <f>'[6]price list MAN'!E903</f>
        <v>CKD</v>
      </c>
      <c r="F903" s="11" t="str">
        <f>'[6]price list MAN'!F903</f>
        <v>2018-02-23</v>
      </c>
      <c r="G903" s="32">
        <f>'[6]price list MAN'!G903</f>
        <v>14.7</v>
      </c>
      <c r="H903" s="26">
        <f>'[6]price list MAN'!H903</f>
        <v>42947</v>
      </c>
      <c r="I903" s="51" t="str">
        <f t="shared" si="70"/>
        <v>201707Q3</v>
      </c>
      <c r="J903" s="177">
        <f>'[6]price list MAN'!J903</f>
        <v>1990000</v>
      </c>
      <c r="K903" s="177">
        <f>'[6]price list MAN'!P903</f>
        <v>1512000</v>
      </c>
      <c r="L903" s="177">
        <f>'[6]price list MAN'!R903</f>
        <v>1440000</v>
      </c>
      <c r="M903" s="174">
        <f>'[6]price list MAN'!S903</f>
        <v>2070000</v>
      </c>
      <c r="N903" s="174">
        <f>'[6]price list MAN'!Y903</f>
        <v>1596000</v>
      </c>
      <c r="O903" s="174">
        <f>'[6]price list MAN'!AA903</f>
        <v>1520000</v>
      </c>
      <c r="P903" s="68">
        <f t="shared" si="71"/>
        <v>0.26570048309178745</v>
      </c>
      <c r="Q903" s="62" t="e">
        <f>O903-#REF!</f>
        <v>#REF!</v>
      </c>
      <c r="W903" s="210"/>
      <c r="X903" s="210"/>
      <c r="Y903" s="210"/>
      <c r="Z903" s="210"/>
      <c r="AA903" s="210"/>
      <c r="AB903" s="210"/>
      <c r="AC903" s="210"/>
      <c r="AT903" s="425" t="str">
        <f t="shared" si="72"/>
        <v>TGS00002201707Q314,7</v>
      </c>
      <c r="AU903" s="64" t="str">
        <f t="shared" si="73"/>
        <v>07-2017</v>
      </c>
      <c r="BA903" s="428" t="str">
        <f t="shared" si="74"/>
        <v>WIP - 30 Days</v>
      </c>
    </row>
    <row r="904" spans="2:53">
      <c r="B904" s="36" t="str">
        <f>'[6]price list MAN'!B904</f>
        <v>78W-6185</v>
      </c>
      <c r="C904" s="10" t="str">
        <f>'[6]price list MAN'!C904</f>
        <v>TGS-26-4806X4BLS-LX-EL-ACC</v>
      </c>
      <c r="D904" s="16" t="str">
        <f>IFERROR(VLOOKUP(C904&amp;"",'[7]Retail Price List'!$A$3:$B$103,2,FALSE),"Special Order")</f>
        <v>TGS00002</v>
      </c>
      <c r="E904" s="494" t="str">
        <f>'[6]price list MAN'!E904</f>
        <v>CKD</v>
      </c>
      <c r="F904" s="11" t="str">
        <f>'[6]price list MAN'!F904</f>
        <v>2018-02-26</v>
      </c>
      <c r="G904" s="32">
        <f>'[6]price list MAN'!G904</f>
        <v>14.7</v>
      </c>
      <c r="H904" s="26">
        <f>'[6]price list MAN'!H904</f>
        <v>42947</v>
      </c>
      <c r="I904" s="51" t="str">
        <f t="shared" si="70"/>
        <v>201707Q3</v>
      </c>
      <c r="J904" s="177">
        <f>'[6]price list MAN'!J904</f>
        <v>1990000</v>
      </c>
      <c r="K904" s="177">
        <f>'[6]price list MAN'!P904</f>
        <v>1480500</v>
      </c>
      <c r="L904" s="177">
        <f>'[6]price list MAN'!R904</f>
        <v>1410000</v>
      </c>
      <c r="M904" s="174">
        <f>'[6]price list MAN'!S904</f>
        <v>2070000</v>
      </c>
      <c r="N904" s="174">
        <f>'[6]price list MAN'!Y904</f>
        <v>1564500</v>
      </c>
      <c r="O904" s="174">
        <f>'[6]price list MAN'!AA904</f>
        <v>1490000</v>
      </c>
      <c r="P904" s="68">
        <f t="shared" si="71"/>
        <v>0.28019323671497587</v>
      </c>
      <c r="Q904" s="62" t="e">
        <f>O904-#REF!</f>
        <v>#REF!</v>
      </c>
      <c r="W904" s="210"/>
      <c r="X904" s="210"/>
      <c r="Y904" s="210"/>
      <c r="Z904" s="210"/>
      <c r="AA904" s="210"/>
      <c r="AB904" s="210"/>
      <c r="AC904" s="210"/>
      <c r="AT904" s="425" t="str">
        <f t="shared" si="72"/>
        <v>TGS00002201707Q314,7</v>
      </c>
      <c r="AU904" s="64" t="str">
        <f t="shared" si="73"/>
        <v>07-2017</v>
      </c>
      <c r="BA904" s="428" t="str">
        <f t="shared" si="74"/>
        <v>WIP - 30 Days</v>
      </c>
    </row>
    <row r="905" spans="2:53">
      <c r="B905" s="36" t="str">
        <f>'[6]price list MAN'!B905</f>
        <v>78W-6220</v>
      </c>
      <c r="C905" s="10" t="str">
        <f>'[6]price list MAN'!C905</f>
        <v>TGS-26-4806X4BLS-LX-EL-ACC</v>
      </c>
      <c r="D905" s="16" t="str">
        <f>IFERROR(VLOOKUP(C905&amp;"",'[7]Retail Price List'!$A$3:$B$103,2,FALSE),"Special Order")</f>
        <v>TGS00002</v>
      </c>
      <c r="E905" s="494" t="str">
        <f>'[6]price list MAN'!E905</f>
        <v>CKD</v>
      </c>
      <c r="F905" s="11" t="str">
        <f>'[6]price list MAN'!F905</f>
        <v>2018-03-30</v>
      </c>
      <c r="G905" s="32">
        <f>'[6]price list MAN'!G905</f>
        <v>14.7</v>
      </c>
      <c r="H905" s="26">
        <f>'[6]price list MAN'!H905</f>
        <v>42947</v>
      </c>
      <c r="I905" s="51" t="str">
        <f t="shared" si="70"/>
        <v>201707Q3</v>
      </c>
      <c r="J905" s="177">
        <f>'[6]price list MAN'!J905</f>
        <v>1990000</v>
      </c>
      <c r="K905" s="177">
        <f>'[6]price list MAN'!P905</f>
        <v>1480500</v>
      </c>
      <c r="L905" s="177">
        <f>'[6]price list MAN'!R905</f>
        <v>1410000</v>
      </c>
      <c r="M905" s="174">
        <f>'[6]price list MAN'!S905</f>
        <v>2070000</v>
      </c>
      <c r="N905" s="174">
        <f>'[6]price list MAN'!Y905</f>
        <v>1564500</v>
      </c>
      <c r="O905" s="174">
        <f>'[6]price list MAN'!AA905</f>
        <v>1490000</v>
      </c>
      <c r="P905" s="68">
        <f t="shared" si="71"/>
        <v>0.28019323671497587</v>
      </c>
      <c r="Q905" s="62" t="e">
        <f>O905-#REF!</f>
        <v>#REF!</v>
      </c>
      <c r="W905" s="210"/>
      <c r="X905" s="210"/>
      <c r="Y905" s="210"/>
      <c r="Z905" s="210"/>
      <c r="AA905" s="210"/>
      <c r="AB905" s="210"/>
      <c r="AC905" s="210"/>
      <c r="AT905" s="425" t="str">
        <f t="shared" si="72"/>
        <v>TGS00002201707Q314,7</v>
      </c>
      <c r="AU905" s="64" t="str">
        <f t="shared" si="73"/>
        <v>07-2017</v>
      </c>
      <c r="BA905" s="428" t="str">
        <f t="shared" si="74"/>
        <v>WIP - 30 Days</v>
      </c>
    </row>
    <row r="906" spans="2:53">
      <c r="B906" s="36" t="str">
        <f>'[6]price list MAN'!B906</f>
        <v>78W-6221</v>
      </c>
      <c r="C906" s="10" t="str">
        <f>'[6]price list MAN'!C906</f>
        <v>TGS-26-4806X4BLS-LX-EL-ACC</v>
      </c>
      <c r="D906" s="16" t="str">
        <f>IFERROR(VLOOKUP(C906&amp;"",'[7]Retail Price List'!$A$3:$B$103,2,FALSE),"Special Order")</f>
        <v>TGS00002</v>
      </c>
      <c r="E906" s="494" t="str">
        <f>'[6]price list MAN'!E906</f>
        <v>CKD</v>
      </c>
      <c r="F906" s="11" t="str">
        <f>'[6]price list MAN'!F906</f>
        <v>2018-03-30</v>
      </c>
      <c r="G906" s="32">
        <f>'[6]price list MAN'!G906</f>
        <v>14.7</v>
      </c>
      <c r="H906" s="26">
        <f>'[6]price list MAN'!H906</f>
        <v>42947</v>
      </c>
      <c r="I906" s="51" t="str">
        <f t="shared" si="70"/>
        <v>201707Q3</v>
      </c>
      <c r="J906" s="177">
        <f>'[6]price list MAN'!J906</f>
        <v>1990000</v>
      </c>
      <c r="K906" s="177">
        <f>'[6]price list MAN'!P906</f>
        <v>1480500</v>
      </c>
      <c r="L906" s="177">
        <f>'[6]price list MAN'!R906</f>
        <v>1410000</v>
      </c>
      <c r="M906" s="174">
        <f>'[6]price list MAN'!S906</f>
        <v>2070000</v>
      </c>
      <c r="N906" s="174">
        <f>'[6]price list MAN'!Y906</f>
        <v>1564500</v>
      </c>
      <c r="O906" s="174">
        <f>'[6]price list MAN'!AA906</f>
        <v>1490000</v>
      </c>
      <c r="P906" s="68">
        <f t="shared" si="71"/>
        <v>0.28019323671497587</v>
      </c>
      <c r="Q906" s="62" t="e">
        <f>O906-#REF!</f>
        <v>#REF!</v>
      </c>
      <c r="W906" s="210"/>
      <c r="X906" s="210"/>
      <c r="Y906" s="210"/>
      <c r="Z906" s="210"/>
      <c r="AA906" s="210"/>
      <c r="AB906" s="210"/>
      <c r="AC906" s="210"/>
      <c r="AT906" s="425" t="str">
        <f t="shared" si="72"/>
        <v>TGS00002201707Q314,7</v>
      </c>
      <c r="AU906" s="64" t="str">
        <f t="shared" si="73"/>
        <v>07-2017</v>
      </c>
      <c r="BA906" s="428" t="str">
        <f t="shared" si="74"/>
        <v>WIP - 30 Days</v>
      </c>
    </row>
    <row r="907" spans="2:53">
      <c r="B907" s="36" t="str">
        <f>'[6]price list MAN'!B907</f>
        <v>78W-6222</v>
      </c>
      <c r="C907" s="10" t="str">
        <f>'[6]price list MAN'!C907</f>
        <v>TGS-26-4806X4BLS-LX-EL-ACC</v>
      </c>
      <c r="D907" s="16" t="str">
        <f>IFERROR(VLOOKUP(C907&amp;"",'[7]Retail Price List'!$A$3:$B$103,2,FALSE),"Special Order")</f>
        <v>TGS00002</v>
      </c>
      <c r="E907" s="494" t="str">
        <f>'[6]price list MAN'!E907</f>
        <v>CKD</v>
      </c>
      <c r="F907" s="11" t="str">
        <f>'[6]price list MAN'!F907</f>
        <v>2018-03-30</v>
      </c>
      <c r="G907" s="32">
        <f>'[6]price list MAN'!G907</f>
        <v>14.7</v>
      </c>
      <c r="H907" s="26">
        <f>'[6]price list MAN'!H907</f>
        <v>42947</v>
      </c>
      <c r="I907" s="51" t="str">
        <f t="shared" si="70"/>
        <v>201707Q3</v>
      </c>
      <c r="J907" s="177">
        <f>'[6]price list MAN'!J907</f>
        <v>1990000</v>
      </c>
      <c r="K907" s="177">
        <f>'[6]price list MAN'!P907</f>
        <v>1480500</v>
      </c>
      <c r="L907" s="177">
        <f>'[6]price list MAN'!R907</f>
        <v>1410000</v>
      </c>
      <c r="M907" s="174">
        <f>'[6]price list MAN'!S907</f>
        <v>2070000</v>
      </c>
      <c r="N907" s="174">
        <f>'[6]price list MAN'!Y907</f>
        <v>1564500</v>
      </c>
      <c r="O907" s="174">
        <f>'[6]price list MAN'!AA907</f>
        <v>1490000</v>
      </c>
      <c r="P907" s="68">
        <f t="shared" si="71"/>
        <v>0.28019323671497587</v>
      </c>
      <c r="Q907" s="62" t="e">
        <f>O907-#REF!</f>
        <v>#REF!</v>
      </c>
      <c r="W907" s="210"/>
      <c r="X907" s="210"/>
      <c r="Y907" s="210"/>
      <c r="Z907" s="210"/>
      <c r="AA907" s="210"/>
      <c r="AB907" s="210"/>
      <c r="AC907" s="210"/>
      <c r="AT907" s="425" t="str">
        <f t="shared" si="72"/>
        <v>TGS00002201707Q314,7</v>
      </c>
      <c r="AU907" s="64" t="str">
        <f t="shared" si="73"/>
        <v>07-2017</v>
      </c>
      <c r="BA907" s="428" t="str">
        <f t="shared" si="74"/>
        <v>WIP - 30 Days</v>
      </c>
    </row>
    <row r="908" spans="2:53">
      <c r="B908" s="36" t="str">
        <f>'[6]price list MAN'!B908</f>
        <v>78W-6223</v>
      </c>
      <c r="C908" s="10" t="str">
        <f>'[6]price list MAN'!C908</f>
        <v>TGS-26-4806X4BLS-LX-EL-ACC</v>
      </c>
      <c r="D908" s="16" t="str">
        <f>IFERROR(VLOOKUP(C908&amp;"",'[7]Retail Price List'!$A$3:$B$103,2,FALSE),"Special Order")</f>
        <v>TGS00002</v>
      </c>
      <c r="E908" s="494" t="str">
        <f>'[6]price list MAN'!E908</f>
        <v>CKD</v>
      </c>
      <c r="F908" s="11" t="str">
        <f>'[6]price list MAN'!F908</f>
        <v>2018-03-30</v>
      </c>
      <c r="G908" s="32">
        <f>'[6]price list MAN'!G908</f>
        <v>14.7</v>
      </c>
      <c r="H908" s="26">
        <f>'[6]price list MAN'!H908</f>
        <v>42947</v>
      </c>
      <c r="I908" s="51" t="str">
        <f t="shared" si="70"/>
        <v>201707Q3</v>
      </c>
      <c r="J908" s="177">
        <f>'[6]price list MAN'!J908</f>
        <v>1990000</v>
      </c>
      <c r="K908" s="177">
        <f>'[6]price list MAN'!P908</f>
        <v>1480500</v>
      </c>
      <c r="L908" s="177">
        <f>'[6]price list MAN'!R908</f>
        <v>1410000</v>
      </c>
      <c r="M908" s="174">
        <f>'[6]price list MAN'!S908</f>
        <v>2070000</v>
      </c>
      <c r="N908" s="174">
        <f>'[6]price list MAN'!Y908</f>
        <v>1564500</v>
      </c>
      <c r="O908" s="174">
        <f>'[6]price list MAN'!AA908</f>
        <v>1490000</v>
      </c>
      <c r="P908" s="68">
        <f t="shared" si="71"/>
        <v>0.28019323671497587</v>
      </c>
      <c r="Q908" s="62" t="e">
        <f>O908-#REF!</f>
        <v>#REF!</v>
      </c>
      <c r="W908" s="210"/>
      <c r="X908" s="210"/>
      <c r="Y908" s="210"/>
      <c r="Z908" s="210"/>
      <c r="AA908" s="210"/>
      <c r="AB908" s="210"/>
      <c r="AC908" s="210"/>
      <c r="AT908" s="425" t="str">
        <f t="shared" si="72"/>
        <v>TGS00002201707Q314,7</v>
      </c>
      <c r="AU908" s="64" t="str">
        <f t="shared" si="73"/>
        <v>07-2017</v>
      </c>
      <c r="BA908" s="428" t="str">
        <f t="shared" si="74"/>
        <v>WIP - 30 Days</v>
      </c>
    </row>
    <row r="909" spans="2:53">
      <c r="B909" s="36" t="str">
        <f>'[6]price list MAN'!B909</f>
        <v>78W-6260</v>
      </c>
      <c r="C909" s="10" t="str">
        <f>'[6]price list MAN'!C909</f>
        <v>TGS-26-4806X4BLS-LX-EL-ACC</v>
      </c>
      <c r="D909" s="16" t="str">
        <f>IFERROR(VLOOKUP(C909&amp;"",'[7]Retail Price List'!$A$3:$B$103,2,FALSE),"Special Order")</f>
        <v>TGS00002</v>
      </c>
      <c r="E909" s="494" t="str">
        <f>'[6]price list MAN'!E909</f>
        <v>CKD</v>
      </c>
      <c r="F909" s="11" t="str">
        <f>'[6]price list MAN'!F909</f>
        <v>2018-02-23</v>
      </c>
      <c r="G909" s="32">
        <f>'[6]price list MAN'!G909</f>
        <v>15.3</v>
      </c>
      <c r="H909" s="26">
        <f>'[6]price list MAN'!H909</f>
        <v>42978</v>
      </c>
      <c r="I909" s="51" t="str">
        <f t="shared" si="70"/>
        <v>2017Q3</v>
      </c>
      <c r="J909" s="177">
        <f>'[6]price list MAN'!J909</f>
        <v>1990000</v>
      </c>
      <c r="K909" s="177">
        <f>'[6]price list MAN'!P909</f>
        <v>1480500</v>
      </c>
      <c r="L909" s="177">
        <f>'[6]price list MAN'!R909</f>
        <v>1410000</v>
      </c>
      <c r="M909" s="174">
        <f>'[6]price list MAN'!S909</f>
        <v>2070000</v>
      </c>
      <c r="N909" s="174">
        <f>'[6]price list MAN'!Y909</f>
        <v>1564500</v>
      </c>
      <c r="O909" s="174">
        <f>'[6]price list MAN'!AA909</f>
        <v>1490000</v>
      </c>
      <c r="P909" s="68">
        <f t="shared" si="71"/>
        <v>0.28019323671497587</v>
      </c>
      <c r="Q909" s="62" t="e">
        <f>O909-#REF!</f>
        <v>#REF!</v>
      </c>
      <c r="W909" s="210"/>
      <c r="X909" s="210"/>
      <c r="Y909" s="210"/>
      <c r="Z909" s="210"/>
      <c r="AA909" s="210"/>
      <c r="AB909" s="210"/>
      <c r="AC909" s="210"/>
      <c r="AT909" s="425" t="str">
        <f t="shared" si="72"/>
        <v>TGS000022017Q315,3</v>
      </c>
      <c r="AU909" s="64" t="str">
        <f t="shared" si="73"/>
        <v>08-2017</v>
      </c>
      <c r="BA909" s="428" t="str">
        <f t="shared" si="74"/>
        <v>WIP - 30 Days</v>
      </c>
    </row>
    <row r="910" spans="2:53">
      <c r="B910" s="36" t="str">
        <f>'[6]price list MAN'!B910</f>
        <v>78W-6261</v>
      </c>
      <c r="C910" s="10" t="str">
        <f>'[6]price list MAN'!C910</f>
        <v>TGS-26-4806X4BLS-LX-EL-ACC</v>
      </c>
      <c r="D910" s="16" t="str">
        <f>IFERROR(VLOOKUP(C910&amp;"",'[7]Retail Price List'!$A$3:$B$103,2,FALSE),"Special Order")</f>
        <v>TGS00002</v>
      </c>
      <c r="E910" s="494" t="str">
        <f>'[6]price list MAN'!E910</f>
        <v>CKD</v>
      </c>
      <c r="F910" s="11" t="str">
        <f>'[6]price list MAN'!F910</f>
        <v>2018-02-23</v>
      </c>
      <c r="G910" s="32">
        <f>'[6]price list MAN'!G910</f>
        <v>15.3</v>
      </c>
      <c r="H910" s="26">
        <f>'[6]price list MAN'!H910</f>
        <v>42978</v>
      </c>
      <c r="I910" s="51" t="str">
        <f t="shared" si="70"/>
        <v>2017Q3</v>
      </c>
      <c r="J910" s="177">
        <f>'[6]price list MAN'!J910</f>
        <v>1990000</v>
      </c>
      <c r="K910" s="177">
        <f>'[6]price list MAN'!P910</f>
        <v>1480500</v>
      </c>
      <c r="L910" s="177">
        <f>'[6]price list MAN'!R910</f>
        <v>1410000</v>
      </c>
      <c r="M910" s="174">
        <f>'[6]price list MAN'!S910</f>
        <v>2070000</v>
      </c>
      <c r="N910" s="174">
        <f>'[6]price list MAN'!Y910</f>
        <v>1564500</v>
      </c>
      <c r="O910" s="174">
        <f>'[6]price list MAN'!AA910</f>
        <v>1490000</v>
      </c>
      <c r="P910" s="68">
        <f t="shared" si="71"/>
        <v>0.28019323671497587</v>
      </c>
      <c r="Q910" s="62" t="e">
        <f>O910-#REF!</f>
        <v>#REF!</v>
      </c>
      <c r="W910" s="210"/>
      <c r="X910" s="210"/>
      <c r="Y910" s="210"/>
      <c r="Z910" s="210"/>
      <c r="AA910" s="210"/>
      <c r="AB910" s="210"/>
      <c r="AC910" s="210"/>
      <c r="AT910" s="425" t="str">
        <f t="shared" si="72"/>
        <v>TGS000022017Q315,3</v>
      </c>
      <c r="AU910" s="64" t="str">
        <f t="shared" si="73"/>
        <v>08-2017</v>
      </c>
      <c r="BA910" s="428" t="str">
        <f t="shared" si="74"/>
        <v>WIP - 30 Days</v>
      </c>
    </row>
    <row r="911" spans="2:53">
      <c r="B911" s="36" t="str">
        <f>'[6]price list MAN'!B911</f>
        <v>78W-6262</v>
      </c>
      <c r="C911" s="10" t="str">
        <f>'[6]price list MAN'!C911</f>
        <v>TGS-26-4806X4BLS-LX-EL-ACC</v>
      </c>
      <c r="D911" s="16" t="str">
        <f>IFERROR(VLOOKUP(C911&amp;"",'[7]Retail Price List'!$A$3:$B$103,2,FALSE),"Special Order")</f>
        <v>TGS00002</v>
      </c>
      <c r="E911" s="494" t="str">
        <f>'[6]price list MAN'!E911</f>
        <v>DEMO</v>
      </c>
      <c r="F911" s="11">
        <f>'[6]price list MAN'!F911</f>
        <v>5</v>
      </c>
      <c r="G911" s="32">
        <f>'[6]price list MAN'!G911</f>
        <v>15.3</v>
      </c>
      <c r="H911" s="26">
        <f>'[6]price list MAN'!H911</f>
        <v>42978</v>
      </c>
      <c r="I911" s="51" t="str">
        <f t="shared" si="70"/>
        <v>2017Q3</v>
      </c>
      <c r="J911" s="177">
        <f>'[6]price list MAN'!J911</f>
        <v>1990000</v>
      </c>
      <c r="K911" s="177">
        <f>'[6]price list MAN'!P911</f>
        <v>1480500</v>
      </c>
      <c r="L911" s="177">
        <f>'[6]price list MAN'!R911</f>
        <v>1410000</v>
      </c>
      <c r="M911" s="174">
        <f>'[6]price list MAN'!S911</f>
        <v>2070000</v>
      </c>
      <c r="N911" s="174">
        <f>'[6]price list MAN'!Y911</f>
        <v>1564500</v>
      </c>
      <c r="O911" s="174">
        <f>'[6]price list MAN'!AA911</f>
        <v>1490000</v>
      </c>
      <c r="P911" s="68">
        <f t="shared" si="71"/>
        <v>0.28019323671497587</v>
      </c>
      <c r="Q911" s="62" t="e">
        <f>O911-#REF!</f>
        <v>#REF!</v>
      </c>
      <c r="W911" s="210"/>
      <c r="X911" s="210"/>
      <c r="Y911" s="210"/>
      <c r="Z911" s="210"/>
      <c r="AA911" s="210"/>
      <c r="AB911" s="210"/>
      <c r="AC911" s="210"/>
      <c r="AT911" s="425" t="str">
        <f t="shared" si="72"/>
        <v>TGS000022017Q315,3</v>
      </c>
      <c r="AU911" s="64" t="str">
        <f t="shared" si="73"/>
        <v>08-2017</v>
      </c>
      <c r="BA911" s="428" t="str">
        <f t="shared" si="74"/>
        <v>WIP - 30 Days</v>
      </c>
    </row>
    <row r="912" spans="2:53">
      <c r="B912" s="36" t="str">
        <f>'[6]price list MAN'!B912</f>
        <v>78W-6263</v>
      </c>
      <c r="C912" s="10" t="str">
        <f>'[6]price list MAN'!C912</f>
        <v>TGS-26-4806X4BLS-LX-EL-ACC</v>
      </c>
      <c r="D912" s="16" t="str">
        <f>IFERROR(VLOOKUP(C912&amp;"",'[7]Retail Price List'!$A$3:$B$103,2,FALSE),"Special Order")</f>
        <v>TGS00002</v>
      </c>
      <c r="E912" s="494" t="str">
        <f>'[6]price list MAN'!E912</f>
        <v>CKD</v>
      </c>
      <c r="F912" s="11" t="str">
        <f>'[6]price list MAN'!F912</f>
        <v>2018-02-23</v>
      </c>
      <c r="G912" s="32">
        <f>'[6]price list MAN'!G912</f>
        <v>15.3</v>
      </c>
      <c r="H912" s="26">
        <f>'[6]price list MAN'!H912</f>
        <v>42978</v>
      </c>
      <c r="I912" s="51" t="str">
        <f t="shared" si="70"/>
        <v>2017Q3</v>
      </c>
      <c r="J912" s="177">
        <f>'[6]price list MAN'!J912</f>
        <v>1990000</v>
      </c>
      <c r="K912" s="177">
        <f>'[6]price list MAN'!P912</f>
        <v>1480500</v>
      </c>
      <c r="L912" s="177">
        <f>'[6]price list MAN'!R912</f>
        <v>1410000</v>
      </c>
      <c r="M912" s="174">
        <f>'[6]price list MAN'!S912</f>
        <v>2070000</v>
      </c>
      <c r="N912" s="174">
        <f>'[6]price list MAN'!Y912</f>
        <v>1564500</v>
      </c>
      <c r="O912" s="174">
        <f>'[6]price list MAN'!AA912</f>
        <v>1490000</v>
      </c>
      <c r="P912" s="68">
        <f t="shared" si="71"/>
        <v>0.28019323671497587</v>
      </c>
      <c r="Q912" s="62" t="e">
        <f>O912-#REF!</f>
        <v>#REF!</v>
      </c>
      <c r="W912" s="210"/>
      <c r="X912" s="210"/>
      <c r="Y912" s="210"/>
      <c r="Z912" s="210"/>
      <c r="AA912" s="210"/>
      <c r="AB912" s="210"/>
      <c r="AC912" s="210"/>
      <c r="AT912" s="425" t="str">
        <f t="shared" si="72"/>
        <v>TGS000022017Q315,3</v>
      </c>
      <c r="AU912" s="64" t="str">
        <f t="shared" si="73"/>
        <v>08-2017</v>
      </c>
      <c r="BA912" s="428" t="str">
        <f t="shared" si="74"/>
        <v>WIP - 30 Days</v>
      </c>
    </row>
    <row r="913" spans="2:53">
      <c r="B913" s="36" t="str">
        <f>'[6]price list MAN'!B913</f>
        <v>78W-6264</v>
      </c>
      <c r="C913" s="10" t="str">
        <f>'[6]price list MAN'!C913</f>
        <v>TGS-26-4806X4BLS-LX-EL-ACC</v>
      </c>
      <c r="D913" s="16" t="str">
        <f>IFERROR(VLOOKUP(C913&amp;"",'[7]Retail Price List'!$A$3:$B$103,2,FALSE),"Special Order")</f>
        <v>TGS00002</v>
      </c>
      <c r="E913" s="494" t="str">
        <f>'[6]price list MAN'!E913</f>
        <v>SOLD</v>
      </c>
      <c r="F913" s="11">
        <f>'[6]price list MAN'!F913</f>
        <v>6</v>
      </c>
      <c r="G913" s="32">
        <f>'[6]price list MAN'!G913</f>
        <v>15.3</v>
      </c>
      <c r="H913" s="26">
        <f>'[6]price list MAN'!H913</f>
        <v>42978</v>
      </c>
      <c r="I913" s="51" t="str">
        <f t="shared" si="70"/>
        <v>2017Q3</v>
      </c>
      <c r="J913" s="177">
        <f>'[6]price list MAN'!J913</f>
        <v>1990000</v>
      </c>
      <c r="K913" s="177">
        <f>'[6]price list MAN'!P913</f>
        <v>1480500</v>
      </c>
      <c r="L913" s="177">
        <f>'[6]price list MAN'!R913</f>
        <v>1410000</v>
      </c>
      <c r="M913" s="174">
        <f>'[6]price list MAN'!S913</f>
        <v>2070000</v>
      </c>
      <c r="N913" s="174">
        <f>'[6]price list MAN'!Y913</f>
        <v>1564500</v>
      </c>
      <c r="O913" s="174">
        <f>'[6]price list MAN'!AA913</f>
        <v>1490000</v>
      </c>
      <c r="P913" s="68">
        <f t="shared" si="71"/>
        <v>0.28019323671497587</v>
      </c>
      <c r="Q913" s="62" t="e">
        <f>O913-#REF!</f>
        <v>#REF!</v>
      </c>
      <c r="W913" s="210"/>
      <c r="X913" s="210"/>
      <c r="Y913" s="210"/>
      <c r="Z913" s="210"/>
      <c r="AA913" s="210"/>
      <c r="AB913" s="210"/>
      <c r="AC913" s="210"/>
      <c r="AT913" s="425" t="str">
        <f t="shared" si="72"/>
        <v>TGS000022017Q315,3</v>
      </c>
      <c r="AU913" s="64" t="str">
        <f t="shared" si="73"/>
        <v>08-2017</v>
      </c>
      <c r="BA913" s="428" t="str">
        <f t="shared" si="74"/>
        <v>WIP - 30 Days</v>
      </c>
    </row>
    <row r="914" spans="2:53">
      <c r="B914" s="36" t="str">
        <f>'[6]price list MAN'!B914</f>
        <v>78W-6268</v>
      </c>
      <c r="C914" s="10" t="str">
        <f>'[6]price list MAN'!C914</f>
        <v>TGS-26-4806X4BLS-LX-EL-ACC</v>
      </c>
      <c r="D914" s="16" t="str">
        <f>IFERROR(VLOOKUP(C914&amp;"",'[7]Retail Price List'!$A$3:$B$103,2,FALSE),"Special Order")</f>
        <v>TGS00002</v>
      </c>
      <c r="E914" s="494" t="str">
        <f>'[6]price list MAN'!E914</f>
        <v>SOLD</v>
      </c>
      <c r="F914" s="11">
        <f>'[6]price list MAN'!F914</f>
        <v>35</v>
      </c>
      <c r="G914" s="32">
        <f>'[6]price list MAN'!G914</f>
        <v>15.3</v>
      </c>
      <c r="H914" s="26">
        <f>'[6]price list MAN'!H914</f>
        <v>42978</v>
      </c>
      <c r="I914" s="51" t="str">
        <f t="shared" si="70"/>
        <v>2017Q3</v>
      </c>
      <c r="J914" s="177">
        <f>'[6]price list MAN'!J914</f>
        <v>1990000</v>
      </c>
      <c r="K914" s="177">
        <f>'[6]price list MAN'!P914</f>
        <v>1512000</v>
      </c>
      <c r="L914" s="177">
        <f>'[6]price list MAN'!R914</f>
        <v>1440000</v>
      </c>
      <c r="M914" s="174">
        <f>'[6]price list MAN'!S914</f>
        <v>2070000</v>
      </c>
      <c r="N914" s="174">
        <f>'[6]price list MAN'!Y914</f>
        <v>1596000</v>
      </c>
      <c r="O914" s="174">
        <f>'[6]price list MAN'!AA914</f>
        <v>1520000</v>
      </c>
      <c r="P914" s="68">
        <f t="shared" si="71"/>
        <v>0.26570048309178745</v>
      </c>
      <c r="Q914" s="62" t="e">
        <f>O914-#REF!</f>
        <v>#REF!</v>
      </c>
      <c r="W914" s="210"/>
      <c r="X914" s="210"/>
      <c r="Y914" s="210"/>
      <c r="Z914" s="210"/>
      <c r="AA914" s="210"/>
      <c r="AB914" s="210"/>
      <c r="AC914" s="210"/>
      <c r="AT914" s="425" t="str">
        <f t="shared" si="72"/>
        <v>TGS000022017Q315,3</v>
      </c>
      <c r="AU914" s="64" t="str">
        <f t="shared" si="73"/>
        <v>08-2017</v>
      </c>
      <c r="BA914" s="428" t="str">
        <f t="shared" si="74"/>
        <v>31-120 Days</v>
      </c>
    </row>
    <row r="915" spans="2:53">
      <c r="B915" s="36" t="str">
        <f>'[6]price list MAN'!B915</f>
        <v>78W-6271</v>
      </c>
      <c r="C915" s="10" t="str">
        <f>'[6]price list MAN'!C915</f>
        <v>TGS-26-4806X4BLS-LX-EL-ACC</v>
      </c>
      <c r="D915" s="16" t="str">
        <f>IFERROR(VLOOKUP(C915&amp;"",'[7]Retail Price List'!$A$3:$B$103,2,FALSE),"Special Order")</f>
        <v>TGS00002</v>
      </c>
      <c r="E915" s="494" t="str">
        <f>'[6]price list MAN'!E915</f>
        <v>SOLD</v>
      </c>
      <c r="F915" s="11">
        <f>'[6]price list MAN'!F915</f>
        <v>35</v>
      </c>
      <c r="G915" s="32">
        <f>'[6]price list MAN'!G915</f>
        <v>15.3</v>
      </c>
      <c r="H915" s="26">
        <f>'[6]price list MAN'!H915</f>
        <v>42978</v>
      </c>
      <c r="I915" s="51" t="str">
        <f t="shared" si="70"/>
        <v>2017Q3</v>
      </c>
      <c r="J915" s="177">
        <f>'[6]price list MAN'!J915</f>
        <v>1990000</v>
      </c>
      <c r="K915" s="177">
        <f>'[6]price list MAN'!P915</f>
        <v>1512000</v>
      </c>
      <c r="L915" s="177">
        <f>'[6]price list MAN'!R915</f>
        <v>1440000</v>
      </c>
      <c r="M915" s="174">
        <f>'[6]price list MAN'!S915</f>
        <v>2070000</v>
      </c>
      <c r="N915" s="174">
        <f>'[6]price list MAN'!Y915</f>
        <v>1596000</v>
      </c>
      <c r="O915" s="174">
        <f>'[6]price list MAN'!AA915</f>
        <v>1520000</v>
      </c>
      <c r="P915" s="68">
        <f t="shared" si="71"/>
        <v>0.26570048309178745</v>
      </c>
      <c r="Q915" s="62" t="e">
        <f>O915-#REF!</f>
        <v>#REF!</v>
      </c>
      <c r="W915" s="210"/>
      <c r="X915" s="210"/>
      <c r="Y915" s="210"/>
      <c r="Z915" s="210"/>
      <c r="AA915" s="210"/>
      <c r="AB915" s="210"/>
      <c r="AC915" s="210"/>
      <c r="AT915" s="425" t="str">
        <f t="shared" si="72"/>
        <v>TGS000022017Q315,3</v>
      </c>
      <c r="AU915" s="64" t="str">
        <f t="shared" si="73"/>
        <v>08-2017</v>
      </c>
      <c r="BA915" s="428" t="str">
        <f t="shared" si="74"/>
        <v>31-120 Days</v>
      </c>
    </row>
    <row r="916" spans="2:53">
      <c r="B916" s="36" t="str">
        <f>'[6]price list MAN'!B916</f>
        <v>78W-6272</v>
      </c>
      <c r="C916" s="10" t="str">
        <f>'[6]price list MAN'!C916</f>
        <v>TGS-26-4806X4BLS-LX-EL-ACC</v>
      </c>
      <c r="D916" s="16" t="str">
        <f>IFERROR(VLOOKUP(C916&amp;"",'[7]Retail Price List'!$A$3:$B$103,2,FALSE),"Special Order")</f>
        <v>TGS00002</v>
      </c>
      <c r="E916" s="494" t="str">
        <f>'[6]price list MAN'!E916</f>
        <v>CKD</v>
      </c>
      <c r="F916" s="11" t="str">
        <f>'[6]price list MAN'!F916</f>
        <v>2018-02-27</v>
      </c>
      <c r="G916" s="32">
        <f>'[6]price list MAN'!G916</f>
        <v>15.3</v>
      </c>
      <c r="H916" s="26">
        <f>'[6]price list MAN'!H916</f>
        <v>42978</v>
      </c>
      <c r="I916" s="51" t="str">
        <f t="shared" si="70"/>
        <v>2017Q3</v>
      </c>
      <c r="J916" s="177">
        <f>'[6]price list MAN'!J916</f>
        <v>1990000</v>
      </c>
      <c r="K916" s="177">
        <f>'[6]price list MAN'!P916</f>
        <v>1480500</v>
      </c>
      <c r="L916" s="177">
        <f>'[6]price list MAN'!R916</f>
        <v>1410000</v>
      </c>
      <c r="M916" s="174">
        <f>'[6]price list MAN'!S916</f>
        <v>2070000</v>
      </c>
      <c r="N916" s="174">
        <f>'[6]price list MAN'!Y916</f>
        <v>1564500</v>
      </c>
      <c r="O916" s="174">
        <f>'[6]price list MAN'!AA916</f>
        <v>1490000</v>
      </c>
      <c r="P916" s="68">
        <f t="shared" si="71"/>
        <v>0.28019323671497587</v>
      </c>
      <c r="Q916" s="62" t="e">
        <f>O916-#REF!</f>
        <v>#REF!</v>
      </c>
      <c r="W916" s="210"/>
      <c r="X916" s="210"/>
      <c r="Y916" s="210"/>
      <c r="Z916" s="210"/>
      <c r="AA916" s="210"/>
      <c r="AB916" s="210"/>
      <c r="AC916" s="210"/>
      <c r="AT916" s="425" t="str">
        <f t="shared" si="72"/>
        <v>TGS000022017Q315,3</v>
      </c>
      <c r="AU916" s="64" t="str">
        <f t="shared" si="73"/>
        <v>08-2017</v>
      </c>
      <c r="BA916" s="428" t="str">
        <f t="shared" si="74"/>
        <v>WIP - 30 Days</v>
      </c>
    </row>
    <row r="917" spans="2:53">
      <c r="B917" s="36" t="str">
        <f>'[6]price list MAN'!B917</f>
        <v>78W-6273</v>
      </c>
      <c r="C917" s="10" t="str">
        <f>'[6]price list MAN'!C917</f>
        <v>TGS-26-4806X4BLS-LX-EL-ACC</v>
      </c>
      <c r="D917" s="16" t="str">
        <f>IFERROR(VLOOKUP(C917&amp;"",'[7]Retail Price List'!$A$3:$B$103,2,FALSE),"Special Order")</f>
        <v>TGS00002</v>
      </c>
      <c r="E917" s="494" t="str">
        <f>'[6]price list MAN'!E917</f>
        <v>CKD</v>
      </c>
      <c r="F917" s="11" t="str">
        <f>'[6]price list MAN'!F917</f>
        <v>2018-02-27</v>
      </c>
      <c r="G917" s="32">
        <f>'[6]price list MAN'!G917</f>
        <v>15.3</v>
      </c>
      <c r="H917" s="26">
        <f>'[6]price list MAN'!H917</f>
        <v>42978</v>
      </c>
      <c r="I917" s="51" t="str">
        <f t="shared" si="70"/>
        <v>2017Q3</v>
      </c>
      <c r="J917" s="177">
        <f>'[6]price list MAN'!J917</f>
        <v>1990000</v>
      </c>
      <c r="K917" s="177">
        <f>'[6]price list MAN'!P917</f>
        <v>1480500</v>
      </c>
      <c r="L917" s="177">
        <f>'[6]price list MAN'!R917</f>
        <v>1410000</v>
      </c>
      <c r="M917" s="174">
        <f>'[6]price list MAN'!S917</f>
        <v>2070000</v>
      </c>
      <c r="N917" s="174">
        <f>'[6]price list MAN'!Y917</f>
        <v>1564500</v>
      </c>
      <c r="O917" s="174">
        <f>'[6]price list MAN'!AA917</f>
        <v>1490000</v>
      </c>
      <c r="P917" s="68">
        <f t="shared" si="71"/>
        <v>0.28019323671497587</v>
      </c>
      <c r="Q917" s="62" t="e">
        <f>O917-#REF!</f>
        <v>#REF!</v>
      </c>
      <c r="W917" s="210"/>
      <c r="X917" s="210"/>
      <c r="Y917" s="210"/>
      <c r="Z917" s="210"/>
      <c r="AA917" s="210"/>
      <c r="AB917" s="210"/>
      <c r="AC917" s="210"/>
      <c r="AT917" s="425" t="str">
        <f t="shared" si="72"/>
        <v>TGS000022017Q315,3</v>
      </c>
      <c r="AU917" s="64" t="str">
        <f t="shared" si="73"/>
        <v>08-2017</v>
      </c>
      <c r="BA917" s="428" t="str">
        <f t="shared" si="74"/>
        <v>WIP - 30 Days</v>
      </c>
    </row>
    <row r="918" spans="2:53">
      <c r="B918" s="36" t="str">
        <f>'[6]price list MAN'!B918</f>
        <v>78W-6274</v>
      </c>
      <c r="C918" s="10" t="str">
        <f>'[6]price list MAN'!C918</f>
        <v>TGS-26-4806X4BLS-LX-EL-ACC</v>
      </c>
      <c r="D918" s="16" t="str">
        <f>IFERROR(VLOOKUP(C918&amp;"",'[7]Retail Price List'!$A$3:$B$103,2,FALSE),"Special Order")</f>
        <v>TGS00002</v>
      </c>
      <c r="E918" s="494" t="str">
        <f>'[6]price list MAN'!E918</f>
        <v>CKD</v>
      </c>
      <c r="F918" s="11" t="str">
        <f>'[6]price list MAN'!F918</f>
        <v>2018-02-27</v>
      </c>
      <c r="G918" s="32">
        <f>'[6]price list MAN'!G918</f>
        <v>15.3</v>
      </c>
      <c r="H918" s="26">
        <f>'[6]price list MAN'!H918</f>
        <v>42978</v>
      </c>
      <c r="I918" s="51" t="str">
        <f t="shared" si="70"/>
        <v>2017Q3</v>
      </c>
      <c r="J918" s="177">
        <f>'[6]price list MAN'!J918</f>
        <v>1990000</v>
      </c>
      <c r="K918" s="177">
        <f>'[6]price list MAN'!P918</f>
        <v>1480500</v>
      </c>
      <c r="L918" s="177">
        <f>'[6]price list MAN'!R918</f>
        <v>1410000</v>
      </c>
      <c r="M918" s="174">
        <f>'[6]price list MAN'!S918</f>
        <v>2070000</v>
      </c>
      <c r="N918" s="174">
        <f>'[6]price list MAN'!Y918</f>
        <v>1564500</v>
      </c>
      <c r="O918" s="174">
        <f>'[6]price list MAN'!AA918</f>
        <v>1490000</v>
      </c>
      <c r="P918" s="68">
        <f t="shared" si="71"/>
        <v>0.28019323671497587</v>
      </c>
      <c r="Q918" s="62" t="e">
        <f>O918-#REF!</f>
        <v>#REF!</v>
      </c>
      <c r="W918" s="210"/>
      <c r="X918" s="210"/>
      <c r="Y918" s="210"/>
      <c r="Z918" s="210"/>
      <c r="AA918" s="210"/>
      <c r="AB918" s="210"/>
      <c r="AC918" s="210"/>
      <c r="AT918" s="425" t="str">
        <f t="shared" si="72"/>
        <v>TGS000022017Q315,3</v>
      </c>
      <c r="AU918" s="64" t="str">
        <f t="shared" si="73"/>
        <v>08-2017</v>
      </c>
      <c r="BA918" s="428" t="str">
        <f t="shared" si="74"/>
        <v>WIP - 30 Days</v>
      </c>
    </row>
    <row r="919" spans="2:53">
      <c r="B919" s="36" t="str">
        <f>'[6]price list MAN'!B919</f>
        <v>78W-6275</v>
      </c>
      <c r="C919" s="10" t="str">
        <f>'[6]price list MAN'!C919</f>
        <v>TGS-26-4806X4BLS-LX-EL-ACC</v>
      </c>
      <c r="D919" s="16" t="str">
        <f>IFERROR(VLOOKUP(C919&amp;"",'[7]Retail Price List'!$A$3:$B$103,2,FALSE),"Special Order")</f>
        <v>TGS00002</v>
      </c>
      <c r="E919" s="494" t="str">
        <f>'[6]price list MAN'!E919</f>
        <v>CKD</v>
      </c>
      <c r="F919" s="11" t="str">
        <f>'[6]price list MAN'!F919</f>
        <v>2018-02-27</v>
      </c>
      <c r="G919" s="32">
        <f>'[6]price list MAN'!G919</f>
        <v>15.3</v>
      </c>
      <c r="H919" s="26">
        <f>'[6]price list MAN'!H919</f>
        <v>42978</v>
      </c>
      <c r="I919" s="51" t="str">
        <f t="shared" si="70"/>
        <v>2017Q3</v>
      </c>
      <c r="J919" s="177">
        <f>'[6]price list MAN'!J919</f>
        <v>1990000</v>
      </c>
      <c r="K919" s="177">
        <f>'[6]price list MAN'!P919</f>
        <v>1480500</v>
      </c>
      <c r="L919" s="177">
        <f>'[6]price list MAN'!R919</f>
        <v>1410000</v>
      </c>
      <c r="M919" s="174">
        <f>'[6]price list MAN'!S919</f>
        <v>2070000</v>
      </c>
      <c r="N919" s="174">
        <f>'[6]price list MAN'!Y919</f>
        <v>1564500</v>
      </c>
      <c r="O919" s="174">
        <f>'[6]price list MAN'!AA919</f>
        <v>1490000</v>
      </c>
      <c r="P919" s="68">
        <f t="shared" si="71"/>
        <v>0.28019323671497587</v>
      </c>
      <c r="Q919" s="62" t="e">
        <f>O919-#REF!</f>
        <v>#REF!</v>
      </c>
      <c r="W919" s="210"/>
      <c r="X919" s="210"/>
      <c r="Y919" s="210"/>
      <c r="Z919" s="210"/>
      <c r="AA919" s="210"/>
      <c r="AB919" s="210"/>
      <c r="AC919" s="210"/>
      <c r="AT919" s="425" t="str">
        <f t="shared" si="72"/>
        <v>TGS000022017Q315,3</v>
      </c>
      <c r="AU919" s="64" t="str">
        <f t="shared" si="73"/>
        <v>08-2017</v>
      </c>
      <c r="BA919" s="428" t="str">
        <f t="shared" si="74"/>
        <v>WIP - 30 Days</v>
      </c>
    </row>
    <row r="920" spans="2:53">
      <c r="B920" s="36" t="str">
        <f>'[6]price list MAN'!B920</f>
        <v>78W-6276</v>
      </c>
      <c r="C920" s="10" t="str">
        <f>'[6]price list MAN'!C920</f>
        <v>TGS-26-4806X4BLS-LX-EL-ACC</v>
      </c>
      <c r="D920" s="16" t="str">
        <f>IFERROR(VLOOKUP(C920&amp;"",'[7]Retail Price List'!$A$3:$B$103,2,FALSE),"Special Order")</f>
        <v>TGS00002</v>
      </c>
      <c r="E920" s="494" t="str">
        <f>'[6]price list MAN'!E920</f>
        <v>SOLD</v>
      </c>
      <c r="F920" s="11">
        <f>'[6]price list MAN'!F920</f>
        <v>13</v>
      </c>
      <c r="G920" s="32">
        <f>'[6]price list MAN'!G920</f>
        <v>15.3</v>
      </c>
      <c r="H920" s="26">
        <f>'[6]price list MAN'!H920</f>
        <v>42978</v>
      </c>
      <c r="I920" s="51" t="str">
        <f t="shared" si="70"/>
        <v>2017Q3</v>
      </c>
      <c r="J920" s="177">
        <f>'[6]price list MAN'!J920</f>
        <v>1990000</v>
      </c>
      <c r="K920" s="177">
        <f>'[6]price list MAN'!P920</f>
        <v>1480500</v>
      </c>
      <c r="L920" s="177">
        <f>'[6]price list MAN'!R920</f>
        <v>1410000</v>
      </c>
      <c r="M920" s="174">
        <f>'[6]price list MAN'!S920</f>
        <v>2070000</v>
      </c>
      <c r="N920" s="174">
        <f>'[6]price list MAN'!Y920</f>
        <v>1564500</v>
      </c>
      <c r="O920" s="174">
        <f>'[6]price list MAN'!AA920</f>
        <v>1490000</v>
      </c>
      <c r="P920" s="68">
        <f t="shared" si="71"/>
        <v>0.28019323671497587</v>
      </c>
      <c r="Q920" s="62" t="e">
        <f>O920-#REF!</f>
        <v>#REF!</v>
      </c>
      <c r="W920" s="210"/>
      <c r="X920" s="210"/>
      <c r="Y920" s="210"/>
      <c r="Z920" s="210"/>
      <c r="AA920" s="210"/>
      <c r="AB920" s="210"/>
      <c r="AC920" s="210"/>
      <c r="AT920" s="425" t="str">
        <f t="shared" si="72"/>
        <v>TGS000022017Q315,3</v>
      </c>
      <c r="AU920" s="64" t="str">
        <f t="shared" si="73"/>
        <v>08-2017</v>
      </c>
      <c r="BA920" s="428" t="str">
        <f t="shared" si="74"/>
        <v>WIP - 30 Days</v>
      </c>
    </row>
    <row r="921" spans="2:53">
      <c r="B921" s="36" t="str">
        <f>'[6]price list MAN'!B921</f>
        <v>78W-6277</v>
      </c>
      <c r="C921" s="10" t="str">
        <f>'[6]price list MAN'!C921</f>
        <v>TGS-26-4806X4BLS-LX-EL-ACC</v>
      </c>
      <c r="D921" s="16" t="str">
        <f>IFERROR(VLOOKUP(C921&amp;"",'[7]Retail Price List'!$A$3:$B$103,2,FALSE),"Special Order")</f>
        <v>TGS00002</v>
      </c>
      <c r="E921" s="494" t="str">
        <f>'[6]price list MAN'!E921</f>
        <v>SOLD</v>
      </c>
      <c r="F921" s="11">
        <f>'[6]price list MAN'!F921</f>
        <v>6</v>
      </c>
      <c r="G921" s="32">
        <f>'[6]price list MAN'!G921</f>
        <v>15.3</v>
      </c>
      <c r="H921" s="26">
        <f>'[6]price list MAN'!H921</f>
        <v>42978</v>
      </c>
      <c r="I921" s="51" t="str">
        <f t="shared" si="70"/>
        <v>2017Q3</v>
      </c>
      <c r="J921" s="177">
        <f>'[6]price list MAN'!J921</f>
        <v>1990000</v>
      </c>
      <c r="K921" s="177">
        <f>'[6]price list MAN'!P921</f>
        <v>1480500</v>
      </c>
      <c r="L921" s="177">
        <f>'[6]price list MAN'!R921</f>
        <v>1410000</v>
      </c>
      <c r="M921" s="174">
        <f>'[6]price list MAN'!S921</f>
        <v>2070000</v>
      </c>
      <c r="N921" s="174">
        <f>'[6]price list MAN'!Y921</f>
        <v>1564500</v>
      </c>
      <c r="O921" s="174">
        <f>'[6]price list MAN'!AA921</f>
        <v>1490000</v>
      </c>
      <c r="P921" s="68">
        <f t="shared" si="71"/>
        <v>0.28019323671497587</v>
      </c>
      <c r="Q921" s="62" t="e">
        <f>O921-#REF!</f>
        <v>#REF!</v>
      </c>
      <c r="W921" s="210"/>
      <c r="X921" s="210"/>
      <c r="Y921" s="210"/>
      <c r="Z921" s="210"/>
      <c r="AA921" s="210"/>
      <c r="AB921" s="210"/>
      <c r="AC921" s="210"/>
      <c r="AT921" s="425" t="str">
        <f t="shared" si="72"/>
        <v>TGS000022017Q315,3</v>
      </c>
      <c r="AU921" s="64" t="str">
        <f t="shared" si="73"/>
        <v>08-2017</v>
      </c>
      <c r="BA921" s="428" t="str">
        <f t="shared" si="74"/>
        <v>WIP - 30 Days</v>
      </c>
    </row>
    <row r="922" spans="2:53">
      <c r="B922" s="36" t="str">
        <f>'[6]price list MAN'!B922</f>
        <v>78W-6278</v>
      </c>
      <c r="C922" s="10" t="str">
        <f>'[6]price list MAN'!C922</f>
        <v>TGS-26-4806X4BLS-LX-EL-ACC</v>
      </c>
      <c r="D922" s="16" t="str">
        <f>IFERROR(VLOOKUP(C922&amp;"",'[7]Retail Price List'!$A$3:$B$103,2,FALSE),"Special Order")</f>
        <v>TGS00002</v>
      </c>
      <c r="E922" s="494" t="str">
        <f>'[6]price list MAN'!E922</f>
        <v>CKD</v>
      </c>
      <c r="F922" s="11" t="str">
        <f>'[6]price list MAN'!F922</f>
        <v>2018-02-22</v>
      </c>
      <c r="G922" s="32">
        <f>'[6]price list MAN'!G922</f>
        <v>15.3</v>
      </c>
      <c r="H922" s="26">
        <f>'[6]price list MAN'!H922</f>
        <v>42978</v>
      </c>
      <c r="I922" s="51" t="str">
        <f t="shared" si="70"/>
        <v>2017Q3</v>
      </c>
      <c r="J922" s="177">
        <f>'[6]price list MAN'!J922</f>
        <v>1990000</v>
      </c>
      <c r="K922" s="177">
        <f>'[6]price list MAN'!P922</f>
        <v>1480500</v>
      </c>
      <c r="L922" s="177">
        <f>'[6]price list MAN'!R922</f>
        <v>1410000</v>
      </c>
      <c r="M922" s="174">
        <f>'[6]price list MAN'!S922</f>
        <v>2070000</v>
      </c>
      <c r="N922" s="174">
        <f>'[6]price list MAN'!Y922</f>
        <v>1564500</v>
      </c>
      <c r="O922" s="174">
        <f>'[6]price list MAN'!AA922</f>
        <v>1490000</v>
      </c>
      <c r="P922" s="68">
        <f t="shared" si="71"/>
        <v>0.28019323671497587</v>
      </c>
      <c r="Q922" s="62" t="e">
        <f>O922-#REF!</f>
        <v>#REF!</v>
      </c>
      <c r="W922" s="210"/>
      <c r="X922" s="210"/>
      <c r="Y922" s="210"/>
      <c r="Z922" s="210"/>
      <c r="AA922" s="210"/>
      <c r="AB922" s="210"/>
      <c r="AC922" s="210"/>
      <c r="AT922" s="425" t="str">
        <f t="shared" si="72"/>
        <v>TGS000022017Q315,3</v>
      </c>
      <c r="AU922" s="64" t="str">
        <f t="shared" si="73"/>
        <v>08-2017</v>
      </c>
      <c r="BA922" s="428" t="str">
        <f t="shared" si="74"/>
        <v>WIP - 30 Days</v>
      </c>
    </row>
    <row r="923" spans="2:53">
      <c r="B923" s="36" t="str">
        <f>'[6]price list MAN'!B923</f>
        <v>78W-6279</v>
      </c>
      <c r="C923" s="10" t="str">
        <f>'[6]price list MAN'!C923</f>
        <v>TGS-26-4806X4BLS-LX-EL-ACC</v>
      </c>
      <c r="D923" s="16" t="str">
        <f>IFERROR(VLOOKUP(C923&amp;"",'[7]Retail Price List'!$A$3:$B$103,2,FALSE),"Special Order")</f>
        <v>TGS00002</v>
      </c>
      <c r="E923" s="494" t="str">
        <f>'[6]price list MAN'!E923</f>
        <v>SOLD</v>
      </c>
      <c r="F923" s="11">
        <f>'[6]price list MAN'!F923</f>
        <v>4</v>
      </c>
      <c r="G923" s="32">
        <f>'[6]price list MAN'!G923</f>
        <v>15.3</v>
      </c>
      <c r="H923" s="26">
        <f>'[6]price list MAN'!H923</f>
        <v>42978</v>
      </c>
      <c r="I923" s="51" t="str">
        <f t="shared" si="70"/>
        <v>2017Q3</v>
      </c>
      <c r="J923" s="177">
        <f>'[6]price list MAN'!J923</f>
        <v>1990000</v>
      </c>
      <c r="K923" s="177">
        <f>'[6]price list MAN'!P923</f>
        <v>1480500</v>
      </c>
      <c r="L923" s="177">
        <f>'[6]price list MAN'!R923</f>
        <v>1410000</v>
      </c>
      <c r="M923" s="174">
        <f>'[6]price list MAN'!S923</f>
        <v>2070000</v>
      </c>
      <c r="N923" s="174">
        <f>'[6]price list MAN'!Y923</f>
        <v>1564500</v>
      </c>
      <c r="O923" s="174">
        <f>'[6]price list MAN'!AA923</f>
        <v>1490000</v>
      </c>
      <c r="P923" s="68">
        <f t="shared" si="71"/>
        <v>0.28019323671497587</v>
      </c>
      <c r="Q923" s="62" t="e">
        <f>O923-#REF!</f>
        <v>#REF!</v>
      </c>
      <c r="W923" s="210"/>
      <c r="X923" s="210"/>
      <c r="Y923" s="210"/>
      <c r="Z923" s="210"/>
      <c r="AA923" s="210"/>
      <c r="AB923" s="210"/>
      <c r="AC923" s="210"/>
      <c r="AT923" s="425" t="str">
        <f t="shared" si="72"/>
        <v>TGS000022017Q315,3</v>
      </c>
      <c r="AU923" s="64" t="str">
        <f t="shared" si="73"/>
        <v>08-2017</v>
      </c>
      <c r="BA923" s="428" t="str">
        <f t="shared" si="74"/>
        <v>WIP - 30 Days</v>
      </c>
    </row>
    <row r="924" spans="2:53">
      <c r="B924" s="36" t="str">
        <f>'[6]price list MAN'!B924</f>
        <v>78W-6280</v>
      </c>
      <c r="C924" s="10" t="str">
        <f>'[6]price list MAN'!C924</f>
        <v>TGS-26-4806X4BLS-LX-EL-ACC</v>
      </c>
      <c r="D924" s="16" t="str">
        <f>IFERROR(VLOOKUP(C924&amp;"",'[7]Retail Price List'!$A$3:$B$103,2,FALSE),"Special Order")</f>
        <v>TGS00002</v>
      </c>
      <c r="E924" s="494" t="str">
        <f>'[6]price list MAN'!E924</f>
        <v>SOLD</v>
      </c>
      <c r="F924" s="11">
        <f>'[6]price list MAN'!F924</f>
        <v>20</v>
      </c>
      <c r="G924" s="32">
        <f>'[6]price list MAN'!G924</f>
        <v>15.3</v>
      </c>
      <c r="H924" s="26">
        <f>'[6]price list MAN'!H924</f>
        <v>42978</v>
      </c>
      <c r="I924" s="51" t="str">
        <f t="shared" si="70"/>
        <v>2017Q3</v>
      </c>
      <c r="J924" s="177">
        <f>'[6]price list MAN'!J924</f>
        <v>1990000</v>
      </c>
      <c r="K924" s="177">
        <f>'[6]price list MAN'!P924</f>
        <v>1480500</v>
      </c>
      <c r="L924" s="177">
        <f>'[6]price list MAN'!R924</f>
        <v>1410000</v>
      </c>
      <c r="M924" s="174">
        <f>'[6]price list MAN'!S924</f>
        <v>2070000</v>
      </c>
      <c r="N924" s="174">
        <f>'[6]price list MAN'!Y924</f>
        <v>1564500</v>
      </c>
      <c r="O924" s="174">
        <f>'[6]price list MAN'!AA924</f>
        <v>1490000</v>
      </c>
      <c r="P924" s="68">
        <f t="shared" si="71"/>
        <v>0.28019323671497587</v>
      </c>
      <c r="Q924" s="62" t="e">
        <f>O924-#REF!</f>
        <v>#REF!</v>
      </c>
      <c r="W924" s="210"/>
      <c r="X924" s="210"/>
      <c r="Y924" s="210"/>
      <c r="Z924" s="210"/>
      <c r="AA924" s="210"/>
      <c r="AB924" s="210"/>
      <c r="AC924" s="210"/>
      <c r="AT924" s="425" t="str">
        <f t="shared" si="72"/>
        <v>TGS000022017Q315,3</v>
      </c>
      <c r="AU924" s="64" t="str">
        <f t="shared" si="73"/>
        <v>08-2017</v>
      </c>
      <c r="BA924" s="428" t="str">
        <f t="shared" si="74"/>
        <v>WIP - 30 Days</v>
      </c>
    </row>
    <row r="925" spans="2:53">
      <c r="B925" s="36" t="str">
        <f>'[6]price list MAN'!B925</f>
        <v>78W-6281</v>
      </c>
      <c r="C925" s="10" t="str">
        <f>'[6]price list MAN'!C925</f>
        <v>TGS-26-4806X4BLS-LX-EL-ACC</v>
      </c>
      <c r="D925" s="16" t="str">
        <f>IFERROR(VLOOKUP(C925&amp;"",'[7]Retail Price List'!$A$3:$B$103,2,FALSE),"Special Order")</f>
        <v>TGS00002</v>
      </c>
      <c r="E925" s="494" t="str">
        <f>'[6]price list MAN'!E925</f>
        <v>SOLD</v>
      </c>
      <c r="F925" s="11">
        <f>'[6]price list MAN'!F925</f>
        <v>14</v>
      </c>
      <c r="G925" s="32">
        <f>'[6]price list MAN'!G925</f>
        <v>15.3</v>
      </c>
      <c r="H925" s="26">
        <f>'[6]price list MAN'!H925</f>
        <v>42978</v>
      </c>
      <c r="I925" s="51" t="str">
        <f t="shared" si="70"/>
        <v>2017Q3</v>
      </c>
      <c r="J925" s="177">
        <f>'[6]price list MAN'!J925</f>
        <v>1990000</v>
      </c>
      <c r="K925" s="177">
        <f>'[6]price list MAN'!P925</f>
        <v>1480500</v>
      </c>
      <c r="L925" s="177">
        <f>'[6]price list MAN'!R925</f>
        <v>1410000</v>
      </c>
      <c r="M925" s="174">
        <f>'[6]price list MAN'!S925</f>
        <v>2070000</v>
      </c>
      <c r="N925" s="174">
        <f>'[6]price list MAN'!Y925</f>
        <v>1564500</v>
      </c>
      <c r="O925" s="174">
        <f>'[6]price list MAN'!AA925</f>
        <v>1490000</v>
      </c>
      <c r="P925" s="68">
        <f t="shared" si="71"/>
        <v>0.28019323671497587</v>
      </c>
      <c r="Q925" s="62" t="e">
        <f>O925-#REF!</f>
        <v>#REF!</v>
      </c>
      <c r="W925" s="210"/>
      <c r="X925" s="210"/>
      <c r="Y925" s="210"/>
      <c r="Z925" s="210"/>
      <c r="AA925" s="210"/>
      <c r="AB925" s="210"/>
      <c r="AC925" s="210"/>
      <c r="AT925" s="425" t="str">
        <f t="shared" si="72"/>
        <v>TGS000022017Q315,3</v>
      </c>
      <c r="AU925" s="64" t="str">
        <f t="shared" si="73"/>
        <v>08-2017</v>
      </c>
      <c r="BA925" s="428" t="str">
        <f t="shared" si="74"/>
        <v>WIP - 30 Days</v>
      </c>
    </row>
    <row r="926" spans="2:53">
      <c r="B926" s="36" t="str">
        <f>'[6]price list MAN'!B926</f>
        <v>78W-6282</v>
      </c>
      <c r="C926" s="10" t="str">
        <f>'[6]price list MAN'!C926</f>
        <v>TGS-26-4806X4BLS-LX-EL-ACC</v>
      </c>
      <c r="D926" s="16" t="str">
        <f>IFERROR(VLOOKUP(C926&amp;"",'[7]Retail Price List'!$A$3:$B$103,2,FALSE),"Special Order")</f>
        <v>TGS00002</v>
      </c>
      <c r="E926" s="494" t="str">
        <f>'[6]price list MAN'!E926</f>
        <v>SOLD</v>
      </c>
      <c r="F926" s="11">
        <f>'[6]price list MAN'!F926</f>
        <v>20</v>
      </c>
      <c r="G926" s="32">
        <f>'[6]price list MAN'!G926</f>
        <v>15.3</v>
      </c>
      <c r="H926" s="26">
        <f>'[6]price list MAN'!H926</f>
        <v>42978</v>
      </c>
      <c r="I926" s="51" t="str">
        <f t="shared" si="70"/>
        <v>2017Q3</v>
      </c>
      <c r="J926" s="177">
        <f>'[6]price list MAN'!J926</f>
        <v>1990000</v>
      </c>
      <c r="K926" s="177">
        <f>'[6]price list MAN'!P926</f>
        <v>1512000</v>
      </c>
      <c r="L926" s="177">
        <f>'[6]price list MAN'!R926</f>
        <v>1440000</v>
      </c>
      <c r="M926" s="174">
        <f>'[6]price list MAN'!S926</f>
        <v>2070000</v>
      </c>
      <c r="N926" s="174">
        <f>'[6]price list MAN'!Y926</f>
        <v>1596000</v>
      </c>
      <c r="O926" s="174">
        <f>'[6]price list MAN'!AA926</f>
        <v>1520000</v>
      </c>
      <c r="P926" s="68">
        <f t="shared" si="71"/>
        <v>0.26570048309178745</v>
      </c>
      <c r="Q926" s="62" t="e">
        <f>O926-#REF!</f>
        <v>#REF!</v>
      </c>
      <c r="W926" s="210"/>
      <c r="X926" s="210"/>
      <c r="Y926" s="210"/>
      <c r="Z926" s="210"/>
      <c r="AA926" s="210"/>
      <c r="AB926" s="210"/>
      <c r="AC926" s="210"/>
      <c r="AT926" s="425" t="str">
        <f t="shared" si="72"/>
        <v>TGS000022017Q315,3</v>
      </c>
      <c r="AU926" s="64" t="str">
        <f t="shared" si="73"/>
        <v>08-2017</v>
      </c>
      <c r="BA926" s="428" t="str">
        <f t="shared" si="74"/>
        <v>WIP - 30 Days</v>
      </c>
    </row>
    <row r="927" spans="2:53">
      <c r="B927" s="36" t="str">
        <f>'[6]price list MAN'!B927</f>
        <v>78W-6283</v>
      </c>
      <c r="C927" s="10" t="str">
        <f>'[6]price list MAN'!C927</f>
        <v>TGS-26-4806X4BLS-LX-EL-ACC</v>
      </c>
      <c r="D927" s="16" t="str">
        <f>IFERROR(VLOOKUP(C927&amp;"",'[7]Retail Price List'!$A$3:$B$103,2,FALSE),"Special Order")</f>
        <v>TGS00002</v>
      </c>
      <c r="E927" s="494" t="str">
        <f>'[6]price list MAN'!E927</f>
        <v>SOLD</v>
      </c>
      <c r="F927" s="11">
        <f>'[6]price list MAN'!F927</f>
        <v>20</v>
      </c>
      <c r="G927" s="32">
        <f>'[6]price list MAN'!G927</f>
        <v>15.3</v>
      </c>
      <c r="H927" s="26">
        <f>'[6]price list MAN'!H927</f>
        <v>42978</v>
      </c>
      <c r="I927" s="51" t="str">
        <f t="shared" si="70"/>
        <v>2017Q3</v>
      </c>
      <c r="J927" s="177">
        <f>'[6]price list MAN'!J927</f>
        <v>1990000</v>
      </c>
      <c r="K927" s="177">
        <f>'[6]price list MAN'!P927</f>
        <v>1512000</v>
      </c>
      <c r="L927" s="177">
        <f>'[6]price list MAN'!R927</f>
        <v>1440000</v>
      </c>
      <c r="M927" s="174">
        <f>'[6]price list MAN'!S927</f>
        <v>2070000</v>
      </c>
      <c r="N927" s="174">
        <f>'[6]price list MAN'!Y927</f>
        <v>1596000</v>
      </c>
      <c r="O927" s="174">
        <f>'[6]price list MAN'!AA927</f>
        <v>1520000</v>
      </c>
      <c r="P927" s="68">
        <f t="shared" si="71"/>
        <v>0.26570048309178745</v>
      </c>
      <c r="Q927" s="62" t="e">
        <f>O927-#REF!</f>
        <v>#REF!</v>
      </c>
      <c r="W927" s="210"/>
      <c r="X927" s="210"/>
      <c r="Y927" s="210"/>
      <c r="Z927" s="210"/>
      <c r="AA927" s="210"/>
      <c r="AB927" s="210"/>
      <c r="AC927" s="210"/>
      <c r="AT927" s="425" t="str">
        <f t="shared" si="72"/>
        <v>TGS000022017Q315,3</v>
      </c>
      <c r="AU927" s="64" t="str">
        <f t="shared" si="73"/>
        <v>08-2017</v>
      </c>
      <c r="BA927" s="428" t="str">
        <f t="shared" si="74"/>
        <v>WIP - 30 Days</v>
      </c>
    </row>
    <row r="928" spans="2:53">
      <c r="B928" s="36" t="str">
        <f>'[6]price list MAN'!B928</f>
        <v>78W-6368</v>
      </c>
      <c r="C928" s="10" t="str">
        <f>'[6]price list MAN'!C928</f>
        <v>TGS-26-4806X4BLS-LX-EL-ACC</v>
      </c>
      <c r="D928" s="16" t="str">
        <f>IFERROR(VLOOKUP(C928&amp;"",'[7]Retail Price List'!$A$3:$B$103,2,FALSE),"Special Order")</f>
        <v>TGS00002</v>
      </c>
      <c r="E928" s="494" t="str">
        <f>'[6]price list MAN'!E928</f>
        <v>CKD</v>
      </c>
      <c r="F928" s="11" t="str">
        <f>'[6]price list MAN'!F928</f>
        <v>2018-04-30</v>
      </c>
      <c r="G928" s="32">
        <f>'[6]price list MAN'!G928</f>
        <v>15.3</v>
      </c>
      <c r="H928" s="26">
        <f>'[6]price list MAN'!H928</f>
        <v>42978</v>
      </c>
      <c r="I928" s="51" t="str">
        <f t="shared" si="70"/>
        <v>2017Q3</v>
      </c>
      <c r="J928" s="177">
        <f>'[6]price list MAN'!J928</f>
        <v>1990000</v>
      </c>
      <c r="K928" s="177">
        <f>'[6]price list MAN'!P928</f>
        <v>1480500</v>
      </c>
      <c r="L928" s="177">
        <f>'[6]price list MAN'!R928</f>
        <v>1410000</v>
      </c>
      <c r="M928" s="174">
        <f>'[6]price list MAN'!S928</f>
        <v>2070000</v>
      </c>
      <c r="N928" s="174">
        <f>'[6]price list MAN'!Y928</f>
        <v>1564500</v>
      </c>
      <c r="O928" s="174">
        <f>'[6]price list MAN'!AA928</f>
        <v>1490000</v>
      </c>
      <c r="P928" s="68">
        <f t="shared" si="71"/>
        <v>0.28019323671497587</v>
      </c>
      <c r="Q928" s="62" t="e">
        <f>O928-#REF!</f>
        <v>#REF!</v>
      </c>
      <c r="W928" s="210"/>
      <c r="X928" s="210"/>
      <c r="Y928" s="210"/>
      <c r="Z928" s="210"/>
      <c r="AA928" s="210"/>
      <c r="AB928" s="210"/>
      <c r="AC928" s="210"/>
      <c r="AT928" s="425" t="str">
        <f t="shared" si="72"/>
        <v>TGS000022017Q315,3</v>
      </c>
      <c r="AU928" s="64" t="str">
        <f t="shared" si="73"/>
        <v>08-2017</v>
      </c>
      <c r="BA928" s="428" t="str">
        <f t="shared" si="74"/>
        <v>WIP - 30 Days</v>
      </c>
    </row>
    <row r="929" spans="2:53">
      <c r="B929" s="36" t="str">
        <f>'[6]price list MAN'!B929</f>
        <v>78W-6369</v>
      </c>
      <c r="C929" s="10" t="str">
        <f>'[6]price list MAN'!C929</f>
        <v>TGS-26-4806X4BLS-LX-EL-ACC</v>
      </c>
      <c r="D929" s="16" t="str">
        <f>IFERROR(VLOOKUP(C929&amp;"",'[7]Retail Price List'!$A$3:$B$103,2,FALSE),"Special Order")</f>
        <v>TGS00002</v>
      </c>
      <c r="E929" s="494" t="str">
        <f>'[6]price list MAN'!E929</f>
        <v>CKD</v>
      </c>
      <c r="F929" s="11" t="str">
        <f>'[6]price list MAN'!F929</f>
        <v>2018-04-30</v>
      </c>
      <c r="G929" s="32">
        <f>'[6]price list MAN'!G929</f>
        <v>15.3</v>
      </c>
      <c r="H929" s="26">
        <f>'[6]price list MAN'!H929</f>
        <v>42978</v>
      </c>
      <c r="I929" s="51" t="str">
        <f t="shared" si="70"/>
        <v>2017Q3</v>
      </c>
      <c r="J929" s="177">
        <f>'[6]price list MAN'!J929</f>
        <v>1990000</v>
      </c>
      <c r="K929" s="177">
        <f>'[6]price list MAN'!P929</f>
        <v>1480500</v>
      </c>
      <c r="L929" s="177">
        <f>'[6]price list MAN'!R929</f>
        <v>1410000</v>
      </c>
      <c r="M929" s="174">
        <f>'[6]price list MAN'!S929</f>
        <v>2070000</v>
      </c>
      <c r="N929" s="174">
        <f>'[6]price list MAN'!Y929</f>
        <v>1564500</v>
      </c>
      <c r="O929" s="174">
        <f>'[6]price list MAN'!AA929</f>
        <v>1490000</v>
      </c>
      <c r="P929" s="68">
        <f t="shared" si="71"/>
        <v>0.28019323671497587</v>
      </c>
      <c r="Q929" s="62" t="e">
        <f>O929-#REF!</f>
        <v>#REF!</v>
      </c>
      <c r="W929" s="210"/>
      <c r="X929" s="210"/>
      <c r="Y929" s="210"/>
      <c r="Z929" s="210"/>
      <c r="AA929" s="210"/>
      <c r="AB929" s="210"/>
      <c r="AC929" s="210"/>
      <c r="AT929" s="425" t="str">
        <f t="shared" si="72"/>
        <v>TGS000022017Q315,3</v>
      </c>
      <c r="AU929" s="64" t="str">
        <f t="shared" si="73"/>
        <v>08-2017</v>
      </c>
      <c r="BA929" s="428" t="str">
        <f t="shared" si="74"/>
        <v>WIP - 30 Days</v>
      </c>
    </row>
    <row r="930" spans="2:53">
      <c r="B930" s="36" t="str">
        <f>'[6]price list MAN'!B930</f>
        <v>78W-6370</v>
      </c>
      <c r="C930" s="10" t="str">
        <f>'[6]price list MAN'!C930</f>
        <v>TGS-26-4806X4BLS-LX-EL-ACC</v>
      </c>
      <c r="D930" s="16" t="str">
        <f>IFERROR(VLOOKUP(C930&amp;"",'[7]Retail Price List'!$A$3:$B$103,2,FALSE),"Special Order")</f>
        <v>TGS00002</v>
      </c>
      <c r="E930" s="494" t="str">
        <f>'[6]price list MAN'!E930</f>
        <v>CKD</v>
      </c>
      <c r="F930" s="11" t="str">
        <f>'[6]price list MAN'!F930</f>
        <v>2018-04-30</v>
      </c>
      <c r="G930" s="32">
        <f>'[6]price list MAN'!G930</f>
        <v>15.3</v>
      </c>
      <c r="H930" s="26">
        <f>'[6]price list MAN'!H930</f>
        <v>42978</v>
      </c>
      <c r="I930" s="51" t="str">
        <f t="shared" si="70"/>
        <v>2017Q3</v>
      </c>
      <c r="J930" s="177">
        <f>'[6]price list MAN'!J930</f>
        <v>1990000</v>
      </c>
      <c r="K930" s="177">
        <f>'[6]price list MAN'!P930</f>
        <v>1480500</v>
      </c>
      <c r="L930" s="177">
        <f>'[6]price list MAN'!R930</f>
        <v>1410000</v>
      </c>
      <c r="M930" s="174">
        <f>'[6]price list MAN'!S930</f>
        <v>2070000</v>
      </c>
      <c r="N930" s="174">
        <f>'[6]price list MAN'!Y930</f>
        <v>1564500</v>
      </c>
      <c r="O930" s="174">
        <f>'[6]price list MAN'!AA930</f>
        <v>1490000</v>
      </c>
      <c r="P930" s="68">
        <f t="shared" si="71"/>
        <v>0.28019323671497587</v>
      </c>
      <c r="Q930" s="62" t="e">
        <f>O930-#REF!</f>
        <v>#REF!</v>
      </c>
      <c r="W930" s="210"/>
      <c r="X930" s="210"/>
      <c r="Y930" s="210"/>
      <c r="Z930" s="210"/>
      <c r="AA930" s="210"/>
      <c r="AB930" s="210"/>
      <c r="AC930" s="210"/>
      <c r="AT930" s="425" t="str">
        <f t="shared" si="72"/>
        <v>TGS000022017Q315,3</v>
      </c>
      <c r="AU930" s="64" t="str">
        <f t="shared" si="73"/>
        <v>08-2017</v>
      </c>
      <c r="BA930" s="428" t="str">
        <f t="shared" si="74"/>
        <v>WIP - 30 Days</v>
      </c>
    </row>
    <row r="931" spans="2:53">
      <c r="B931" s="36" t="str">
        <f>'[6]price list MAN'!B931</f>
        <v>78W-6371</v>
      </c>
      <c r="C931" s="10" t="str">
        <f>'[6]price list MAN'!C931</f>
        <v>TGS-26-4806X4BLS-LX-EL-ACC</v>
      </c>
      <c r="D931" s="16" t="str">
        <f>IFERROR(VLOOKUP(C931&amp;"",'[7]Retail Price List'!$A$3:$B$103,2,FALSE),"Special Order")</f>
        <v>TGS00002</v>
      </c>
      <c r="E931" s="494" t="str">
        <f>'[6]price list MAN'!E931</f>
        <v>CKD</v>
      </c>
      <c r="F931" s="11" t="str">
        <f>'[6]price list MAN'!F931</f>
        <v>2018-04-30</v>
      </c>
      <c r="G931" s="32">
        <f>'[6]price list MAN'!G931</f>
        <v>15.3</v>
      </c>
      <c r="H931" s="26">
        <f>'[6]price list MAN'!H931</f>
        <v>42978</v>
      </c>
      <c r="I931" s="51" t="str">
        <f t="shared" si="70"/>
        <v>2017Q3</v>
      </c>
      <c r="J931" s="177">
        <f>'[6]price list MAN'!J931</f>
        <v>1990000</v>
      </c>
      <c r="K931" s="177">
        <f>'[6]price list MAN'!P931</f>
        <v>1480500</v>
      </c>
      <c r="L931" s="177">
        <f>'[6]price list MAN'!R931</f>
        <v>1410000</v>
      </c>
      <c r="M931" s="174">
        <f>'[6]price list MAN'!S931</f>
        <v>2070000</v>
      </c>
      <c r="N931" s="174">
        <f>'[6]price list MAN'!Y931</f>
        <v>1564500</v>
      </c>
      <c r="O931" s="174">
        <f>'[6]price list MAN'!AA931</f>
        <v>1490000</v>
      </c>
      <c r="P931" s="68">
        <f t="shared" si="71"/>
        <v>0.28019323671497587</v>
      </c>
      <c r="Q931" s="62" t="e">
        <f>O931-#REF!</f>
        <v>#REF!</v>
      </c>
      <c r="W931" s="210"/>
      <c r="X931" s="210"/>
      <c r="Y931" s="210"/>
      <c r="Z931" s="210"/>
      <c r="AA931" s="210"/>
      <c r="AB931" s="210"/>
      <c r="AC931" s="210"/>
      <c r="AT931" s="425" t="str">
        <f t="shared" si="72"/>
        <v>TGS000022017Q315,3</v>
      </c>
      <c r="AU931" s="64" t="str">
        <f t="shared" si="73"/>
        <v>08-2017</v>
      </c>
      <c r="BA931" s="428" t="str">
        <f t="shared" si="74"/>
        <v>WIP - 30 Days</v>
      </c>
    </row>
    <row r="932" spans="2:53">
      <c r="B932" s="36" t="str">
        <f>'[6]price list MAN'!B932</f>
        <v>78W-6388</v>
      </c>
      <c r="C932" s="10" t="str">
        <f>'[6]price list MAN'!C932</f>
        <v>TGS-26-4806X4BLS-LX-EL-ACC</v>
      </c>
      <c r="D932" s="16" t="str">
        <f>IFERROR(VLOOKUP(C932&amp;"",'[7]Retail Price List'!$A$3:$B$103,2,FALSE),"Special Order")</f>
        <v>TGS00002</v>
      </c>
      <c r="E932" s="494" t="str">
        <f>'[6]price list MAN'!E932</f>
        <v>CKD</v>
      </c>
      <c r="F932" s="11" t="str">
        <f>'[6]price list MAN'!F932</f>
        <v>2018-03-30</v>
      </c>
      <c r="G932" s="32">
        <f>'[6]price list MAN'!G932</f>
        <v>15.3</v>
      </c>
      <c r="H932" s="26">
        <f>'[6]price list MAN'!H932</f>
        <v>42978</v>
      </c>
      <c r="I932" s="51" t="str">
        <f t="shared" si="70"/>
        <v>2017Q3</v>
      </c>
      <c r="J932" s="177">
        <f>'[6]price list MAN'!J932</f>
        <v>1990000</v>
      </c>
      <c r="K932" s="177">
        <f>'[6]price list MAN'!P932</f>
        <v>1480500</v>
      </c>
      <c r="L932" s="177">
        <f>'[6]price list MAN'!R932</f>
        <v>1410000</v>
      </c>
      <c r="M932" s="174">
        <f>'[6]price list MAN'!S932</f>
        <v>2070000</v>
      </c>
      <c r="N932" s="174">
        <f>'[6]price list MAN'!Y932</f>
        <v>1564500</v>
      </c>
      <c r="O932" s="174">
        <f>'[6]price list MAN'!AA932</f>
        <v>1490000</v>
      </c>
      <c r="P932" s="68">
        <f t="shared" si="71"/>
        <v>0.28019323671497587</v>
      </c>
      <c r="Q932" s="62" t="e">
        <f>O932-#REF!</f>
        <v>#REF!</v>
      </c>
      <c r="W932" s="210"/>
      <c r="X932" s="210"/>
      <c r="Y932" s="210"/>
      <c r="Z932" s="210"/>
      <c r="AA932" s="210"/>
      <c r="AB932" s="210"/>
      <c r="AC932" s="210"/>
      <c r="AT932" s="425" t="str">
        <f t="shared" si="72"/>
        <v>TGS000022017Q315,3</v>
      </c>
      <c r="AU932" s="64" t="str">
        <f t="shared" si="73"/>
        <v>08-2017</v>
      </c>
      <c r="BA932" s="428" t="str">
        <f t="shared" si="74"/>
        <v>WIP - 30 Days</v>
      </c>
    </row>
    <row r="933" spans="2:53">
      <c r="B933" s="36" t="str">
        <f>'[6]price list MAN'!B933</f>
        <v>78W-6389</v>
      </c>
      <c r="C933" s="10" t="str">
        <f>'[6]price list MAN'!C933</f>
        <v>TGS-26-4806X4BLS-LX-EL-ACC</v>
      </c>
      <c r="D933" s="16" t="str">
        <f>IFERROR(VLOOKUP(C933&amp;"",'[7]Retail Price List'!$A$3:$B$103,2,FALSE),"Special Order")</f>
        <v>TGS00002</v>
      </c>
      <c r="E933" s="494" t="str">
        <f>'[6]price list MAN'!E933</f>
        <v>CKD</v>
      </c>
      <c r="F933" s="11" t="str">
        <f>'[6]price list MAN'!F933</f>
        <v>2018-03-30</v>
      </c>
      <c r="G933" s="32">
        <f>'[6]price list MAN'!G933</f>
        <v>15.3</v>
      </c>
      <c r="H933" s="26">
        <f>'[6]price list MAN'!H933</f>
        <v>42978</v>
      </c>
      <c r="I933" s="51" t="str">
        <f t="shared" si="70"/>
        <v>2017Q3</v>
      </c>
      <c r="J933" s="177">
        <f>'[6]price list MAN'!J933</f>
        <v>1990000</v>
      </c>
      <c r="K933" s="177">
        <f>'[6]price list MAN'!P933</f>
        <v>1480500</v>
      </c>
      <c r="L933" s="177">
        <f>'[6]price list MAN'!R933</f>
        <v>1410000</v>
      </c>
      <c r="M933" s="174">
        <f>'[6]price list MAN'!S933</f>
        <v>2070000</v>
      </c>
      <c r="N933" s="174">
        <f>'[6]price list MAN'!Y933</f>
        <v>1564500</v>
      </c>
      <c r="O933" s="174">
        <f>'[6]price list MAN'!AA933</f>
        <v>1490000</v>
      </c>
      <c r="P933" s="68">
        <f t="shared" si="71"/>
        <v>0.28019323671497587</v>
      </c>
      <c r="Q933" s="62" t="e">
        <f>O933-#REF!</f>
        <v>#REF!</v>
      </c>
      <c r="W933" s="210"/>
      <c r="X933" s="210"/>
      <c r="Y933" s="210"/>
      <c r="Z933" s="210"/>
      <c r="AA933" s="210"/>
      <c r="AB933" s="210"/>
      <c r="AC933" s="210"/>
      <c r="AT933" s="425" t="str">
        <f t="shared" si="72"/>
        <v>TGS000022017Q315,3</v>
      </c>
      <c r="AU933" s="64" t="str">
        <f t="shared" si="73"/>
        <v>08-2017</v>
      </c>
      <c r="BA933" s="428" t="str">
        <f t="shared" si="74"/>
        <v>WIP - 30 Days</v>
      </c>
    </row>
    <row r="934" spans="2:53">
      <c r="B934" s="36" t="str">
        <f>'[6]price list MAN'!B934</f>
        <v>78W-6390</v>
      </c>
      <c r="C934" s="10" t="str">
        <f>'[6]price list MAN'!C934</f>
        <v>TGS-26-4806X4BLS-LX-EL-ACC</v>
      </c>
      <c r="D934" s="16" t="str">
        <f>IFERROR(VLOOKUP(C934&amp;"",'[7]Retail Price List'!$A$3:$B$103,2,FALSE),"Special Order")</f>
        <v>TGS00002</v>
      </c>
      <c r="E934" s="494" t="str">
        <f>'[6]price list MAN'!E934</f>
        <v>CKD</v>
      </c>
      <c r="F934" s="11" t="str">
        <f>'[6]price list MAN'!F934</f>
        <v>2018-03-30</v>
      </c>
      <c r="G934" s="32">
        <f>'[6]price list MAN'!G934</f>
        <v>15.3</v>
      </c>
      <c r="H934" s="26">
        <f>'[6]price list MAN'!H934</f>
        <v>42978</v>
      </c>
      <c r="I934" s="51" t="str">
        <f t="shared" si="70"/>
        <v>2017Q3</v>
      </c>
      <c r="J934" s="177">
        <f>'[6]price list MAN'!J934</f>
        <v>1990000</v>
      </c>
      <c r="K934" s="177">
        <f>'[6]price list MAN'!P934</f>
        <v>1480500</v>
      </c>
      <c r="L934" s="177">
        <f>'[6]price list MAN'!R934</f>
        <v>1410000</v>
      </c>
      <c r="M934" s="174">
        <f>'[6]price list MAN'!S934</f>
        <v>2070000</v>
      </c>
      <c r="N934" s="174">
        <f>'[6]price list MAN'!Y934</f>
        <v>1564500</v>
      </c>
      <c r="O934" s="174">
        <f>'[6]price list MAN'!AA934</f>
        <v>1490000</v>
      </c>
      <c r="P934" s="68">
        <f t="shared" si="71"/>
        <v>0.28019323671497587</v>
      </c>
      <c r="Q934" s="62" t="e">
        <f>O934-#REF!</f>
        <v>#REF!</v>
      </c>
      <c r="W934" s="210"/>
      <c r="X934" s="210"/>
      <c r="Y934" s="210"/>
      <c r="Z934" s="210"/>
      <c r="AA934" s="210"/>
      <c r="AB934" s="210"/>
      <c r="AC934" s="210"/>
      <c r="AT934" s="425" t="str">
        <f t="shared" si="72"/>
        <v>TGS000022017Q315,3</v>
      </c>
      <c r="AU934" s="64" t="str">
        <f t="shared" si="73"/>
        <v>08-2017</v>
      </c>
      <c r="BA934" s="428" t="str">
        <f t="shared" si="74"/>
        <v>WIP - 30 Days</v>
      </c>
    </row>
    <row r="935" spans="2:53">
      <c r="B935" s="36" t="str">
        <f>'[6]price list MAN'!B935</f>
        <v>78W-6391</v>
      </c>
      <c r="C935" s="10" t="str">
        <f>'[6]price list MAN'!C935</f>
        <v>TGS-26-4806X4BLS-LX-EL-ACC</v>
      </c>
      <c r="D935" s="16" t="str">
        <f>IFERROR(VLOOKUP(C935&amp;"",'[7]Retail Price List'!$A$3:$B$103,2,FALSE),"Special Order")</f>
        <v>TGS00002</v>
      </c>
      <c r="E935" s="494" t="str">
        <f>'[6]price list MAN'!E935</f>
        <v>CKD</v>
      </c>
      <c r="F935" s="11" t="str">
        <f>'[6]price list MAN'!F935</f>
        <v>2018-03-30</v>
      </c>
      <c r="G935" s="32">
        <f>'[6]price list MAN'!G935</f>
        <v>15.3</v>
      </c>
      <c r="H935" s="26">
        <f>'[6]price list MAN'!H935</f>
        <v>42978</v>
      </c>
      <c r="I935" s="51" t="str">
        <f t="shared" si="70"/>
        <v>2017Q3</v>
      </c>
      <c r="J935" s="177">
        <f>'[6]price list MAN'!J935</f>
        <v>1990000</v>
      </c>
      <c r="K935" s="177">
        <f>'[6]price list MAN'!P935</f>
        <v>1480500</v>
      </c>
      <c r="L935" s="177">
        <f>'[6]price list MAN'!R935</f>
        <v>1410000</v>
      </c>
      <c r="M935" s="174">
        <f>'[6]price list MAN'!S935</f>
        <v>2070000</v>
      </c>
      <c r="N935" s="174">
        <f>'[6]price list MAN'!Y935</f>
        <v>1564500</v>
      </c>
      <c r="O935" s="174">
        <f>'[6]price list MAN'!AA935</f>
        <v>1490000</v>
      </c>
      <c r="P935" s="68">
        <f t="shared" si="71"/>
        <v>0.28019323671497587</v>
      </c>
      <c r="Q935" s="62" t="e">
        <f>O935-#REF!</f>
        <v>#REF!</v>
      </c>
      <c r="W935" s="210"/>
      <c r="X935" s="210"/>
      <c r="Y935" s="210"/>
      <c r="Z935" s="210"/>
      <c r="AA935" s="210"/>
      <c r="AB935" s="210"/>
      <c r="AC935" s="210"/>
      <c r="AT935" s="425" t="str">
        <f t="shared" si="72"/>
        <v>TGS000022017Q315,3</v>
      </c>
      <c r="AU935" s="64" t="str">
        <f t="shared" si="73"/>
        <v>08-2017</v>
      </c>
      <c r="BA935" s="428" t="str">
        <f t="shared" si="74"/>
        <v>WIP - 30 Days</v>
      </c>
    </row>
    <row r="936" spans="2:53">
      <c r="B936" s="36" t="str">
        <f>'[6]price list MAN'!B936</f>
        <v>78W-6408</v>
      </c>
      <c r="C936" s="10" t="str">
        <f>'[6]price list MAN'!C936</f>
        <v>TGS-26-4806X4BLS-LX-EL-ACC</v>
      </c>
      <c r="D936" s="16" t="str">
        <f>IFERROR(VLOOKUP(C936&amp;"",'[7]Retail Price List'!$A$3:$B$103,2,FALSE),"Special Order")</f>
        <v>TGS00002</v>
      </c>
      <c r="E936" s="494" t="str">
        <f>'[6]price list MAN'!E936</f>
        <v>CKD</v>
      </c>
      <c r="F936" s="11" t="str">
        <f>'[6]price list MAN'!F936</f>
        <v>2018-04-30</v>
      </c>
      <c r="G936" s="32">
        <f>'[6]price list MAN'!G936</f>
        <v>15.3</v>
      </c>
      <c r="H936" s="26">
        <f>'[6]price list MAN'!H936</f>
        <v>42978</v>
      </c>
      <c r="I936" s="51" t="str">
        <f t="shared" si="70"/>
        <v>2017Q3</v>
      </c>
      <c r="J936" s="177">
        <f>'[6]price list MAN'!J936</f>
        <v>1990000</v>
      </c>
      <c r="K936" s="177">
        <f>'[6]price list MAN'!P936</f>
        <v>1512000</v>
      </c>
      <c r="L936" s="177">
        <f>'[6]price list MAN'!R936</f>
        <v>1440000</v>
      </c>
      <c r="M936" s="174">
        <f>'[6]price list MAN'!S936</f>
        <v>2070000</v>
      </c>
      <c r="N936" s="174">
        <f>'[6]price list MAN'!Y936</f>
        <v>1596000</v>
      </c>
      <c r="O936" s="174">
        <f>'[6]price list MAN'!AA936</f>
        <v>1520000</v>
      </c>
      <c r="P936" s="68">
        <f t="shared" si="71"/>
        <v>0.26570048309178745</v>
      </c>
      <c r="Q936" s="62" t="e">
        <f>O936-#REF!</f>
        <v>#REF!</v>
      </c>
      <c r="W936" s="210"/>
      <c r="X936" s="210"/>
      <c r="Y936" s="210"/>
      <c r="Z936" s="210"/>
      <c r="AA936" s="210"/>
      <c r="AB936" s="210"/>
      <c r="AC936" s="210"/>
      <c r="AT936" s="425" t="str">
        <f t="shared" si="72"/>
        <v>TGS000022017Q315,3</v>
      </c>
      <c r="AU936" s="64" t="str">
        <f t="shared" si="73"/>
        <v>08-2017</v>
      </c>
      <c r="BA936" s="428" t="str">
        <f t="shared" si="74"/>
        <v>WIP - 30 Days</v>
      </c>
    </row>
    <row r="937" spans="2:53">
      <c r="B937" s="36" t="str">
        <f>'[6]price list MAN'!B937</f>
        <v>78W-6409</v>
      </c>
      <c r="C937" s="10" t="str">
        <f>'[6]price list MAN'!C937</f>
        <v>TGS-26-4806X4BLS-LX-EL-ACC</v>
      </c>
      <c r="D937" s="16" t="str">
        <f>IFERROR(VLOOKUP(C937&amp;"",'[7]Retail Price List'!$A$3:$B$103,2,FALSE),"Special Order")</f>
        <v>TGS00002</v>
      </c>
      <c r="E937" s="494" t="str">
        <f>'[6]price list MAN'!E937</f>
        <v>CKD</v>
      </c>
      <c r="F937" s="11" t="str">
        <f>'[6]price list MAN'!F937</f>
        <v>2018-04-30</v>
      </c>
      <c r="G937" s="32">
        <f>'[6]price list MAN'!G937</f>
        <v>15.3</v>
      </c>
      <c r="H937" s="26">
        <f>'[6]price list MAN'!H937</f>
        <v>42978</v>
      </c>
      <c r="I937" s="51" t="str">
        <f t="shared" si="70"/>
        <v>2017Q3</v>
      </c>
      <c r="J937" s="177">
        <f>'[6]price list MAN'!J937</f>
        <v>1990000</v>
      </c>
      <c r="K937" s="177">
        <f>'[6]price list MAN'!P937</f>
        <v>1480500</v>
      </c>
      <c r="L937" s="177">
        <f>'[6]price list MAN'!R937</f>
        <v>1410000</v>
      </c>
      <c r="M937" s="174">
        <f>'[6]price list MAN'!S937</f>
        <v>2070000</v>
      </c>
      <c r="N937" s="174">
        <f>'[6]price list MAN'!Y937</f>
        <v>1564500</v>
      </c>
      <c r="O937" s="174">
        <f>'[6]price list MAN'!AA937</f>
        <v>1490000</v>
      </c>
      <c r="P937" s="68">
        <f t="shared" si="71"/>
        <v>0.28019323671497587</v>
      </c>
      <c r="Q937" s="62" t="e">
        <f>O937-#REF!</f>
        <v>#REF!</v>
      </c>
      <c r="W937" s="210"/>
      <c r="X937" s="210"/>
      <c r="Y937" s="210"/>
      <c r="Z937" s="210"/>
      <c r="AA937" s="210"/>
      <c r="AB937" s="210"/>
      <c r="AC937" s="210"/>
      <c r="AT937" s="425" t="str">
        <f t="shared" si="72"/>
        <v>TGS000022017Q315,3</v>
      </c>
      <c r="AU937" s="64" t="str">
        <f t="shared" si="73"/>
        <v>08-2017</v>
      </c>
      <c r="BA937" s="428" t="str">
        <f t="shared" si="74"/>
        <v>WIP - 30 Days</v>
      </c>
    </row>
    <row r="938" spans="2:53">
      <c r="B938" s="36" t="str">
        <f>'[6]price list MAN'!B938</f>
        <v>78W-6410</v>
      </c>
      <c r="C938" s="10" t="str">
        <f>'[6]price list MAN'!C938</f>
        <v>TGS-26-4806X4BLS-LX-EL-ACC</v>
      </c>
      <c r="D938" s="16" t="str">
        <f>IFERROR(VLOOKUP(C938&amp;"",'[7]Retail Price List'!$A$3:$B$103,2,FALSE),"Special Order")</f>
        <v>TGS00002</v>
      </c>
      <c r="E938" s="494" t="str">
        <f>'[6]price list MAN'!E938</f>
        <v>CKD</v>
      </c>
      <c r="F938" s="11" t="str">
        <f>'[6]price list MAN'!F938</f>
        <v>2018-04-30</v>
      </c>
      <c r="G938" s="32">
        <f>'[6]price list MAN'!G938</f>
        <v>15.3</v>
      </c>
      <c r="H938" s="26">
        <f>'[6]price list MAN'!H938</f>
        <v>42978</v>
      </c>
      <c r="I938" s="51" t="str">
        <f t="shared" si="70"/>
        <v>2017Q3</v>
      </c>
      <c r="J938" s="177">
        <f>'[6]price list MAN'!J938</f>
        <v>1990000</v>
      </c>
      <c r="K938" s="177">
        <f>'[6]price list MAN'!P938</f>
        <v>1480500</v>
      </c>
      <c r="L938" s="177">
        <f>'[6]price list MAN'!R938</f>
        <v>1410000</v>
      </c>
      <c r="M938" s="174">
        <f>'[6]price list MAN'!S938</f>
        <v>2070000</v>
      </c>
      <c r="N938" s="174">
        <f>'[6]price list MAN'!Y938</f>
        <v>1564500</v>
      </c>
      <c r="O938" s="174">
        <f>'[6]price list MAN'!AA938</f>
        <v>1490000</v>
      </c>
      <c r="P938" s="68">
        <f t="shared" si="71"/>
        <v>0.28019323671497587</v>
      </c>
      <c r="Q938" s="62" t="e">
        <f>O938-#REF!</f>
        <v>#REF!</v>
      </c>
      <c r="W938" s="210"/>
      <c r="X938" s="210"/>
      <c r="Y938" s="210"/>
      <c r="Z938" s="210"/>
      <c r="AA938" s="210"/>
      <c r="AB938" s="210"/>
      <c r="AC938" s="210"/>
      <c r="AT938" s="425" t="str">
        <f t="shared" si="72"/>
        <v>TGS000022017Q315,3</v>
      </c>
      <c r="AU938" s="64" t="str">
        <f t="shared" si="73"/>
        <v>08-2017</v>
      </c>
      <c r="BA938" s="428" t="str">
        <f t="shared" si="74"/>
        <v>WIP - 30 Days</v>
      </c>
    </row>
    <row r="939" spans="2:53">
      <c r="B939" s="36" t="str">
        <f>'[6]price list MAN'!B939</f>
        <v>78W-6411</v>
      </c>
      <c r="C939" s="10" t="str">
        <f>'[6]price list MAN'!C939</f>
        <v>TGS-26-4806X4BLS-LX-EL-ACC</v>
      </c>
      <c r="D939" s="16" t="str">
        <f>IFERROR(VLOOKUP(C939&amp;"",'[7]Retail Price List'!$A$3:$B$103,2,FALSE),"Special Order")</f>
        <v>TGS00002</v>
      </c>
      <c r="E939" s="494" t="str">
        <f>'[6]price list MAN'!E939</f>
        <v>CKD</v>
      </c>
      <c r="F939" s="11" t="str">
        <f>'[6]price list MAN'!F939</f>
        <v>2018-04-30</v>
      </c>
      <c r="G939" s="32">
        <f>'[6]price list MAN'!G939</f>
        <v>15.3</v>
      </c>
      <c r="H939" s="26">
        <f>'[6]price list MAN'!H939</f>
        <v>42978</v>
      </c>
      <c r="I939" s="51" t="str">
        <f t="shared" si="70"/>
        <v>2017Q3</v>
      </c>
      <c r="J939" s="177">
        <f>'[6]price list MAN'!J939</f>
        <v>1990000</v>
      </c>
      <c r="K939" s="177">
        <f>'[6]price list MAN'!P939</f>
        <v>1480500</v>
      </c>
      <c r="L939" s="177">
        <f>'[6]price list MAN'!R939</f>
        <v>1410000</v>
      </c>
      <c r="M939" s="174">
        <f>'[6]price list MAN'!S939</f>
        <v>2070000</v>
      </c>
      <c r="N939" s="174">
        <f>'[6]price list MAN'!Y939</f>
        <v>1564500</v>
      </c>
      <c r="O939" s="174">
        <f>'[6]price list MAN'!AA939</f>
        <v>1490000</v>
      </c>
      <c r="P939" s="68">
        <f t="shared" si="71"/>
        <v>0.28019323671497587</v>
      </c>
      <c r="Q939" s="62" t="e">
        <f>O939-#REF!</f>
        <v>#REF!</v>
      </c>
      <c r="W939" s="210"/>
      <c r="X939" s="210"/>
      <c r="Y939" s="210"/>
      <c r="Z939" s="210"/>
      <c r="AA939" s="210"/>
      <c r="AB939" s="210"/>
      <c r="AC939" s="210"/>
      <c r="AT939" s="425" t="str">
        <f t="shared" si="72"/>
        <v>TGS000022017Q315,3</v>
      </c>
      <c r="AU939" s="64" t="str">
        <f t="shared" si="73"/>
        <v>08-2017</v>
      </c>
      <c r="BA939" s="428" t="str">
        <f t="shared" si="74"/>
        <v>WIP - 30 Days</v>
      </c>
    </row>
    <row r="940" spans="2:53">
      <c r="B940" s="36" t="str">
        <f>'[6]price list MAN'!B940</f>
        <v>78W-6424</v>
      </c>
      <c r="C940" s="10" t="str">
        <f>'[6]price list MAN'!C940</f>
        <v>TGS-26-4806X4BLS-LX-EL-ACC</v>
      </c>
      <c r="D940" s="16" t="str">
        <f>IFERROR(VLOOKUP(C940&amp;"",'[7]Retail Price List'!$A$3:$B$103,2,FALSE),"Special Order")</f>
        <v>TGS00002</v>
      </c>
      <c r="E940" s="494" t="str">
        <f>'[6]price list MAN'!E940</f>
        <v>CKD</v>
      </c>
      <c r="F940" s="11" t="str">
        <f>'[6]price list MAN'!F940</f>
        <v>2018-04-30</v>
      </c>
      <c r="G940" s="32">
        <f>'[6]price list MAN'!G940</f>
        <v>15.3</v>
      </c>
      <c r="H940" s="26">
        <f>'[6]price list MAN'!H940</f>
        <v>42978</v>
      </c>
      <c r="I940" s="51" t="str">
        <f t="shared" si="70"/>
        <v>2017Q3</v>
      </c>
      <c r="J940" s="177">
        <f>'[6]price list MAN'!J940</f>
        <v>1990000</v>
      </c>
      <c r="K940" s="177">
        <f>'[6]price list MAN'!P940</f>
        <v>1480500</v>
      </c>
      <c r="L940" s="177">
        <f>'[6]price list MAN'!R940</f>
        <v>1410000</v>
      </c>
      <c r="M940" s="174">
        <f>'[6]price list MAN'!S940</f>
        <v>2070000</v>
      </c>
      <c r="N940" s="174">
        <f>'[6]price list MAN'!Y940</f>
        <v>1564500</v>
      </c>
      <c r="O940" s="174">
        <f>'[6]price list MAN'!AA940</f>
        <v>1490000</v>
      </c>
      <c r="P940" s="68">
        <f t="shared" si="71"/>
        <v>0.28019323671497587</v>
      </c>
      <c r="Q940" s="62" t="e">
        <f>O940-#REF!</f>
        <v>#REF!</v>
      </c>
      <c r="W940" s="210"/>
      <c r="X940" s="210"/>
      <c r="Y940" s="210"/>
      <c r="Z940" s="210"/>
      <c r="AA940" s="210"/>
      <c r="AB940" s="210"/>
      <c r="AC940" s="210"/>
      <c r="AT940" s="425" t="str">
        <f t="shared" si="72"/>
        <v>TGS000022017Q315,3</v>
      </c>
      <c r="AU940" s="64" t="str">
        <f t="shared" si="73"/>
        <v>08-2017</v>
      </c>
      <c r="BA940" s="428" t="str">
        <f t="shared" si="74"/>
        <v>WIP - 30 Days</v>
      </c>
    </row>
    <row r="941" spans="2:53">
      <c r="B941" s="36" t="str">
        <f>'[6]price list MAN'!B941</f>
        <v>78W-6425</v>
      </c>
      <c r="C941" s="10" t="str">
        <f>'[6]price list MAN'!C941</f>
        <v>TGS-26-4806X4BLS-LX-EL-ACC</v>
      </c>
      <c r="D941" s="16" t="str">
        <f>IFERROR(VLOOKUP(C941&amp;"",'[7]Retail Price List'!$A$3:$B$103,2,FALSE),"Special Order")</f>
        <v>TGS00002</v>
      </c>
      <c r="E941" s="494" t="str">
        <f>'[6]price list MAN'!E941</f>
        <v>CKD</v>
      </c>
      <c r="F941" s="11" t="str">
        <f>'[6]price list MAN'!F941</f>
        <v>2018-05-30</v>
      </c>
      <c r="G941" s="32">
        <f>'[6]price list MAN'!G941</f>
        <v>15.3</v>
      </c>
      <c r="H941" s="26">
        <f>'[6]price list MAN'!H941</f>
        <v>42978</v>
      </c>
      <c r="I941" s="51" t="str">
        <f t="shared" si="70"/>
        <v>2017Q3</v>
      </c>
      <c r="J941" s="177">
        <f>'[6]price list MAN'!J941</f>
        <v>1990000</v>
      </c>
      <c r="K941" s="177">
        <f>'[6]price list MAN'!P941</f>
        <v>1480500</v>
      </c>
      <c r="L941" s="177">
        <f>'[6]price list MAN'!R941</f>
        <v>1410000</v>
      </c>
      <c r="M941" s="174">
        <f>'[6]price list MAN'!S941</f>
        <v>2070000</v>
      </c>
      <c r="N941" s="174">
        <f>'[6]price list MAN'!Y941</f>
        <v>1564500</v>
      </c>
      <c r="O941" s="174">
        <f>'[6]price list MAN'!AA941</f>
        <v>1490000</v>
      </c>
      <c r="P941" s="68">
        <f t="shared" si="71"/>
        <v>0.28019323671497587</v>
      </c>
      <c r="Q941" s="62" t="e">
        <f>O941-#REF!</f>
        <v>#REF!</v>
      </c>
      <c r="W941" s="210"/>
      <c r="X941" s="210"/>
      <c r="Y941" s="210"/>
      <c r="Z941" s="210"/>
      <c r="AA941" s="210"/>
      <c r="AB941" s="210"/>
      <c r="AC941" s="210"/>
      <c r="AT941" s="425" t="str">
        <f t="shared" si="72"/>
        <v>TGS000022017Q315,3</v>
      </c>
      <c r="AU941" s="64" t="str">
        <f t="shared" si="73"/>
        <v>08-2017</v>
      </c>
      <c r="BA941" s="428" t="str">
        <f t="shared" si="74"/>
        <v>WIP - 30 Days</v>
      </c>
    </row>
    <row r="942" spans="2:53">
      <c r="B942" s="36" t="str">
        <f>'[6]price list MAN'!B942</f>
        <v>78W-6426</v>
      </c>
      <c r="C942" s="10" t="str">
        <f>'[6]price list MAN'!C942</f>
        <v>TGS-26-4806X4BLS-LX-EL-ACC</v>
      </c>
      <c r="D942" s="16" t="str">
        <f>IFERROR(VLOOKUP(C942&amp;"",'[7]Retail Price List'!$A$3:$B$103,2,FALSE),"Special Order")</f>
        <v>TGS00002</v>
      </c>
      <c r="E942" s="494" t="str">
        <f>'[6]price list MAN'!E942</f>
        <v>CKD</v>
      </c>
      <c r="F942" s="11" t="str">
        <f>'[6]price list MAN'!F942</f>
        <v>2018-05-30</v>
      </c>
      <c r="G942" s="32">
        <f>'[6]price list MAN'!G942</f>
        <v>15.3</v>
      </c>
      <c r="H942" s="26">
        <f>'[6]price list MAN'!H942</f>
        <v>42978</v>
      </c>
      <c r="I942" s="51" t="str">
        <f t="shared" si="70"/>
        <v>2017Q3</v>
      </c>
      <c r="J942" s="177">
        <f>'[6]price list MAN'!J942</f>
        <v>1990000</v>
      </c>
      <c r="K942" s="177">
        <f>'[6]price list MAN'!P942</f>
        <v>1480500</v>
      </c>
      <c r="L942" s="177">
        <f>'[6]price list MAN'!R942</f>
        <v>1410000</v>
      </c>
      <c r="M942" s="174">
        <f>'[6]price list MAN'!S942</f>
        <v>2070000</v>
      </c>
      <c r="N942" s="174">
        <f>'[6]price list MAN'!Y942</f>
        <v>1564500</v>
      </c>
      <c r="O942" s="174">
        <f>'[6]price list MAN'!AA942</f>
        <v>1490000</v>
      </c>
      <c r="P942" s="68">
        <f t="shared" si="71"/>
        <v>0.28019323671497587</v>
      </c>
      <c r="Q942" s="62" t="e">
        <f>O942-#REF!</f>
        <v>#REF!</v>
      </c>
      <c r="W942" s="210"/>
      <c r="X942" s="210"/>
      <c r="Y942" s="210"/>
      <c r="Z942" s="210"/>
      <c r="AA942" s="210"/>
      <c r="AB942" s="210"/>
      <c r="AC942" s="210"/>
      <c r="AT942" s="425" t="str">
        <f t="shared" si="72"/>
        <v>TGS000022017Q315,3</v>
      </c>
      <c r="AU942" s="64" t="str">
        <f t="shared" si="73"/>
        <v>08-2017</v>
      </c>
      <c r="BA942" s="428" t="str">
        <f t="shared" si="74"/>
        <v>WIP - 30 Days</v>
      </c>
    </row>
    <row r="943" spans="2:53">
      <c r="B943" s="36" t="str">
        <f>'[6]price list MAN'!B943</f>
        <v>78W-6427</v>
      </c>
      <c r="C943" s="10" t="str">
        <f>'[6]price list MAN'!C943</f>
        <v>TGS-26-4806X4BLS-LX-EL-ACC</v>
      </c>
      <c r="D943" s="16" t="str">
        <f>IFERROR(VLOOKUP(C943&amp;"",'[7]Retail Price List'!$A$3:$B$103,2,FALSE),"Special Order")</f>
        <v>TGS00002</v>
      </c>
      <c r="E943" s="494" t="str">
        <f>'[6]price list MAN'!E943</f>
        <v>CKD</v>
      </c>
      <c r="F943" s="11" t="str">
        <f>'[6]price list MAN'!F943</f>
        <v>2018-05-30</v>
      </c>
      <c r="G943" s="32">
        <f>'[6]price list MAN'!G943</f>
        <v>15.3</v>
      </c>
      <c r="H943" s="26">
        <f>'[6]price list MAN'!H943</f>
        <v>42978</v>
      </c>
      <c r="I943" s="51" t="str">
        <f t="shared" si="70"/>
        <v>2017Q3</v>
      </c>
      <c r="J943" s="177">
        <f>'[6]price list MAN'!J943</f>
        <v>1990000</v>
      </c>
      <c r="K943" s="177">
        <f>'[6]price list MAN'!P943</f>
        <v>1480500</v>
      </c>
      <c r="L943" s="177">
        <f>'[6]price list MAN'!R943</f>
        <v>1410000</v>
      </c>
      <c r="M943" s="174">
        <f>'[6]price list MAN'!S943</f>
        <v>2070000</v>
      </c>
      <c r="N943" s="174">
        <f>'[6]price list MAN'!Y943</f>
        <v>1564500</v>
      </c>
      <c r="O943" s="174">
        <f>'[6]price list MAN'!AA943</f>
        <v>1490000</v>
      </c>
      <c r="P943" s="68">
        <f t="shared" si="71"/>
        <v>0.28019323671497587</v>
      </c>
      <c r="Q943" s="62" t="e">
        <f>O943-#REF!</f>
        <v>#REF!</v>
      </c>
      <c r="W943" s="210"/>
      <c r="X943" s="210"/>
      <c r="Y943" s="210"/>
      <c r="Z943" s="210"/>
      <c r="AA943" s="210"/>
      <c r="AB943" s="210"/>
      <c r="AC943" s="210"/>
      <c r="AT943" s="425" t="str">
        <f t="shared" si="72"/>
        <v>TGS000022017Q315,3</v>
      </c>
      <c r="AU943" s="64" t="str">
        <f t="shared" si="73"/>
        <v>08-2017</v>
      </c>
      <c r="BA943" s="428" t="str">
        <f t="shared" si="74"/>
        <v>WIP - 30 Days</v>
      </c>
    </row>
    <row r="944" spans="2:53">
      <c r="B944" s="36" t="str">
        <f>'[6]price list MAN'!B944</f>
        <v>78W-6428</v>
      </c>
      <c r="C944" s="10" t="str">
        <f>'[6]price list MAN'!C944</f>
        <v>TGS-26-4806X4BLS-LX-EL-ACC</v>
      </c>
      <c r="D944" s="16" t="str">
        <f>IFERROR(VLOOKUP(C944&amp;"",'[7]Retail Price List'!$A$3:$B$103,2,FALSE),"Special Order")</f>
        <v>TGS00002</v>
      </c>
      <c r="E944" s="494" t="str">
        <f>'[6]price list MAN'!E944</f>
        <v>CKD</v>
      </c>
      <c r="F944" s="11" t="str">
        <f>'[6]price list MAN'!F944</f>
        <v>2018-05-30</v>
      </c>
      <c r="G944" s="32">
        <f>'[6]price list MAN'!G944</f>
        <v>15.3</v>
      </c>
      <c r="H944" s="26">
        <f>'[6]price list MAN'!H944</f>
        <v>42978</v>
      </c>
      <c r="I944" s="51" t="str">
        <f t="shared" si="70"/>
        <v>2017Q3</v>
      </c>
      <c r="J944" s="177">
        <f>'[6]price list MAN'!J944</f>
        <v>1990000</v>
      </c>
      <c r="K944" s="177">
        <f>'[6]price list MAN'!P944</f>
        <v>1480500</v>
      </c>
      <c r="L944" s="177">
        <f>'[6]price list MAN'!R944</f>
        <v>1410000</v>
      </c>
      <c r="M944" s="174">
        <f>'[6]price list MAN'!S944</f>
        <v>2070000</v>
      </c>
      <c r="N944" s="174">
        <f>'[6]price list MAN'!Y944</f>
        <v>1564500</v>
      </c>
      <c r="O944" s="174">
        <f>'[6]price list MAN'!AA944</f>
        <v>1490000</v>
      </c>
      <c r="P944" s="68">
        <f t="shared" si="71"/>
        <v>0.28019323671497587</v>
      </c>
      <c r="Q944" s="62" t="e">
        <f>O944-#REF!</f>
        <v>#REF!</v>
      </c>
      <c r="W944" s="210"/>
      <c r="X944" s="210"/>
      <c r="Y944" s="210"/>
      <c r="Z944" s="210"/>
      <c r="AA944" s="210"/>
      <c r="AB944" s="210"/>
      <c r="AC944" s="210"/>
      <c r="AT944" s="425" t="str">
        <f t="shared" si="72"/>
        <v>TGS000022017Q315,3</v>
      </c>
      <c r="AU944" s="64" t="str">
        <f t="shared" si="73"/>
        <v>08-2017</v>
      </c>
      <c r="BA944" s="428" t="str">
        <f t="shared" si="74"/>
        <v>WIP - 30 Days</v>
      </c>
    </row>
    <row r="945" spans="2:53">
      <c r="B945" s="36" t="str">
        <f>'[6]price list MAN'!B945</f>
        <v>78W-6429</v>
      </c>
      <c r="C945" s="10" t="str">
        <f>'[6]price list MAN'!C945</f>
        <v>TGS-26-4806X4BLS-LX-EL-ACC</v>
      </c>
      <c r="D945" s="16" t="str">
        <f>IFERROR(VLOOKUP(C945&amp;"",'[7]Retail Price List'!$A$3:$B$103,2,FALSE),"Special Order")</f>
        <v>TGS00002</v>
      </c>
      <c r="E945" s="494" t="str">
        <f>'[6]price list MAN'!E945</f>
        <v>CKD</v>
      </c>
      <c r="F945" s="11" t="str">
        <f>'[6]price list MAN'!F945</f>
        <v>2018-05-30</v>
      </c>
      <c r="G945" s="32">
        <f>'[6]price list MAN'!G945</f>
        <v>15.3</v>
      </c>
      <c r="H945" s="26">
        <f>'[6]price list MAN'!H945</f>
        <v>42978</v>
      </c>
      <c r="I945" s="51" t="str">
        <f t="shared" si="70"/>
        <v>2017Q3</v>
      </c>
      <c r="J945" s="177">
        <f>'[6]price list MAN'!J945</f>
        <v>1990000</v>
      </c>
      <c r="K945" s="177">
        <f>'[6]price list MAN'!P945</f>
        <v>1480500</v>
      </c>
      <c r="L945" s="177">
        <f>'[6]price list MAN'!R945</f>
        <v>1410000</v>
      </c>
      <c r="M945" s="174">
        <f>'[6]price list MAN'!S945</f>
        <v>2070000</v>
      </c>
      <c r="N945" s="174">
        <f>'[6]price list MAN'!Y945</f>
        <v>1564500</v>
      </c>
      <c r="O945" s="174">
        <f>'[6]price list MAN'!AA945</f>
        <v>1490000</v>
      </c>
      <c r="P945" s="68">
        <f t="shared" si="71"/>
        <v>0.28019323671497587</v>
      </c>
      <c r="Q945" s="62" t="e">
        <f>O945-#REF!</f>
        <v>#REF!</v>
      </c>
      <c r="W945" s="210"/>
      <c r="X945" s="210"/>
      <c r="Y945" s="210"/>
      <c r="Z945" s="210"/>
      <c r="AA945" s="210"/>
      <c r="AB945" s="210"/>
      <c r="AC945" s="210"/>
      <c r="AT945" s="425" t="str">
        <f t="shared" si="72"/>
        <v>TGS000022017Q315,3</v>
      </c>
      <c r="AU945" s="64" t="str">
        <f t="shared" si="73"/>
        <v>08-2017</v>
      </c>
      <c r="BA945" s="428" t="str">
        <f t="shared" si="74"/>
        <v>WIP - 30 Days</v>
      </c>
    </row>
    <row r="946" spans="2:53">
      <c r="B946" s="36" t="str">
        <f>'[6]price list MAN'!B946</f>
        <v>78W-6430</v>
      </c>
      <c r="C946" s="10" t="str">
        <f>'[6]price list MAN'!C946</f>
        <v>TGS-26-4806X4BLS-LX-EL-ACC</v>
      </c>
      <c r="D946" s="16" t="str">
        <f>IFERROR(VLOOKUP(C946&amp;"",'[7]Retail Price List'!$A$3:$B$103,2,FALSE),"Special Order")</f>
        <v>TGS00002</v>
      </c>
      <c r="E946" s="494" t="str">
        <f>'[6]price list MAN'!E946</f>
        <v>CKD</v>
      </c>
      <c r="F946" s="11" t="str">
        <f>'[6]price list MAN'!F946</f>
        <v>2018-05-30</v>
      </c>
      <c r="G946" s="32">
        <f>'[6]price list MAN'!G946</f>
        <v>15.3</v>
      </c>
      <c r="H946" s="26">
        <f>'[6]price list MAN'!H946</f>
        <v>42978</v>
      </c>
      <c r="I946" s="51" t="str">
        <f t="shared" si="70"/>
        <v>2017Q3</v>
      </c>
      <c r="J946" s="177">
        <f>'[6]price list MAN'!J946</f>
        <v>1990000</v>
      </c>
      <c r="K946" s="177">
        <f>'[6]price list MAN'!P946</f>
        <v>1480500</v>
      </c>
      <c r="L946" s="177">
        <f>'[6]price list MAN'!R946</f>
        <v>1410000</v>
      </c>
      <c r="M946" s="174">
        <f>'[6]price list MAN'!S946</f>
        <v>2070000</v>
      </c>
      <c r="N946" s="174">
        <f>'[6]price list MAN'!Y946</f>
        <v>1564500</v>
      </c>
      <c r="O946" s="174">
        <f>'[6]price list MAN'!AA946</f>
        <v>1490000</v>
      </c>
      <c r="P946" s="68">
        <f t="shared" si="71"/>
        <v>0.28019323671497587</v>
      </c>
      <c r="Q946" s="62" t="e">
        <f>O946-#REF!</f>
        <v>#REF!</v>
      </c>
      <c r="W946" s="210"/>
      <c r="X946" s="210"/>
      <c r="Y946" s="210"/>
      <c r="Z946" s="210"/>
      <c r="AA946" s="210"/>
      <c r="AB946" s="210"/>
      <c r="AC946" s="210"/>
      <c r="AT946" s="425" t="str">
        <f t="shared" si="72"/>
        <v>TGS000022017Q315,3</v>
      </c>
      <c r="AU946" s="64" t="str">
        <f t="shared" si="73"/>
        <v>08-2017</v>
      </c>
      <c r="BA946" s="428" t="str">
        <f t="shared" si="74"/>
        <v>WIP - 30 Days</v>
      </c>
    </row>
    <row r="947" spans="2:53">
      <c r="B947" s="36" t="str">
        <f>'[6]price list MAN'!B947</f>
        <v>78W-6431</v>
      </c>
      <c r="C947" s="10" t="str">
        <f>'[6]price list MAN'!C947</f>
        <v>TGS-26-4806X4BLS-LX-EL-ACC</v>
      </c>
      <c r="D947" s="16" t="str">
        <f>IFERROR(VLOOKUP(C947&amp;"",'[7]Retail Price List'!$A$3:$B$103,2,FALSE),"Special Order")</f>
        <v>TGS00002</v>
      </c>
      <c r="E947" s="494" t="str">
        <f>'[6]price list MAN'!E947</f>
        <v>CKD</v>
      </c>
      <c r="F947" s="11" t="str">
        <f>'[6]price list MAN'!F947</f>
        <v>2018-05-30</v>
      </c>
      <c r="G947" s="32">
        <f>'[6]price list MAN'!G947</f>
        <v>15.3</v>
      </c>
      <c r="H947" s="26">
        <f>'[6]price list MAN'!H947</f>
        <v>42978</v>
      </c>
      <c r="I947" s="51" t="str">
        <f t="shared" si="70"/>
        <v>2017Q3</v>
      </c>
      <c r="J947" s="177">
        <f>'[6]price list MAN'!J947</f>
        <v>1990000</v>
      </c>
      <c r="K947" s="177">
        <f>'[6]price list MAN'!P947</f>
        <v>1480500</v>
      </c>
      <c r="L947" s="177">
        <f>'[6]price list MAN'!R947</f>
        <v>1410000</v>
      </c>
      <c r="M947" s="174">
        <f>'[6]price list MAN'!S947</f>
        <v>2070000</v>
      </c>
      <c r="N947" s="174">
        <f>'[6]price list MAN'!Y947</f>
        <v>1564500</v>
      </c>
      <c r="O947" s="174">
        <f>'[6]price list MAN'!AA947</f>
        <v>1490000</v>
      </c>
      <c r="P947" s="68">
        <f t="shared" si="71"/>
        <v>0.28019323671497587</v>
      </c>
      <c r="Q947" s="62" t="e">
        <f>O947-#REF!</f>
        <v>#REF!</v>
      </c>
      <c r="W947" s="210"/>
      <c r="X947" s="210"/>
      <c r="Y947" s="210"/>
      <c r="Z947" s="210"/>
      <c r="AA947" s="210"/>
      <c r="AB947" s="210"/>
      <c r="AC947" s="210"/>
      <c r="AT947" s="425" t="str">
        <f t="shared" si="72"/>
        <v>TGS000022017Q315,3</v>
      </c>
      <c r="AU947" s="64" t="str">
        <f t="shared" si="73"/>
        <v>08-2017</v>
      </c>
      <c r="BA947" s="428" t="str">
        <f t="shared" si="74"/>
        <v>WIP - 30 Days</v>
      </c>
    </row>
    <row r="948" spans="2:53">
      <c r="B948" s="36" t="str">
        <f>'[6]price list MAN'!B948</f>
        <v>78W-6444</v>
      </c>
      <c r="C948" s="10" t="str">
        <f>'[6]price list MAN'!C948</f>
        <v>TGS-26-4806X4BLS-LX-EL-ACC</v>
      </c>
      <c r="D948" s="16" t="str">
        <f>IFERROR(VLOOKUP(C948&amp;"",'[7]Retail Price List'!$A$3:$B$103,2,FALSE),"Special Order")</f>
        <v>TGS00002</v>
      </c>
      <c r="E948" s="494" t="str">
        <f>'[6]price list MAN'!E948</f>
        <v>CKD</v>
      </c>
      <c r="F948" s="11" t="str">
        <f>'[6]price list MAN'!F948</f>
        <v>2018-03-30</v>
      </c>
      <c r="G948" s="32">
        <f>'[6]price list MAN'!G948</f>
        <v>15.3</v>
      </c>
      <c r="H948" s="26">
        <f>'[6]price list MAN'!H948</f>
        <v>42978</v>
      </c>
      <c r="I948" s="51" t="str">
        <f t="shared" si="70"/>
        <v>2017Q3</v>
      </c>
      <c r="J948" s="177">
        <f>'[6]price list MAN'!J948</f>
        <v>1990000</v>
      </c>
      <c r="K948" s="177">
        <f>'[6]price list MAN'!P948</f>
        <v>1480500</v>
      </c>
      <c r="L948" s="177">
        <f>'[6]price list MAN'!R948</f>
        <v>1410000</v>
      </c>
      <c r="M948" s="174">
        <f>'[6]price list MAN'!S948</f>
        <v>2070000</v>
      </c>
      <c r="N948" s="174">
        <f>'[6]price list MAN'!Y948</f>
        <v>1564500</v>
      </c>
      <c r="O948" s="174">
        <f>'[6]price list MAN'!AA948</f>
        <v>1490000</v>
      </c>
      <c r="P948" s="68">
        <f t="shared" si="71"/>
        <v>0.28019323671497587</v>
      </c>
      <c r="Q948" s="62" t="e">
        <f>O948-#REF!</f>
        <v>#REF!</v>
      </c>
      <c r="W948" s="210"/>
      <c r="X948" s="210"/>
      <c r="Y948" s="210"/>
      <c r="Z948" s="210"/>
      <c r="AA948" s="210"/>
      <c r="AB948" s="210"/>
      <c r="AC948" s="210"/>
      <c r="AT948" s="425" t="str">
        <f t="shared" si="72"/>
        <v>TGS000022017Q315,3</v>
      </c>
      <c r="AU948" s="64" t="str">
        <f t="shared" si="73"/>
        <v>08-2017</v>
      </c>
      <c r="BA948" s="428" t="str">
        <f t="shared" si="74"/>
        <v>WIP - 30 Days</v>
      </c>
    </row>
    <row r="949" spans="2:53">
      <c r="B949" s="36" t="str">
        <f>'[6]price list MAN'!B949</f>
        <v>78W-6445</v>
      </c>
      <c r="C949" s="10" t="str">
        <f>'[6]price list MAN'!C949</f>
        <v>TGS-26-4806X4BLS-LX-EL-ACC</v>
      </c>
      <c r="D949" s="16" t="str">
        <f>IFERROR(VLOOKUP(C949&amp;"",'[7]Retail Price List'!$A$3:$B$103,2,FALSE),"Special Order")</f>
        <v>TGS00002</v>
      </c>
      <c r="E949" s="494" t="str">
        <f>'[6]price list MAN'!E949</f>
        <v>CKD</v>
      </c>
      <c r="F949" s="11" t="str">
        <f>'[6]price list MAN'!F949</f>
        <v>2018-03-30</v>
      </c>
      <c r="G949" s="32">
        <f>'[6]price list MAN'!G949</f>
        <v>15.3</v>
      </c>
      <c r="H949" s="26">
        <f>'[6]price list MAN'!H949</f>
        <v>42978</v>
      </c>
      <c r="I949" s="51" t="str">
        <f t="shared" si="70"/>
        <v>2017Q3</v>
      </c>
      <c r="J949" s="177">
        <f>'[6]price list MAN'!J949</f>
        <v>1990000</v>
      </c>
      <c r="K949" s="177">
        <f>'[6]price list MAN'!P949</f>
        <v>1480500</v>
      </c>
      <c r="L949" s="177">
        <f>'[6]price list MAN'!R949</f>
        <v>1410000</v>
      </c>
      <c r="M949" s="174">
        <f>'[6]price list MAN'!S949</f>
        <v>2070000</v>
      </c>
      <c r="N949" s="174">
        <f>'[6]price list MAN'!Y949</f>
        <v>1564500</v>
      </c>
      <c r="O949" s="174">
        <f>'[6]price list MAN'!AA949</f>
        <v>1490000</v>
      </c>
      <c r="P949" s="68">
        <f t="shared" si="71"/>
        <v>0.28019323671497587</v>
      </c>
      <c r="Q949" s="62" t="e">
        <f>O949-#REF!</f>
        <v>#REF!</v>
      </c>
      <c r="W949" s="210"/>
      <c r="X949" s="210"/>
      <c r="Y949" s="210"/>
      <c r="Z949" s="210"/>
      <c r="AA949" s="210"/>
      <c r="AB949" s="210"/>
      <c r="AC949" s="210"/>
      <c r="AT949" s="425" t="str">
        <f t="shared" si="72"/>
        <v>TGS000022017Q315,3</v>
      </c>
      <c r="AU949" s="64" t="str">
        <f t="shared" si="73"/>
        <v>08-2017</v>
      </c>
      <c r="BA949" s="428" t="str">
        <f t="shared" si="74"/>
        <v>WIP - 30 Days</v>
      </c>
    </row>
    <row r="950" spans="2:53">
      <c r="B950" s="36" t="str">
        <f>'[6]price list MAN'!B950</f>
        <v>78W-6446</v>
      </c>
      <c r="C950" s="10" t="str">
        <f>'[6]price list MAN'!C950</f>
        <v>TGS-26-4806X4BLS-LX-EL-ACC</v>
      </c>
      <c r="D950" s="16" t="str">
        <f>IFERROR(VLOOKUP(C950&amp;"",'[7]Retail Price List'!$A$3:$B$103,2,FALSE),"Special Order")</f>
        <v>TGS00002</v>
      </c>
      <c r="E950" s="494" t="str">
        <f>'[6]price list MAN'!E950</f>
        <v>CKD</v>
      </c>
      <c r="F950" s="11" t="str">
        <f>'[6]price list MAN'!F950</f>
        <v>2018-03-30</v>
      </c>
      <c r="G950" s="32">
        <f>'[6]price list MAN'!G950</f>
        <v>15.3</v>
      </c>
      <c r="H950" s="26">
        <f>'[6]price list MAN'!H950</f>
        <v>42978</v>
      </c>
      <c r="I950" s="51" t="str">
        <f t="shared" si="70"/>
        <v>2017Q3</v>
      </c>
      <c r="J950" s="177">
        <f>'[6]price list MAN'!J950</f>
        <v>1990000</v>
      </c>
      <c r="K950" s="177">
        <f>'[6]price list MAN'!P950</f>
        <v>1480500</v>
      </c>
      <c r="L950" s="177">
        <f>'[6]price list MAN'!R950</f>
        <v>1410000</v>
      </c>
      <c r="M950" s="174">
        <f>'[6]price list MAN'!S950</f>
        <v>2070000</v>
      </c>
      <c r="N950" s="174">
        <f>'[6]price list MAN'!Y950</f>
        <v>1564500</v>
      </c>
      <c r="O950" s="174">
        <f>'[6]price list MAN'!AA950</f>
        <v>1490000</v>
      </c>
      <c r="P950" s="68">
        <f t="shared" si="71"/>
        <v>0.28019323671497587</v>
      </c>
      <c r="Q950" s="62" t="e">
        <f>O950-#REF!</f>
        <v>#REF!</v>
      </c>
      <c r="W950" s="210"/>
      <c r="X950" s="210"/>
      <c r="Y950" s="210"/>
      <c r="Z950" s="210"/>
      <c r="AA950" s="210"/>
      <c r="AB950" s="210"/>
      <c r="AC950" s="210"/>
      <c r="AT950" s="425" t="str">
        <f t="shared" si="72"/>
        <v>TGS000022017Q315,3</v>
      </c>
      <c r="AU950" s="64" t="str">
        <f t="shared" si="73"/>
        <v>08-2017</v>
      </c>
      <c r="BA950" s="428" t="str">
        <f t="shared" si="74"/>
        <v>WIP - 30 Days</v>
      </c>
    </row>
    <row r="951" spans="2:53">
      <c r="B951" s="36" t="str">
        <f>'[6]price list MAN'!B951</f>
        <v>78W-6447</v>
      </c>
      <c r="C951" s="10" t="str">
        <f>'[6]price list MAN'!C951</f>
        <v>TGS-26-4806X4BLS-LX-EL-ACC</v>
      </c>
      <c r="D951" s="16" t="str">
        <f>IFERROR(VLOOKUP(C951&amp;"",'[7]Retail Price List'!$A$3:$B$103,2,FALSE),"Special Order")</f>
        <v>TGS00002</v>
      </c>
      <c r="E951" s="494" t="str">
        <f>'[6]price list MAN'!E951</f>
        <v>CKD</v>
      </c>
      <c r="F951" s="11" t="str">
        <f>'[6]price list MAN'!F951</f>
        <v>2018-03-30</v>
      </c>
      <c r="G951" s="32">
        <f>'[6]price list MAN'!G951</f>
        <v>15.3</v>
      </c>
      <c r="H951" s="26">
        <f>'[6]price list MAN'!H951</f>
        <v>42978</v>
      </c>
      <c r="I951" s="51" t="str">
        <f t="shared" si="70"/>
        <v>2017Q3</v>
      </c>
      <c r="J951" s="177">
        <f>'[6]price list MAN'!J951</f>
        <v>1990000</v>
      </c>
      <c r="K951" s="177">
        <f>'[6]price list MAN'!P951</f>
        <v>1480500</v>
      </c>
      <c r="L951" s="177">
        <f>'[6]price list MAN'!R951</f>
        <v>1410000</v>
      </c>
      <c r="M951" s="174">
        <f>'[6]price list MAN'!S951</f>
        <v>2070000</v>
      </c>
      <c r="N951" s="174">
        <f>'[6]price list MAN'!Y951</f>
        <v>1564500</v>
      </c>
      <c r="O951" s="174">
        <f>'[6]price list MAN'!AA951</f>
        <v>1490000</v>
      </c>
      <c r="P951" s="68">
        <f t="shared" si="71"/>
        <v>0.28019323671497587</v>
      </c>
      <c r="Q951" s="62" t="e">
        <f>O951-#REF!</f>
        <v>#REF!</v>
      </c>
      <c r="W951" s="210"/>
      <c r="X951" s="210"/>
      <c r="Y951" s="210"/>
      <c r="Z951" s="210"/>
      <c r="AA951" s="210"/>
      <c r="AB951" s="210"/>
      <c r="AC951" s="210"/>
      <c r="AT951" s="425" t="str">
        <f t="shared" si="72"/>
        <v>TGS000022017Q315,3</v>
      </c>
      <c r="AU951" s="64" t="str">
        <f t="shared" si="73"/>
        <v>08-2017</v>
      </c>
      <c r="BA951" s="428" t="str">
        <f t="shared" si="74"/>
        <v>WIP - 30 Days</v>
      </c>
    </row>
    <row r="952" spans="2:53">
      <c r="B952" s="36" t="str">
        <f>'[6]price list MAN'!B952</f>
        <v>78W-6460</v>
      </c>
      <c r="C952" s="10" t="str">
        <f>'[6]price list MAN'!C952</f>
        <v>TGS-26-4806X4BLS-LX-EL-ACC</v>
      </c>
      <c r="D952" s="16" t="str">
        <f>IFERROR(VLOOKUP(C952&amp;"",'[7]Retail Price List'!$A$3:$B$103,2,FALSE),"Special Order")</f>
        <v>TGS00002</v>
      </c>
      <c r="E952" s="494" t="str">
        <f>'[6]price list MAN'!E952</f>
        <v>CKD</v>
      </c>
      <c r="F952" s="11" t="str">
        <f>'[6]price list MAN'!F952</f>
        <v>2018-03-30</v>
      </c>
      <c r="G952" s="32">
        <f>'[6]price list MAN'!G952</f>
        <v>15.3</v>
      </c>
      <c r="H952" s="26">
        <f>'[6]price list MAN'!H952</f>
        <v>42978</v>
      </c>
      <c r="I952" s="51" t="str">
        <f t="shared" si="70"/>
        <v>2017Q3</v>
      </c>
      <c r="J952" s="177">
        <f>'[6]price list MAN'!J952</f>
        <v>1990000</v>
      </c>
      <c r="K952" s="177">
        <f>'[6]price list MAN'!P952</f>
        <v>1480500</v>
      </c>
      <c r="L952" s="177">
        <f>'[6]price list MAN'!R952</f>
        <v>1410000</v>
      </c>
      <c r="M952" s="174">
        <f>'[6]price list MAN'!S952</f>
        <v>2070000</v>
      </c>
      <c r="N952" s="174">
        <f>'[6]price list MAN'!Y952</f>
        <v>1564500</v>
      </c>
      <c r="O952" s="174">
        <f>'[6]price list MAN'!AA952</f>
        <v>1490000</v>
      </c>
      <c r="P952" s="68">
        <f t="shared" si="71"/>
        <v>0.28019323671497587</v>
      </c>
      <c r="Q952" s="62" t="e">
        <f>O952-#REF!</f>
        <v>#REF!</v>
      </c>
      <c r="W952" s="210"/>
      <c r="X952" s="210"/>
      <c r="Y952" s="210"/>
      <c r="Z952" s="210"/>
      <c r="AA952" s="210"/>
      <c r="AB952" s="210"/>
      <c r="AC952" s="210"/>
      <c r="AT952" s="425" t="str">
        <f t="shared" si="72"/>
        <v>TGS000022017Q315,3</v>
      </c>
      <c r="AU952" s="64" t="str">
        <f t="shared" si="73"/>
        <v>08-2017</v>
      </c>
      <c r="BA952" s="428" t="str">
        <f t="shared" si="74"/>
        <v>WIP - 30 Days</v>
      </c>
    </row>
    <row r="953" spans="2:53">
      <c r="B953" s="36" t="str">
        <f>'[6]price list MAN'!B953</f>
        <v>78W-6461</v>
      </c>
      <c r="C953" s="10" t="str">
        <f>'[6]price list MAN'!C953</f>
        <v>TGS-26-4806X4BLS-LX-EL-ACC</v>
      </c>
      <c r="D953" s="16" t="str">
        <f>IFERROR(VLOOKUP(C953&amp;"",'[7]Retail Price List'!$A$3:$B$103,2,FALSE),"Special Order")</f>
        <v>TGS00002</v>
      </c>
      <c r="E953" s="494" t="str">
        <f>'[6]price list MAN'!E953</f>
        <v>CKD</v>
      </c>
      <c r="F953" s="11" t="str">
        <f>'[6]price list MAN'!F953</f>
        <v>2018-04-30</v>
      </c>
      <c r="G953" s="32">
        <f>'[6]price list MAN'!G953</f>
        <v>15.3</v>
      </c>
      <c r="H953" s="26">
        <f>'[6]price list MAN'!H953</f>
        <v>42978</v>
      </c>
      <c r="I953" s="51" t="str">
        <f t="shared" si="70"/>
        <v>2017Q3</v>
      </c>
      <c r="J953" s="177">
        <f>'[6]price list MAN'!J953</f>
        <v>1990000</v>
      </c>
      <c r="K953" s="177">
        <f>'[6]price list MAN'!P953</f>
        <v>1480500</v>
      </c>
      <c r="L953" s="177">
        <f>'[6]price list MAN'!R953</f>
        <v>1410000</v>
      </c>
      <c r="M953" s="174">
        <f>'[6]price list MAN'!S953</f>
        <v>2070000</v>
      </c>
      <c r="N953" s="174">
        <f>'[6]price list MAN'!Y953</f>
        <v>1564500</v>
      </c>
      <c r="O953" s="174">
        <f>'[6]price list MAN'!AA953</f>
        <v>1490000</v>
      </c>
      <c r="P953" s="68">
        <f t="shared" si="71"/>
        <v>0.28019323671497587</v>
      </c>
      <c r="Q953" s="62" t="e">
        <f>O953-#REF!</f>
        <v>#REF!</v>
      </c>
      <c r="W953" s="210"/>
      <c r="X953" s="210"/>
      <c r="Y953" s="210"/>
      <c r="Z953" s="210"/>
      <c r="AA953" s="210"/>
      <c r="AB953" s="210"/>
      <c r="AC953" s="210"/>
      <c r="AT953" s="425" t="str">
        <f t="shared" si="72"/>
        <v>TGS000022017Q315,3</v>
      </c>
      <c r="AU953" s="64" t="str">
        <f t="shared" si="73"/>
        <v>08-2017</v>
      </c>
      <c r="BA953" s="428" t="str">
        <f t="shared" si="74"/>
        <v>WIP - 30 Days</v>
      </c>
    </row>
    <row r="954" spans="2:53">
      <c r="B954" s="36" t="str">
        <f>'[6]price list MAN'!B954</f>
        <v>78W-6462</v>
      </c>
      <c r="C954" s="10" t="str">
        <f>'[6]price list MAN'!C954</f>
        <v>TGS-26-4806X4BLS-LX-EL-ACC</v>
      </c>
      <c r="D954" s="16" t="str">
        <f>IFERROR(VLOOKUP(C954&amp;"",'[7]Retail Price List'!$A$3:$B$103,2,FALSE),"Special Order")</f>
        <v>TGS00002</v>
      </c>
      <c r="E954" s="494" t="str">
        <f>'[6]price list MAN'!E954</f>
        <v>CKD</v>
      </c>
      <c r="F954" s="11" t="str">
        <f>'[6]price list MAN'!F954</f>
        <v>2018-04-30</v>
      </c>
      <c r="G954" s="32">
        <f>'[6]price list MAN'!G954</f>
        <v>15.3</v>
      </c>
      <c r="H954" s="26">
        <f>'[6]price list MAN'!H954</f>
        <v>42978</v>
      </c>
      <c r="I954" s="51" t="str">
        <f t="shared" si="70"/>
        <v>2017Q3</v>
      </c>
      <c r="J954" s="177">
        <f>'[6]price list MAN'!J954</f>
        <v>1990000</v>
      </c>
      <c r="K954" s="177">
        <f>'[6]price list MAN'!P954</f>
        <v>1480500</v>
      </c>
      <c r="L954" s="177">
        <f>'[6]price list MAN'!R954</f>
        <v>1410000</v>
      </c>
      <c r="M954" s="174">
        <f>'[6]price list MAN'!S954</f>
        <v>2070000</v>
      </c>
      <c r="N954" s="174">
        <f>'[6]price list MAN'!Y954</f>
        <v>1564500</v>
      </c>
      <c r="O954" s="174">
        <f>'[6]price list MAN'!AA954</f>
        <v>1490000</v>
      </c>
      <c r="P954" s="68">
        <f t="shared" si="71"/>
        <v>0.28019323671497587</v>
      </c>
      <c r="Q954" s="62" t="e">
        <f>O954-#REF!</f>
        <v>#REF!</v>
      </c>
      <c r="W954" s="210"/>
      <c r="X954" s="210"/>
      <c r="Y954" s="210"/>
      <c r="Z954" s="210"/>
      <c r="AA954" s="210"/>
      <c r="AB954" s="210"/>
      <c r="AC954" s="210"/>
      <c r="AT954" s="425" t="str">
        <f t="shared" si="72"/>
        <v>TGS000022017Q315,3</v>
      </c>
      <c r="AU954" s="64" t="str">
        <f t="shared" si="73"/>
        <v>08-2017</v>
      </c>
      <c r="BA954" s="428" t="str">
        <f t="shared" si="74"/>
        <v>WIP - 30 Days</v>
      </c>
    </row>
    <row r="955" spans="2:53">
      <c r="B955" s="36" t="str">
        <f>'[6]price list MAN'!B955</f>
        <v>78W-6463</v>
      </c>
      <c r="C955" s="10" t="str">
        <f>'[6]price list MAN'!C955</f>
        <v>TGS-26-4806X4BLS-LX-EL-ACC</v>
      </c>
      <c r="D955" s="16" t="str">
        <f>IFERROR(VLOOKUP(C955&amp;"",'[7]Retail Price List'!$A$3:$B$103,2,FALSE),"Special Order")</f>
        <v>TGS00002</v>
      </c>
      <c r="E955" s="494" t="str">
        <f>'[6]price list MAN'!E955</f>
        <v>CKD</v>
      </c>
      <c r="F955" s="11" t="str">
        <f>'[6]price list MAN'!F955</f>
        <v>2018-04-30</v>
      </c>
      <c r="G955" s="32">
        <f>'[6]price list MAN'!G955</f>
        <v>15.3</v>
      </c>
      <c r="H955" s="26">
        <f>'[6]price list MAN'!H955</f>
        <v>42978</v>
      </c>
      <c r="I955" s="51" t="str">
        <f t="shared" si="70"/>
        <v>2017Q3</v>
      </c>
      <c r="J955" s="177">
        <f>'[6]price list MAN'!J955</f>
        <v>1990000</v>
      </c>
      <c r="K955" s="177">
        <f>'[6]price list MAN'!P955</f>
        <v>1480500</v>
      </c>
      <c r="L955" s="177">
        <f>'[6]price list MAN'!R955</f>
        <v>1410000</v>
      </c>
      <c r="M955" s="174">
        <f>'[6]price list MAN'!S955</f>
        <v>2070000</v>
      </c>
      <c r="N955" s="174">
        <f>'[6]price list MAN'!Y955</f>
        <v>1564500</v>
      </c>
      <c r="O955" s="174">
        <f>'[6]price list MAN'!AA955</f>
        <v>1490000</v>
      </c>
      <c r="P955" s="68">
        <f t="shared" si="71"/>
        <v>0.28019323671497587</v>
      </c>
      <c r="Q955" s="62" t="e">
        <f>O955-#REF!</f>
        <v>#REF!</v>
      </c>
      <c r="W955" s="210"/>
      <c r="X955" s="210"/>
      <c r="Y955" s="210"/>
      <c r="Z955" s="210"/>
      <c r="AA955" s="210"/>
      <c r="AB955" s="210"/>
      <c r="AC955" s="210"/>
      <c r="AT955" s="425" t="str">
        <f t="shared" si="72"/>
        <v>TGS000022017Q315,3</v>
      </c>
      <c r="AU955" s="64" t="str">
        <f t="shared" si="73"/>
        <v>08-2017</v>
      </c>
      <c r="BA955" s="428" t="str">
        <f t="shared" si="74"/>
        <v>WIP - 30 Days</v>
      </c>
    </row>
    <row r="956" spans="2:53">
      <c r="B956" s="36" t="str">
        <f>'[6]price list MAN'!B956</f>
        <v>78W-6475</v>
      </c>
      <c r="C956" s="10" t="str">
        <f>'[6]price list MAN'!C956</f>
        <v>TGS-26-4806X4BLS-LX-EL-ACC</v>
      </c>
      <c r="D956" s="16" t="str">
        <f>IFERROR(VLOOKUP(C956&amp;"",'[7]Retail Price List'!$A$3:$B$103,2,FALSE),"Special Order")</f>
        <v>TGS00002</v>
      </c>
      <c r="E956" s="494" t="str">
        <f>'[6]price list MAN'!E956</f>
        <v>CKD</v>
      </c>
      <c r="F956" s="11" t="str">
        <f>'[6]price list MAN'!F956</f>
        <v>2018-05-30</v>
      </c>
      <c r="G956" s="32">
        <f>'[6]price list MAN'!G956</f>
        <v>15.3</v>
      </c>
      <c r="H956" s="26">
        <f>'[6]price list MAN'!H956</f>
        <v>42978</v>
      </c>
      <c r="I956" s="51" t="str">
        <f t="shared" si="70"/>
        <v>2017Q3</v>
      </c>
      <c r="J956" s="177">
        <f>'[6]price list MAN'!J956</f>
        <v>1990000</v>
      </c>
      <c r="K956" s="177">
        <f>'[6]price list MAN'!P956</f>
        <v>1480500</v>
      </c>
      <c r="L956" s="177">
        <f>'[6]price list MAN'!R956</f>
        <v>1410000</v>
      </c>
      <c r="M956" s="174">
        <f>'[6]price list MAN'!S956</f>
        <v>2070000</v>
      </c>
      <c r="N956" s="174">
        <f>'[6]price list MAN'!Y956</f>
        <v>1564500</v>
      </c>
      <c r="O956" s="174">
        <f>'[6]price list MAN'!AA956</f>
        <v>1490000</v>
      </c>
      <c r="P956" s="68">
        <f t="shared" si="71"/>
        <v>0.28019323671497587</v>
      </c>
      <c r="Q956" s="62" t="e">
        <f>O956-#REF!</f>
        <v>#REF!</v>
      </c>
      <c r="W956" s="210"/>
      <c r="X956" s="210"/>
      <c r="Y956" s="210"/>
      <c r="Z956" s="210"/>
      <c r="AA956" s="210"/>
      <c r="AB956" s="210"/>
      <c r="AC956" s="210"/>
      <c r="AT956" s="425" t="str">
        <f t="shared" si="72"/>
        <v>TGS000022017Q315,3</v>
      </c>
      <c r="AU956" s="64" t="str">
        <f t="shared" si="73"/>
        <v>08-2017</v>
      </c>
      <c r="BA956" s="428" t="str">
        <f t="shared" si="74"/>
        <v>WIP - 30 Days</v>
      </c>
    </row>
    <row r="957" spans="2:53">
      <c r="B957" s="36" t="str">
        <f>'[6]price list MAN'!B957</f>
        <v>78W-6476</v>
      </c>
      <c r="C957" s="10" t="str">
        <f>'[6]price list MAN'!C957</f>
        <v>TGS-26-4806X4BLS-LX-EL-ACC</v>
      </c>
      <c r="D957" s="16" t="str">
        <f>IFERROR(VLOOKUP(C957&amp;"",'[7]Retail Price List'!$A$3:$B$103,2,FALSE),"Special Order")</f>
        <v>TGS00002</v>
      </c>
      <c r="E957" s="494" t="str">
        <f>'[6]price list MAN'!E957</f>
        <v>CKD</v>
      </c>
      <c r="F957" s="11" t="str">
        <f>'[6]price list MAN'!F957</f>
        <v>2018-05-30</v>
      </c>
      <c r="G957" s="32">
        <f>'[6]price list MAN'!G957</f>
        <v>15.3</v>
      </c>
      <c r="H957" s="26">
        <f>'[6]price list MAN'!H957</f>
        <v>42978</v>
      </c>
      <c r="I957" s="51" t="str">
        <f t="shared" si="70"/>
        <v>2017Q3</v>
      </c>
      <c r="J957" s="177">
        <f>'[6]price list MAN'!J957</f>
        <v>1990000</v>
      </c>
      <c r="K957" s="177">
        <f>'[6]price list MAN'!P957</f>
        <v>1480500</v>
      </c>
      <c r="L957" s="177">
        <f>'[6]price list MAN'!R957</f>
        <v>1410000</v>
      </c>
      <c r="M957" s="174">
        <f>'[6]price list MAN'!S957</f>
        <v>2070000</v>
      </c>
      <c r="N957" s="174">
        <f>'[6]price list MAN'!Y957</f>
        <v>1564500</v>
      </c>
      <c r="O957" s="174">
        <f>'[6]price list MAN'!AA957</f>
        <v>1490000</v>
      </c>
      <c r="P957" s="68">
        <f t="shared" si="71"/>
        <v>0.28019323671497587</v>
      </c>
      <c r="Q957" s="62" t="e">
        <f>O957-#REF!</f>
        <v>#REF!</v>
      </c>
      <c r="W957" s="210"/>
      <c r="X957" s="210"/>
      <c r="Y957" s="210"/>
      <c r="Z957" s="210"/>
      <c r="AA957" s="210"/>
      <c r="AB957" s="210"/>
      <c r="AC957" s="210"/>
      <c r="AT957" s="425" t="str">
        <f t="shared" si="72"/>
        <v>TGS000022017Q315,3</v>
      </c>
      <c r="AU957" s="64" t="str">
        <f t="shared" si="73"/>
        <v>08-2017</v>
      </c>
      <c r="BA957" s="428" t="str">
        <f t="shared" si="74"/>
        <v>WIP - 30 Days</v>
      </c>
    </row>
    <row r="958" spans="2:53">
      <c r="B958" s="36" t="str">
        <f>'[6]price list MAN'!B958</f>
        <v>78W-6477</v>
      </c>
      <c r="C958" s="10" t="str">
        <f>'[6]price list MAN'!C958</f>
        <v>TGS-26-4806X4BLS-LX-EL-ACC</v>
      </c>
      <c r="D958" s="16" t="str">
        <f>IFERROR(VLOOKUP(C958&amp;"",'[7]Retail Price List'!$A$3:$B$103,2,FALSE),"Special Order")</f>
        <v>TGS00002</v>
      </c>
      <c r="E958" s="494" t="str">
        <f>'[6]price list MAN'!E958</f>
        <v>CKD</v>
      </c>
      <c r="F958" s="11" t="str">
        <f>'[6]price list MAN'!F958</f>
        <v>2018-05-30</v>
      </c>
      <c r="G958" s="32">
        <f>'[6]price list MAN'!G958</f>
        <v>15.3</v>
      </c>
      <c r="H958" s="26">
        <f>'[6]price list MAN'!H958</f>
        <v>42978</v>
      </c>
      <c r="I958" s="51" t="str">
        <f t="shared" si="70"/>
        <v>2017Q3</v>
      </c>
      <c r="J958" s="177">
        <f>'[6]price list MAN'!J958</f>
        <v>1990000</v>
      </c>
      <c r="K958" s="177">
        <f>'[6]price list MAN'!P958</f>
        <v>1480500</v>
      </c>
      <c r="L958" s="177">
        <f>'[6]price list MAN'!R958</f>
        <v>1410000</v>
      </c>
      <c r="M958" s="174">
        <f>'[6]price list MAN'!S958</f>
        <v>2070000</v>
      </c>
      <c r="N958" s="174">
        <f>'[6]price list MAN'!Y958</f>
        <v>1564500</v>
      </c>
      <c r="O958" s="174">
        <f>'[6]price list MAN'!AA958</f>
        <v>1490000</v>
      </c>
      <c r="P958" s="68">
        <f t="shared" si="71"/>
        <v>0.28019323671497587</v>
      </c>
      <c r="Q958" s="62" t="e">
        <f>O958-#REF!</f>
        <v>#REF!</v>
      </c>
      <c r="W958" s="210"/>
      <c r="X958" s="210"/>
      <c r="Y958" s="210"/>
      <c r="Z958" s="210"/>
      <c r="AA958" s="210"/>
      <c r="AB958" s="210"/>
      <c r="AC958" s="210"/>
      <c r="AT958" s="425" t="str">
        <f t="shared" si="72"/>
        <v>TGS000022017Q315,3</v>
      </c>
      <c r="AU958" s="64" t="str">
        <f t="shared" si="73"/>
        <v>08-2017</v>
      </c>
      <c r="BA958" s="428" t="str">
        <f t="shared" si="74"/>
        <v>WIP - 30 Days</v>
      </c>
    </row>
    <row r="959" spans="2:53">
      <c r="B959" s="36" t="str">
        <f>'[6]price list MAN'!B959</f>
        <v>78W-6478</v>
      </c>
      <c r="C959" s="10" t="str">
        <f>'[6]price list MAN'!C959</f>
        <v>TGS-26-4806X4BLS-LX-EL-ACC</v>
      </c>
      <c r="D959" s="16" t="str">
        <f>IFERROR(VLOOKUP(C959&amp;"",'[7]Retail Price List'!$A$3:$B$103,2,FALSE),"Special Order")</f>
        <v>TGS00002</v>
      </c>
      <c r="E959" s="494" t="str">
        <f>'[6]price list MAN'!E959</f>
        <v>CKD</v>
      </c>
      <c r="F959" s="11" t="str">
        <f>'[6]price list MAN'!F959</f>
        <v>2018-05-30</v>
      </c>
      <c r="G959" s="32">
        <f>'[6]price list MAN'!G959</f>
        <v>15.3</v>
      </c>
      <c r="H959" s="26">
        <f>'[6]price list MAN'!H959</f>
        <v>42978</v>
      </c>
      <c r="I959" s="51" t="str">
        <f t="shared" si="70"/>
        <v>2017Q3</v>
      </c>
      <c r="J959" s="177">
        <f>'[6]price list MAN'!J959</f>
        <v>1990000</v>
      </c>
      <c r="K959" s="177">
        <f>'[6]price list MAN'!P959</f>
        <v>1480500</v>
      </c>
      <c r="L959" s="177">
        <f>'[6]price list MAN'!R959</f>
        <v>1410000</v>
      </c>
      <c r="M959" s="174">
        <f>'[6]price list MAN'!S959</f>
        <v>2070000</v>
      </c>
      <c r="N959" s="174">
        <f>'[6]price list MAN'!Y959</f>
        <v>1564500</v>
      </c>
      <c r="O959" s="174">
        <f>'[6]price list MAN'!AA959</f>
        <v>1490000</v>
      </c>
      <c r="P959" s="68">
        <f t="shared" si="71"/>
        <v>0.28019323671497587</v>
      </c>
      <c r="Q959" s="62" t="e">
        <f>O959-#REF!</f>
        <v>#REF!</v>
      </c>
      <c r="W959" s="210"/>
      <c r="X959" s="210"/>
      <c r="Y959" s="210"/>
      <c r="Z959" s="210"/>
      <c r="AA959" s="210"/>
      <c r="AB959" s="210"/>
      <c r="AC959" s="210"/>
      <c r="AT959" s="425" t="str">
        <f t="shared" si="72"/>
        <v>TGS000022017Q315,3</v>
      </c>
      <c r="AU959" s="64" t="str">
        <f t="shared" si="73"/>
        <v>08-2017</v>
      </c>
      <c r="BA959" s="428" t="str">
        <f t="shared" si="74"/>
        <v>WIP - 30 Days</v>
      </c>
    </row>
    <row r="960" spans="2:53">
      <c r="B960" s="36" t="str">
        <f>'[6]price list MAN'!B960</f>
        <v>78W-6483</v>
      </c>
      <c r="C960" s="10" t="str">
        <f>'[6]price list MAN'!C960</f>
        <v>TGS-26-4806X4BLS-LX-EL-ACC</v>
      </c>
      <c r="D960" s="16" t="str">
        <f>IFERROR(VLOOKUP(C960&amp;"",'[7]Retail Price List'!$A$3:$B$103,2,FALSE),"Special Order")</f>
        <v>TGS00002</v>
      </c>
      <c r="E960" s="494" t="str">
        <f>'[6]price list MAN'!E960</f>
        <v>CKD</v>
      </c>
      <c r="F960" s="11" t="str">
        <f>'[6]price list MAN'!F960</f>
        <v>2018-05-30</v>
      </c>
      <c r="G960" s="32">
        <f>'[6]price list MAN'!G960</f>
        <v>15.3</v>
      </c>
      <c r="H960" s="26">
        <f>'[6]price list MAN'!H960</f>
        <v>42978</v>
      </c>
      <c r="I960" s="51" t="str">
        <f t="shared" si="70"/>
        <v>2017Q3</v>
      </c>
      <c r="J960" s="177">
        <f>'[6]price list MAN'!J960</f>
        <v>1990000</v>
      </c>
      <c r="K960" s="177">
        <f>'[6]price list MAN'!P960</f>
        <v>1480500</v>
      </c>
      <c r="L960" s="177">
        <f>'[6]price list MAN'!R960</f>
        <v>1410000</v>
      </c>
      <c r="M960" s="174">
        <f>'[6]price list MAN'!S960</f>
        <v>2070000</v>
      </c>
      <c r="N960" s="174">
        <f>'[6]price list MAN'!Y960</f>
        <v>1564500</v>
      </c>
      <c r="O960" s="174">
        <f>'[6]price list MAN'!AA960</f>
        <v>1490000</v>
      </c>
      <c r="P960" s="68">
        <f t="shared" si="71"/>
        <v>0.28019323671497587</v>
      </c>
      <c r="Q960" s="62" t="e">
        <f>O960-#REF!</f>
        <v>#REF!</v>
      </c>
      <c r="W960" s="210"/>
      <c r="X960" s="210"/>
      <c r="Y960" s="210"/>
      <c r="Z960" s="210"/>
      <c r="AA960" s="210"/>
      <c r="AB960" s="210"/>
      <c r="AC960" s="210"/>
      <c r="AT960" s="425" t="str">
        <f t="shared" si="72"/>
        <v>TGS000022017Q315,3</v>
      </c>
      <c r="AU960" s="64" t="str">
        <f t="shared" si="73"/>
        <v>08-2017</v>
      </c>
      <c r="BA960" s="428" t="str">
        <f t="shared" si="74"/>
        <v>WIP - 30 Days</v>
      </c>
    </row>
    <row r="961" spans="2:53">
      <c r="B961" s="36" t="str">
        <f>'[6]price list MAN'!B961</f>
        <v>78W-6484</v>
      </c>
      <c r="C961" s="10" t="str">
        <f>'[6]price list MAN'!C961</f>
        <v>TGS-26-4806X4BLS-LX-EL-ACC</v>
      </c>
      <c r="D961" s="16" t="str">
        <f>IFERROR(VLOOKUP(C961&amp;"",'[7]Retail Price List'!$A$3:$B$103,2,FALSE),"Special Order")</f>
        <v>TGS00002</v>
      </c>
      <c r="E961" s="494" t="str">
        <f>'[6]price list MAN'!E961</f>
        <v>CKD</v>
      </c>
      <c r="F961" s="11" t="str">
        <f>'[6]price list MAN'!F961</f>
        <v>2018-05-30</v>
      </c>
      <c r="G961" s="32">
        <f>'[6]price list MAN'!G961</f>
        <v>15.3</v>
      </c>
      <c r="H961" s="26">
        <f>'[6]price list MAN'!H961</f>
        <v>42978</v>
      </c>
      <c r="I961" s="51" t="str">
        <f t="shared" si="70"/>
        <v>2017Q3</v>
      </c>
      <c r="J961" s="177">
        <f>'[6]price list MAN'!J961</f>
        <v>1990000</v>
      </c>
      <c r="K961" s="177">
        <f>'[6]price list MAN'!P961</f>
        <v>1480500</v>
      </c>
      <c r="L961" s="177">
        <f>'[6]price list MAN'!R961</f>
        <v>1410000</v>
      </c>
      <c r="M961" s="174">
        <f>'[6]price list MAN'!S961</f>
        <v>2070000</v>
      </c>
      <c r="N961" s="174">
        <f>'[6]price list MAN'!Y961</f>
        <v>1564500</v>
      </c>
      <c r="O961" s="174">
        <f>'[6]price list MAN'!AA961</f>
        <v>1490000</v>
      </c>
      <c r="P961" s="68">
        <f t="shared" si="71"/>
        <v>0.28019323671497587</v>
      </c>
      <c r="Q961" s="62" t="e">
        <f>O961-#REF!</f>
        <v>#REF!</v>
      </c>
      <c r="W961" s="210"/>
      <c r="X961" s="210"/>
      <c r="Y961" s="210"/>
      <c r="Z961" s="210"/>
      <c r="AA961" s="210"/>
      <c r="AB961" s="210"/>
      <c r="AC961" s="210"/>
      <c r="AT961" s="425" t="str">
        <f t="shared" si="72"/>
        <v>TGS000022017Q315,3</v>
      </c>
      <c r="AU961" s="64" t="str">
        <f t="shared" si="73"/>
        <v>08-2017</v>
      </c>
      <c r="BA961" s="428" t="str">
        <f t="shared" si="74"/>
        <v>WIP - 30 Days</v>
      </c>
    </row>
    <row r="962" spans="2:53">
      <c r="B962" s="36" t="str">
        <f>'[6]price list MAN'!B962</f>
        <v>78W-6485</v>
      </c>
      <c r="C962" s="10" t="str">
        <f>'[6]price list MAN'!C962</f>
        <v>TGS-26-4806X4BLS-LX-EL-ACC</v>
      </c>
      <c r="D962" s="16" t="str">
        <f>IFERROR(VLOOKUP(C962&amp;"",'[7]Retail Price List'!$A$3:$B$103,2,FALSE),"Special Order")</f>
        <v>TGS00002</v>
      </c>
      <c r="E962" s="494" t="str">
        <f>'[6]price list MAN'!E962</f>
        <v>CKD</v>
      </c>
      <c r="F962" s="11" t="str">
        <f>'[6]price list MAN'!F962</f>
        <v>2018-05-30</v>
      </c>
      <c r="G962" s="32">
        <f>'[6]price list MAN'!G962</f>
        <v>15.3</v>
      </c>
      <c r="H962" s="26">
        <f>'[6]price list MAN'!H962</f>
        <v>42978</v>
      </c>
      <c r="I962" s="51" t="str">
        <f t="shared" si="70"/>
        <v>2017Q3</v>
      </c>
      <c r="J962" s="177">
        <f>'[6]price list MAN'!J962</f>
        <v>1990000</v>
      </c>
      <c r="K962" s="177">
        <f>'[6]price list MAN'!P962</f>
        <v>1480500</v>
      </c>
      <c r="L962" s="177">
        <f>'[6]price list MAN'!R962</f>
        <v>1410000</v>
      </c>
      <c r="M962" s="174">
        <f>'[6]price list MAN'!S962</f>
        <v>2070000</v>
      </c>
      <c r="N962" s="174">
        <f>'[6]price list MAN'!Y962</f>
        <v>1564500</v>
      </c>
      <c r="O962" s="174">
        <f>'[6]price list MAN'!AA962</f>
        <v>1490000</v>
      </c>
      <c r="P962" s="68">
        <f t="shared" si="71"/>
        <v>0.28019323671497587</v>
      </c>
      <c r="Q962" s="62" t="e">
        <f>O962-#REF!</f>
        <v>#REF!</v>
      </c>
      <c r="W962" s="210"/>
      <c r="X962" s="210"/>
      <c r="Y962" s="210"/>
      <c r="Z962" s="210"/>
      <c r="AA962" s="210"/>
      <c r="AB962" s="210"/>
      <c r="AC962" s="210"/>
      <c r="AT962" s="425" t="str">
        <f t="shared" si="72"/>
        <v>TGS000022017Q315,3</v>
      </c>
      <c r="AU962" s="64" t="str">
        <f t="shared" si="73"/>
        <v>08-2017</v>
      </c>
      <c r="BA962" s="428" t="str">
        <f t="shared" si="74"/>
        <v>WIP - 30 Days</v>
      </c>
    </row>
    <row r="963" spans="2:53">
      <c r="B963" s="36" t="str">
        <f>'[6]price list MAN'!B963</f>
        <v>78W-6486</v>
      </c>
      <c r="C963" s="10" t="str">
        <f>'[6]price list MAN'!C963</f>
        <v>TGS-26-4806X4BLS-LX-EL-ACC</v>
      </c>
      <c r="D963" s="16" t="str">
        <f>IFERROR(VLOOKUP(C963&amp;"",'[7]Retail Price List'!$A$3:$B$103,2,FALSE),"Special Order")</f>
        <v>TGS00002</v>
      </c>
      <c r="E963" s="494" t="str">
        <f>'[6]price list MAN'!E963</f>
        <v>CKD</v>
      </c>
      <c r="F963" s="11" t="str">
        <f>'[6]price list MAN'!F963</f>
        <v>2018-05-30</v>
      </c>
      <c r="G963" s="32">
        <f>'[6]price list MAN'!G963</f>
        <v>15.3</v>
      </c>
      <c r="H963" s="26">
        <f>'[6]price list MAN'!H963</f>
        <v>42978</v>
      </c>
      <c r="I963" s="51" t="str">
        <f t="shared" si="70"/>
        <v>2017Q3</v>
      </c>
      <c r="J963" s="177">
        <f>'[6]price list MAN'!J963</f>
        <v>1990000</v>
      </c>
      <c r="K963" s="177">
        <f>'[6]price list MAN'!P963</f>
        <v>1480500</v>
      </c>
      <c r="L963" s="177">
        <f>'[6]price list MAN'!R963</f>
        <v>1410000</v>
      </c>
      <c r="M963" s="174">
        <f>'[6]price list MAN'!S963</f>
        <v>2070000</v>
      </c>
      <c r="N963" s="174">
        <f>'[6]price list MAN'!Y963</f>
        <v>1564500</v>
      </c>
      <c r="O963" s="174">
        <f>'[6]price list MAN'!AA963</f>
        <v>1490000</v>
      </c>
      <c r="P963" s="68">
        <f t="shared" si="71"/>
        <v>0.28019323671497587</v>
      </c>
      <c r="Q963" s="62" t="e">
        <f>O963-#REF!</f>
        <v>#REF!</v>
      </c>
      <c r="W963" s="210"/>
      <c r="X963" s="210"/>
      <c r="Y963" s="210"/>
      <c r="Z963" s="210"/>
      <c r="AA963" s="210"/>
      <c r="AB963" s="210"/>
      <c r="AC963" s="210"/>
      <c r="AT963" s="425" t="str">
        <f t="shared" si="72"/>
        <v>TGS000022017Q315,3</v>
      </c>
      <c r="AU963" s="64" t="str">
        <f t="shared" si="73"/>
        <v>08-2017</v>
      </c>
      <c r="BA963" s="428" t="str">
        <f t="shared" si="74"/>
        <v>WIP - 30 Days</v>
      </c>
    </row>
    <row r="964" spans="2:53">
      <c r="B964" s="36" t="str">
        <f>'[6]price list MAN'!B964</f>
        <v>78W-6487</v>
      </c>
      <c r="C964" s="10" t="str">
        <f>'[6]price list MAN'!C964</f>
        <v>TGS-26-4806X4BLS-LX-EL-ACC</v>
      </c>
      <c r="D964" s="16" t="str">
        <f>IFERROR(VLOOKUP(C964&amp;"",'[7]Retail Price List'!$A$3:$B$103,2,FALSE),"Special Order")</f>
        <v>TGS00002</v>
      </c>
      <c r="E964" s="494" t="str">
        <f>'[6]price list MAN'!E964</f>
        <v>CKD</v>
      </c>
      <c r="F964" s="11" t="str">
        <f>'[6]price list MAN'!F964</f>
        <v>2018-05-30</v>
      </c>
      <c r="G964" s="32">
        <f>'[6]price list MAN'!G964</f>
        <v>15.3</v>
      </c>
      <c r="H964" s="26">
        <f>'[6]price list MAN'!H964</f>
        <v>42978</v>
      </c>
      <c r="I964" s="51" t="str">
        <f t="shared" si="70"/>
        <v>2017Q3</v>
      </c>
      <c r="J964" s="177">
        <f>'[6]price list MAN'!J964</f>
        <v>1990000</v>
      </c>
      <c r="K964" s="177">
        <f>'[6]price list MAN'!P964</f>
        <v>1480500</v>
      </c>
      <c r="L964" s="177">
        <f>'[6]price list MAN'!R964</f>
        <v>1410000</v>
      </c>
      <c r="M964" s="174">
        <f>'[6]price list MAN'!S964</f>
        <v>2070000</v>
      </c>
      <c r="N964" s="174">
        <f>'[6]price list MAN'!Y964</f>
        <v>1564500</v>
      </c>
      <c r="O964" s="174">
        <f>'[6]price list MAN'!AA964</f>
        <v>1490000</v>
      </c>
      <c r="P964" s="68">
        <f t="shared" si="71"/>
        <v>0.28019323671497587</v>
      </c>
      <c r="Q964" s="62" t="e">
        <f>O964-#REF!</f>
        <v>#REF!</v>
      </c>
      <c r="W964" s="210"/>
      <c r="X964" s="210"/>
      <c r="Y964" s="210"/>
      <c r="Z964" s="210"/>
      <c r="AA964" s="210"/>
      <c r="AB964" s="210"/>
      <c r="AC964" s="210"/>
      <c r="AT964" s="425" t="str">
        <f t="shared" si="72"/>
        <v>TGS000022017Q315,3</v>
      </c>
      <c r="AU964" s="64" t="str">
        <f t="shared" si="73"/>
        <v>08-2017</v>
      </c>
      <c r="BA964" s="428" t="str">
        <f t="shared" si="74"/>
        <v>WIP - 30 Days</v>
      </c>
    </row>
    <row r="965" spans="2:53">
      <c r="B965" s="36" t="str">
        <f>'[6]price list MAN'!B965</f>
        <v>78W-6488</v>
      </c>
      <c r="C965" s="10" t="str">
        <f>'[6]price list MAN'!C965</f>
        <v>TGS-26-4806X4BLS-LX-EL-ACC</v>
      </c>
      <c r="D965" s="16" t="str">
        <f>IFERROR(VLOOKUP(C965&amp;"",'[7]Retail Price List'!$A$3:$B$103,2,FALSE),"Special Order")</f>
        <v>TGS00002</v>
      </c>
      <c r="E965" s="494" t="str">
        <f>'[6]price list MAN'!E965</f>
        <v>CKD</v>
      </c>
      <c r="F965" s="11" t="str">
        <f>'[6]price list MAN'!F965</f>
        <v>2018-05-30</v>
      </c>
      <c r="G965" s="32">
        <f>'[6]price list MAN'!G965</f>
        <v>15.3</v>
      </c>
      <c r="H965" s="26">
        <f>'[6]price list MAN'!H965</f>
        <v>42978</v>
      </c>
      <c r="I965" s="51" t="str">
        <f t="shared" ref="I965:I1028" si="75">IFERROR(VLOOKUP(AU965,$AW$5:$AY$40,3,FALSE),"")</f>
        <v>2017Q3</v>
      </c>
      <c r="J965" s="177">
        <f>'[6]price list MAN'!J965</f>
        <v>1990000</v>
      </c>
      <c r="K965" s="177">
        <f>'[6]price list MAN'!P965</f>
        <v>1480500</v>
      </c>
      <c r="L965" s="177">
        <f>'[6]price list MAN'!R965</f>
        <v>1410000</v>
      </c>
      <c r="M965" s="174">
        <f>'[6]price list MAN'!S965</f>
        <v>2070000</v>
      </c>
      <c r="N965" s="174">
        <f>'[6]price list MAN'!Y965</f>
        <v>1564500</v>
      </c>
      <c r="O965" s="174">
        <f>'[6]price list MAN'!AA965</f>
        <v>1490000</v>
      </c>
      <c r="P965" s="68">
        <f t="shared" ref="P965:P1028" si="76">(M965-O965)/M965</f>
        <v>0.28019323671497587</v>
      </c>
      <c r="Q965" s="62" t="e">
        <f>O965-#REF!</f>
        <v>#REF!</v>
      </c>
      <c r="W965" s="210"/>
      <c r="X965" s="210"/>
      <c r="Y965" s="210"/>
      <c r="Z965" s="210"/>
      <c r="AA965" s="210"/>
      <c r="AB965" s="210"/>
      <c r="AC965" s="210"/>
      <c r="AT965" s="425" t="str">
        <f t="shared" ref="AT965:AT1028" si="77">D965&amp;I965&amp;G965</f>
        <v>TGS000022017Q315,3</v>
      </c>
      <c r="AU965" s="64" t="str">
        <f t="shared" ref="AU965:AU1028" si="78">IF(MONTH(H965)&lt;10,0&amp;MONTH(H965)&amp;"-"&amp;YEAR(H965),MONTH(H965)&amp;"-"&amp;YEAR(H965))</f>
        <v>08-2017</v>
      </c>
      <c r="BA965" s="428" t="str">
        <f t="shared" ref="BA965:BA1028" si="79">IF(B965=0,"",IF(AND(F965&gt;=31,F965&lt;=120),"31-120 Days",IF(AND(F965&gt;=121,F965&lt;=365),"121-365 Days",IF(OR(E965="CKD",F965&lt;=30),"WIP - 30 Days","&gt;365 Days"))))</f>
        <v>WIP - 30 Days</v>
      </c>
    </row>
    <row r="966" spans="2:53">
      <c r="B966" s="36" t="str">
        <f>'[6]price list MAN'!B966</f>
        <v>78W-6489</v>
      </c>
      <c r="C966" s="10" t="str">
        <f>'[6]price list MAN'!C966</f>
        <v>TGS-26-4806X4BLS-LX-EL-ACC</v>
      </c>
      <c r="D966" s="16" t="str">
        <f>IFERROR(VLOOKUP(C966&amp;"",'[7]Retail Price List'!$A$3:$B$103,2,FALSE),"Special Order")</f>
        <v>TGS00002</v>
      </c>
      <c r="E966" s="494" t="str">
        <f>'[6]price list MAN'!E966</f>
        <v>CKD</v>
      </c>
      <c r="F966" s="11" t="str">
        <f>'[6]price list MAN'!F966</f>
        <v>2018-05-30</v>
      </c>
      <c r="G966" s="32">
        <f>'[6]price list MAN'!G966</f>
        <v>15.3</v>
      </c>
      <c r="H966" s="26">
        <f>'[6]price list MAN'!H966</f>
        <v>42978</v>
      </c>
      <c r="I966" s="51" t="str">
        <f t="shared" si="75"/>
        <v>2017Q3</v>
      </c>
      <c r="J966" s="177">
        <f>'[6]price list MAN'!J966</f>
        <v>1990000</v>
      </c>
      <c r="K966" s="177">
        <f>'[6]price list MAN'!P966</f>
        <v>1480500</v>
      </c>
      <c r="L966" s="177">
        <f>'[6]price list MAN'!R966</f>
        <v>1410000</v>
      </c>
      <c r="M966" s="174">
        <f>'[6]price list MAN'!S966</f>
        <v>2070000</v>
      </c>
      <c r="N966" s="174">
        <f>'[6]price list MAN'!Y966</f>
        <v>1564500</v>
      </c>
      <c r="O966" s="174">
        <f>'[6]price list MAN'!AA966</f>
        <v>1490000</v>
      </c>
      <c r="P966" s="68">
        <f t="shared" si="76"/>
        <v>0.28019323671497587</v>
      </c>
      <c r="Q966" s="62" t="e">
        <f>O966-#REF!</f>
        <v>#REF!</v>
      </c>
      <c r="W966" s="210"/>
      <c r="X966" s="210"/>
      <c r="Y966" s="210"/>
      <c r="Z966" s="210"/>
      <c r="AA966" s="210"/>
      <c r="AB966" s="210"/>
      <c r="AC966" s="210"/>
      <c r="AT966" s="425" t="str">
        <f t="shared" si="77"/>
        <v>TGS000022017Q315,3</v>
      </c>
      <c r="AU966" s="64" t="str">
        <f t="shared" si="78"/>
        <v>08-2017</v>
      </c>
      <c r="BA966" s="428" t="str">
        <f t="shared" si="79"/>
        <v>WIP - 30 Days</v>
      </c>
    </row>
    <row r="967" spans="2:53">
      <c r="B967" s="36" t="str">
        <f>'[6]price list MAN'!B967</f>
        <v>78W-6490</v>
      </c>
      <c r="C967" s="10" t="str">
        <f>'[6]price list MAN'!C967</f>
        <v>TGS-26-4806X4BLS-LX-EL-ACC</v>
      </c>
      <c r="D967" s="16" t="str">
        <f>IFERROR(VLOOKUP(C967&amp;"",'[7]Retail Price List'!$A$3:$B$103,2,FALSE),"Special Order")</f>
        <v>TGS00002</v>
      </c>
      <c r="E967" s="494" t="str">
        <f>'[6]price list MAN'!E967</f>
        <v>CKD</v>
      </c>
      <c r="F967" s="11" t="str">
        <f>'[6]price list MAN'!F967</f>
        <v>2018-06-30</v>
      </c>
      <c r="G967" s="32">
        <f>'[6]price list MAN'!G967</f>
        <v>15.3</v>
      </c>
      <c r="H967" s="26">
        <f>'[6]price list MAN'!H967</f>
        <v>42978</v>
      </c>
      <c r="I967" s="51" t="str">
        <f t="shared" si="75"/>
        <v>2017Q3</v>
      </c>
      <c r="J967" s="177">
        <f>'[6]price list MAN'!J967</f>
        <v>1990000</v>
      </c>
      <c r="K967" s="177">
        <f>'[6]price list MAN'!P967</f>
        <v>1480500</v>
      </c>
      <c r="L967" s="177">
        <f>'[6]price list MAN'!R967</f>
        <v>1410000</v>
      </c>
      <c r="M967" s="174">
        <f>'[6]price list MAN'!S967</f>
        <v>2070000</v>
      </c>
      <c r="N967" s="174">
        <f>'[6]price list MAN'!Y967</f>
        <v>1564500</v>
      </c>
      <c r="O967" s="174">
        <f>'[6]price list MAN'!AA967</f>
        <v>1490000</v>
      </c>
      <c r="P967" s="68">
        <f t="shared" si="76"/>
        <v>0.28019323671497587</v>
      </c>
      <c r="Q967" s="62" t="e">
        <f>O967-#REF!</f>
        <v>#REF!</v>
      </c>
      <c r="W967" s="210"/>
      <c r="X967" s="210"/>
      <c r="Y967" s="210"/>
      <c r="Z967" s="210"/>
      <c r="AA967" s="210"/>
      <c r="AB967" s="210"/>
      <c r="AC967" s="210"/>
      <c r="AT967" s="425" t="str">
        <f t="shared" si="77"/>
        <v>TGS000022017Q315,3</v>
      </c>
      <c r="AU967" s="64" t="str">
        <f t="shared" si="78"/>
        <v>08-2017</v>
      </c>
      <c r="BA967" s="428" t="str">
        <f t="shared" si="79"/>
        <v>WIP - 30 Days</v>
      </c>
    </row>
    <row r="968" spans="2:53">
      <c r="B968" s="36" t="str">
        <f>'[6]price list MAN'!B968</f>
        <v>78W-6518</v>
      </c>
      <c r="C968" s="10" t="str">
        <f>'[6]price list MAN'!C968</f>
        <v>TGS-26-4806X4BLS-LX-EL-ACC</v>
      </c>
      <c r="D968" s="16" t="str">
        <f>IFERROR(VLOOKUP(C968&amp;"",'[7]Retail Price List'!$A$3:$B$103,2,FALSE),"Special Order")</f>
        <v>TGS00002</v>
      </c>
      <c r="E968" s="494" t="str">
        <f>'[6]price list MAN'!E968</f>
        <v>CKD</v>
      </c>
      <c r="F968" s="11" t="str">
        <f>'[6]price list MAN'!F968</f>
        <v>2018-06-30</v>
      </c>
      <c r="G968" s="32">
        <f>'[6]price list MAN'!G968</f>
        <v>15.9</v>
      </c>
      <c r="H968" s="26">
        <f>'[6]price list MAN'!H968</f>
        <v>43039</v>
      </c>
      <c r="I968" s="51" t="str">
        <f t="shared" si="75"/>
        <v>2017Q4</v>
      </c>
      <c r="J968" s="177">
        <f>'[6]price list MAN'!J968</f>
        <v>1990000</v>
      </c>
      <c r="K968" s="177">
        <f>'[6]price list MAN'!P968</f>
        <v>1480500</v>
      </c>
      <c r="L968" s="177">
        <f>'[6]price list MAN'!R968</f>
        <v>1410000</v>
      </c>
      <c r="M968" s="174">
        <f>'[6]price list MAN'!S968</f>
        <v>2070000</v>
      </c>
      <c r="N968" s="174">
        <f>'[6]price list MAN'!Y968</f>
        <v>1564500</v>
      </c>
      <c r="O968" s="174">
        <f>'[6]price list MAN'!AA968</f>
        <v>1490000</v>
      </c>
      <c r="P968" s="68">
        <f t="shared" si="76"/>
        <v>0.28019323671497587</v>
      </c>
      <c r="Q968" s="62" t="e">
        <f>O968-#REF!</f>
        <v>#REF!</v>
      </c>
      <c r="W968" s="210"/>
      <c r="X968" s="210"/>
      <c r="Y968" s="210"/>
      <c r="Z968" s="210"/>
      <c r="AA968" s="210"/>
      <c r="AB968" s="210"/>
      <c r="AC968" s="210"/>
      <c r="AT968" s="425" t="str">
        <f t="shared" si="77"/>
        <v>TGS000022017Q415,9</v>
      </c>
      <c r="AU968" s="64" t="str">
        <f t="shared" si="78"/>
        <v>10-2017</v>
      </c>
      <c r="BA968" s="428" t="str">
        <f t="shared" si="79"/>
        <v>WIP - 30 Days</v>
      </c>
    </row>
    <row r="969" spans="2:53">
      <c r="B969" s="36" t="str">
        <f>'[6]price list MAN'!B969</f>
        <v>78W-6519</v>
      </c>
      <c r="C969" s="10" t="str">
        <f>'[6]price list MAN'!C969</f>
        <v>TGS-26-4806X4BLS-LX-EL-ACC</v>
      </c>
      <c r="D969" s="16" t="str">
        <f>IFERROR(VLOOKUP(C969&amp;"",'[7]Retail Price List'!$A$3:$B$103,2,FALSE),"Special Order")</f>
        <v>TGS00002</v>
      </c>
      <c r="E969" s="494" t="str">
        <f>'[6]price list MAN'!E969</f>
        <v>CKD</v>
      </c>
      <c r="F969" s="11" t="str">
        <f>'[6]price list MAN'!F969</f>
        <v>2018-06-30</v>
      </c>
      <c r="G969" s="32">
        <f>'[6]price list MAN'!G969</f>
        <v>15.9</v>
      </c>
      <c r="H969" s="26">
        <f>'[6]price list MAN'!H969</f>
        <v>43039</v>
      </c>
      <c r="I969" s="51" t="str">
        <f t="shared" si="75"/>
        <v>2017Q4</v>
      </c>
      <c r="J969" s="177">
        <f>'[6]price list MAN'!J969</f>
        <v>1990000</v>
      </c>
      <c r="K969" s="177">
        <f>'[6]price list MAN'!P969</f>
        <v>1480500</v>
      </c>
      <c r="L969" s="177">
        <f>'[6]price list MAN'!R969</f>
        <v>1410000</v>
      </c>
      <c r="M969" s="174">
        <f>'[6]price list MAN'!S969</f>
        <v>2070000</v>
      </c>
      <c r="N969" s="174">
        <f>'[6]price list MAN'!Y969</f>
        <v>1564500</v>
      </c>
      <c r="O969" s="174">
        <f>'[6]price list MAN'!AA969</f>
        <v>1490000</v>
      </c>
      <c r="P969" s="68">
        <f t="shared" si="76"/>
        <v>0.28019323671497587</v>
      </c>
      <c r="Q969" s="62" t="e">
        <f>O969-#REF!</f>
        <v>#REF!</v>
      </c>
      <c r="W969" s="210"/>
      <c r="X969" s="210"/>
      <c r="Y969" s="210"/>
      <c r="Z969" s="210"/>
      <c r="AA969" s="210"/>
      <c r="AB969" s="210"/>
      <c r="AC969" s="210"/>
      <c r="AT969" s="425" t="str">
        <f t="shared" si="77"/>
        <v>TGS000022017Q415,9</v>
      </c>
      <c r="AU969" s="64" t="str">
        <f t="shared" si="78"/>
        <v>10-2017</v>
      </c>
      <c r="BA969" s="428" t="str">
        <f t="shared" si="79"/>
        <v>WIP - 30 Days</v>
      </c>
    </row>
    <row r="970" spans="2:53">
      <c r="B970" s="36" t="str">
        <f>'[6]price list MAN'!B970</f>
        <v>78W-6520</v>
      </c>
      <c r="C970" s="10" t="str">
        <f>'[6]price list MAN'!C970</f>
        <v>TGS-26-4806X4BLS-LX-EL-ACC</v>
      </c>
      <c r="D970" s="16" t="str">
        <f>IFERROR(VLOOKUP(C970&amp;"",'[7]Retail Price List'!$A$3:$B$103,2,FALSE),"Special Order")</f>
        <v>TGS00002</v>
      </c>
      <c r="E970" s="494" t="str">
        <f>'[6]price list MAN'!E970</f>
        <v>CKD</v>
      </c>
      <c r="F970" s="11" t="str">
        <f>'[6]price list MAN'!F970</f>
        <v>2018-06-30</v>
      </c>
      <c r="G970" s="32">
        <f>'[6]price list MAN'!G970</f>
        <v>15.9</v>
      </c>
      <c r="H970" s="26">
        <f>'[6]price list MAN'!H970</f>
        <v>43039</v>
      </c>
      <c r="I970" s="51" t="str">
        <f t="shared" si="75"/>
        <v>2017Q4</v>
      </c>
      <c r="J970" s="177">
        <f>'[6]price list MAN'!J970</f>
        <v>1990000</v>
      </c>
      <c r="K970" s="177">
        <f>'[6]price list MAN'!P970</f>
        <v>1480500</v>
      </c>
      <c r="L970" s="177">
        <f>'[6]price list MAN'!R970</f>
        <v>1410000</v>
      </c>
      <c r="M970" s="174">
        <f>'[6]price list MAN'!S970</f>
        <v>2070000</v>
      </c>
      <c r="N970" s="174">
        <f>'[6]price list MAN'!Y970</f>
        <v>1564500</v>
      </c>
      <c r="O970" s="174">
        <f>'[6]price list MAN'!AA970</f>
        <v>1490000</v>
      </c>
      <c r="P970" s="68">
        <f t="shared" si="76"/>
        <v>0.28019323671497587</v>
      </c>
      <c r="Q970" s="62" t="e">
        <f>O970-#REF!</f>
        <v>#REF!</v>
      </c>
      <c r="W970" s="210"/>
      <c r="X970" s="210"/>
      <c r="Y970" s="210"/>
      <c r="Z970" s="210"/>
      <c r="AA970" s="210"/>
      <c r="AB970" s="210"/>
      <c r="AC970" s="210"/>
      <c r="AT970" s="425" t="str">
        <f t="shared" si="77"/>
        <v>TGS000022017Q415,9</v>
      </c>
      <c r="AU970" s="64" t="str">
        <f t="shared" si="78"/>
        <v>10-2017</v>
      </c>
      <c r="BA970" s="428" t="str">
        <f t="shared" si="79"/>
        <v>WIP - 30 Days</v>
      </c>
    </row>
    <row r="971" spans="2:53">
      <c r="B971" s="36" t="str">
        <f>'[6]price list MAN'!B971</f>
        <v>78W-6521</v>
      </c>
      <c r="C971" s="10" t="str">
        <f>'[6]price list MAN'!C971</f>
        <v>TGS-26-4806X4BLS-LX-EL-ACC</v>
      </c>
      <c r="D971" s="16" t="str">
        <f>IFERROR(VLOOKUP(C971&amp;"",'[7]Retail Price List'!$A$3:$B$103,2,FALSE),"Special Order")</f>
        <v>TGS00002</v>
      </c>
      <c r="E971" s="494" t="str">
        <f>'[6]price list MAN'!E971</f>
        <v>CKD</v>
      </c>
      <c r="F971" s="11" t="str">
        <f>'[6]price list MAN'!F971</f>
        <v>2018-06-30</v>
      </c>
      <c r="G971" s="32">
        <f>'[6]price list MAN'!G971</f>
        <v>15.9</v>
      </c>
      <c r="H971" s="26">
        <f>'[6]price list MAN'!H971</f>
        <v>43039</v>
      </c>
      <c r="I971" s="51" t="str">
        <f t="shared" si="75"/>
        <v>2017Q4</v>
      </c>
      <c r="J971" s="177">
        <f>'[6]price list MAN'!J971</f>
        <v>1990000</v>
      </c>
      <c r="K971" s="177">
        <f>'[6]price list MAN'!P971</f>
        <v>1480500</v>
      </c>
      <c r="L971" s="177">
        <f>'[6]price list MAN'!R971</f>
        <v>1410000</v>
      </c>
      <c r="M971" s="174">
        <f>'[6]price list MAN'!S971</f>
        <v>2070000</v>
      </c>
      <c r="N971" s="174">
        <f>'[6]price list MAN'!Y971</f>
        <v>1564500</v>
      </c>
      <c r="O971" s="174">
        <f>'[6]price list MAN'!AA971</f>
        <v>1490000</v>
      </c>
      <c r="P971" s="68">
        <f t="shared" si="76"/>
        <v>0.28019323671497587</v>
      </c>
      <c r="Q971" s="62" t="e">
        <f>O971-#REF!</f>
        <v>#REF!</v>
      </c>
      <c r="W971" s="210"/>
      <c r="X971" s="210"/>
      <c r="Y971" s="210"/>
      <c r="Z971" s="210"/>
      <c r="AA971" s="210"/>
      <c r="AB971" s="210"/>
      <c r="AC971" s="210"/>
      <c r="AT971" s="425" t="str">
        <f t="shared" si="77"/>
        <v>TGS000022017Q415,9</v>
      </c>
      <c r="AU971" s="64" t="str">
        <f t="shared" si="78"/>
        <v>10-2017</v>
      </c>
      <c r="BA971" s="428" t="str">
        <f t="shared" si="79"/>
        <v>WIP - 30 Days</v>
      </c>
    </row>
    <row r="972" spans="2:53">
      <c r="B972" s="36" t="str">
        <f>'[6]price list MAN'!B972</f>
        <v>78W-6538</v>
      </c>
      <c r="C972" s="10" t="str">
        <f>'[6]price list MAN'!C972</f>
        <v>TGS-26-4806X4BLS-LX-EL-ACC</v>
      </c>
      <c r="D972" s="16" t="str">
        <f>IFERROR(VLOOKUP(C972&amp;"",'[7]Retail Price List'!$A$3:$B$103,2,FALSE),"Special Order")</f>
        <v>TGS00002</v>
      </c>
      <c r="E972" s="494" t="str">
        <f>'[6]price list MAN'!E972</f>
        <v>CKD</v>
      </c>
      <c r="F972" s="11" t="str">
        <f>'[6]price list MAN'!F972</f>
        <v>2018-06-30</v>
      </c>
      <c r="G972" s="32">
        <f>'[6]price list MAN'!G972</f>
        <v>15.9</v>
      </c>
      <c r="H972" s="26">
        <f>'[6]price list MAN'!H972</f>
        <v>43039</v>
      </c>
      <c r="I972" s="51" t="str">
        <f t="shared" si="75"/>
        <v>2017Q4</v>
      </c>
      <c r="J972" s="177">
        <f>'[6]price list MAN'!J972</f>
        <v>1990000</v>
      </c>
      <c r="K972" s="177">
        <f>'[6]price list MAN'!P972</f>
        <v>1480500</v>
      </c>
      <c r="L972" s="177">
        <f>'[6]price list MAN'!R972</f>
        <v>1410000</v>
      </c>
      <c r="M972" s="174">
        <f>'[6]price list MAN'!S972</f>
        <v>2070000</v>
      </c>
      <c r="N972" s="174">
        <f>'[6]price list MAN'!Y972</f>
        <v>1564500</v>
      </c>
      <c r="O972" s="174">
        <f>'[6]price list MAN'!AA972</f>
        <v>1490000</v>
      </c>
      <c r="P972" s="68">
        <f t="shared" si="76"/>
        <v>0.28019323671497587</v>
      </c>
      <c r="Q972" s="62" t="e">
        <f>O972-#REF!</f>
        <v>#REF!</v>
      </c>
      <c r="W972" s="210"/>
      <c r="X972" s="210"/>
      <c r="Y972" s="210"/>
      <c r="Z972" s="210"/>
      <c r="AA972" s="210"/>
      <c r="AB972" s="210"/>
      <c r="AC972" s="210"/>
      <c r="AT972" s="425" t="str">
        <f t="shared" si="77"/>
        <v>TGS000022017Q415,9</v>
      </c>
      <c r="AU972" s="64" t="str">
        <f t="shared" si="78"/>
        <v>10-2017</v>
      </c>
      <c r="BA972" s="428" t="str">
        <f t="shared" si="79"/>
        <v>WIP - 30 Days</v>
      </c>
    </row>
    <row r="973" spans="2:53">
      <c r="B973" s="36" t="str">
        <f>'[6]price list MAN'!B973</f>
        <v>78W-6539</v>
      </c>
      <c r="C973" s="10" t="str">
        <f>'[6]price list MAN'!C973</f>
        <v>TGS-26-4806X4BLS-LX-EL-ACC</v>
      </c>
      <c r="D973" s="16" t="str">
        <f>IFERROR(VLOOKUP(C973&amp;"",'[7]Retail Price List'!$A$3:$B$103,2,FALSE),"Special Order")</f>
        <v>TGS00002</v>
      </c>
      <c r="E973" s="494" t="str">
        <f>'[6]price list MAN'!E973</f>
        <v>CKD</v>
      </c>
      <c r="F973" s="11" t="str">
        <f>'[6]price list MAN'!F973</f>
        <v>2018-06-30</v>
      </c>
      <c r="G973" s="32">
        <f>'[6]price list MAN'!G973</f>
        <v>15.9</v>
      </c>
      <c r="H973" s="26">
        <f>'[6]price list MAN'!H973</f>
        <v>43039</v>
      </c>
      <c r="I973" s="51" t="str">
        <f t="shared" si="75"/>
        <v>2017Q4</v>
      </c>
      <c r="J973" s="177">
        <f>'[6]price list MAN'!J973</f>
        <v>1990000</v>
      </c>
      <c r="K973" s="177">
        <f>'[6]price list MAN'!P973</f>
        <v>1480500</v>
      </c>
      <c r="L973" s="177">
        <f>'[6]price list MAN'!R973</f>
        <v>1410000</v>
      </c>
      <c r="M973" s="174">
        <f>'[6]price list MAN'!S973</f>
        <v>2070000</v>
      </c>
      <c r="N973" s="174">
        <f>'[6]price list MAN'!Y973</f>
        <v>1564500</v>
      </c>
      <c r="O973" s="174">
        <f>'[6]price list MAN'!AA973</f>
        <v>1490000</v>
      </c>
      <c r="P973" s="68">
        <f t="shared" si="76"/>
        <v>0.28019323671497587</v>
      </c>
      <c r="Q973" s="62" t="e">
        <f>O973-#REF!</f>
        <v>#REF!</v>
      </c>
      <c r="W973" s="210"/>
      <c r="X973" s="210"/>
      <c r="Y973" s="210"/>
      <c r="Z973" s="210"/>
      <c r="AA973" s="210"/>
      <c r="AB973" s="210"/>
      <c r="AC973" s="210"/>
      <c r="AT973" s="425" t="str">
        <f t="shared" si="77"/>
        <v>TGS000022017Q415,9</v>
      </c>
      <c r="AU973" s="64" t="str">
        <f t="shared" si="78"/>
        <v>10-2017</v>
      </c>
      <c r="BA973" s="428" t="str">
        <f t="shared" si="79"/>
        <v>WIP - 30 Days</v>
      </c>
    </row>
    <row r="974" spans="2:53">
      <c r="B974" s="36" t="str">
        <f>'[6]price list MAN'!B974</f>
        <v>78W-6540</v>
      </c>
      <c r="C974" s="10" t="str">
        <f>'[6]price list MAN'!C974</f>
        <v>TGS-26-4806X4BLS-LX-EL-ACC</v>
      </c>
      <c r="D974" s="16" t="str">
        <f>IFERROR(VLOOKUP(C974&amp;"",'[7]Retail Price List'!$A$3:$B$103,2,FALSE),"Special Order")</f>
        <v>TGS00002</v>
      </c>
      <c r="E974" s="494" t="str">
        <f>'[6]price list MAN'!E974</f>
        <v>CKD</v>
      </c>
      <c r="F974" s="11" t="str">
        <f>'[6]price list MAN'!F974</f>
        <v>2018-06-30</v>
      </c>
      <c r="G974" s="32">
        <f>'[6]price list MAN'!G974</f>
        <v>15.9</v>
      </c>
      <c r="H974" s="26">
        <f>'[6]price list MAN'!H974</f>
        <v>43039</v>
      </c>
      <c r="I974" s="51" t="str">
        <f t="shared" si="75"/>
        <v>2017Q4</v>
      </c>
      <c r="J974" s="177">
        <f>'[6]price list MAN'!J974</f>
        <v>1990000</v>
      </c>
      <c r="K974" s="177">
        <f>'[6]price list MAN'!P974</f>
        <v>1480500</v>
      </c>
      <c r="L974" s="177">
        <f>'[6]price list MAN'!R974</f>
        <v>1410000</v>
      </c>
      <c r="M974" s="174">
        <f>'[6]price list MAN'!S974</f>
        <v>2070000</v>
      </c>
      <c r="N974" s="174">
        <f>'[6]price list MAN'!Y974</f>
        <v>1564500</v>
      </c>
      <c r="O974" s="174">
        <f>'[6]price list MAN'!AA974</f>
        <v>1490000</v>
      </c>
      <c r="P974" s="68">
        <f t="shared" si="76"/>
        <v>0.28019323671497587</v>
      </c>
      <c r="Q974" s="62" t="e">
        <f>O974-#REF!</f>
        <v>#REF!</v>
      </c>
      <c r="W974" s="210"/>
      <c r="X974" s="210"/>
      <c r="Y974" s="210"/>
      <c r="Z974" s="210"/>
      <c r="AA974" s="210"/>
      <c r="AB974" s="210"/>
      <c r="AC974" s="210"/>
      <c r="AT974" s="425" t="str">
        <f t="shared" si="77"/>
        <v>TGS000022017Q415,9</v>
      </c>
      <c r="AU974" s="64" t="str">
        <f t="shared" si="78"/>
        <v>10-2017</v>
      </c>
      <c r="BA974" s="428" t="str">
        <f t="shared" si="79"/>
        <v>WIP - 30 Days</v>
      </c>
    </row>
    <row r="975" spans="2:53">
      <c r="B975" s="36" t="str">
        <f>'[6]price list MAN'!B975</f>
        <v>78W-6541</v>
      </c>
      <c r="C975" s="10" t="str">
        <f>'[6]price list MAN'!C975</f>
        <v>TGS-26-4806X4BLS-LX-EL-ACC</v>
      </c>
      <c r="D975" s="16" t="str">
        <f>IFERROR(VLOOKUP(C975&amp;"",'[7]Retail Price List'!$A$3:$B$103,2,FALSE),"Special Order")</f>
        <v>TGS00002</v>
      </c>
      <c r="E975" s="494" t="str">
        <f>'[6]price list MAN'!E975</f>
        <v>CKD</v>
      </c>
      <c r="F975" s="11" t="str">
        <f>'[6]price list MAN'!F975</f>
        <v>2018-06-30</v>
      </c>
      <c r="G975" s="32">
        <f>'[6]price list MAN'!G975</f>
        <v>15.9</v>
      </c>
      <c r="H975" s="26">
        <f>'[6]price list MAN'!H975</f>
        <v>43039</v>
      </c>
      <c r="I975" s="51" t="str">
        <f t="shared" si="75"/>
        <v>2017Q4</v>
      </c>
      <c r="J975" s="177">
        <f>'[6]price list MAN'!J975</f>
        <v>1990000</v>
      </c>
      <c r="K975" s="177">
        <f>'[6]price list MAN'!P975</f>
        <v>1480500</v>
      </c>
      <c r="L975" s="177">
        <f>'[6]price list MAN'!R975</f>
        <v>1410000</v>
      </c>
      <c r="M975" s="174">
        <f>'[6]price list MAN'!S975</f>
        <v>2070000</v>
      </c>
      <c r="N975" s="174">
        <f>'[6]price list MAN'!Y975</f>
        <v>1564500</v>
      </c>
      <c r="O975" s="174">
        <f>'[6]price list MAN'!AA975</f>
        <v>1490000</v>
      </c>
      <c r="P975" s="68">
        <f t="shared" si="76"/>
        <v>0.28019323671497587</v>
      </c>
      <c r="Q975" s="62" t="e">
        <f>O975-#REF!</f>
        <v>#REF!</v>
      </c>
      <c r="W975" s="210"/>
      <c r="X975" s="210"/>
      <c r="Y975" s="210"/>
      <c r="Z975" s="210"/>
      <c r="AA975" s="210"/>
      <c r="AB975" s="210"/>
      <c r="AC975" s="210"/>
      <c r="AT975" s="425" t="str">
        <f t="shared" si="77"/>
        <v>TGS000022017Q415,9</v>
      </c>
      <c r="AU975" s="64" t="str">
        <f t="shared" si="78"/>
        <v>10-2017</v>
      </c>
      <c r="BA975" s="428" t="str">
        <f t="shared" si="79"/>
        <v>WIP - 30 Days</v>
      </c>
    </row>
    <row r="976" spans="2:53">
      <c r="B976" s="36" t="str">
        <f>'[6]price list MAN'!B976</f>
        <v>78W-6554</v>
      </c>
      <c r="C976" s="10" t="str">
        <f>'[6]price list MAN'!C976</f>
        <v>TGS-26-4806X4BLS-LX-EL-ACC</v>
      </c>
      <c r="D976" s="16" t="str">
        <f>IFERROR(VLOOKUP(C976&amp;"",'[7]Retail Price List'!$A$3:$B$103,2,FALSE),"Special Order")</f>
        <v>TGS00002</v>
      </c>
      <c r="E976" s="494" t="str">
        <f>'[6]price list MAN'!E976</f>
        <v>CKD</v>
      </c>
      <c r="F976" s="11" t="str">
        <f>'[6]price list MAN'!F976</f>
        <v>2018-06-30</v>
      </c>
      <c r="G976" s="32">
        <f>'[6]price list MAN'!G976</f>
        <v>15.9</v>
      </c>
      <c r="H976" s="26">
        <f>'[6]price list MAN'!H976</f>
        <v>43039</v>
      </c>
      <c r="I976" s="51" t="str">
        <f t="shared" si="75"/>
        <v>2017Q4</v>
      </c>
      <c r="J976" s="177">
        <f>'[6]price list MAN'!J976</f>
        <v>1990000</v>
      </c>
      <c r="K976" s="177">
        <f>'[6]price list MAN'!P976</f>
        <v>1480500</v>
      </c>
      <c r="L976" s="177">
        <f>'[6]price list MAN'!R976</f>
        <v>1410000</v>
      </c>
      <c r="M976" s="174">
        <f>'[6]price list MAN'!S976</f>
        <v>2070000</v>
      </c>
      <c r="N976" s="174">
        <f>'[6]price list MAN'!Y976</f>
        <v>1564500</v>
      </c>
      <c r="O976" s="174">
        <f>'[6]price list MAN'!AA976</f>
        <v>1490000</v>
      </c>
      <c r="P976" s="68">
        <f t="shared" si="76"/>
        <v>0.28019323671497587</v>
      </c>
      <c r="Q976" s="62" t="e">
        <f>O976-#REF!</f>
        <v>#REF!</v>
      </c>
      <c r="W976" s="210"/>
      <c r="X976" s="210"/>
      <c r="Y976" s="210"/>
      <c r="Z976" s="210"/>
      <c r="AA976" s="210"/>
      <c r="AB976" s="210"/>
      <c r="AC976" s="210"/>
      <c r="AT976" s="425" t="str">
        <f t="shared" si="77"/>
        <v>TGS000022017Q415,9</v>
      </c>
      <c r="AU976" s="64" t="str">
        <f t="shared" si="78"/>
        <v>10-2017</v>
      </c>
      <c r="BA976" s="428" t="str">
        <f t="shared" si="79"/>
        <v>WIP - 30 Days</v>
      </c>
    </row>
    <row r="977" spans="2:53">
      <c r="B977" s="36" t="str">
        <f>'[6]price list MAN'!B977</f>
        <v>78W-6555</v>
      </c>
      <c r="C977" s="10" t="str">
        <f>'[6]price list MAN'!C977</f>
        <v>TGS-26-4806X4BLS-LX-EL-ACC</v>
      </c>
      <c r="D977" s="16" t="str">
        <f>IFERROR(VLOOKUP(C977&amp;"",'[7]Retail Price List'!$A$3:$B$103,2,FALSE),"Special Order")</f>
        <v>TGS00002</v>
      </c>
      <c r="E977" s="494" t="str">
        <f>'[6]price list MAN'!E977</f>
        <v>CKD</v>
      </c>
      <c r="F977" s="11" t="str">
        <f>'[6]price list MAN'!F977</f>
        <v>2018-06-30</v>
      </c>
      <c r="G977" s="32">
        <f>'[6]price list MAN'!G977</f>
        <v>15.9</v>
      </c>
      <c r="H977" s="26">
        <f>'[6]price list MAN'!H977</f>
        <v>43039</v>
      </c>
      <c r="I977" s="51" t="str">
        <f t="shared" si="75"/>
        <v>2017Q4</v>
      </c>
      <c r="J977" s="177">
        <f>'[6]price list MAN'!J977</f>
        <v>1990000</v>
      </c>
      <c r="K977" s="177">
        <f>'[6]price list MAN'!P977</f>
        <v>1480500</v>
      </c>
      <c r="L977" s="177">
        <f>'[6]price list MAN'!R977</f>
        <v>1410000</v>
      </c>
      <c r="M977" s="174">
        <f>'[6]price list MAN'!S977</f>
        <v>2070000</v>
      </c>
      <c r="N977" s="174">
        <f>'[6]price list MAN'!Y977</f>
        <v>1564500</v>
      </c>
      <c r="O977" s="174">
        <f>'[6]price list MAN'!AA977</f>
        <v>1490000</v>
      </c>
      <c r="P977" s="68">
        <f t="shared" si="76"/>
        <v>0.28019323671497587</v>
      </c>
      <c r="Q977" s="62" t="e">
        <f>O977-#REF!</f>
        <v>#REF!</v>
      </c>
      <c r="W977" s="210"/>
      <c r="X977" s="210"/>
      <c r="Y977" s="210"/>
      <c r="Z977" s="210"/>
      <c r="AA977" s="210"/>
      <c r="AB977" s="210"/>
      <c r="AC977" s="210"/>
      <c r="AT977" s="425" t="str">
        <f t="shared" si="77"/>
        <v>TGS000022017Q415,9</v>
      </c>
      <c r="AU977" s="64" t="str">
        <f t="shared" si="78"/>
        <v>10-2017</v>
      </c>
      <c r="BA977" s="428" t="str">
        <f t="shared" si="79"/>
        <v>WIP - 30 Days</v>
      </c>
    </row>
    <row r="978" spans="2:53">
      <c r="B978" s="36" t="str">
        <f>'[6]price list MAN'!B978</f>
        <v>78W-6556</v>
      </c>
      <c r="C978" s="10" t="str">
        <f>'[6]price list MAN'!C978</f>
        <v>TGS-26-4806X4BLS-LX-EL-ACC</v>
      </c>
      <c r="D978" s="16" t="str">
        <f>IFERROR(VLOOKUP(C978&amp;"",'[7]Retail Price List'!$A$3:$B$103,2,FALSE),"Special Order")</f>
        <v>TGS00002</v>
      </c>
      <c r="E978" s="494" t="str">
        <f>'[6]price list MAN'!E978</f>
        <v>CKD</v>
      </c>
      <c r="F978" s="11" t="str">
        <f>'[6]price list MAN'!F978</f>
        <v>2018-06-30</v>
      </c>
      <c r="G978" s="32">
        <f>'[6]price list MAN'!G978</f>
        <v>15.9</v>
      </c>
      <c r="H978" s="26">
        <f>'[6]price list MAN'!H978</f>
        <v>43039</v>
      </c>
      <c r="I978" s="51" t="str">
        <f t="shared" si="75"/>
        <v>2017Q4</v>
      </c>
      <c r="J978" s="177">
        <f>'[6]price list MAN'!J978</f>
        <v>1990000</v>
      </c>
      <c r="K978" s="177">
        <f>'[6]price list MAN'!P978</f>
        <v>1480500</v>
      </c>
      <c r="L978" s="177">
        <f>'[6]price list MAN'!R978</f>
        <v>1410000</v>
      </c>
      <c r="M978" s="174">
        <f>'[6]price list MAN'!S978</f>
        <v>2070000</v>
      </c>
      <c r="N978" s="174">
        <f>'[6]price list MAN'!Y978</f>
        <v>1564500</v>
      </c>
      <c r="O978" s="174">
        <f>'[6]price list MAN'!AA978</f>
        <v>1490000</v>
      </c>
      <c r="P978" s="68">
        <f t="shared" si="76"/>
        <v>0.28019323671497587</v>
      </c>
      <c r="Q978" s="62" t="e">
        <f>O978-#REF!</f>
        <v>#REF!</v>
      </c>
      <c r="W978" s="210"/>
      <c r="X978" s="210"/>
      <c r="Y978" s="210"/>
      <c r="Z978" s="210"/>
      <c r="AA978" s="210"/>
      <c r="AB978" s="210"/>
      <c r="AC978" s="210"/>
      <c r="AT978" s="425" t="str">
        <f t="shared" si="77"/>
        <v>TGS000022017Q415,9</v>
      </c>
      <c r="AU978" s="64" t="str">
        <f t="shared" si="78"/>
        <v>10-2017</v>
      </c>
      <c r="BA978" s="428" t="str">
        <f t="shared" si="79"/>
        <v>WIP - 30 Days</v>
      </c>
    </row>
    <row r="979" spans="2:53">
      <c r="B979" s="36" t="str">
        <f>'[6]price list MAN'!B979</f>
        <v>78W-6557</v>
      </c>
      <c r="C979" s="10" t="str">
        <f>'[6]price list MAN'!C979</f>
        <v>TGS-26-4806X4BLS-LX-EL-ACC</v>
      </c>
      <c r="D979" s="16" t="str">
        <f>IFERROR(VLOOKUP(C979&amp;"",'[7]Retail Price List'!$A$3:$B$103,2,FALSE),"Special Order")</f>
        <v>TGS00002</v>
      </c>
      <c r="E979" s="494" t="str">
        <f>'[6]price list MAN'!E979</f>
        <v>CKD</v>
      </c>
      <c r="F979" s="11" t="str">
        <f>'[6]price list MAN'!F979</f>
        <v>2018-06-30</v>
      </c>
      <c r="G979" s="32">
        <f>'[6]price list MAN'!G979</f>
        <v>15.9</v>
      </c>
      <c r="H979" s="26">
        <f>'[6]price list MAN'!H979</f>
        <v>43039</v>
      </c>
      <c r="I979" s="51" t="str">
        <f t="shared" si="75"/>
        <v>2017Q4</v>
      </c>
      <c r="J979" s="177">
        <f>'[6]price list MAN'!J979</f>
        <v>1990000</v>
      </c>
      <c r="K979" s="177">
        <f>'[6]price list MAN'!P979</f>
        <v>1480500</v>
      </c>
      <c r="L979" s="177">
        <f>'[6]price list MAN'!R979</f>
        <v>1410000</v>
      </c>
      <c r="M979" s="174">
        <f>'[6]price list MAN'!S979</f>
        <v>2070000</v>
      </c>
      <c r="N979" s="174">
        <f>'[6]price list MAN'!Y979</f>
        <v>1564500</v>
      </c>
      <c r="O979" s="174">
        <f>'[6]price list MAN'!AA979</f>
        <v>1490000</v>
      </c>
      <c r="P979" s="68">
        <f t="shared" si="76"/>
        <v>0.28019323671497587</v>
      </c>
      <c r="Q979" s="62" t="e">
        <f>O979-#REF!</f>
        <v>#REF!</v>
      </c>
      <c r="W979" s="210"/>
      <c r="X979" s="210"/>
      <c r="Y979" s="210"/>
      <c r="Z979" s="210"/>
      <c r="AA979" s="210"/>
      <c r="AB979" s="210"/>
      <c r="AC979" s="210"/>
      <c r="AT979" s="425" t="str">
        <f t="shared" si="77"/>
        <v>TGS000022017Q415,9</v>
      </c>
      <c r="AU979" s="64" t="str">
        <f t="shared" si="78"/>
        <v>10-2017</v>
      </c>
      <c r="BA979" s="428" t="str">
        <f t="shared" si="79"/>
        <v>WIP - 30 Days</v>
      </c>
    </row>
    <row r="980" spans="2:53">
      <c r="B980" s="36" t="str">
        <f>'[6]price list MAN'!B980</f>
        <v>TBATG002</v>
      </c>
      <c r="C980" s="10" t="str">
        <f>'[6]price list MAN'!C980</f>
        <v>TGS-26-4806X4BLS-LX-EL-ACC</v>
      </c>
      <c r="D980" s="16" t="str">
        <f>IFERROR(VLOOKUP(C980&amp;"",'[7]Retail Price List'!$A$3:$B$103,2,FALSE),"Special Order")</f>
        <v>TGS00002</v>
      </c>
      <c r="E980" s="494" t="str">
        <f>'[6]price list MAN'!E980</f>
        <v>CKD</v>
      </c>
      <c r="F980" s="11" t="str">
        <f>'[6]price list MAN'!F980</f>
        <v>2018-06-18</v>
      </c>
      <c r="G980" s="32">
        <f>'[6]price list MAN'!G980</f>
        <v>15.8</v>
      </c>
      <c r="H980" s="26">
        <f>'[6]price list MAN'!H980</f>
        <v>43159</v>
      </c>
      <c r="I980" s="51" t="str">
        <f t="shared" si="75"/>
        <v>2018Q1</v>
      </c>
      <c r="J980" s="177">
        <f>'[6]price list MAN'!J980</f>
        <v>1990000</v>
      </c>
      <c r="K980" s="177">
        <f>'[6]price list MAN'!P980</f>
        <v>1512000</v>
      </c>
      <c r="L980" s="177">
        <f>'[6]price list MAN'!R980</f>
        <v>1440000</v>
      </c>
      <c r="M980" s="174">
        <f>'[6]price list MAN'!S980</f>
        <v>2070000</v>
      </c>
      <c r="N980" s="174">
        <f>'[6]price list MAN'!Y980</f>
        <v>1596000</v>
      </c>
      <c r="O980" s="174">
        <f>'[6]price list MAN'!AA980</f>
        <v>1520000</v>
      </c>
      <c r="P980" s="68">
        <f t="shared" si="76"/>
        <v>0.26570048309178745</v>
      </c>
      <c r="Q980" s="62" t="e">
        <f>O980-#REF!</f>
        <v>#REF!</v>
      </c>
      <c r="W980" s="210"/>
      <c r="X980" s="210"/>
      <c r="Y980" s="210"/>
      <c r="Z980" s="210"/>
      <c r="AA980" s="210"/>
      <c r="AB980" s="210"/>
      <c r="AC980" s="210"/>
      <c r="AT980" s="425" t="str">
        <f t="shared" si="77"/>
        <v>TGS000022018Q115,8</v>
      </c>
      <c r="AU980" s="64" t="str">
        <f t="shared" si="78"/>
        <v>02-2018</v>
      </c>
      <c r="BA980" s="428" t="str">
        <f t="shared" si="79"/>
        <v>WIP - 30 Days</v>
      </c>
    </row>
    <row r="981" spans="2:53">
      <c r="B981" s="36">
        <f>'[6]price list MAN'!B981</f>
        <v>48899</v>
      </c>
      <c r="C981" s="10" t="str">
        <f>'[6]price list MAN'!C981</f>
        <v>TGS-27-4406X4BBS-L</v>
      </c>
      <c r="D981" s="16" t="str">
        <f>IFERROR(VLOOKUP(C981&amp;"",'[7]Retail Price List'!$A$3:$B$103,2,FALSE),"Special Order")</f>
        <v>KP000637</v>
      </c>
      <c r="E981" s="494" t="str">
        <f>'[6]price list MAN'!E981</f>
        <v>CKD</v>
      </c>
      <c r="F981" s="11" t="str">
        <f>'[6]price list MAN'!F981</f>
        <v>2018-05-30</v>
      </c>
      <c r="G981" s="32">
        <f>'[6]price list MAN'!G981</f>
        <v>15.9</v>
      </c>
      <c r="H981" s="26">
        <f>'[6]price list MAN'!H981</f>
        <v>43069</v>
      </c>
      <c r="I981" s="51" t="str">
        <f t="shared" si="75"/>
        <v>2017Q4</v>
      </c>
      <c r="J981" s="177">
        <f>'[6]price list MAN'!J981</f>
        <v>1690000</v>
      </c>
      <c r="K981" s="177">
        <f>'[6]price list MAN'!P981</f>
        <v>1344000</v>
      </c>
      <c r="L981" s="177">
        <f>'[6]price list MAN'!R981</f>
        <v>1280000</v>
      </c>
      <c r="M981" s="174">
        <f>'[6]price list MAN'!S981</f>
        <v>1745000</v>
      </c>
      <c r="N981" s="174">
        <f>'[6]price list MAN'!Y981</f>
        <v>1401750</v>
      </c>
      <c r="O981" s="174">
        <f>'[6]price list MAN'!AA981</f>
        <v>1335000</v>
      </c>
      <c r="P981" s="68">
        <f t="shared" si="76"/>
        <v>0.23495702005730659</v>
      </c>
      <c r="Q981" s="62" t="e">
        <f>O981-#REF!</f>
        <v>#REF!</v>
      </c>
      <c r="W981" s="210"/>
      <c r="X981" s="210"/>
      <c r="Y981" s="210"/>
      <c r="Z981" s="210"/>
      <c r="AA981" s="210"/>
      <c r="AB981" s="210"/>
      <c r="AC981" s="210"/>
      <c r="AT981" s="425" t="str">
        <f t="shared" si="77"/>
        <v>KP0006372017Q415,9</v>
      </c>
      <c r="AU981" s="64" t="str">
        <f t="shared" si="78"/>
        <v>11-2017</v>
      </c>
      <c r="BA981" s="428" t="str">
        <f t="shared" si="79"/>
        <v>WIP - 30 Days</v>
      </c>
    </row>
    <row r="982" spans="2:53">
      <c r="B982" s="36">
        <f>'[6]price list MAN'!B982</f>
        <v>48900</v>
      </c>
      <c r="C982" s="10" t="str">
        <f>'[6]price list MAN'!C982</f>
        <v>TGS-27-4406X4BBS-L</v>
      </c>
      <c r="D982" s="16" t="str">
        <f>IFERROR(VLOOKUP(C982&amp;"",'[7]Retail Price List'!$A$3:$B$103,2,FALSE),"Special Order")</f>
        <v>KP000637</v>
      </c>
      <c r="E982" s="494" t="str">
        <f>'[6]price list MAN'!E982</f>
        <v>CKD</v>
      </c>
      <c r="F982" s="11" t="str">
        <f>'[6]price list MAN'!F982</f>
        <v>2018-05-30</v>
      </c>
      <c r="G982" s="32">
        <f>'[6]price list MAN'!G982</f>
        <v>15.9</v>
      </c>
      <c r="H982" s="26">
        <f>'[6]price list MAN'!H982</f>
        <v>43069</v>
      </c>
      <c r="I982" s="51" t="str">
        <f t="shared" si="75"/>
        <v>2017Q4</v>
      </c>
      <c r="J982" s="177">
        <f>'[6]price list MAN'!J982</f>
        <v>1690000</v>
      </c>
      <c r="K982" s="177">
        <f>'[6]price list MAN'!P982</f>
        <v>1344000</v>
      </c>
      <c r="L982" s="177">
        <f>'[6]price list MAN'!R982</f>
        <v>1280000</v>
      </c>
      <c r="M982" s="174">
        <f>'[6]price list MAN'!S982</f>
        <v>1745000</v>
      </c>
      <c r="N982" s="174">
        <f>'[6]price list MAN'!Y982</f>
        <v>1401750</v>
      </c>
      <c r="O982" s="174">
        <f>'[6]price list MAN'!AA982</f>
        <v>1335000</v>
      </c>
      <c r="P982" s="68">
        <f t="shared" si="76"/>
        <v>0.23495702005730659</v>
      </c>
      <c r="Q982" s="62" t="e">
        <f>O982-#REF!</f>
        <v>#REF!</v>
      </c>
      <c r="W982" s="210"/>
      <c r="X982" s="210"/>
      <c r="Y982" s="210"/>
      <c r="Z982" s="210"/>
      <c r="AA982" s="210"/>
      <c r="AB982" s="210"/>
      <c r="AC982" s="210"/>
      <c r="AT982" s="425" t="str">
        <f t="shared" si="77"/>
        <v>KP0006372017Q415,9</v>
      </c>
      <c r="AU982" s="64" t="str">
        <f t="shared" si="78"/>
        <v>11-2017</v>
      </c>
      <c r="BA982" s="428" t="str">
        <f t="shared" si="79"/>
        <v>WIP - 30 Days</v>
      </c>
    </row>
    <row r="983" spans="2:53">
      <c r="B983" s="36">
        <f>'[6]price list MAN'!B983</f>
        <v>48901</v>
      </c>
      <c r="C983" s="10" t="str">
        <f>'[6]price list MAN'!C983</f>
        <v>TGS-27-4406X4BBS-L</v>
      </c>
      <c r="D983" s="16" t="str">
        <f>IFERROR(VLOOKUP(C983&amp;"",'[7]Retail Price List'!$A$3:$B$103,2,FALSE),"Special Order")</f>
        <v>KP000637</v>
      </c>
      <c r="E983" s="494" t="str">
        <f>'[6]price list MAN'!E983</f>
        <v>CKD</v>
      </c>
      <c r="F983" s="11" t="str">
        <f>'[6]price list MAN'!F983</f>
        <v>2018-05-30</v>
      </c>
      <c r="G983" s="32">
        <f>'[6]price list MAN'!G983</f>
        <v>15.9</v>
      </c>
      <c r="H983" s="26">
        <f>'[6]price list MAN'!H983</f>
        <v>43069</v>
      </c>
      <c r="I983" s="51" t="str">
        <f t="shared" si="75"/>
        <v>2017Q4</v>
      </c>
      <c r="J983" s="177">
        <f>'[6]price list MAN'!J983</f>
        <v>1690000</v>
      </c>
      <c r="K983" s="177">
        <f>'[6]price list MAN'!P983</f>
        <v>1344000</v>
      </c>
      <c r="L983" s="177">
        <f>'[6]price list MAN'!R983</f>
        <v>1280000</v>
      </c>
      <c r="M983" s="174">
        <f>'[6]price list MAN'!S983</f>
        <v>1745000</v>
      </c>
      <c r="N983" s="174">
        <f>'[6]price list MAN'!Y983</f>
        <v>1401750</v>
      </c>
      <c r="O983" s="174">
        <f>'[6]price list MAN'!AA983</f>
        <v>1335000</v>
      </c>
      <c r="P983" s="68">
        <f t="shared" si="76"/>
        <v>0.23495702005730659</v>
      </c>
      <c r="Q983" s="62" t="e">
        <f>O983-#REF!</f>
        <v>#REF!</v>
      </c>
      <c r="W983" s="210"/>
      <c r="X983" s="210"/>
      <c r="Y983" s="210"/>
      <c r="Z983" s="210"/>
      <c r="AA983" s="210"/>
      <c r="AB983" s="210"/>
      <c r="AC983" s="210"/>
      <c r="AT983" s="425" t="str">
        <f t="shared" si="77"/>
        <v>KP0006372017Q415,9</v>
      </c>
      <c r="AU983" s="64" t="str">
        <f t="shared" si="78"/>
        <v>11-2017</v>
      </c>
      <c r="BA983" s="428" t="str">
        <f t="shared" si="79"/>
        <v>WIP - 30 Days</v>
      </c>
    </row>
    <row r="984" spans="2:53">
      <c r="B984" s="36">
        <f>'[6]price list MAN'!B984</f>
        <v>48902</v>
      </c>
      <c r="C984" s="10" t="str">
        <f>'[6]price list MAN'!C984</f>
        <v>TGS-27-4406X4BBS-L</v>
      </c>
      <c r="D984" s="16" t="str">
        <f>IFERROR(VLOOKUP(C984&amp;"",'[7]Retail Price List'!$A$3:$B$103,2,FALSE),"Special Order")</f>
        <v>KP000637</v>
      </c>
      <c r="E984" s="494" t="str">
        <f>'[6]price list MAN'!E984</f>
        <v>CKD</v>
      </c>
      <c r="F984" s="11" t="str">
        <f>'[6]price list MAN'!F984</f>
        <v>2018-05-30</v>
      </c>
      <c r="G984" s="32">
        <f>'[6]price list MAN'!G984</f>
        <v>15.9</v>
      </c>
      <c r="H984" s="26">
        <f>'[6]price list MAN'!H984</f>
        <v>43069</v>
      </c>
      <c r="I984" s="51" t="str">
        <f t="shared" si="75"/>
        <v>2017Q4</v>
      </c>
      <c r="J984" s="177">
        <f>'[6]price list MAN'!J984</f>
        <v>1690000</v>
      </c>
      <c r="K984" s="177">
        <f>'[6]price list MAN'!P984</f>
        <v>1344000</v>
      </c>
      <c r="L984" s="177">
        <f>'[6]price list MAN'!R984</f>
        <v>1280000</v>
      </c>
      <c r="M984" s="174">
        <f>'[6]price list MAN'!S984</f>
        <v>1745000</v>
      </c>
      <c r="N984" s="174">
        <f>'[6]price list MAN'!Y984</f>
        <v>1401750</v>
      </c>
      <c r="O984" s="174">
        <f>'[6]price list MAN'!AA984</f>
        <v>1335000</v>
      </c>
      <c r="P984" s="68">
        <f t="shared" si="76"/>
        <v>0.23495702005730659</v>
      </c>
      <c r="Q984" s="62" t="e">
        <f>O984-#REF!</f>
        <v>#REF!</v>
      </c>
      <c r="W984" s="210"/>
      <c r="X984" s="210"/>
      <c r="Y984" s="210"/>
      <c r="Z984" s="210"/>
      <c r="AA984" s="210"/>
      <c r="AB984" s="210"/>
      <c r="AC984" s="210"/>
      <c r="AT984" s="425" t="str">
        <f t="shared" si="77"/>
        <v>KP0006372017Q415,9</v>
      </c>
      <c r="AU984" s="64" t="str">
        <f t="shared" si="78"/>
        <v>11-2017</v>
      </c>
      <c r="BA984" s="428" t="str">
        <f t="shared" si="79"/>
        <v>WIP - 30 Days</v>
      </c>
    </row>
    <row r="985" spans="2:53">
      <c r="B985" s="36">
        <f>'[6]price list MAN'!B985</f>
        <v>48903</v>
      </c>
      <c r="C985" s="10" t="str">
        <f>'[6]price list MAN'!C985</f>
        <v>TGS-27-4406X4BBS-L</v>
      </c>
      <c r="D985" s="16" t="str">
        <f>IFERROR(VLOOKUP(C985&amp;"",'[7]Retail Price List'!$A$3:$B$103,2,FALSE),"Special Order")</f>
        <v>KP000637</v>
      </c>
      <c r="E985" s="494" t="str">
        <f>'[6]price list MAN'!E985</f>
        <v>CKD</v>
      </c>
      <c r="F985" s="11" t="str">
        <f>'[6]price list MAN'!F985</f>
        <v>2018-05-30</v>
      </c>
      <c r="G985" s="32">
        <f>'[6]price list MAN'!G985</f>
        <v>15.9</v>
      </c>
      <c r="H985" s="26">
        <f>'[6]price list MAN'!H985</f>
        <v>43069</v>
      </c>
      <c r="I985" s="51" t="str">
        <f t="shared" si="75"/>
        <v>2017Q4</v>
      </c>
      <c r="J985" s="177">
        <f>'[6]price list MAN'!J985</f>
        <v>1690000</v>
      </c>
      <c r="K985" s="177">
        <f>'[6]price list MAN'!P985</f>
        <v>1344000</v>
      </c>
      <c r="L985" s="177">
        <f>'[6]price list MAN'!R985</f>
        <v>1280000</v>
      </c>
      <c r="M985" s="174">
        <f>'[6]price list MAN'!S985</f>
        <v>1745000</v>
      </c>
      <c r="N985" s="174">
        <f>'[6]price list MAN'!Y985</f>
        <v>1401750</v>
      </c>
      <c r="O985" s="174">
        <f>'[6]price list MAN'!AA985</f>
        <v>1335000</v>
      </c>
      <c r="P985" s="68">
        <f t="shared" si="76"/>
        <v>0.23495702005730659</v>
      </c>
      <c r="Q985" s="62" t="e">
        <f>O985-#REF!</f>
        <v>#REF!</v>
      </c>
      <c r="W985" s="210"/>
      <c r="X985" s="210"/>
      <c r="Y985" s="210"/>
      <c r="Z985" s="210"/>
      <c r="AA985" s="210"/>
      <c r="AB985" s="210"/>
      <c r="AC985" s="210"/>
      <c r="AT985" s="425" t="str">
        <f t="shared" si="77"/>
        <v>KP0006372017Q415,9</v>
      </c>
      <c r="AU985" s="64" t="str">
        <f t="shared" si="78"/>
        <v>11-2017</v>
      </c>
      <c r="BA985" s="428" t="str">
        <f t="shared" si="79"/>
        <v>WIP - 30 Days</v>
      </c>
    </row>
    <row r="986" spans="2:53">
      <c r="B986" s="36">
        <f>'[6]price list MAN'!B986</f>
        <v>48904</v>
      </c>
      <c r="C986" s="10" t="str">
        <f>'[6]price list MAN'!C986</f>
        <v>TGS-27-4406X4BBS-L</v>
      </c>
      <c r="D986" s="16" t="str">
        <f>IFERROR(VLOOKUP(C986&amp;"",'[7]Retail Price List'!$A$3:$B$103,2,FALSE),"Special Order")</f>
        <v>KP000637</v>
      </c>
      <c r="E986" s="494" t="str">
        <f>'[6]price list MAN'!E986</f>
        <v>CKD</v>
      </c>
      <c r="F986" s="11" t="str">
        <f>'[6]price list MAN'!F986</f>
        <v>2018-05-30</v>
      </c>
      <c r="G986" s="32">
        <f>'[6]price list MAN'!G986</f>
        <v>15.9</v>
      </c>
      <c r="H986" s="26">
        <f>'[6]price list MAN'!H986</f>
        <v>43069</v>
      </c>
      <c r="I986" s="51" t="str">
        <f t="shared" si="75"/>
        <v>2017Q4</v>
      </c>
      <c r="J986" s="177">
        <f>'[6]price list MAN'!J986</f>
        <v>1690000</v>
      </c>
      <c r="K986" s="177">
        <f>'[6]price list MAN'!P986</f>
        <v>1344000</v>
      </c>
      <c r="L986" s="177">
        <f>'[6]price list MAN'!R986</f>
        <v>1280000</v>
      </c>
      <c r="M986" s="174">
        <f>'[6]price list MAN'!S986</f>
        <v>1745000</v>
      </c>
      <c r="N986" s="174">
        <f>'[6]price list MAN'!Y986</f>
        <v>1401750</v>
      </c>
      <c r="O986" s="174">
        <f>'[6]price list MAN'!AA986</f>
        <v>1335000</v>
      </c>
      <c r="P986" s="68">
        <f t="shared" si="76"/>
        <v>0.23495702005730659</v>
      </c>
      <c r="Q986" s="62" t="e">
        <f>O986-#REF!</f>
        <v>#REF!</v>
      </c>
      <c r="W986" s="210"/>
      <c r="X986" s="210"/>
      <c r="Y986" s="210"/>
      <c r="Z986" s="210"/>
      <c r="AA986" s="210"/>
      <c r="AB986" s="210"/>
      <c r="AC986" s="210"/>
      <c r="AT986" s="425" t="str">
        <f t="shared" si="77"/>
        <v>KP0006372017Q415,9</v>
      </c>
      <c r="AU986" s="64" t="str">
        <f t="shared" si="78"/>
        <v>11-2017</v>
      </c>
      <c r="BA986" s="428" t="str">
        <f t="shared" si="79"/>
        <v>WIP - 30 Days</v>
      </c>
    </row>
    <row r="987" spans="2:53">
      <c r="B987" s="36">
        <f>'[6]price list MAN'!B987</f>
        <v>48905</v>
      </c>
      <c r="C987" s="10" t="str">
        <f>'[6]price list MAN'!C987</f>
        <v>TGS-27-4406X4BBS-L</v>
      </c>
      <c r="D987" s="16" t="str">
        <f>IFERROR(VLOOKUP(C987&amp;"",'[7]Retail Price List'!$A$3:$B$103,2,FALSE),"Special Order")</f>
        <v>KP000637</v>
      </c>
      <c r="E987" s="494" t="str">
        <f>'[6]price list MAN'!E987</f>
        <v>CKD</v>
      </c>
      <c r="F987" s="11" t="str">
        <f>'[6]price list MAN'!F987</f>
        <v>2018-05-30</v>
      </c>
      <c r="G987" s="32">
        <f>'[6]price list MAN'!G987</f>
        <v>15.9</v>
      </c>
      <c r="H987" s="26">
        <f>'[6]price list MAN'!H987</f>
        <v>43069</v>
      </c>
      <c r="I987" s="51" t="str">
        <f t="shared" si="75"/>
        <v>2017Q4</v>
      </c>
      <c r="J987" s="177">
        <f>'[6]price list MAN'!J987</f>
        <v>1690000</v>
      </c>
      <c r="K987" s="177">
        <f>'[6]price list MAN'!P987</f>
        <v>1344000</v>
      </c>
      <c r="L987" s="177">
        <f>'[6]price list MAN'!R987</f>
        <v>1280000</v>
      </c>
      <c r="M987" s="174">
        <f>'[6]price list MAN'!S987</f>
        <v>1745000</v>
      </c>
      <c r="N987" s="174">
        <f>'[6]price list MAN'!Y987</f>
        <v>1401750</v>
      </c>
      <c r="O987" s="174">
        <f>'[6]price list MAN'!AA987</f>
        <v>1335000</v>
      </c>
      <c r="P987" s="68">
        <f t="shared" si="76"/>
        <v>0.23495702005730659</v>
      </c>
      <c r="Q987" s="62" t="e">
        <f>O987-#REF!</f>
        <v>#REF!</v>
      </c>
      <c r="W987" s="210"/>
      <c r="X987" s="210"/>
      <c r="Y987" s="210"/>
      <c r="Z987" s="210"/>
      <c r="AA987" s="210"/>
      <c r="AB987" s="210"/>
      <c r="AC987" s="210"/>
      <c r="AT987" s="425" t="str">
        <f t="shared" si="77"/>
        <v>KP0006372017Q415,9</v>
      </c>
      <c r="AU987" s="64" t="str">
        <f t="shared" si="78"/>
        <v>11-2017</v>
      </c>
      <c r="BA987" s="428" t="str">
        <f t="shared" si="79"/>
        <v>WIP - 30 Days</v>
      </c>
    </row>
    <row r="988" spans="2:53">
      <c r="B988" s="36">
        <f>'[6]price list MAN'!B988</f>
        <v>48906</v>
      </c>
      <c r="C988" s="10" t="str">
        <f>'[6]price list MAN'!C988</f>
        <v>TGS-27-4406X4BBS-L</v>
      </c>
      <c r="D988" s="16" t="str">
        <f>IFERROR(VLOOKUP(C988&amp;"",'[7]Retail Price List'!$A$3:$B$103,2,FALSE),"Special Order")</f>
        <v>KP000637</v>
      </c>
      <c r="E988" s="494" t="str">
        <f>'[6]price list MAN'!E988</f>
        <v>CKD</v>
      </c>
      <c r="F988" s="11" t="str">
        <f>'[6]price list MAN'!F988</f>
        <v>2018-05-30</v>
      </c>
      <c r="G988" s="32">
        <f>'[6]price list MAN'!G988</f>
        <v>15.9</v>
      </c>
      <c r="H988" s="26">
        <f>'[6]price list MAN'!H988</f>
        <v>43069</v>
      </c>
      <c r="I988" s="51" t="str">
        <f t="shared" si="75"/>
        <v>2017Q4</v>
      </c>
      <c r="J988" s="177">
        <f>'[6]price list MAN'!J988</f>
        <v>1690000</v>
      </c>
      <c r="K988" s="177">
        <f>'[6]price list MAN'!P988</f>
        <v>1344000</v>
      </c>
      <c r="L988" s="177">
        <f>'[6]price list MAN'!R988</f>
        <v>1280000</v>
      </c>
      <c r="M988" s="174">
        <f>'[6]price list MAN'!S988</f>
        <v>1745000</v>
      </c>
      <c r="N988" s="174">
        <f>'[6]price list MAN'!Y988</f>
        <v>1401750</v>
      </c>
      <c r="O988" s="174">
        <f>'[6]price list MAN'!AA988</f>
        <v>1335000</v>
      </c>
      <c r="P988" s="68">
        <f t="shared" si="76"/>
        <v>0.23495702005730659</v>
      </c>
      <c r="Q988" s="62" t="e">
        <f>O988-#REF!</f>
        <v>#REF!</v>
      </c>
      <c r="W988" s="210"/>
      <c r="X988" s="210"/>
      <c r="Y988" s="210"/>
      <c r="Z988" s="210"/>
      <c r="AA988" s="210"/>
      <c r="AB988" s="210"/>
      <c r="AC988" s="210"/>
      <c r="AT988" s="425" t="str">
        <f t="shared" si="77"/>
        <v>KP0006372017Q415,9</v>
      </c>
      <c r="AU988" s="64" t="str">
        <f t="shared" si="78"/>
        <v>11-2017</v>
      </c>
      <c r="BA988" s="428" t="str">
        <f t="shared" si="79"/>
        <v>WIP - 30 Days</v>
      </c>
    </row>
    <row r="989" spans="2:53">
      <c r="B989" s="36">
        <f>'[6]price list MAN'!B989</f>
        <v>48947</v>
      </c>
      <c r="C989" s="10" t="str">
        <f>'[6]price list MAN'!C989</f>
        <v>TGS-27-4406X4BBS-L</v>
      </c>
      <c r="D989" s="16" t="str">
        <f>IFERROR(VLOOKUP(C989&amp;"",'[7]Retail Price List'!$A$3:$B$103,2,FALSE),"Special Order")</f>
        <v>KP000637</v>
      </c>
      <c r="E989" s="494" t="str">
        <f>'[6]price list MAN'!E989</f>
        <v>CKD</v>
      </c>
      <c r="F989" s="11" t="str">
        <f>'[6]price list MAN'!F989</f>
        <v>2018-05-30</v>
      </c>
      <c r="G989" s="32">
        <f>'[6]price list MAN'!G989</f>
        <v>15.9</v>
      </c>
      <c r="H989" s="26">
        <f>'[6]price list MAN'!H989</f>
        <v>43069</v>
      </c>
      <c r="I989" s="51" t="str">
        <f t="shared" si="75"/>
        <v>2017Q4</v>
      </c>
      <c r="J989" s="177">
        <f>'[6]price list MAN'!J989</f>
        <v>1690000</v>
      </c>
      <c r="K989" s="177">
        <f>'[6]price list MAN'!P989</f>
        <v>1344000</v>
      </c>
      <c r="L989" s="177">
        <f>'[6]price list MAN'!R989</f>
        <v>1280000</v>
      </c>
      <c r="M989" s="174">
        <f>'[6]price list MAN'!S989</f>
        <v>1745000</v>
      </c>
      <c r="N989" s="174">
        <f>'[6]price list MAN'!Y989</f>
        <v>1401750</v>
      </c>
      <c r="O989" s="174">
        <f>'[6]price list MAN'!AA989</f>
        <v>1335000</v>
      </c>
      <c r="P989" s="68">
        <f t="shared" si="76"/>
        <v>0.23495702005730659</v>
      </c>
      <c r="Q989" s="62" t="e">
        <f>O989-#REF!</f>
        <v>#REF!</v>
      </c>
      <c r="W989" s="210"/>
      <c r="X989" s="210"/>
      <c r="Y989" s="210"/>
      <c r="Z989" s="210"/>
      <c r="AA989" s="210"/>
      <c r="AB989" s="210"/>
      <c r="AC989" s="210"/>
      <c r="AT989" s="425" t="str">
        <f t="shared" si="77"/>
        <v>KP0006372017Q415,9</v>
      </c>
      <c r="AU989" s="64" t="str">
        <f t="shared" si="78"/>
        <v>11-2017</v>
      </c>
      <c r="BA989" s="428" t="str">
        <f t="shared" si="79"/>
        <v>WIP - 30 Days</v>
      </c>
    </row>
    <row r="990" spans="2:53">
      <c r="B990" s="36">
        <f>'[6]price list MAN'!B990</f>
        <v>48948</v>
      </c>
      <c r="C990" s="10" t="str">
        <f>'[6]price list MAN'!C990</f>
        <v>TGS-27-4406X4BBS-L</v>
      </c>
      <c r="D990" s="16" t="str">
        <f>IFERROR(VLOOKUP(C990&amp;"",'[7]Retail Price List'!$A$3:$B$103,2,FALSE),"Special Order")</f>
        <v>KP000637</v>
      </c>
      <c r="E990" s="494" t="str">
        <f>'[6]price list MAN'!E990</f>
        <v>CKD</v>
      </c>
      <c r="F990" s="11" t="str">
        <f>'[6]price list MAN'!F990</f>
        <v>2018-05-30</v>
      </c>
      <c r="G990" s="32">
        <f>'[6]price list MAN'!G990</f>
        <v>15.9</v>
      </c>
      <c r="H990" s="26">
        <f>'[6]price list MAN'!H990</f>
        <v>43069</v>
      </c>
      <c r="I990" s="51" t="str">
        <f t="shared" si="75"/>
        <v>2017Q4</v>
      </c>
      <c r="J990" s="177">
        <f>'[6]price list MAN'!J990</f>
        <v>1690000</v>
      </c>
      <c r="K990" s="177">
        <f>'[6]price list MAN'!P990</f>
        <v>1344000</v>
      </c>
      <c r="L990" s="177">
        <f>'[6]price list MAN'!R990</f>
        <v>1280000</v>
      </c>
      <c r="M990" s="174">
        <f>'[6]price list MAN'!S990</f>
        <v>1745000</v>
      </c>
      <c r="N990" s="174">
        <f>'[6]price list MAN'!Y990</f>
        <v>1401750</v>
      </c>
      <c r="O990" s="174">
        <f>'[6]price list MAN'!AA990</f>
        <v>1335000</v>
      </c>
      <c r="P990" s="68">
        <f t="shared" si="76"/>
        <v>0.23495702005730659</v>
      </c>
      <c r="Q990" s="62" t="e">
        <f>O990-#REF!</f>
        <v>#REF!</v>
      </c>
      <c r="W990" s="210"/>
      <c r="X990" s="210"/>
      <c r="Y990" s="210"/>
      <c r="Z990" s="210"/>
      <c r="AA990" s="210"/>
      <c r="AB990" s="210"/>
      <c r="AC990" s="210"/>
      <c r="AT990" s="425" t="str">
        <f t="shared" si="77"/>
        <v>KP0006372017Q415,9</v>
      </c>
      <c r="AU990" s="64" t="str">
        <f t="shared" si="78"/>
        <v>11-2017</v>
      </c>
      <c r="BA990" s="428" t="str">
        <f t="shared" si="79"/>
        <v>WIP - 30 Days</v>
      </c>
    </row>
    <row r="991" spans="2:53">
      <c r="B991" s="36">
        <f>'[6]price list MAN'!B991</f>
        <v>48949</v>
      </c>
      <c r="C991" s="10" t="str">
        <f>'[6]price list MAN'!C991</f>
        <v>TGS-27-4406X4BBS-L</v>
      </c>
      <c r="D991" s="16" t="str">
        <f>IFERROR(VLOOKUP(C991&amp;"",'[7]Retail Price List'!$A$3:$B$103,2,FALSE),"Special Order")</f>
        <v>KP000637</v>
      </c>
      <c r="E991" s="494" t="str">
        <f>'[6]price list MAN'!E991</f>
        <v>CKD</v>
      </c>
      <c r="F991" s="11" t="str">
        <f>'[6]price list MAN'!F991</f>
        <v>2018-05-30</v>
      </c>
      <c r="G991" s="32">
        <f>'[6]price list MAN'!G991</f>
        <v>15.9</v>
      </c>
      <c r="H991" s="26">
        <f>'[6]price list MAN'!H991</f>
        <v>43069</v>
      </c>
      <c r="I991" s="51" t="str">
        <f t="shared" si="75"/>
        <v>2017Q4</v>
      </c>
      <c r="J991" s="177">
        <f>'[6]price list MAN'!J991</f>
        <v>1690000</v>
      </c>
      <c r="K991" s="177">
        <f>'[6]price list MAN'!P991</f>
        <v>1344000</v>
      </c>
      <c r="L991" s="177">
        <f>'[6]price list MAN'!R991</f>
        <v>1280000</v>
      </c>
      <c r="M991" s="174">
        <f>'[6]price list MAN'!S991</f>
        <v>1745000</v>
      </c>
      <c r="N991" s="174">
        <f>'[6]price list MAN'!Y991</f>
        <v>1401750</v>
      </c>
      <c r="O991" s="174">
        <f>'[6]price list MAN'!AA991</f>
        <v>1335000</v>
      </c>
      <c r="P991" s="68">
        <f t="shared" si="76"/>
        <v>0.23495702005730659</v>
      </c>
      <c r="Q991" s="62" t="e">
        <f>O991-#REF!</f>
        <v>#REF!</v>
      </c>
      <c r="W991" s="210"/>
      <c r="X991" s="210"/>
      <c r="Y991" s="210"/>
      <c r="Z991" s="210"/>
      <c r="AA991" s="210"/>
      <c r="AB991" s="210"/>
      <c r="AC991" s="210"/>
      <c r="AT991" s="425" t="str">
        <f t="shared" si="77"/>
        <v>KP0006372017Q415,9</v>
      </c>
      <c r="AU991" s="64" t="str">
        <f t="shared" si="78"/>
        <v>11-2017</v>
      </c>
      <c r="BA991" s="428" t="str">
        <f t="shared" si="79"/>
        <v>WIP - 30 Days</v>
      </c>
    </row>
    <row r="992" spans="2:53">
      <c r="B992" s="36">
        <f>'[6]price list MAN'!B992</f>
        <v>48950</v>
      </c>
      <c r="C992" s="10" t="str">
        <f>'[6]price list MAN'!C992</f>
        <v>TGS-27-4406X4BBS-L</v>
      </c>
      <c r="D992" s="16" t="str">
        <f>IFERROR(VLOOKUP(C992&amp;"",'[7]Retail Price List'!$A$3:$B$103,2,FALSE),"Special Order")</f>
        <v>KP000637</v>
      </c>
      <c r="E992" s="494" t="str">
        <f>'[6]price list MAN'!E992</f>
        <v>CKD</v>
      </c>
      <c r="F992" s="11" t="str">
        <f>'[6]price list MAN'!F992</f>
        <v>2018-05-30</v>
      </c>
      <c r="G992" s="32">
        <f>'[6]price list MAN'!G992</f>
        <v>15.9</v>
      </c>
      <c r="H992" s="26">
        <f>'[6]price list MAN'!H992</f>
        <v>43069</v>
      </c>
      <c r="I992" s="51" t="str">
        <f t="shared" si="75"/>
        <v>2017Q4</v>
      </c>
      <c r="J992" s="177">
        <f>'[6]price list MAN'!J992</f>
        <v>1690000</v>
      </c>
      <c r="K992" s="177">
        <f>'[6]price list MAN'!P992</f>
        <v>1344000</v>
      </c>
      <c r="L992" s="177">
        <f>'[6]price list MAN'!R992</f>
        <v>1280000</v>
      </c>
      <c r="M992" s="174">
        <f>'[6]price list MAN'!S992</f>
        <v>1745000</v>
      </c>
      <c r="N992" s="174">
        <f>'[6]price list MAN'!Y992</f>
        <v>1401750</v>
      </c>
      <c r="O992" s="174">
        <f>'[6]price list MAN'!AA992</f>
        <v>1335000</v>
      </c>
      <c r="P992" s="68">
        <f t="shared" si="76"/>
        <v>0.23495702005730659</v>
      </c>
      <c r="Q992" s="62" t="e">
        <f>O992-#REF!</f>
        <v>#REF!</v>
      </c>
      <c r="W992" s="210"/>
      <c r="X992" s="210"/>
      <c r="Y992" s="210"/>
      <c r="Z992" s="210"/>
      <c r="AA992" s="210"/>
      <c r="AB992" s="210"/>
      <c r="AC992" s="210"/>
      <c r="AT992" s="425" t="str">
        <f t="shared" si="77"/>
        <v>KP0006372017Q415,9</v>
      </c>
      <c r="AU992" s="64" t="str">
        <f t="shared" si="78"/>
        <v>11-2017</v>
      </c>
      <c r="BA992" s="428" t="str">
        <f t="shared" si="79"/>
        <v>WIP - 30 Days</v>
      </c>
    </row>
    <row r="993" spans="2:53">
      <c r="B993" s="36">
        <f>'[6]price list MAN'!B993</f>
        <v>48951</v>
      </c>
      <c r="C993" s="10" t="str">
        <f>'[6]price list MAN'!C993</f>
        <v>TGS-27-4406X4BBS-L</v>
      </c>
      <c r="D993" s="16" t="str">
        <f>IFERROR(VLOOKUP(C993&amp;"",'[7]Retail Price List'!$A$3:$B$103,2,FALSE),"Special Order")</f>
        <v>KP000637</v>
      </c>
      <c r="E993" s="494" t="str">
        <f>'[6]price list MAN'!E993</f>
        <v>CKD</v>
      </c>
      <c r="F993" s="11" t="str">
        <f>'[6]price list MAN'!F993</f>
        <v>2018-06-30</v>
      </c>
      <c r="G993" s="32">
        <f>'[6]price list MAN'!G993</f>
        <v>15.9</v>
      </c>
      <c r="H993" s="26">
        <f>'[6]price list MAN'!H993</f>
        <v>43069</v>
      </c>
      <c r="I993" s="51" t="str">
        <f t="shared" si="75"/>
        <v>2017Q4</v>
      </c>
      <c r="J993" s="177">
        <f>'[6]price list MAN'!J993</f>
        <v>1690000</v>
      </c>
      <c r="K993" s="177">
        <f>'[6]price list MAN'!P993</f>
        <v>1344000</v>
      </c>
      <c r="L993" s="177">
        <f>'[6]price list MAN'!R993</f>
        <v>1280000</v>
      </c>
      <c r="M993" s="174">
        <f>'[6]price list MAN'!S993</f>
        <v>1745000</v>
      </c>
      <c r="N993" s="174">
        <f>'[6]price list MAN'!Y993</f>
        <v>1401750</v>
      </c>
      <c r="O993" s="174">
        <f>'[6]price list MAN'!AA993</f>
        <v>1335000</v>
      </c>
      <c r="P993" s="68">
        <f t="shared" si="76"/>
        <v>0.23495702005730659</v>
      </c>
      <c r="Q993" s="62" t="e">
        <f>O993-#REF!</f>
        <v>#REF!</v>
      </c>
      <c r="W993" s="210"/>
      <c r="X993" s="210"/>
      <c r="Y993" s="210"/>
      <c r="Z993" s="210"/>
      <c r="AA993" s="210"/>
      <c r="AB993" s="210"/>
      <c r="AC993" s="210"/>
      <c r="AT993" s="425" t="str">
        <f t="shared" si="77"/>
        <v>KP0006372017Q415,9</v>
      </c>
      <c r="AU993" s="64" t="str">
        <f t="shared" si="78"/>
        <v>11-2017</v>
      </c>
      <c r="BA993" s="428" t="str">
        <f t="shared" si="79"/>
        <v>WIP - 30 Days</v>
      </c>
    </row>
    <row r="994" spans="2:53">
      <c r="B994" s="36">
        <f>'[6]price list MAN'!B994</f>
        <v>48952</v>
      </c>
      <c r="C994" s="10" t="str">
        <f>'[6]price list MAN'!C994</f>
        <v>TGS-27-4406X4BBS-L</v>
      </c>
      <c r="D994" s="16" t="str">
        <f>IFERROR(VLOOKUP(C994&amp;"",'[7]Retail Price List'!$A$3:$B$103,2,FALSE),"Special Order")</f>
        <v>KP000637</v>
      </c>
      <c r="E994" s="494" t="str">
        <f>'[6]price list MAN'!E994</f>
        <v>CKD</v>
      </c>
      <c r="F994" s="11" t="str">
        <f>'[6]price list MAN'!F994</f>
        <v>2018-06-30</v>
      </c>
      <c r="G994" s="32">
        <f>'[6]price list MAN'!G994</f>
        <v>15.9</v>
      </c>
      <c r="H994" s="26">
        <f>'[6]price list MAN'!H994</f>
        <v>43069</v>
      </c>
      <c r="I994" s="51" t="str">
        <f t="shared" si="75"/>
        <v>2017Q4</v>
      </c>
      <c r="J994" s="177">
        <f>'[6]price list MAN'!J994</f>
        <v>1690000</v>
      </c>
      <c r="K994" s="177">
        <f>'[6]price list MAN'!P994</f>
        <v>1344000</v>
      </c>
      <c r="L994" s="177">
        <f>'[6]price list MAN'!R994</f>
        <v>1280000</v>
      </c>
      <c r="M994" s="174">
        <f>'[6]price list MAN'!S994</f>
        <v>1745000</v>
      </c>
      <c r="N994" s="174">
        <f>'[6]price list MAN'!Y994</f>
        <v>1401750</v>
      </c>
      <c r="O994" s="174">
        <f>'[6]price list MAN'!AA994</f>
        <v>1335000</v>
      </c>
      <c r="P994" s="68">
        <f t="shared" si="76"/>
        <v>0.23495702005730659</v>
      </c>
      <c r="Q994" s="62" t="e">
        <f>O994-#REF!</f>
        <v>#REF!</v>
      </c>
      <c r="W994" s="210"/>
      <c r="X994" s="210"/>
      <c r="Y994" s="210"/>
      <c r="Z994" s="210"/>
      <c r="AA994" s="210"/>
      <c r="AB994" s="210"/>
      <c r="AC994" s="210"/>
      <c r="AT994" s="425" t="str">
        <f t="shared" si="77"/>
        <v>KP0006372017Q415,9</v>
      </c>
      <c r="AU994" s="64" t="str">
        <f t="shared" si="78"/>
        <v>11-2017</v>
      </c>
      <c r="BA994" s="428" t="str">
        <f t="shared" si="79"/>
        <v>WIP - 30 Days</v>
      </c>
    </row>
    <row r="995" spans="2:53">
      <c r="B995" s="36">
        <f>'[6]price list MAN'!B995</f>
        <v>48953</v>
      </c>
      <c r="C995" s="10" t="str">
        <f>'[6]price list MAN'!C995</f>
        <v>TGS-27-4406X4BBS-L</v>
      </c>
      <c r="D995" s="16" t="str">
        <f>IFERROR(VLOOKUP(C995&amp;"",'[7]Retail Price List'!$A$3:$B$103,2,FALSE),"Special Order")</f>
        <v>KP000637</v>
      </c>
      <c r="E995" s="494" t="str">
        <f>'[6]price list MAN'!E995</f>
        <v>CKD</v>
      </c>
      <c r="F995" s="11" t="str">
        <f>'[6]price list MAN'!F995</f>
        <v>2018-06-30</v>
      </c>
      <c r="G995" s="32">
        <f>'[6]price list MAN'!G995</f>
        <v>15.9</v>
      </c>
      <c r="H995" s="26">
        <f>'[6]price list MAN'!H995</f>
        <v>43069</v>
      </c>
      <c r="I995" s="51" t="str">
        <f t="shared" si="75"/>
        <v>2017Q4</v>
      </c>
      <c r="J995" s="177">
        <f>'[6]price list MAN'!J995</f>
        <v>1690000</v>
      </c>
      <c r="K995" s="177">
        <f>'[6]price list MAN'!P995</f>
        <v>1323000</v>
      </c>
      <c r="L995" s="177">
        <f>'[6]price list MAN'!R995</f>
        <v>1260000</v>
      </c>
      <c r="M995" s="174">
        <f>'[6]price list MAN'!S995</f>
        <v>1745000</v>
      </c>
      <c r="N995" s="174">
        <f>'[6]price list MAN'!Y995</f>
        <v>1380750</v>
      </c>
      <c r="O995" s="174">
        <f>'[6]price list MAN'!AA995</f>
        <v>1315000</v>
      </c>
      <c r="P995" s="68">
        <f t="shared" si="76"/>
        <v>0.24641833810888253</v>
      </c>
      <c r="Q995" s="62" t="e">
        <f>O995-#REF!</f>
        <v>#REF!</v>
      </c>
      <c r="W995" s="210"/>
      <c r="X995" s="210"/>
      <c r="Y995" s="210"/>
      <c r="Z995" s="210"/>
      <c r="AA995" s="210"/>
      <c r="AB995" s="210"/>
      <c r="AC995" s="210"/>
      <c r="AT995" s="425" t="str">
        <f t="shared" si="77"/>
        <v>KP0006372017Q415,9</v>
      </c>
      <c r="AU995" s="64" t="str">
        <f t="shared" si="78"/>
        <v>11-2017</v>
      </c>
      <c r="BA995" s="428" t="str">
        <f t="shared" si="79"/>
        <v>WIP - 30 Days</v>
      </c>
    </row>
    <row r="996" spans="2:53">
      <c r="B996" s="36">
        <f>'[6]price list MAN'!B996</f>
        <v>48954</v>
      </c>
      <c r="C996" s="10" t="str">
        <f>'[6]price list MAN'!C996</f>
        <v>TGS-27-4406X4BBS-L</v>
      </c>
      <c r="D996" s="16" t="str">
        <f>IFERROR(VLOOKUP(C996&amp;"",'[7]Retail Price List'!$A$3:$B$103,2,FALSE),"Special Order")</f>
        <v>KP000637</v>
      </c>
      <c r="E996" s="494" t="str">
        <f>'[6]price list MAN'!E996</f>
        <v>CKD</v>
      </c>
      <c r="F996" s="11" t="str">
        <f>'[6]price list MAN'!F996</f>
        <v>2018-06-30</v>
      </c>
      <c r="G996" s="32">
        <f>'[6]price list MAN'!G996</f>
        <v>15.9</v>
      </c>
      <c r="H996" s="26">
        <f>'[6]price list MAN'!H996</f>
        <v>43069</v>
      </c>
      <c r="I996" s="51" t="str">
        <f t="shared" si="75"/>
        <v>2017Q4</v>
      </c>
      <c r="J996" s="177">
        <f>'[6]price list MAN'!J996</f>
        <v>1690000</v>
      </c>
      <c r="K996" s="177">
        <f>'[6]price list MAN'!P996</f>
        <v>1323000</v>
      </c>
      <c r="L996" s="177">
        <f>'[6]price list MAN'!R996</f>
        <v>1260000</v>
      </c>
      <c r="M996" s="174">
        <f>'[6]price list MAN'!S996</f>
        <v>1745000</v>
      </c>
      <c r="N996" s="174">
        <f>'[6]price list MAN'!Y996</f>
        <v>1380750</v>
      </c>
      <c r="O996" s="174">
        <f>'[6]price list MAN'!AA996</f>
        <v>1315000</v>
      </c>
      <c r="P996" s="68">
        <f t="shared" si="76"/>
        <v>0.24641833810888253</v>
      </c>
      <c r="Q996" s="62" t="e">
        <f>O996-#REF!</f>
        <v>#REF!</v>
      </c>
      <c r="W996" s="210"/>
      <c r="X996" s="210"/>
      <c r="Y996" s="210"/>
      <c r="Z996" s="210"/>
      <c r="AA996" s="210"/>
      <c r="AB996" s="210"/>
      <c r="AC996" s="210"/>
      <c r="AT996" s="425" t="str">
        <f t="shared" si="77"/>
        <v>KP0006372017Q415,9</v>
      </c>
      <c r="AU996" s="64" t="str">
        <f t="shared" si="78"/>
        <v>11-2017</v>
      </c>
      <c r="BA996" s="428" t="str">
        <f t="shared" si="79"/>
        <v>WIP - 30 Days</v>
      </c>
    </row>
    <row r="997" spans="2:53">
      <c r="B997" s="36">
        <f>'[6]price list MAN'!B997</f>
        <v>48955</v>
      </c>
      <c r="C997" s="10" t="str">
        <f>'[6]price list MAN'!C997</f>
        <v>TGS-27-4406X4BBS-L</v>
      </c>
      <c r="D997" s="16" t="str">
        <f>IFERROR(VLOOKUP(C997&amp;"",'[7]Retail Price List'!$A$3:$B$103,2,FALSE),"Special Order")</f>
        <v>KP000637</v>
      </c>
      <c r="E997" s="494" t="str">
        <f>'[6]price list MAN'!E997</f>
        <v>CKD</v>
      </c>
      <c r="F997" s="11" t="str">
        <f>'[6]price list MAN'!F997</f>
        <v>2018-04-30</v>
      </c>
      <c r="G997" s="32">
        <f>'[6]price list MAN'!G997</f>
        <v>15.9</v>
      </c>
      <c r="H997" s="26">
        <f>'[6]price list MAN'!H997</f>
        <v>43069</v>
      </c>
      <c r="I997" s="51" t="str">
        <f t="shared" si="75"/>
        <v>2017Q4</v>
      </c>
      <c r="J997" s="177">
        <f>'[6]price list MAN'!J997</f>
        <v>1690000</v>
      </c>
      <c r="K997" s="177">
        <f>'[6]price list MAN'!P997</f>
        <v>1323000</v>
      </c>
      <c r="L997" s="177">
        <f>'[6]price list MAN'!R997</f>
        <v>1260000</v>
      </c>
      <c r="M997" s="174">
        <f>'[6]price list MAN'!S997</f>
        <v>1745000</v>
      </c>
      <c r="N997" s="174">
        <f>'[6]price list MAN'!Y997</f>
        <v>1380750</v>
      </c>
      <c r="O997" s="174">
        <f>'[6]price list MAN'!AA997</f>
        <v>1315000</v>
      </c>
      <c r="P997" s="68">
        <f t="shared" si="76"/>
        <v>0.24641833810888253</v>
      </c>
      <c r="Q997" s="62" t="e">
        <f>O997-#REF!</f>
        <v>#REF!</v>
      </c>
      <c r="W997" s="210"/>
      <c r="X997" s="210"/>
      <c r="Y997" s="210"/>
      <c r="Z997" s="210"/>
      <c r="AA997" s="210"/>
      <c r="AB997" s="210"/>
      <c r="AC997" s="210"/>
      <c r="AT997" s="425" t="str">
        <f t="shared" si="77"/>
        <v>KP0006372017Q415,9</v>
      </c>
      <c r="AU997" s="64" t="str">
        <f t="shared" si="78"/>
        <v>11-2017</v>
      </c>
      <c r="BA997" s="428" t="str">
        <f t="shared" si="79"/>
        <v>WIP - 30 Days</v>
      </c>
    </row>
    <row r="998" spans="2:53">
      <c r="B998" s="36">
        <f>'[6]price list MAN'!B998</f>
        <v>48956</v>
      </c>
      <c r="C998" s="10" t="str">
        <f>'[6]price list MAN'!C998</f>
        <v>TGS-27-4406X4BBS-L</v>
      </c>
      <c r="D998" s="16" t="str">
        <f>IFERROR(VLOOKUP(C998&amp;"",'[7]Retail Price List'!$A$3:$B$103,2,FALSE),"Special Order")</f>
        <v>KP000637</v>
      </c>
      <c r="E998" s="494" t="str">
        <f>'[6]price list MAN'!E998</f>
        <v>CKD</v>
      </c>
      <c r="F998" s="11" t="str">
        <f>'[6]price list MAN'!F998</f>
        <v>2018-04-30</v>
      </c>
      <c r="G998" s="32">
        <f>'[6]price list MAN'!G998</f>
        <v>15.9</v>
      </c>
      <c r="H998" s="26">
        <f>'[6]price list MAN'!H998</f>
        <v>43069</v>
      </c>
      <c r="I998" s="51" t="str">
        <f t="shared" si="75"/>
        <v>2017Q4</v>
      </c>
      <c r="J998" s="177">
        <f>'[6]price list MAN'!J998</f>
        <v>1690000</v>
      </c>
      <c r="K998" s="177">
        <f>'[6]price list MAN'!P998</f>
        <v>1323000</v>
      </c>
      <c r="L998" s="177">
        <f>'[6]price list MAN'!R998</f>
        <v>1260000</v>
      </c>
      <c r="M998" s="174">
        <f>'[6]price list MAN'!S998</f>
        <v>1745000</v>
      </c>
      <c r="N998" s="174">
        <f>'[6]price list MAN'!Y998</f>
        <v>1380750</v>
      </c>
      <c r="O998" s="174">
        <f>'[6]price list MAN'!AA998</f>
        <v>1315000</v>
      </c>
      <c r="P998" s="68">
        <f t="shared" si="76"/>
        <v>0.24641833810888253</v>
      </c>
      <c r="Q998" s="62" t="e">
        <f>O998-#REF!</f>
        <v>#REF!</v>
      </c>
      <c r="W998" s="210"/>
      <c r="X998" s="210"/>
      <c r="Y998" s="210"/>
      <c r="Z998" s="210"/>
      <c r="AA998" s="210"/>
      <c r="AB998" s="210"/>
      <c r="AC998" s="210"/>
      <c r="AT998" s="425" t="str">
        <f t="shared" si="77"/>
        <v>KP0006372017Q415,9</v>
      </c>
      <c r="AU998" s="64" t="str">
        <f t="shared" si="78"/>
        <v>11-2017</v>
      </c>
      <c r="BA998" s="428" t="str">
        <f t="shared" si="79"/>
        <v>WIP - 30 Days</v>
      </c>
    </row>
    <row r="999" spans="2:53">
      <c r="B999" s="36">
        <f>'[6]price list MAN'!B999</f>
        <v>48957</v>
      </c>
      <c r="C999" s="10" t="str">
        <f>'[6]price list MAN'!C999</f>
        <v>TGS-27-4406X4BBS-L</v>
      </c>
      <c r="D999" s="16" t="str">
        <f>IFERROR(VLOOKUP(C999&amp;"",'[7]Retail Price List'!$A$3:$B$103,2,FALSE),"Special Order")</f>
        <v>KP000637</v>
      </c>
      <c r="E999" s="494" t="str">
        <f>'[6]price list MAN'!E999</f>
        <v>CKD</v>
      </c>
      <c r="F999" s="11" t="str">
        <f>'[6]price list MAN'!F999</f>
        <v>2018-04-30</v>
      </c>
      <c r="G999" s="32">
        <f>'[6]price list MAN'!G999</f>
        <v>15.9</v>
      </c>
      <c r="H999" s="26">
        <f>'[6]price list MAN'!H999</f>
        <v>43069</v>
      </c>
      <c r="I999" s="51" t="str">
        <f t="shared" si="75"/>
        <v>2017Q4</v>
      </c>
      <c r="J999" s="177">
        <f>'[6]price list MAN'!J999</f>
        <v>1690000</v>
      </c>
      <c r="K999" s="177">
        <f>'[6]price list MAN'!P999</f>
        <v>1323000</v>
      </c>
      <c r="L999" s="177">
        <f>'[6]price list MAN'!R999</f>
        <v>1260000</v>
      </c>
      <c r="M999" s="174">
        <f>'[6]price list MAN'!S999</f>
        <v>1745000</v>
      </c>
      <c r="N999" s="174">
        <f>'[6]price list MAN'!Y999</f>
        <v>1380750</v>
      </c>
      <c r="O999" s="174">
        <f>'[6]price list MAN'!AA999</f>
        <v>1315000</v>
      </c>
      <c r="P999" s="68">
        <f t="shared" si="76"/>
        <v>0.24641833810888253</v>
      </c>
      <c r="Q999" s="62" t="e">
        <f>O999-#REF!</f>
        <v>#REF!</v>
      </c>
      <c r="W999" s="210"/>
      <c r="X999" s="210"/>
      <c r="Y999" s="210"/>
      <c r="Z999" s="210"/>
      <c r="AA999" s="210"/>
      <c r="AB999" s="210"/>
      <c r="AC999" s="210"/>
      <c r="AT999" s="425" t="str">
        <f t="shared" si="77"/>
        <v>KP0006372017Q415,9</v>
      </c>
      <c r="AU999" s="64" t="str">
        <f t="shared" si="78"/>
        <v>11-2017</v>
      </c>
      <c r="BA999" s="428" t="str">
        <f t="shared" si="79"/>
        <v>WIP - 30 Days</v>
      </c>
    </row>
    <row r="1000" spans="2:53">
      <c r="B1000" s="36">
        <f>'[6]price list MAN'!B1000</f>
        <v>48958</v>
      </c>
      <c r="C1000" s="10" t="str">
        <f>'[6]price list MAN'!C1000</f>
        <v>TGS-27-4406X4BBS-L</v>
      </c>
      <c r="D1000" s="16" t="str">
        <f>IFERROR(VLOOKUP(C1000&amp;"",'[7]Retail Price List'!$A$3:$B$103,2,FALSE),"Special Order")</f>
        <v>KP000637</v>
      </c>
      <c r="E1000" s="494" t="str">
        <f>'[6]price list MAN'!E1000</f>
        <v>CKD</v>
      </c>
      <c r="F1000" s="11" t="str">
        <f>'[6]price list MAN'!F1000</f>
        <v>2018-04-30</v>
      </c>
      <c r="G1000" s="32">
        <f>'[6]price list MAN'!G1000</f>
        <v>15.9</v>
      </c>
      <c r="H1000" s="26">
        <f>'[6]price list MAN'!H1000</f>
        <v>43069</v>
      </c>
      <c r="I1000" s="51" t="str">
        <f t="shared" si="75"/>
        <v>2017Q4</v>
      </c>
      <c r="J1000" s="177">
        <f>'[6]price list MAN'!J1000</f>
        <v>1690000</v>
      </c>
      <c r="K1000" s="177">
        <f>'[6]price list MAN'!P1000</f>
        <v>1323000</v>
      </c>
      <c r="L1000" s="177">
        <f>'[6]price list MAN'!R1000</f>
        <v>1260000</v>
      </c>
      <c r="M1000" s="174">
        <f>'[6]price list MAN'!S1000</f>
        <v>1745000</v>
      </c>
      <c r="N1000" s="174">
        <f>'[6]price list MAN'!Y1000</f>
        <v>1380750</v>
      </c>
      <c r="O1000" s="174">
        <f>'[6]price list MAN'!AA1000</f>
        <v>1315000</v>
      </c>
      <c r="P1000" s="68">
        <f t="shared" si="76"/>
        <v>0.24641833810888253</v>
      </c>
      <c r="Q1000" s="62" t="e">
        <f>O1000-#REF!</f>
        <v>#REF!</v>
      </c>
      <c r="W1000" s="210"/>
      <c r="X1000" s="210"/>
      <c r="Y1000" s="210"/>
      <c r="Z1000" s="210"/>
      <c r="AA1000" s="210"/>
      <c r="AB1000" s="210"/>
      <c r="AC1000" s="210"/>
      <c r="AT1000" s="425" t="str">
        <f t="shared" si="77"/>
        <v>KP0006372017Q415,9</v>
      </c>
      <c r="AU1000" s="64" t="str">
        <f t="shared" si="78"/>
        <v>11-2017</v>
      </c>
      <c r="BA1000" s="428" t="str">
        <f t="shared" si="79"/>
        <v>WIP - 30 Days</v>
      </c>
    </row>
    <row r="1001" spans="2:53">
      <c r="B1001" s="36" t="str">
        <f>'[6]price list MAN'!B1001</f>
        <v>76W-9644</v>
      </c>
      <c r="C1001" s="10" t="str">
        <f>'[6]price list MAN'!C1001</f>
        <v>TGS-27-4406X4BBS-L</v>
      </c>
      <c r="D1001" s="16" t="str">
        <f>IFERROR(VLOOKUP(C1001&amp;"",'[7]Retail Price List'!$A$3:$B$103,2,FALSE),"Special Order")</f>
        <v>KP000637</v>
      </c>
      <c r="E1001" s="494" t="str">
        <f>'[6]price list MAN'!E1001</f>
        <v>CKD</v>
      </c>
      <c r="F1001" s="11" t="str">
        <f>'[6]price list MAN'!F1001</f>
        <v>2018-02-28</v>
      </c>
      <c r="G1001" s="32">
        <f>'[6]price list MAN'!G1001</f>
        <v>14.7</v>
      </c>
      <c r="H1001" s="26">
        <f>'[6]price list MAN'!H1001</f>
        <v>42947</v>
      </c>
      <c r="I1001" s="51" t="str">
        <f t="shared" si="75"/>
        <v>201707Q3</v>
      </c>
      <c r="J1001" s="177">
        <f>'[6]price list MAN'!J1001</f>
        <v>1690000</v>
      </c>
      <c r="K1001" s="177">
        <f>'[6]price list MAN'!P1001</f>
        <v>1344000</v>
      </c>
      <c r="L1001" s="177">
        <f>'[6]price list MAN'!R1001</f>
        <v>1280000</v>
      </c>
      <c r="M1001" s="174">
        <f>'[6]price list MAN'!S1001</f>
        <v>1745000</v>
      </c>
      <c r="N1001" s="174">
        <f>'[6]price list MAN'!Y1001</f>
        <v>1401750</v>
      </c>
      <c r="O1001" s="174">
        <f>'[6]price list MAN'!AA1001</f>
        <v>1335000</v>
      </c>
      <c r="P1001" s="68">
        <f t="shared" si="76"/>
        <v>0.23495702005730659</v>
      </c>
      <c r="Q1001" s="62" t="e">
        <f>O1001-#REF!</f>
        <v>#REF!</v>
      </c>
      <c r="W1001" s="210"/>
      <c r="X1001" s="210"/>
      <c r="Y1001" s="210"/>
      <c r="Z1001" s="210"/>
      <c r="AA1001" s="210"/>
      <c r="AB1001" s="210"/>
      <c r="AC1001" s="210"/>
      <c r="AT1001" s="425" t="str">
        <f t="shared" si="77"/>
        <v>KP000637201707Q314,7</v>
      </c>
      <c r="AU1001" s="64" t="str">
        <f t="shared" si="78"/>
        <v>07-2017</v>
      </c>
      <c r="BA1001" s="428" t="str">
        <f t="shared" si="79"/>
        <v>WIP - 30 Days</v>
      </c>
    </row>
    <row r="1002" spans="2:53">
      <c r="B1002" s="36" t="str">
        <f>'[6]price list MAN'!B1002</f>
        <v>76W-9645</v>
      </c>
      <c r="C1002" s="10" t="str">
        <f>'[6]price list MAN'!C1002</f>
        <v>TGS-27-4406X4BBS-L</v>
      </c>
      <c r="D1002" s="16" t="str">
        <f>IFERROR(VLOOKUP(C1002&amp;"",'[7]Retail Price List'!$A$3:$B$103,2,FALSE),"Special Order")</f>
        <v>KP000637</v>
      </c>
      <c r="E1002" s="494" t="str">
        <f>'[6]price list MAN'!E1002</f>
        <v>CKD</v>
      </c>
      <c r="F1002" s="11" t="str">
        <f>'[6]price list MAN'!F1002</f>
        <v>2018-02-28</v>
      </c>
      <c r="G1002" s="32">
        <f>'[6]price list MAN'!G1002</f>
        <v>14.7</v>
      </c>
      <c r="H1002" s="26">
        <f>'[6]price list MAN'!H1002</f>
        <v>42947</v>
      </c>
      <c r="I1002" s="51" t="str">
        <f t="shared" si="75"/>
        <v>201707Q3</v>
      </c>
      <c r="J1002" s="177">
        <f>'[6]price list MAN'!J1002</f>
        <v>1690000</v>
      </c>
      <c r="K1002" s="177">
        <f>'[6]price list MAN'!P1002</f>
        <v>1344000</v>
      </c>
      <c r="L1002" s="177">
        <f>'[6]price list MAN'!R1002</f>
        <v>1280000</v>
      </c>
      <c r="M1002" s="174">
        <f>'[6]price list MAN'!S1002</f>
        <v>1745000</v>
      </c>
      <c r="N1002" s="174">
        <f>'[6]price list MAN'!Y1002</f>
        <v>1401750</v>
      </c>
      <c r="O1002" s="174">
        <f>'[6]price list MAN'!AA1002</f>
        <v>1335000</v>
      </c>
      <c r="P1002" s="68">
        <f t="shared" si="76"/>
        <v>0.23495702005730659</v>
      </c>
      <c r="Q1002" s="62" t="e">
        <f>O1002-#REF!</f>
        <v>#REF!</v>
      </c>
      <c r="W1002" s="210"/>
      <c r="X1002" s="210"/>
      <c r="Y1002" s="210"/>
      <c r="Z1002" s="210"/>
      <c r="AA1002" s="210"/>
      <c r="AB1002" s="210"/>
      <c r="AC1002" s="210"/>
      <c r="AT1002" s="425" t="str">
        <f t="shared" si="77"/>
        <v>KP000637201707Q314,7</v>
      </c>
      <c r="AU1002" s="64" t="str">
        <f t="shared" si="78"/>
        <v>07-2017</v>
      </c>
      <c r="BA1002" s="428" t="str">
        <f t="shared" si="79"/>
        <v>WIP - 30 Days</v>
      </c>
    </row>
    <row r="1003" spans="2:53">
      <c r="B1003" s="36" t="str">
        <f>'[6]price list MAN'!B1003</f>
        <v>76W-9646</v>
      </c>
      <c r="C1003" s="10" t="str">
        <f>'[6]price list MAN'!C1003</f>
        <v>TGS-27-4406X4BBS-L</v>
      </c>
      <c r="D1003" s="16" t="str">
        <f>IFERROR(VLOOKUP(C1003&amp;"",'[7]Retail Price List'!$A$3:$B$103,2,FALSE),"Special Order")</f>
        <v>KP000637</v>
      </c>
      <c r="E1003" s="494" t="str">
        <f>'[6]price list MAN'!E1003</f>
        <v>CKD</v>
      </c>
      <c r="F1003" s="11" t="str">
        <f>'[6]price list MAN'!F1003</f>
        <v>2018-02-28</v>
      </c>
      <c r="G1003" s="32">
        <f>'[6]price list MAN'!G1003</f>
        <v>14.7</v>
      </c>
      <c r="H1003" s="26">
        <f>'[6]price list MAN'!H1003</f>
        <v>42947</v>
      </c>
      <c r="I1003" s="51" t="str">
        <f t="shared" si="75"/>
        <v>201707Q3</v>
      </c>
      <c r="J1003" s="177">
        <f>'[6]price list MAN'!J1003</f>
        <v>1690000</v>
      </c>
      <c r="K1003" s="177">
        <f>'[6]price list MAN'!P1003</f>
        <v>1344000</v>
      </c>
      <c r="L1003" s="177">
        <f>'[6]price list MAN'!R1003</f>
        <v>1280000</v>
      </c>
      <c r="M1003" s="174">
        <f>'[6]price list MAN'!S1003</f>
        <v>1745000</v>
      </c>
      <c r="N1003" s="174">
        <f>'[6]price list MAN'!Y1003</f>
        <v>1401750</v>
      </c>
      <c r="O1003" s="174">
        <f>'[6]price list MAN'!AA1003</f>
        <v>1335000</v>
      </c>
      <c r="P1003" s="68">
        <f t="shared" si="76"/>
        <v>0.23495702005730659</v>
      </c>
      <c r="Q1003" s="62" t="e">
        <f>O1003-#REF!</f>
        <v>#REF!</v>
      </c>
      <c r="W1003" s="210"/>
      <c r="X1003" s="210"/>
      <c r="Y1003" s="210"/>
      <c r="Z1003" s="210"/>
      <c r="AA1003" s="210"/>
      <c r="AB1003" s="210"/>
      <c r="AC1003" s="210"/>
      <c r="AT1003" s="425" t="str">
        <f t="shared" si="77"/>
        <v>KP000637201707Q314,7</v>
      </c>
      <c r="AU1003" s="64" t="str">
        <f t="shared" si="78"/>
        <v>07-2017</v>
      </c>
      <c r="BA1003" s="428" t="str">
        <f t="shared" si="79"/>
        <v>WIP - 30 Days</v>
      </c>
    </row>
    <row r="1004" spans="2:53">
      <c r="B1004" s="36" t="str">
        <f>'[6]price list MAN'!B1004</f>
        <v>76W-9647</v>
      </c>
      <c r="C1004" s="10" t="str">
        <f>'[6]price list MAN'!C1004</f>
        <v>TGS-27-4406X4BBS-L</v>
      </c>
      <c r="D1004" s="16" t="str">
        <f>IFERROR(VLOOKUP(C1004&amp;"",'[7]Retail Price List'!$A$3:$B$103,2,FALSE),"Special Order")</f>
        <v>KP000637</v>
      </c>
      <c r="E1004" s="494" t="str">
        <f>'[6]price list MAN'!E1004</f>
        <v>CKD</v>
      </c>
      <c r="F1004" s="11" t="str">
        <f>'[6]price list MAN'!F1004</f>
        <v>2018-02-28</v>
      </c>
      <c r="G1004" s="32">
        <f>'[6]price list MAN'!G1004</f>
        <v>14.7</v>
      </c>
      <c r="H1004" s="26">
        <f>'[6]price list MAN'!H1004</f>
        <v>42947</v>
      </c>
      <c r="I1004" s="51" t="str">
        <f t="shared" si="75"/>
        <v>201707Q3</v>
      </c>
      <c r="J1004" s="177">
        <f>'[6]price list MAN'!J1004</f>
        <v>1690000</v>
      </c>
      <c r="K1004" s="177">
        <f>'[6]price list MAN'!P1004</f>
        <v>1344000</v>
      </c>
      <c r="L1004" s="177">
        <f>'[6]price list MAN'!R1004</f>
        <v>1280000</v>
      </c>
      <c r="M1004" s="174">
        <f>'[6]price list MAN'!S1004</f>
        <v>1745000</v>
      </c>
      <c r="N1004" s="174">
        <f>'[6]price list MAN'!Y1004</f>
        <v>1401750</v>
      </c>
      <c r="O1004" s="174">
        <f>'[6]price list MAN'!AA1004</f>
        <v>1335000</v>
      </c>
      <c r="P1004" s="68">
        <f t="shared" si="76"/>
        <v>0.23495702005730659</v>
      </c>
      <c r="Q1004" s="62" t="e">
        <f>O1004-#REF!</f>
        <v>#REF!</v>
      </c>
      <c r="W1004" s="210"/>
      <c r="X1004" s="210"/>
      <c r="Y1004" s="210"/>
      <c r="Z1004" s="210"/>
      <c r="AA1004" s="210"/>
      <c r="AB1004" s="210"/>
      <c r="AC1004" s="210"/>
      <c r="AT1004" s="425" t="str">
        <f t="shared" si="77"/>
        <v>KP000637201707Q314,7</v>
      </c>
      <c r="AU1004" s="64" t="str">
        <f t="shared" si="78"/>
        <v>07-2017</v>
      </c>
      <c r="BA1004" s="428" t="str">
        <f t="shared" si="79"/>
        <v>WIP - 30 Days</v>
      </c>
    </row>
    <row r="1005" spans="2:53">
      <c r="B1005" s="36" t="str">
        <f>'[6]price list MAN'!B1005</f>
        <v>76W-9660</v>
      </c>
      <c r="C1005" s="10" t="str">
        <f>'[6]price list MAN'!C1005</f>
        <v>TGS-27-4406X4BBS-L</v>
      </c>
      <c r="D1005" s="16" t="str">
        <f>IFERROR(VLOOKUP(C1005&amp;"",'[7]Retail Price List'!$A$3:$B$103,2,FALSE),"Special Order")</f>
        <v>KP000637</v>
      </c>
      <c r="E1005" s="494" t="str">
        <f>'[6]price list MAN'!E1005</f>
        <v>CKD</v>
      </c>
      <c r="F1005" s="11" t="str">
        <f>'[6]price list MAN'!F1005</f>
        <v>2018-03-30</v>
      </c>
      <c r="G1005" s="32">
        <f>'[6]price list MAN'!G1005</f>
        <v>14.7</v>
      </c>
      <c r="H1005" s="26">
        <f>'[6]price list MAN'!H1005</f>
        <v>42947</v>
      </c>
      <c r="I1005" s="51" t="str">
        <f t="shared" si="75"/>
        <v>201707Q3</v>
      </c>
      <c r="J1005" s="177">
        <f>'[6]price list MAN'!J1005</f>
        <v>1690000</v>
      </c>
      <c r="K1005" s="177">
        <f>'[6]price list MAN'!P1005</f>
        <v>1344000</v>
      </c>
      <c r="L1005" s="177">
        <f>'[6]price list MAN'!R1005</f>
        <v>1280000</v>
      </c>
      <c r="M1005" s="174">
        <f>'[6]price list MAN'!S1005</f>
        <v>1745000</v>
      </c>
      <c r="N1005" s="174">
        <f>'[6]price list MAN'!Y1005</f>
        <v>1401750</v>
      </c>
      <c r="O1005" s="174">
        <f>'[6]price list MAN'!AA1005</f>
        <v>1335000</v>
      </c>
      <c r="P1005" s="68">
        <f t="shared" si="76"/>
        <v>0.23495702005730659</v>
      </c>
      <c r="Q1005" s="62" t="e">
        <f>O1005-#REF!</f>
        <v>#REF!</v>
      </c>
      <c r="W1005" s="210"/>
      <c r="X1005" s="210"/>
      <c r="Y1005" s="210"/>
      <c r="Z1005" s="210"/>
      <c r="AA1005" s="210"/>
      <c r="AB1005" s="210"/>
      <c r="AC1005" s="210"/>
      <c r="AT1005" s="425" t="str">
        <f t="shared" si="77"/>
        <v>KP000637201707Q314,7</v>
      </c>
      <c r="AU1005" s="64" t="str">
        <f t="shared" si="78"/>
        <v>07-2017</v>
      </c>
      <c r="BA1005" s="428" t="str">
        <f t="shared" si="79"/>
        <v>WIP - 30 Days</v>
      </c>
    </row>
    <row r="1006" spans="2:53">
      <c r="B1006" s="36" t="str">
        <f>'[6]price list MAN'!B1006</f>
        <v>76W-9661</v>
      </c>
      <c r="C1006" s="10" t="str">
        <f>'[6]price list MAN'!C1006</f>
        <v>TGS-27-4406X4BBS-L</v>
      </c>
      <c r="D1006" s="16" t="str">
        <f>IFERROR(VLOOKUP(C1006&amp;"",'[7]Retail Price List'!$A$3:$B$103,2,FALSE),"Special Order")</f>
        <v>KP000637</v>
      </c>
      <c r="E1006" s="494" t="str">
        <f>'[6]price list MAN'!E1006</f>
        <v>CKD</v>
      </c>
      <c r="F1006" s="11" t="str">
        <f>'[6]price list MAN'!F1006</f>
        <v>2018-03-30</v>
      </c>
      <c r="G1006" s="32">
        <f>'[6]price list MAN'!G1006</f>
        <v>14.7</v>
      </c>
      <c r="H1006" s="26">
        <f>'[6]price list MAN'!H1006</f>
        <v>42947</v>
      </c>
      <c r="I1006" s="51" t="str">
        <f t="shared" si="75"/>
        <v>201707Q3</v>
      </c>
      <c r="J1006" s="177">
        <f>'[6]price list MAN'!J1006</f>
        <v>1690000</v>
      </c>
      <c r="K1006" s="177">
        <f>'[6]price list MAN'!P1006</f>
        <v>1344000</v>
      </c>
      <c r="L1006" s="177">
        <f>'[6]price list MAN'!R1006</f>
        <v>1280000</v>
      </c>
      <c r="M1006" s="174">
        <f>'[6]price list MAN'!S1006</f>
        <v>1745000</v>
      </c>
      <c r="N1006" s="174">
        <f>'[6]price list MAN'!Y1006</f>
        <v>1401750</v>
      </c>
      <c r="O1006" s="174">
        <f>'[6]price list MAN'!AA1006</f>
        <v>1335000</v>
      </c>
      <c r="P1006" s="68">
        <f t="shared" si="76"/>
        <v>0.23495702005730659</v>
      </c>
      <c r="Q1006" s="62" t="e">
        <f>O1006-#REF!</f>
        <v>#REF!</v>
      </c>
      <c r="W1006" s="210"/>
      <c r="X1006" s="210"/>
      <c r="Y1006" s="210"/>
      <c r="Z1006" s="210"/>
      <c r="AA1006" s="210"/>
      <c r="AB1006" s="210"/>
      <c r="AC1006" s="210"/>
      <c r="AT1006" s="425" t="str">
        <f t="shared" si="77"/>
        <v>KP000637201707Q314,7</v>
      </c>
      <c r="AU1006" s="64" t="str">
        <f t="shared" si="78"/>
        <v>07-2017</v>
      </c>
      <c r="BA1006" s="428" t="str">
        <f t="shared" si="79"/>
        <v>WIP - 30 Days</v>
      </c>
    </row>
    <row r="1007" spans="2:53">
      <c r="B1007" s="36" t="str">
        <f>'[6]price list MAN'!B1007</f>
        <v>76W-9662</v>
      </c>
      <c r="C1007" s="10" t="str">
        <f>'[6]price list MAN'!C1007</f>
        <v>TGS-27-4406X4BBS-L</v>
      </c>
      <c r="D1007" s="16" t="str">
        <f>IFERROR(VLOOKUP(C1007&amp;"",'[7]Retail Price List'!$A$3:$B$103,2,FALSE),"Special Order")</f>
        <v>KP000637</v>
      </c>
      <c r="E1007" s="494" t="str">
        <f>'[6]price list MAN'!E1007</f>
        <v>CKD</v>
      </c>
      <c r="F1007" s="11" t="str">
        <f>'[6]price list MAN'!F1007</f>
        <v>2018-03-30</v>
      </c>
      <c r="G1007" s="32">
        <f>'[6]price list MAN'!G1007</f>
        <v>14.7</v>
      </c>
      <c r="H1007" s="26">
        <f>'[6]price list MAN'!H1007</f>
        <v>42947</v>
      </c>
      <c r="I1007" s="51" t="str">
        <f t="shared" si="75"/>
        <v>201707Q3</v>
      </c>
      <c r="J1007" s="177">
        <f>'[6]price list MAN'!J1007</f>
        <v>1690000</v>
      </c>
      <c r="K1007" s="177">
        <f>'[6]price list MAN'!P1007</f>
        <v>1344000</v>
      </c>
      <c r="L1007" s="177">
        <f>'[6]price list MAN'!R1007</f>
        <v>1280000</v>
      </c>
      <c r="M1007" s="174">
        <f>'[6]price list MAN'!S1007</f>
        <v>1745000</v>
      </c>
      <c r="N1007" s="174">
        <f>'[6]price list MAN'!Y1007</f>
        <v>1401750</v>
      </c>
      <c r="O1007" s="174">
        <f>'[6]price list MAN'!AA1007</f>
        <v>1335000</v>
      </c>
      <c r="P1007" s="68">
        <f t="shared" si="76"/>
        <v>0.23495702005730659</v>
      </c>
      <c r="Q1007" s="62" t="e">
        <f>O1007-#REF!</f>
        <v>#REF!</v>
      </c>
      <c r="W1007" s="210"/>
      <c r="X1007" s="210"/>
      <c r="Y1007" s="210"/>
      <c r="Z1007" s="210"/>
      <c r="AA1007" s="210"/>
      <c r="AB1007" s="210"/>
      <c r="AC1007" s="210"/>
      <c r="AT1007" s="425" t="str">
        <f t="shared" si="77"/>
        <v>KP000637201707Q314,7</v>
      </c>
      <c r="AU1007" s="64" t="str">
        <f t="shared" si="78"/>
        <v>07-2017</v>
      </c>
      <c r="BA1007" s="428" t="str">
        <f t="shared" si="79"/>
        <v>WIP - 30 Days</v>
      </c>
    </row>
    <row r="1008" spans="2:53">
      <c r="B1008" s="36" t="str">
        <f>'[6]price list MAN'!B1008</f>
        <v>76W-9663</v>
      </c>
      <c r="C1008" s="10" t="str">
        <f>'[6]price list MAN'!C1008</f>
        <v>TGS-27-4406X4BBS-L</v>
      </c>
      <c r="D1008" s="16" t="str">
        <f>IFERROR(VLOOKUP(C1008&amp;"",'[7]Retail Price List'!$A$3:$B$103,2,FALSE),"Special Order")</f>
        <v>KP000637</v>
      </c>
      <c r="E1008" s="494" t="str">
        <f>'[6]price list MAN'!E1008</f>
        <v>CKD</v>
      </c>
      <c r="F1008" s="11" t="str">
        <f>'[6]price list MAN'!F1008</f>
        <v>2018-03-30</v>
      </c>
      <c r="G1008" s="32">
        <f>'[6]price list MAN'!G1008</f>
        <v>14.7</v>
      </c>
      <c r="H1008" s="26">
        <f>'[6]price list MAN'!H1008</f>
        <v>42947</v>
      </c>
      <c r="I1008" s="51" t="str">
        <f t="shared" si="75"/>
        <v>201707Q3</v>
      </c>
      <c r="J1008" s="177">
        <f>'[6]price list MAN'!J1008</f>
        <v>1690000</v>
      </c>
      <c r="K1008" s="177">
        <f>'[6]price list MAN'!P1008</f>
        <v>1344000</v>
      </c>
      <c r="L1008" s="177">
        <f>'[6]price list MAN'!R1008</f>
        <v>1280000</v>
      </c>
      <c r="M1008" s="174">
        <f>'[6]price list MAN'!S1008</f>
        <v>1745000</v>
      </c>
      <c r="N1008" s="174">
        <f>'[6]price list MAN'!Y1008</f>
        <v>1401750</v>
      </c>
      <c r="O1008" s="174">
        <f>'[6]price list MAN'!AA1008</f>
        <v>1335000</v>
      </c>
      <c r="P1008" s="68">
        <f t="shared" si="76"/>
        <v>0.23495702005730659</v>
      </c>
      <c r="Q1008" s="62" t="e">
        <f>O1008-#REF!</f>
        <v>#REF!</v>
      </c>
      <c r="W1008" s="210"/>
      <c r="X1008" s="210"/>
      <c r="Y1008" s="210"/>
      <c r="Z1008" s="210"/>
      <c r="AA1008" s="210"/>
      <c r="AB1008" s="210"/>
      <c r="AC1008" s="210"/>
      <c r="AT1008" s="425" t="str">
        <f t="shared" si="77"/>
        <v>KP000637201707Q314,7</v>
      </c>
      <c r="AU1008" s="64" t="str">
        <f t="shared" si="78"/>
        <v>07-2017</v>
      </c>
      <c r="BA1008" s="428" t="str">
        <f t="shared" si="79"/>
        <v>WIP - 30 Days</v>
      </c>
    </row>
    <row r="1009" spans="2:53">
      <c r="B1009" s="36" t="str">
        <f>'[6]price list MAN'!B1009</f>
        <v>76W-9664</v>
      </c>
      <c r="C1009" s="10" t="str">
        <f>'[6]price list MAN'!C1009</f>
        <v>TGS-27-4406X4BBS-L</v>
      </c>
      <c r="D1009" s="16" t="str">
        <f>IFERROR(VLOOKUP(C1009&amp;"",'[7]Retail Price List'!$A$3:$B$103,2,FALSE),"Special Order")</f>
        <v>KP000637</v>
      </c>
      <c r="E1009" s="494" t="str">
        <f>'[6]price list MAN'!E1009</f>
        <v>CKD</v>
      </c>
      <c r="F1009" s="11" t="str">
        <f>'[6]price list MAN'!F1009</f>
        <v>2018-03-30</v>
      </c>
      <c r="G1009" s="32">
        <f>'[6]price list MAN'!G1009</f>
        <v>14.7</v>
      </c>
      <c r="H1009" s="26">
        <f>'[6]price list MAN'!H1009</f>
        <v>42947</v>
      </c>
      <c r="I1009" s="51" t="str">
        <f t="shared" si="75"/>
        <v>201707Q3</v>
      </c>
      <c r="J1009" s="177">
        <f>'[6]price list MAN'!J1009</f>
        <v>1690000</v>
      </c>
      <c r="K1009" s="177">
        <f>'[6]price list MAN'!P1009</f>
        <v>1344000</v>
      </c>
      <c r="L1009" s="177">
        <f>'[6]price list MAN'!R1009</f>
        <v>1280000</v>
      </c>
      <c r="M1009" s="174">
        <f>'[6]price list MAN'!S1009</f>
        <v>1745000</v>
      </c>
      <c r="N1009" s="174">
        <f>'[6]price list MAN'!Y1009</f>
        <v>1401750</v>
      </c>
      <c r="O1009" s="174">
        <f>'[6]price list MAN'!AA1009</f>
        <v>1335000</v>
      </c>
      <c r="P1009" s="68">
        <f t="shared" si="76"/>
        <v>0.23495702005730659</v>
      </c>
      <c r="Q1009" s="62" t="e">
        <f>O1009-#REF!</f>
        <v>#REF!</v>
      </c>
      <c r="W1009" s="210"/>
      <c r="X1009" s="210"/>
      <c r="Y1009" s="210"/>
      <c r="Z1009" s="210"/>
      <c r="AA1009" s="210"/>
      <c r="AB1009" s="210"/>
      <c r="AC1009" s="210"/>
      <c r="AT1009" s="425" t="str">
        <f t="shared" si="77"/>
        <v>KP000637201707Q314,7</v>
      </c>
      <c r="AU1009" s="64" t="str">
        <f t="shared" si="78"/>
        <v>07-2017</v>
      </c>
      <c r="BA1009" s="428" t="str">
        <f t="shared" si="79"/>
        <v>WIP - 30 Days</v>
      </c>
    </row>
    <row r="1010" spans="2:53">
      <c r="B1010" s="36" t="str">
        <f>'[6]price list MAN'!B1010</f>
        <v>76W-9665</v>
      </c>
      <c r="C1010" s="10" t="str">
        <f>'[6]price list MAN'!C1010</f>
        <v>TGS-27-4406X4BBS-L</v>
      </c>
      <c r="D1010" s="16" t="str">
        <f>IFERROR(VLOOKUP(C1010&amp;"",'[7]Retail Price List'!$A$3:$B$103,2,FALSE),"Special Order")</f>
        <v>KP000637</v>
      </c>
      <c r="E1010" s="494" t="str">
        <f>'[6]price list MAN'!E1010</f>
        <v>CKD</v>
      </c>
      <c r="F1010" s="11" t="str">
        <f>'[6]price list MAN'!F1010</f>
        <v>2018-03-30</v>
      </c>
      <c r="G1010" s="32">
        <f>'[6]price list MAN'!G1010</f>
        <v>14.7</v>
      </c>
      <c r="H1010" s="26">
        <f>'[6]price list MAN'!H1010</f>
        <v>42947</v>
      </c>
      <c r="I1010" s="51" t="str">
        <f t="shared" si="75"/>
        <v>201707Q3</v>
      </c>
      <c r="J1010" s="177">
        <f>'[6]price list MAN'!J1010</f>
        <v>1690000</v>
      </c>
      <c r="K1010" s="177">
        <f>'[6]price list MAN'!P1010</f>
        <v>1344000</v>
      </c>
      <c r="L1010" s="177">
        <f>'[6]price list MAN'!R1010</f>
        <v>1280000</v>
      </c>
      <c r="M1010" s="174">
        <f>'[6]price list MAN'!S1010</f>
        <v>1745000</v>
      </c>
      <c r="N1010" s="174">
        <f>'[6]price list MAN'!Y1010</f>
        <v>1401750</v>
      </c>
      <c r="O1010" s="174">
        <f>'[6]price list MAN'!AA1010</f>
        <v>1335000</v>
      </c>
      <c r="P1010" s="68">
        <f t="shared" si="76"/>
        <v>0.23495702005730659</v>
      </c>
      <c r="Q1010" s="62" t="e">
        <f>O1010-#REF!</f>
        <v>#REF!</v>
      </c>
      <c r="W1010" s="210"/>
      <c r="X1010" s="210"/>
      <c r="Y1010" s="210"/>
      <c r="Z1010" s="210"/>
      <c r="AA1010" s="210"/>
      <c r="AB1010" s="210"/>
      <c r="AC1010" s="210"/>
      <c r="AT1010" s="425" t="str">
        <f t="shared" si="77"/>
        <v>KP000637201707Q314,7</v>
      </c>
      <c r="AU1010" s="64" t="str">
        <f t="shared" si="78"/>
        <v>07-2017</v>
      </c>
      <c r="BA1010" s="428" t="str">
        <f t="shared" si="79"/>
        <v>WIP - 30 Days</v>
      </c>
    </row>
    <row r="1011" spans="2:53">
      <c r="B1011" s="36" t="str">
        <f>'[6]price list MAN'!B1011</f>
        <v>76W-9666</v>
      </c>
      <c r="C1011" s="10" t="str">
        <f>'[6]price list MAN'!C1011</f>
        <v>TGS-27-4406X4BBS-L</v>
      </c>
      <c r="D1011" s="16" t="str">
        <f>IFERROR(VLOOKUP(C1011&amp;"",'[7]Retail Price List'!$A$3:$B$103,2,FALSE),"Special Order")</f>
        <v>KP000637</v>
      </c>
      <c r="E1011" s="494" t="str">
        <f>'[6]price list MAN'!E1011</f>
        <v>CKD</v>
      </c>
      <c r="F1011" s="11" t="str">
        <f>'[6]price list MAN'!F1011</f>
        <v>2018-03-30</v>
      </c>
      <c r="G1011" s="32">
        <f>'[6]price list MAN'!G1011</f>
        <v>14.7</v>
      </c>
      <c r="H1011" s="26">
        <f>'[6]price list MAN'!H1011</f>
        <v>42947</v>
      </c>
      <c r="I1011" s="51" t="str">
        <f t="shared" si="75"/>
        <v>201707Q3</v>
      </c>
      <c r="J1011" s="177">
        <f>'[6]price list MAN'!J1011</f>
        <v>1690000</v>
      </c>
      <c r="K1011" s="177">
        <f>'[6]price list MAN'!P1011</f>
        <v>1344000</v>
      </c>
      <c r="L1011" s="177">
        <f>'[6]price list MAN'!R1011</f>
        <v>1280000</v>
      </c>
      <c r="M1011" s="174">
        <f>'[6]price list MAN'!S1011</f>
        <v>1745000</v>
      </c>
      <c r="N1011" s="174">
        <f>'[6]price list MAN'!Y1011</f>
        <v>1401750</v>
      </c>
      <c r="O1011" s="174">
        <f>'[6]price list MAN'!AA1011</f>
        <v>1335000</v>
      </c>
      <c r="P1011" s="68">
        <f t="shared" si="76"/>
        <v>0.23495702005730659</v>
      </c>
      <c r="Q1011" s="62" t="e">
        <f>O1011-#REF!</f>
        <v>#REF!</v>
      </c>
      <c r="W1011" s="210"/>
      <c r="X1011" s="210"/>
      <c r="Y1011" s="210"/>
      <c r="Z1011" s="210"/>
      <c r="AA1011" s="210"/>
      <c r="AB1011" s="210"/>
      <c r="AC1011" s="210"/>
      <c r="AT1011" s="425" t="str">
        <f t="shared" si="77"/>
        <v>KP000637201707Q314,7</v>
      </c>
      <c r="AU1011" s="64" t="str">
        <f t="shared" si="78"/>
        <v>07-2017</v>
      </c>
      <c r="BA1011" s="428" t="str">
        <f t="shared" si="79"/>
        <v>WIP - 30 Days</v>
      </c>
    </row>
    <row r="1012" spans="2:53">
      <c r="B1012" s="36" t="str">
        <f>'[6]price list MAN'!B1012</f>
        <v>76W-9667</v>
      </c>
      <c r="C1012" s="10" t="str">
        <f>'[6]price list MAN'!C1012</f>
        <v>TGS-27-4406X4BBS-L</v>
      </c>
      <c r="D1012" s="16" t="str">
        <f>IFERROR(VLOOKUP(C1012&amp;"",'[7]Retail Price List'!$A$3:$B$103,2,FALSE),"Special Order")</f>
        <v>KP000637</v>
      </c>
      <c r="E1012" s="494" t="str">
        <f>'[6]price list MAN'!E1012</f>
        <v>CKD</v>
      </c>
      <c r="F1012" s="11" t="str">
        <f>'[6]price list MAN'!F1012</f>
        <v>2018-03-30</v>
      </c>
      <c r="G1012" s="32">
        <f>'[6]price list MAN'!G1012</f>
        <v>14.7</v>
      </c>
      <c r="H1012" s="26">
        <f>'[6]price list MAN'!H1012</f>
        <v>42947</v>
      </c>
      <c r="I1012" s="51" t="str">
        <f t="shared" si="75"/>
        <v>201707Q3</v>
      </c>
      <c r="J1012" s="177">
        <f>'[6]price list MAN'!J1012</f>
        <v>1690000</v>
      </c>
      <c r="K1012" s="177">
        <f>'[6]price list MAN'!P1012</f>
        <v>1344000</v>
      </c>
      <c r="L1012" s="177">
        <f>'[6]price list MAN'!R1012</f>
        <v>1280000</v>
      </c>
      <c r="M1012" s="174">
        <f>'[6]price list MAN'!S1012</f>
        <v>1745000</v>
      </c>
      <c r="N1012" s="174">
        <f>'[6]price list MAN'!Y1012</f>
        <v>1401750</v>
      </c>
      <c r="O1012" s="174">
        <f>'[6]price list MAN'!AA1012</f>
        <v>1335000</v>
      </c>
      <c r="P1012" s="68">
        <f t="shared" si="76"/>
        <v>0.23495702005730659</v>
      </c>
      <c r="Q1012" s="62" t="e">
        <f>O1012-#REF!</f>
        <v>#REF!</v>
      </c>
      <c r="W1012" s="210"/>
      <c r="X1012" s="210"/>
      <c r="Y1012" s="210"/>
      <c r="Z1012" s="210"/>
      <c r="AA1012" s="210"/>
      <c r="AB1012" s="210"/>
      <c r="AC1012" s="210"/>
      <c r="AT1012" s="425" t="str">
        <f t="shared" si="77"/>
        <v>KP000637201707Q314,7</v>
      </c>
      <c r="AU1012" s="64" t="str">
        <f t="shared" si="78"/>
        <v>07-2017</v>
      </c>
      <c r="BA1012" s="428" t="str">
        <f t="shared" si="79"/>
        <v>WIP - 30 Days</v>
      </c>
    </row>
    <row r="1013" spans="2:53">
      <c r="B1013" s="36" t="str">
        <f>'[6]price list MAN'!B1013</f>
        <v>76W-B076</v>
      </c>
      <c r="C1013" s="10" t="str">
        <f>'[6]price list MAN'!C1013</f>
        <v>TGS-27-4406X4BBS-L</v>
      </c>
      <c r="D1013" s="16" t="str">
        <f>IFERROR(VLOOKUP(C1013&amp;"",'[7]Retail Price List'!$A$3:$B$103,2,FALSE),"Special Order")</f>
        <v>KP000637</v>
      </c>
      <c r="E1013" s="494" t="str">
        <f>'[6]price list MAN'!E1013</f>
        <v>SOLD</v>
      </c>
      <c r="F1013" s="11">
        <f>'[6]price list MAN'!F1013</f>
        <v>22</v>
      </c>
      <c r="G1013" s="32">
        <f>'[6]price list MAN'!G1013</f>
        <v>15.3</v>
      </c>
      <c r="H1013" s="26">
        <f>'[6]price list MAN'!H1013</f>
        <v>42978</v>
      </c>
      <c r="I1013" s="51" t="str">
        <f t="shared" si="75"/>
        <v>2017Q3</v>
      </c>
      <c r="J1013" s="177">
        <f>'[6]price list MAN'!J1013</f>
        <v>1690000</v>
      </c>
      <c r="K1013" s="177">
        <f>'[6]price list MAN'!P1013</f>
        <v>1344000</v>
      </c>
      <c r="L1013" s="177">
        <f>'[6]price list MAN'!R1013</f>
        <v>1280000</v>
      </c>
      <c r="M1013" s="174">
        <f>'[6]price list MAN'!S1013</f>
        <v>1745000</v>
      </c>
      <c r="N1013" s="174">
        <f>'[6]price list MAN'!Y1013</f>
        <v>1401750</v>
      </c>
      <c r="O1013" s="174">
        <f>'[6]price list MAN'!AA1013</f>
        <v>1335000</v>
      </c>
      <c r="P1013" s="68">
        <f t="shared" si="76"/>
        <v>0.23495702005730659</v>
      </c>
      <c r="Q1013" s="62" t="e">
        <f>O1013-#REF!</f>
        <v>#REF!</v>
      </c>
      <c r="W1013" s="210"/>
      <c r="X1013" s="210"/>
      <c r="Y1013" s="210"/>
      <c r="Z1013" s="210"/>
      <c r="AA1013" s="210"/>
      <c r="AB1013" s="210"/>
      <c r="AC1013" s="210"/>
      <c r="AT1013" s="425" t="str">
        <f t="shared" si="77"/>
        <v>KP0006372017Q315,3</v>
      </c>
      <c r="AU1013" s="64" t="str">
        <f t="shared" si="78"/>
        <v>08-2017</v>
      </c>
      <c r="BA1013" s="428" t="str">
        <f t="shared" si="79"/>
        <v>WIP - 30 Days</v>
      </c>
    </row>
    <row r="1014" spans="2:53">
      <c r="B1014" s="36" t="str">
        <f>'[6]price list MAN'!B1014</f>
        <v>76W-B077</v>
      </c>
      <c r="C1014" s="10" t="str">
        <f>'[6]price list MAN'!C1014</f>
        <v>TGS-27-4406X4BBS-L</v>
      </c>
      <c r="D1014" s="16" t="str">
        <f>IFERROR(VLOOKUP(C1014&amp;"",'[7]Retail Price List'!$A$3:$B$103,2,FALSE),"Special Order")</f>
        <v>KP000637</v>
      </c>
      <c r="E1014" s="494" t="str">
        <f>'[6]price list MAN'!E1014</f>
        <v>SOLD</v>
      </c>
      <c r="F1014" s="11">
        <f>'[6]price list MAN'!F1014</f>
        <v>25</v>
      </c>
      <c r="G1014" s="32">
        <f>'[6]price list MAN'!G1014</f>
        <v>15.3</v>
      </c>
      <c r="H1014" s="26">
        <f>'[6]price list MAN'!H1014</f>
        <v>42978</v>
      </c>
      <c r="I1014" s="51" t="str">
        <f t="shared" si="75"/>
        <v>2017Q3</v>
      </c>
      <c r="J1014" s="177">
        <f>'[6]price list MAN'!J1014</f>
        <v>1690000</v>
      </c>
      <c r="K1014" s="177">
        <f>'[6]price list MAN'!P1014</f>
        <v>1344000</v>
      </c>
      <c r="L1014" s="177">
        <f>'[6]price list MAN'!R1014</f>
        <v>1280000</v>
      </c>
      <c r="M1014" s="174">
        <f>'[6]price list MAN'!S1014</f>
        <v>1745000</v>
      </c>
      <c r="N1014" s="174">
        <f>'[6]price list MAN'!Y1014</f>
        <v>1401750</v>
      </c>
      <c r="O1014" s="174">
        <f>'[6]price list MAN'!AA1014</f>
        <v>1335000</v>
      </c>
      <c r="P1014" s="68">
        <f t="shared" si="76"/>
        <v>0.23495702005730659</v>
      </c>
      <c r="Q1014" s="62" t="e">
        <f>O1014-#REF!</f>
        <v>#REF!</v>
      </c>
      <c r="W1014" s="210"/>
      <c r="X1014" s="210"/>
      <c r="Y1014" s="210"/>
      <c r="Z1014" s="210"/>
      <c r="AA1014" s="210"/>
      <c r="AB1014" s="210"/>
      <c r="AC1014" s="210"/>
      <c r="AT1014" s="425" t="str">
        <f t="shared" si="77"/>
        <v>KP0006372017Q315,3</v>
      </c>
      <c r="AU1014" s="64" t="str">
        <f t="shared" si="78"/>
        <v>08-2017</v>
      </c>
      <c r="BA1014" s="428" t="str">
        <f t="shared" si="79"/>
        <v>WIP - 30 Days</v>
      </c>
    </row>
    <row r="1015" spans="2:53">
      <c r="B1015" s="36" t="str">
        <f>'[6]price list MAN'!B1015</f>
        <v>76W-B078</v>
      </c>
      <c r="C1015" s="10" t="str">
        <f>'[6]price list MAN'!C1015</f>
        <v>TGS-27-4406X4BBS-L</v>
      </c>
      <c r="D1015" s="16" t="str">
        <f>IFERROR(VLOOKUP(C1015&amp;"",'[7]Retail Price List'!$A$3:$B$103,2,FALSE),"Special Order")</f>
        <v>KP000637</v>
      </c>
      <c r="E1015" s="494" t="str">
        <f>'[6]price list MAN'!E1015</f>
        <v>SOLD</v>
      </c>
      <c r="F1015" s="11">
        <f>'[6]price list MAN'!F1015</f>
        <v>14</v>
      </c>
      <c r="G1015" s="32">
        <f>'[6]price list MAN'!G1015</f>
        <v>15.3</v>
      </c>
      <c r="H1015" s="26">
        <f>'[6]price list MAN'!H1015</f>
        <v>42978</v>
      </c>
      <c r="I1015" s="51" t="str">
        <f t="shared" si="75"/>
        <v>2017Q3</v>
      </c>
      <c r="J1015" s="177">
        <f>'[6]price list MAN'!J1015</f>
        <v>1690000</v>
      </c>
      <c r="K1015" s="177">
        <f>'[6]price list MAN'!P1015</f>
        <v>1344000</v>
      </c>
      <c r="L1015" s="177">
        <f>'[6]price list MAN'!R1015</f>
        <v>1280000</v>
      </c>
      <c r="M1015" s="174">
        <f>'[6]price list MAN'!S1015</f>
        <v>1745000</v>
      </c>
      <c r="N1015" s="174">
        <f>'[6]price list MAN'!Y1015</f>
        <v>1401750</v>
      </c>
      <c r="O1015" s="174">
        <f>'[6]price list MAN'!AA1015</f>
        <v>1335000</v>
      </c>
      <c r="P1015" s="68">
        <f t="shared" si="76"/>
        <v>0.23495702005730659</v>
      </c>
      <c r="Q1015" s="62" t="e">
        <f>O1015-#REF!</f>
        <v>#REF!</v>
      </c>
      <c r="W1015" s="210"/>
      <c r="X1015" s="210"/>
      <c r="Y1015" s="210"/>
      <c r="Z1015" s="210"/>
      <c r="AA1015" s="210"/>
      <c r="AB1015" s="210"/>
      <c r="AC1015" s="210"/>
      <c r="AT1015" s="425" t="str">
        <f t="shared" si="77"/>
        <v>KP0006372017Q315,3</v>
      </c>
      <c r="AU1015" s="64" t="str">
        <f t="shared" si="78"/>
        <v>08-2017</v>
      </c>
      <c r="BA1015" s="428" t="str">
        <f t="shared" si="79"/>
        <v>WIP - 30 Days</v>
      </c>
    </row>
    <row r="1016" spans="2:53">
      <c r="B1016" s="36" t="str">
        <f>'[6]price list MAN'!B1016</f>
        <v>76W-B079</v>
      </c>
      <c r="C1016" s="10" t="str">
        <f>'[6]price list MAN'!C1016</f>
        <v>TGS-27-4406X4BBS-L</v>
      </c>
      <c r="D1016" s="16" t="str">
        <f>IFERROR(VLOOKUP(C1016&amp;"",'[7]Retail Price List'!$A$3:$B$103,2,FALSE),"Special Order")</f>
        <v>KP000637</v>
      </c>
      <c r="E1016" s="494" t="str">
        <f>'[6]price list MAN'!E1016</f>
        <v>SOLD</v>
      </c>
      <c r="F1016" s="11">
        <f>'[6]price list MAN'!F1016</f>
        <v>21</v>
      </c>
      <c r="G1016" s="32">
        <f>'[6]price list MAN'!G1016</f>
        <v>15.3</v>
      </c>
      <c r="H1016" s="26">
        <f>'[6]price list MAN'!H1016</f>
        <v>42978</v>
      </c>
      <c r="I1016" s="51" t="str">
        <f t="shared" si="75"/>
        <v>2017Q3</v>
      </c>
      <c r="J1016" s="177">
        <f>'[6]price list MAN'!J1016</f>
        <v>1690000</v>
      </c>
      <c r="K1016" s="177">
        <f>'[6]price list MAN'!P1016</f>
        <v>1344000</v>
      </c>
      <c r="L1016" s="177">
        <f>'[6]price list MAN'!R1016</f>
        <v>1280000</v>
      </c>
      <c r="M1016" s="174">
        <f>'[6]price list MAN'!S1016</f>
        <v>1745000</v>
      </c>
      <c r="N1016" s="174">
        <f>'[6]price list MAN'!Y1016</f>
        <v>1401750</v>
      </c>
      <c r="O1016" s="174">
        <f>'[6]price list MAN'!AA1016</f>
        <v>1335000</v>
      </c>
      <c r="P1016" s="68">
        <f t="shared" si="76"/>
        <v>0.23495702005730659</v>
      </c>
      <c r="Q1016" s="62" t="e">
        <f>O1016-#REF!</f>
        <v>#REF!</v>
      </c>
      <c r="W1016" s="210"/>
      <c r="X1016" s="210"/>
      <c r="Y1016" s="210"/>
      <c r="Z1016" s="210"/>
      <c r="AA1016" s="210"/>
      <c r="AB1016" s="210"/>
      <c r="AC1016" s="210"/>
      <c r="AT1016" s="425" t="str">
        <f t="shared" si="77"/>
        <v>KP0006372017Q315,3</v>
      </c>
      <c r="AU1016" s="64" t="str">
        <f t="shared" si="78"/>
        <v>08-2017</v>
      </c>
      <c r="BA1016" s="428" t="str">
        <f t="shared" si="79"/>
        <v>WIP - 30 Days</v>
      </c>
    </row>
    <row r="1017" spans="2:53">
      <c r="B1017" s="36" t="str">
        <f>'[6]price list MAN'!B1017</f>
        <v>76W-B080</v>
      </c>
      <c r="C1017" s="10" t="str">
        <f>'[6]price list MAN'!C1017</f>
        <v>TGS-27-4406X4BBS-L</v>
      </c>
      <c r="D1017" s="16" t="str">
        <f>IFERROR(VLOOKUP(C1017&amp;"",'[7]Retail Price List'!$A$3:$B$103,2,FALSE),"Special Order")</f>
        <v>KP000637</v>
      </c>
      <c r="E1017" s="494" t="str">
        <f>'[6]price list MAN'!E1017</f>
        <v>SOLD</v>
      </c>
      <c r="F1017" s="11">
        <f>'[6]price list MAN'!F1017</f>
        <v>22</v>
      </c>
      <c r="G1017" s="32">
        <f>'[6]price list MAN'!G1017</f>
        <v>15.3</v>
      </c>
      <c r="H1017" s="26">
        <f>'[6]price list MAN'!H1017</f>
        <v>42978</v>
      </c>
      <c r="I1017" s="51" t="str">
        <f t="shared" si="75"/>
        <v>2017Q3</v>
      </c>
      <c r="J1017" s="177">
        <f>'[6]price list MAN'!J1017</f>
        <v>1690000</v>
      </c>
      <c r="K1017" s="177">
        <f>'[6]price list MAN'!P1017</f>
        <v>1344000</v>
      </c>
      <c r="L1017" s="177">
        <f>'[6]price list MAN'!R1017</f>
        <v>1280000</v>
      </c>
      <c r="M1017" s="174">
        <f>'[6]price list MAN'!S1017</f>
        <v>1745000</v>
      </c>
      <c r="N1017" s="174">
        <f>'[6]price list MAN'!Y1017</f>
        <v>1401750</v>
      </c>
      <c r="O1017" s="174">
        <f>'[6]price list MAN'!AA1017</f>
        <v>1335000</v>
      </c>
      <c r="P1017" s="68">
        <f t="shared" si="76"/>
        <v>0.23495702005730659</v>
      </c>
      <c r="Q1017" s="62" t="e">
        <f>O1017-#REF!</f>
        <v>#REF!</v>
      </c>
      <c r="W1017" s="210"/>
      <c r="X1017" s="210"/>
      <c r="Y1017" s="210"/>
      <c r="Z1017" s="210"/>
      <c r="AA1017" s="210"/>
      <c r="AB1017" s="210"/>
      <c r="AC1017" s="210"/>
      <c r="AT1017" s="425" t="str">
        <f t="shared" si="77"/>
        <v>KP0006372017Q315,3</v>
      </c>
      <c r="AU1017" s="64" t="str">
        <f t="shared" si="78"/>
        <v>08-2017</v>
      </c>
      <c r="BA1017" s="428" t="str">
        <f t="shared" si="79"/>
        <v>WIP - 30 Days</v>
      </c>
    </row>
    <row r="1018" spans="2:53">
      <c r="B1018" s="36" t="str">
        <f>'[6]price list MAN'!B1018</f>
        <v>76W-B081</v>
      </c>
      <c r="C1018" s="10" t="str">
        <f>'[6]price list MAN'!C1018</f>
        <v>TGS-27-4406X4BBS-L</v>
      </c>
      <c r="D1018" s="16" t="str">
        <f>IFERROR(VLOOKUP(C1018&amp;"",'[7]Retail Price List'!$A$3:$B$103,2,FALSE),"Special Order")</f>
        <v>KP000637</v>
      </c>
      <c r="E1018" s="494" t="str">
        <f>'[6]price list MAN'!E1018</f>
        <v>SOLD</v>
      </c>
      <c r="F1018" s="11">
        <f>'[6]price list MAN'!F1018</f>
        <v>22</v>
      </c>
      <c r="G1018" s="32">
        <f>'[6]price list MAN'!G1018</f>
        <v>15.3</v>
      </c>
      <c r="H1018" s="26">
        <f>'[6]price list MAN'!H1018</f>
        <v>42978</v>
      </c>
      <c r="I1018" s="51" t="str">
        <f t="shared" si="75"/>
        <v>2017Q3</v>
      </c>
      <c r="J1018" s="177">
        <f>'[6]price list MAN'!J1018</f>
        <v>1690000</v>
      </c>
      <c r="K1018" s="177">
        <f>'[6]price list MAN'!P1018</f>
        <v>1344000</v>
      </c>
      <c r="L1018" s="177">
        <f>'[6]price list MAN'!R1018</f>
        <v>1280000</v>
      </c>
      <c r="M1018" s="174">
        <f>'[6]price list MAN'!S1018</f>
        <v>1745000</v>
      </c>
      <c r="N1018" s="174">
        <f>'[6]price list MAN'!Y1018</f>
        <v>1401750</v>
      </c>
      <c r="O1018" s="174">
        <f>'[6]price list MAN'!AA1018</f>
        <v>1335000</v>
      </c>
      <c r="P1018" s="68">
        <f t="shared" si="76"/>
        <v>0.23495702005730659</v>
      </c>
      <c r="Q1018" s="62" t="e">
        <f>O1018-#REF!</f>
        <v>#REF!</v>
      </c>
      <c r="W1018" s="210"/>
      <c r="X1018" s="210"/>
      <c r="Y1018" s="210"/>
      <c r="Z1018" s="210"/>
      <c r="AA1018" s="210"/>
      <c r="AB1018" s="210"/>
      <c r="AC1018" s="210"/>
      <c r="AT1018" s="425" t="str">
        <f t="shared" si="77"/>
        <v>KP0006372017Q315,3</v>
      </c>
      <c r="AU1018" s="64" t="str">
        <f t="shared" si="78"/>
        <v>08-2017</v>
      </c>
      <c r="BA1018" s="428" t="str">
        <f t="shared" si="79"/>
        <v>WIP - 30 Days</v>
      </c>
    </row>
    <row r="1019" spans="2:53">
      <c r="B1019" s="36" t="str">
        <f>'[6]price list MAN'!B1019</f>
        <v>76W-B082</v>
      </c>
      <c r="C1019" s="10" t="str">
        <f>'[6]price list MAN'!C1019</f>
        <v>TGS-27-4406X4BBS-L</v>
      </c>
      <c r="D1019" s="16" t="str">
        <f>IFERROR(VLOOKUP(C1019&amp;"",'[7]Retail Price List'!$A$3:$B$103,2,FALSE),"Special Order")</f>
        <v>KP000637</v>
      </c>
      <c r="E1019" s="494" t="str">
        <f>'[6]price list MAN'!E1019</f>
        <v>SOLD</v>
      </c>
      <c r="F1019" s="11">
        <f>'[6]price list MAN'!F1019</f>
        <v>8</v>
      </c>
      <c r="G1019" s="32">
        <f>'[6]price list MAN'!G1019</f>
        <v>15.3</v>
      </c>
      <c r="H1019" s="26">
        <f>'[6]price list MAN'!H1019</f>
        <v>42978</v>
      </c>
      <c r="I1019" s="51" t="str">
        <f t="shared" si="75"/>
        <v>2017Q3</v>
      </c>
      <c r="J1019" s="177">
        <f>'[6]price list MAN'!J1019</f>
        <v>1690000</v>
      </c>
      <c r="K1019" s="177">
        <f>'[6]price list MAN'!P1019</f>
        <v>1344000</v>
      </c>
      <c r="L1019" s="177">
        <f>'[6]price list MAN'!R1019</f>
        <v>1280000</v>
      </c>
      <c r="M1019" s="174">
        <f>'[6]price list MAN'!S1019</f>
        <v>1745000</v>
      </c>
      <c r="N1019" s="174">
        <f>'[6]price list MAN'!Y1019</f>
        <v>1401750</v>
      </c>
      <c r="O1019" s="174">
        <f>'[6]price list MAN'!AA1019</f>
        <v>1335000</v>
      </c>
      <c r="P1019" s="68">
        <f t="shared" si="76"/>
        <v>0.23495702005730659</v>
      </c>
      <c r="Q1019" s="62" t="e">
        <f>O1019-#REF!</f>
        <v>#REF!</v>
      </c>
      <c r="W1019" s="210"/>
      <c r="X1019" s="210"/>
      <c r="Y1019" s="210"/>
      <c r="Z1019" s="210"/>
      <c r="AA1019" s="210"/>
      <c r="AB1019" s="210"/>
      <c r="AC1019" s="210"/>
      <c r="AT1019" s="425" t="str">
        <f t="shared" si="77"/>
        <v>KP0006372017Q315,3</v>
      </c>
      <c r="AU1019" s="64" t="str">
        <f t="shared" si="78"/>
        <v>08-2017</v>
      </c>
      <c r="BA1019" s="428" t="str">
        <f t="shared" si="79"/>
        <v>WIP - 30 Days</v>
      </c>
    </row>
    <row r="1020" spans="2:53">
      <c r="B1020" s="36" t="str">
        <f>'[6]price list MAN'!B1020</f>
        <v>76W-B083</v>
      </c>
      <c r="C1020" s="10" t="str">
        <f>'[6]price list MAN'!C1020</f>
        <v>TGS-27-4406X4BBS-L</v>
      </c>
      <c r="D1020" s="16" t="str">
        <f>IFERROR(VLOOKUP(C1020&amp;"",'[7]Retail Price List'!$A$3:$B$103,2,FALSE),"Special Order")</f>
        <v>KP000637</v>
      </c>
      <c r="E1020" s="494" t="str">
        <f>'[6]price list MAN'!E1020</f>
        <v>SOLD</v>
      </c>
      <c r="F1020" s="11">
        <f>'[6]price list MAN'!F1020</f>
        <v>21</v>
      </c>
      <c r="G1020" s="32">
        <f>'[6]price list MAN'!G1020</f>
        <v>15.3</v>
      </c>
      <c r="H1020" s="26">
        <f>'[6]price list MAN'!H1020</f>
        <v>42978</v>
      </c>
      <c r="I1020" s="51" t="str">
        <f t="shared" si="75"/>
        <v>2017Q3</v>
      </c>
      <c r="J1020" s="177">
        <f>'[6]price list MAN'!J1020</f>
        <v>1690000</v>
      </c>
      <c r="K1020" s="177">
        <f>'[6]price list MAN'!P1020</f>
        <v>1344000</v>
      </c>
      <c r="L1020" s="177">
        <f>'[6]price list MAN'!R1020</f>
        <v>1280000</v>
      </c>
      <c r="M1020" s="174">
        <f>'[6]price list MAN'!S1020</f>
        <v>1745000</v>
      </c>
      <c r="N1020" s="174">
        <f>'[6]price list MAN'!Y1020</f>
        <v>1401750</v>
      </c>
      <c r="O1020" s="174">
        <f>'[6]price list MAN'!AA1020</f>
        <v>1335000</v>
      </c>
      <c r="P1020" s="68">
        <f t="shared" si="76"/>
        <v>0.23495702005730659</v>
      </c>
      <c r="Q1020" s="62" t="e">
        <f>O1020-#REF!</f>
        <v>#REF!</v>
      </c>
      <c r="W1020" s="210"/>
      <c r="X1020" s="210"/>
      <c r="Y1020" s="210"/>
      <c r="Z1020" s="210"/>
      <c r="AA1020" s="210"/>
      <c r="AB1020" s="210"/>
      <c r="AC1020" s="210"/>
      <c r="AT1020" s="425" t="str">
        <f t="shared" si="77"/>
        <v>KP0006372017Q315,3</v>
      </c>
      <c r="AU1020" s="64" t="str">
        <f t="shared" si="78"/>
        <v>08-2017</v>
      </c>
      <c r="BA1020" s="428" t="str">
        <f t="shared" si="79"/>
        <v>WIP - 30 Days</v>
      </c>
    </row>
    <row r="1021" spans="2:53">
      <c r="B1021" s="36" t="str">
        <f>'[6]price list MAN'!B1021</f>
        <v>76W-B086</v>
      </c>
      <c r="C1021" s="10" t="str">
        <f>'[6]price list MAN'!C1021</f>
        <v>TGS-27-4406X4BBS-L</v>
      </c>
      <c r="D1021" s="16" t="str">
        <f>IFERROR(VLOOKUP(C1021&amp;"",'[7]Retail Price List'!$A$3:$B$103,2,FALSE),"Special Order")</f>
        <v>KP000637</v>
      </c>
      <c r="E1021" s="494" t="str">
        <f>'[6]price list MAN'!E1021</f>
        <v>SOLD</v>
      </c>
      <c r="F1021" s="11">
        <f>'[6]price list MAN'!F1021</f>
        <v>22</v>
      </c>
      <c r="G1021" s="32">
        <f>'[6]price list MAN'!G1021</f>
        <v>15.3</v>
      </c>
      <c r="H1021" s="26">
        <f>'[6]price list MAN'!H1021</f>
        <v>42978</v>
      </c>
      <c r="I1021" s="51" t="str">
        <f t="shared" si="75"/>
        <v>2017Q3</v>
      </c>
      <c r="J1021" s="177">
        <f>'[6]price list MAN'!J1021</f>
        <v>1690000</v>
      </c>
      <c r="K1021" s="177">
        <f>'[6]price list MAN'!P1021</f>
        <v>1344000</v>
      </c>
      <c r="L1021" s="177">
        <f>'[6]price list MAN'!R1021</f>
        <v>1280000</v>
      </c>
      <c r="M1021" s="174">
        <f>'[6]price list MAN'!S1021</f>
        <v>1745000</v>
      </c>
      <c r="N1021" s="174">
        <f>'[6]price list MAN'!Y1021</f>
        <v>1401750</v>
      </c>
      <c r="O1021" s="174">
        <f>'[6]price list MAN'!AA1021</f>
        <v>1335000</v>
      </c>
      <c r="P1021" s="68">
        <f t="shared" si="76"/>
        <v>0.23495702005730659</v>
      </c>
      <c r="Q1021" s="62" t="e">
        <f>O1021-#REF!</f>
        <v>#REF!</v>
      </c>
      <c r="W1021" s="210"/>
      <c r="X1021" s="210"/>
      <c r="Y1021" s="210"/>
      <c r="Z1021" s="210"/>
      <c r="AA1021" s="210"/>
      <c r="AB1021" s="210"/>
      <c r="AC1021" s="210"/>
      <c r="AT1021" s="425" t="str">
        <f t="shared" si="77"/>
        <v>KP0006372017Q315,3</v>
      </c>
      <c r="AU1021" s="64" t="str">
        <f t="shared" si="78"/>
        <v>08-2017</v>
      </c>
      <c r="BA1021" s="428" t="str">
        <f t="shared" si="79"/>
        <v>WIP - 30 Days</v>
      </c>
    </row>
    <row r="1022" spans="2:53">
      <c r="B1022" s="36" t="str">
        <f>'[6]price list MAN'!B1022</f>
        <v>76W-B088</v>
      </c>
      <c r="C1022" s="10" t="str">
        <f>'[6]price list MAN'!C1022</f>
        <v>TGS-27-4406X4BBS-L</v>
      </c>
      <c r="D1022" s="16" t="str">
        <f>IFERROR(VLOOKUP(C1022&amp;"",'[7]Retail Price List'!$A$3:$B$103,2,FALSE),"Special Order")</f>
        <v>KP000637</v>
      </c>
      <c r="E1022" s="494" t="str">
        <f>'[6]price list MAN'!E1022</f>
        <v>SOLD</v>
      </c>
      <c r="F1022" s="11">
        <f>'[6]price list MAN'!F1022</f>
        <v>22</v>
      </c>
      <c r="G1022" s="32">
        <f>'[6]price list MAN'!G1022</f>
        <v>15.3</v>
      </c>
      <c r="H1022" s="26">
        <f>'[6]price list MAN'!H1022</f>
        <v>42978</v>
      </c>
      <c r="I1022" s="51" t="str">
        <f t="shared" si="75"/>
        <v>2017Q3</v>
      </c>
      <c r="J1022" s="177">
        <f>'[6]price list MAN'!J1022</f>
        <v>1690000</v>
      </c>
      <c r="K1022" s="177">
        <f>'[6]price list MAN'!P1022</f>
        <v>1344000</v>
      </c>
      <c r="L1022" s="177">
        <f>'[6]price list MAN'!R1022</f>
        <v>1280000</v>
      </c>
      <c r="M1022" s="174">
        <f>'[6]price list MAN'!S1022</f>
        <v>1745000</v>
      </c>
      <c r="N1022" s="174">
        <f>'[6]price list MAN'!Y1022</f>
        <v>1401750</v>
      </c>
      <c r="O1022" s="174">
        <f>'[6]price list MAN'!AA1022</f>
        <v>1335000</v>
      </c>
      <c r="P1022" s="68">
        <f t="shared" si="76"/>
        <v>0.23495702005730659</v>
      </c>
      <c r="Q1022" s="62" t="e">
        <f>O1022-#REF!</f>
        <v>#REF!</v>
      </c>
      <c r="W1022" s="210"/>
      <c r="X1022" s="210"/>
      <c r="Y1022" s="210"/>
      <c r="Z1022" s="210"/>
      <c r="AA1022" s="210"/>
      <c r="AB1022" s="210"/>
      <c r="AC1022" s="210"/>
      <c r="AT1022" s="425" t="str">
        <f t="shared" si="77"/>
        <v>KP0006372017Q315,3</v>
      </c>
      <c r="AU1022" s="64" t="str">
        <f t="shared" si="78"/>
        <v>08-2017</v>
      </c>
      <c r="BA1022" s="428" t="str">
        <f t="shared" si="79"/>
        <v>WIP - 30 Days</v>
      </c>
    </row>
    <row r="1023" spans="2:53">
      <c r="B1023" s="36" t="str">
        <f>'[6]price list MAN'!B1023</f>
        <v>76W-B091</v>
      </c>
      <c r="C1023" s="10" t="str">
        <f>'[6]price list MAN'!C1023</f>
        <v>TGS-27-4406X4BBS-L</v>
      </c>
      <c r="D1023" s="16" t="str">
        <f>IFERROR(VLOOKUP(C1023&amp;"",'[7]Retail Price List'!$A$3:$B$103,2,FALSE),"Special Order")</f>
        <v>KP000637</v>
      </c>
      <c r="E1023" s="494" t="str">
        <f>'[6]price list MAN'!E1023</f>
        <v>SOLD</v>
      </c>
      <c r="F1023" s="11">
        <f>'[6]price list MAN'!F1023</f>
        <v>12</v>
      </c>
      <c r="G1023" s="32">
        <f>'[6]price list MAN'!G1023</f>
        <v>15.3</v>
      </c>
      <c r="H1023" s="26">
        <f>'[6]price list MAN'!H1023</f>
        <v>42978</v>
      </c>
      <c r="I1023" s="51" t="str">
        <f t="shared" si="75"/>
        <v>2017Q3</v>
      </c>
      <c r="J1023" s="177">
        <f>'[6]price list MAN'!J1023</f>
        <v>1690000</v>
      </c>
      <c r="K1023" s="177">
        <f>'[6]price list MAN'!P1023</f>
        <v>1344000</v>
      </c>
      <c r="L1023" s="177">
        <f>'[6]price list MAN'!R1023</f>
        <v>1280000</v>
      </c>
      <c r="M1023" s="174">
        <f>'[6]price list MAN'!S1023</f>
        <v>1745000</v>
      </c>
      <c r="N1023" s="174">
        <f>'[6]price list MAN'!Y1023</f>
        <v>1401750</v>
      </c>
      <c r="O1023" s="174">
        <f>'[6]price list MAN'!AA1023</f>
        <v>1335000</v>
      </c>
      <c r="P1023" s="68">
        <f t="shared" si="76"/>
        <v>0.23495702005730659</v>
      </c>
      <c r="Q1023" s="62" t="e">
        <f>O1023-#REF!</f>
        <v>#REF!</v>
      </c>
      <c r="W1023" s="210"/>
      <c r="X1023" s="210"/>
      <c r="Y1023" s="210"/>
      <c r="Z1023" s="210"/>
      <c r="AA1023" s="210"/>
      <c r="AB1023" s="210"/>
      <c r="AC1023" s="210"/>
      <c r="AT1023" s="425" t="str">
        <f t="shared" si="77"/>
        <v>KP0006372017Q315,3</v>
      </c>
      <c r="AU1023" s="64" t="str">
        <f t="shared" si="78"/>
        <v>08-2017</v>
      </c>
      <c r="BA1023" s="428" t="str">
        <f t="shared" si="79"/>
        <v>WIP - 30 Days</v>
      </c>
    </row>
    <row r="1024" spans="2:53">
      <c r="B1024" s="36" t="str">
        <f>'[6]price list MAN'!B1024</f>
        <v>76W-B092</v>
      </c>
      <c r="C1024" s="10" t="str">
        <f>'[6]price list MAN'!C1024</f>
        <v>TGS-27-4406X4BBS-L</v>
      </c>
      <c r="D1024" s="16" t="str">
        <f>IFERROR(VLOOKUP(C1024&amp;"",'[7]Retail Price List'!$A$3:$B$103,2,FALSE),"Special Order")</f>
        <v>KP000637</v>
      </c>
      <c r="E1024" s="494" t="str">
        <f>'[6]price list MAN'!E1024</f>
        <v>CKD</v>
      </c>
      <c r="F1024" s="11" t="str">
        <f>'[6]price list MAN'!F1024</f>
        <v>2018-03-30</v>
      </c>
      <c r="G1024" s="32">
        <f>'[6]price list MAN'!G1024</f>
        <v>15.3</v>
      </c>
      <c r="H1024" s="26">
        <f>'[6]price list MAN'!H1024</f>
        <v>42978</v>
      </c>
      <c r="I1024" s="51" t="str">
        <f t="shared" si="75"/>
        <v>2017Q3</v>
      </c>
      <c r="J1024" s="177">
        <f>'[6]price list MAN'!J1024</f>
        <v>1690000</v>
      </c>
      <c r="K1024" s="177">
        <f>'[6]price list MAN'!P1024</f>
        <v>1344000</v>
      </c>
      <c r="L1024" s="177">
        <f>'[6]price list MAN'!R1024</f>
        <v>1280000</v>
      </c>
      <c r="M1024" s="174">
        <f>'[6]price list MAN'!S1024</f>
        <v>1745000</v>
      </c>
      <c r="N1024" s="174">
        <f>'[6]price list MAN'!Y1024</f>
        <v>1401750</v>
      </c>
      <c r="O1024" s="174">
        <f>'[6]price list MAN'!AA1024</f>
        <v>1335000</v>
      </c>
      <c r="P1024" s="68">
        <f t="shared" si="76"/>
        <v>0.23495702005730659</v>
      </c>
      <c r="Q1024" s="62" t="e">
        <f>O1024-#REF!</f>
        <v>#REF!</v>
      </c>
      <c r="W1024" s="210"/>
      <c r="X1024" s="210"/>
      <c r="Y1024" s="210"/>
      <c r="Z1024" s="210"/>
      <c r="AA1024" s="210"/>
      <c r="AB1024" s="210"/>
      <c r="AC1024" s="210"/>
      <c r="AT1024" s="425" t="str">
        <f t="shared" si="77"/>
        <v>KP0006372017Q315,3</v>
      </c>
      <c r="AU1024" s="64" t="str">
        <f t="shared" si="78"/>
        <v>08-2017</v>
      </c>
      <c r="BA1024" s="428" t="str">
        <f t="shared" si="79"/>
        <v>WIP - 30 Days</v>
      </c>
    </row>
    <row r="1025" spans="2:53">
      <c r="B1025" s="36" t="str">
        <f>'[6]price list MAN'!B1025</f>
        <v>76W-B093</v>
      </c>
      <c r="C1025" s="10" t="str">
        <f>'[6]price list MAN'!C1025</f>
        <v>TGS-27-4406X4BBS-L</v>
      </c>
      <c r="D1025" s="16" t="str">
        <f>IFERROR(VLOOKUP(C1025&amp;"",'[7]Retail Price List'!$A$3:$B$103,2,FALSE),"Special Order")</f>
        <v>KP000637</v>
      </c>
      <c r="E1025" s="494" t="str">
        <f>'[6]price list MAN'!E1025</f>
        <v>CKD</v>
      </c>
      <c r="F1025" s="11" t="str">
        <f>'[6]price list MAN'!F1025</f>
        <v>2018-03-30</v>
      </c>
      <c r="G1025" s="32">
        <f>'[6]price list MAN'!G1025</f>
        <v>15.3</v>
      </c>
      <c r="H1025" s="26">
        <f>'[6]price list MAN'!H1025</f>
        <v>42978</v>
      </c>
      <c r="I1025" s="51" t="str">
        <f t="shared" si="75"/>
        <v>2017Q3</v>
      </c>
      <c r="J1025" s="177">
        <f>'[6]price list MAN'!J1025</f>
        <v>1690000</v>
      </c>
      <c r="K1025" s="177">
        <f>'[6]price list MAN'!P1025</f>
        <v>1344000</v>
      </c>
      <c r="L1025" s="177">
        <f>'[6]price list MAN'!R1025</f>
        <v>1280000</v>
      </c>
      <c r="M1025" s="174">
        <f>'[6]price list MAN'!S1025</f>
        <v>1745000</v>
      </c>
      <c r="N1025" s="174">
        <f>'[6]price list MAN'!Y1025</f>
        <v>1401750</v>
      </c>
      <c r="O1025" s="174">
        <f>'[6]price list MAN'!AA1025</f>
        <v>1335000</v>
      </c>
      <c r="P1025" s="68">
        <f t="shared" si="76"/>
        <v>0.23495702005730659</v>
      </c>
      <c r="Q1025" s="62" t="e">
        <f>O1025-#REF!</f>
        <v>#REF!</v>
      </c>
      <c r="W1025" s="210"/>
      <c r="X1025" s="210"/>
      <c r="Y1025" s="210"/>
      <c r="Z1025" s="210"/>
      <c r="AA1025" s="210"/>
      <c r="AB1025" s="210"/>
      <c r="AC1025" s="210"/>
      <c r="AT1025" s="425" t="str">
        <f t="shared" si="77"/>
        <v>KP0006372017Q315,3</v>
      </c>
      <c r="AU1025" s="64" t="str">
        <f t="shared" si="78"/>
        <v>08-2017</v>
      </c>
      <c r="BA1025" s="428" t="str">
        <f t="shared" si="79"/>
        <v>WIP - 30 Days</v>
      </c>
    </row>
    <row r="1026" spans="2:53">
      <c r="B1026" s="36" t="str">
        <f>'[6]price list MAN'!B1026</f>
        <v>76W-B094</v>
      </c>
      <c r="C1026" s="10" t="str">
        <f>'[6]price list MAN'!C1026</f>
        <v>TGS-27-4406X4BBS-L</v>
      </c>
      <c r="D1026" s="16" t="str">
        <f>IFERROR(VLOOKUP(C1026&amp;"",'[7]Retail Price List'!$A$3:$B$103,2,FALSE),"Special Order")</f>
        <v>KP000637</v>
      </c>
      <c r="E1026" s="494" t="str">
        <f>'[6]price list MAN'!E1026</f>
        <v>CKD</v>
      </c>
      <c r="F1026" s="11" t="str">
        <f>'[6]price list MAN'!F1026</f>
        <v>2018-03-30</v>
      </c>
      <c r="G1026" s="32">
        <f>'[6]price list MAN'!G1026</f>
        <v>15.3</v>
      </c>
      <c r="H1026" s="26">
        <f>'[6]price list MAN'!H1026</f>
        <v>42978</v>
      </c>
      <c r="I1026" s="51" t="str">
        <f t="shared" si="75"/>
        <v>2017Q3</v>
      </c>
      <c r="J1026" s="177">
        <f>'[6]price list MAN'!J1026</f>
        <v>1690000</v>
      </c>
      <c r="K1026" s="177">
        <f>'[6]price list MAN'!P1026</f>
        <v>1344000</v>
      </c>
      <c r="L1026" s="177">
        <f>'[6]price list MAN'!R1026</f>
        <v>1280000</v>
      </c>
      <c r="M1026" s="174">
        <f>'[6]price list MAN'!S1026</f>
        <v>1745000</v>
      </c>
      <c r="N1026" s="174">
        <f>'[6]price list MAN'!Y1026</f>
        <v>1401750</v>
      </c>
      <c r="O1026" s="174">
        <f>'[6]price list MAN'!AA1026</f>
        <v>1335000</v>
      </c>
      <c r="P1026" s="68">
        <f t="shared" si="76"/>
        <v>0.23495702005730659</v>
      </c>
      <c r="Q1026" s="62" t="e">
        <f>O1026-#REF!</f>
        <v>#REF!</v>
      </c>
      <c r="W1026" s="210"/>
      <c r="X1026" s="210"/>
      <c r="Y1026" s="210"/>
      <c r="Z1026" s="210"/>
      <c r="AA1026" s="210"/>
      <c r="AB1026" s="210"/>
      <c r="AC1026" s="210"/>
      <c r="AT1026" s="425" t="str">
        <f t="shared" si="77"/>
        <v>KP0006372017Q315,3</v>
      </c>
      <c r="AU1026" s="64" t="str">
        <f t="shared" si="78"/>
        <v>08-2017</v>
      </c>
      <c r="BA1026" s="428" t="str">
        <f t="shared" si="79"/>
        <v>WIP - 30 Days</v>
      </c>
    </row>
    <row r="1027" spans="2:53">
      <c r="B1027" s="36" t="str">
        <f>'[6]price list MAN'!B1027</f>
        <v>76W-B095</v>
      </c>
      <c r="C1027" s="10" t="str">
        <f>'[6]price list MAN'!C1027</f>
        <v>TGS-27-4406X4BBS-L</v>
      </c>
      <c r="D1027" s="16" t="str">
        <f>IFERROR(VLOOKUP(C1027&amp;"",'[7]Retail Price List'!$A$3:$B$103,2,FALSE),"Special Order")</f>
        <v>KP000637</v>
      </c>
      <c r="E1027" s="494" t="str">
        <f>'[6]price list MAN'!E1027</f>
        <v>CKD</v>
      </c>
      <c r="F1027" s="11" t="str">
        <f>'[6]price list MAN'!F1027</f>
        <v>2018-03-30</v>
      </c>
      <c r="G1027" s="32">
        <f>'[6]price list MAN'!G1027</f>
        <v>15.3</v>
      </c>
      <c r="H1027" s="26">
        <f>'[6]price list MAN'!H1027</f>
        <v>42978</v>
      </c>
      <c r="I1027" s="51" t="str">
        <f t="shared" si="75"/>
        <v>2017Q3</v>
      </c>
      <c r="J1027" s="177">
        <f>'[6]price list MAN'!J1027</f>
        <v>1690000</v>
      </c>
      <c r="K1027" s="177">
        <f>'[6]price list MAN'!P1027</f>
        <v>1344000</v>
      </c>
      <c r="L1027" s="177">
        <f>'[6]price list MAN'!R1027</f>
        <v>1280000</v>
      </c>
      <c r="M1027" s="174">
        <f>'[6]price list MAN'!S1027</f>
        <v>1745000</v>
      </c>
      <c r="N1027" s="174">
        <f>'[6]price list MAN'!Y1027</f>
        <v>1401750</v>
      </c>
      <c r="O1027" s="174">
        <f>'[6]price list MAN'!AA1027</f>
        <v>1335000</v>
      </c>
      <c r="P1027" s="68">
        <f t="shared" si="76"/>
        <v>0.23495702005730659</v>
      </c>
      <c r="Q1027" s="62" t="e">
        <f>O1027-#REF!</f>
        <v>#REF!</v>
      </c>
      <c r="W1027" s="210"/>
      <c r="X1027" s="210"/>
      <c r="Y1027" s="210"/>
      <c r="Z1027" s="210"/>
      <c r="AA1027" s="210"/>
      <c r="AB1027" s="210"/>
      <c r="AC1027" s="210"/>
      <c r="AT1027" s="425" t="str">
        <f t="shared" si="77"/>
        <v>KP0006372017Q315,3</v>
      </c>
      <c r="AU1027" s="64" t="str">
        <f t="shared" si="78"/>
        <v>08-2017</v>
      </c>
      <c r="BA1027" s="428" t="str">
        <f t="shared" si="79"/>
        <v>WIP - 30 Days</v>
      </c>
    </row>
    <row r="1028" spans="2:53">
      <c r="B1028" s="36" t="str">
        <f>'[6]price list MAN'!B1028</f>
        <v>TBAKP637</v>
      </c>
      <c r="C1028" s="10" t="str">
        <f>'[6]price list MAN'!C1028</f>
        <v>TGS-27-4406X4BBS-L</v>
      </c>
      <c r="D1028" s="16" t="str">
        <f>IFERROR(VLOOKUP(C1028&amp;"",'[7]Retail Price List'!$A$3:$B$103,2,FALSE),"Special Order")</f>
        <v>KP000637</v>
      </c>
      <c r="E1028" s="494" t="str">
        <f>'[6]price list MAN'!E1028</f>
        <v>CKD</v>
      </c>
      <c r="F1028" s="11" t="str">
        <f>'[6]price list MAN'!F1028</f>
        <v>2018-08-19</v>
      </c>
      <c r="G1028" s="32">
        <f>'[6]price list MAN'!G1028</f>
        <v>15.8</v>
      </c>
      <c r="H1028" s="26">
        <f>'[6]price list MAN'!H1028</f>
        <v>43159</v>
      </c>
      <c r="I1028" s="51" t="str">
        <f t="shared" si="75"/>
        <v>2018Q1</v>
      </c>
      <c r="J1028" s="177">
        <f>'[6]price list MAN'!J1028</f>
        <v>1690000</v>
      </c>
      <c r="K1028" s="177">
        <f>'[6]price list MAN'!P1028</f>
        <v>1344000</v>
      </c>
      <c r="L1028" s="177">
        <f>'[6]price list MAN'!R1028</f>
        <v>1280000</v>
      </c>
      <c r="M1028" s="174">
        <f>'[6]price list MAN'!S1028</f>
        <v>1745000</v>
      </c>
      <c r="N1028" s="174">
        <f>'[6]price list MAN'!Y1028</f>
        <v>1401750</v>
      </c>
      <c r="O1028" s="174">
        <f>'[6]price list MAN'!AA1028</f>
        <v>1335000</v>
      </c>
      <c r="P1028" s="68">
        <f t="shared" si="76"/>
        <v>0.23495702005730659</v>
      </c>
      <c r="Q1028" s="62" t="e">
        <f>O1028-#REF!</f>
        <v>#REF!</v>
      </c>
      <c r="W1028" s="210"/>
      <c r="X1028" s="210"/>
      <c r="Y1028" s="210"/>
      <c r="Z1028" s="210"/>
      <c r="AA1028" s="210"/>
      <c r="AB1028" s="210"/>
      <c r="AC1028" s="210"/>
      <c r="AT1028" s="425" t="str">
        <f t="shared" si="77"/>
        <v>KP0006372018Q115,8</v>
      </c>
      <c r="AU1028" s="64" t="str">
        <f t="shared" si="78"/>
        <v>02-2018</v>
      </c>
      <c r="BA1028" s="428" t="str">
        <f t="shared" si="79"/>
        <v>WIP - 30 Days</v>
      </c>
    </row>
    <row r="1029" spans="2:53">
      <c r="B1029" s="36">
        <f>'[6]price list MAN'!B1029</f>
        <v>48907</v>
      </c>
      <c r="C1029" s="10" t="str">
        <f>'[6]price list MAN'!C1029</f>
        <v>TGS-27-4406X4BBS-L-STEEL</v>
      </c>
      <c r="D1029" s="16" t="str">
        <f>IFERROR(VLOOKUP(C1029&amp;"",'[7]Retail Price List'!$A$3:$B$103,2,FALSE),"Special Order")</f>
        <v>KP000718</v>
      </c>
      <c r="E1029" s="494" t="str">
        <f>'[6]price list MAN'!E1029</f>
        <v>CKD</v>
      </c>
      <c r="F1029" s="11" t="str">
        <f>'[6]price list MAN'!F1029</f>
        <v>2018-06-30</v>
      </c>
      <c r="G1029" s="32">
        <f>'[6]price list MAN'!G1029</f>
        <v>15.9</v>
      </c>
      <c r="H1029" s="26">
        <f>'[6]price list MAN'!H1029</f>
        <v>43069</v>
      </c>
      <c r="I1029" s="51" t="str">
        <f t="shared" ref="I1029:I1092" si="80">IFERROR(VLOOKUP(AU1029,$AW$5:$AY$40,3,FALSE),"")</f>
        <v>2017Q4</v>
      </c>
      <c r="J1029" s="177">
        <f>'[6]price list MAN'!J1029</f>
        <v>1780000</v>
      </c>
      <c r="K1029" s="177">
        <f>'[6]price list MAN'!P1029</f>
        <v>1370250</v>
      </c>
      <c r="L1029" s="177">
        <f>'[6]price list MAN'!R1029</f>
        <v>1305000</v>
      </c>
      <c r="M1029" s="174">
        <f>'[6]price list MAN'!S1029</f>
        <v>1835000</v>
      </c>
      <c r="N1029" s="174">
        <f>'[6]price list MAN'!Y1029</f>
        <v>1428000</v>
      </c>
      <c r="O1029" s="174">
        <f>'[6]price list MAN'!AA1029</f>
        <v>1360000</v>
      </c>
      <c r="P1029" s="68">
        <f t="shared" ref="P1029:P1092" si="81">(M1029-O1029)/M1029</f>
        <v>0.25885558583106266</v>
      </c>
      <c r="Q1029" s="62" t="e">
        <f>O1029-#REF!</f>
        <v>#REF!</v>
      </c>
      <c r="W1029" s="210"/>
      <c r="X1029" s="210"/>
      <c r="Y1029" s="210"/>
      <c r="Z1029" s="210"/>
      <c r="AA1029" s="210"/>
      <c r="AB1029" s="210"/>
      <c r="AC1029" s="210"/>
      <c r="AT1029" s="425" t="str">
        <f t="shared" ref="AT1029:AT1092" si="82">D1029&amp;I1029&amp;G1029</f>
        <v>KP0007182017Q415,9</v>
      </c>
      <c r="AU1029" s="64" t="str">
        <f t="shared" ref="AU1029:AU1092" si="83">IF(MONTH(H1029)&lt;10,0&amp;MONTH(H1029)&amp;"-"&amp;YEAR(H1029),MONTH(H1029)&amp;"-"&amp;YEAR(H1029))</f>
        <v>11-2017</v>
      </c>
      <c r="BA1029" s="428" t="str">
        <f t="shared" ref="BA1029:BA1092" si="84">IF(B1029=0,"",IF(AND(F1029&gt;=31,F1029&lt;=120),"31-120 Days",IF(AND(F1029&gt;=121,F1029&lt;=365),"121-365 Days",IF(OR(E1029="CKD",F1029&lt;=30),"WIP - 30 Days","&gt;365 Days"))))</f>
        <v>WIP - 30 Days</v>
      </c>
    </row>
    <row r="1030" spans="2:53">
      <c r="B1030" s="36">
        <f>'[6]price list MAN'!B1030</f>
        <v>48908</v>
      </c>
      <c r="C1030" s="10" t="str">
        <f>'[6]price list MAN'!C1030</f>
        <v>TGS-27-4406X4BBS-L-STEEL</v>
      </c>
      <c r="D1030" s="16" t="str">
        <f>IFERROR(VLOOKUP(C1030&amp;"",'[7]Retail Price List'!$A$3:$B$103,2,FALSE),"Special Order")</f>
        <v>KP000718</v>
      </c>
      <c r="E1030" s="494" t="str">
        <f>'[6]price list MAN'!E1030</f>
        <v>CKD</v>
      </c>
      <c r="F1030" s="11" t="str">
        <f>'[6]price list MAN'!F1030</f>
        <v>2018-04-30</v>
      </c>
      <c r="G1030" s="32">
        <f>'[6]price list MAN'!G1030</f>
        <v>15.9</v>
      </c>
      <c r="H1030" s="26">
        <f>'[6]price list MAN'!H1030</f>
        <v>43069</v>
      </c>
      <c r="I1030" s="51" t="str">
        <f t="shared" si="80"/>
        <v>2017Q4</v>
      </c>
      <c r="J1030" s="177">
        <f>'[6]price list MAN'!J1030</f>
        <v>1780000</v>
      </c>
      <c r="K1030" s="177">
        <f>'[6]price list MAN'!P1030</f>
        <v>1370250</v>
      </c>
      <c r="L1030" s="177">
        <f>'[6]price list MAN'!R1030</f>
        <v>1305000</v>
      </c>
      <c r="M1030" s="174">
        <f>'[6]price list MAN'!S1030</f>
        <v>1835000</v>
      </c>
      <c r="N1030" s="174">
        <f>'[6]price list MAN'!Y1030</f>
        <v>1428000</v>
      </c>
      <c r="O1030" s="174">
        <f>'[6]price list MAN'!AA1030</f>
        <v>1360000</v>
      </c>
      <c r="P1030" s="68">
        <f t="shared" si="81"/>
        <v>0.25885558583106266</v>
      </c>
      <c r="Q1030" s="62" t="e">
        <f>O1030-#REF!</f>
        <v>#REF!</v>
      </c>
      <c r="W1030" s="210"/>
      <c r="X1030" s="210"/>
      <c r="Y1030" s="210"/>
      <c r="Z1030" s="210"/>
      <c r="AA1030" s="210"/>
      <c r="AB1030" s="210"/>
      <c r="AC1030" s="210"/>
      <c r="AT1030" s="425" t="str">
        <f t="shared" si="82"/>
        <v>KP0007182017Q415,9</v>
      </c>
      <c r="AU1030" s="64" t="str">
        <f t="shared" si="83"/>
        <v>11-2017</v>
      </c>
      <c r="BA1030" s="428" t="str">
        <f t="shared" si="84"/>
        <v>WIP - 30 Days</v>
      </c>
    </row>
    <row r="1031" spans="2:53">
      <c r="B1031" s="36">
        <f>'[6]price list MAN'!B1031</f>
        <v>48909</v>
      </c>
      <c r="C1031" s="10" t="str">
        <f>'[6]price list MAN'!C1031</f>
        <v>TGS-27-4406X4BBS-L-STEEL</v>
      </c>
      <c r="D1031" s="16" t="str">
        <f>IFERROR(VLOOKUP(C1031&amp;"",'[7]Retail Price List'!$A$3:$B$103,2,FALSE),"Special Order")</f>
        <v>KP000718</v>
      </c>
      <c r="E1031" s="494" t="str">
        <f>'[6]price list MAN'!E1031</f>
        <v>CKD</v>
      </c>
      <c r="F1031" s="11" t="str">
        <f>'[6]price list MAN'!F1031</f>
        <v>2018-04-30</v>
      </c>
      <c r="G1031" s="32">
        <f>'[6]price list MAN'!G1031</f>
        <v>15.9</v>
      </c>
      <c r="H1031" s="26">
        <f>'[6]price list MAN'!H1031</f>
        <v>43069</v>
      </c>
      <c r="I1031" s="51" t="str">
        <f t="shared" si="80"/>
        <v>2017Q4</v>
      </c>
      <c r="J1031" s="177">
        <f>'[6]price list MAN'!J1031</f>
        <v>1780000</v>
      </c>
      <c r="K1031" s="177">
        <f>'[6]price list MAN'!P1031</f>
        <v>1370250</v>
      </c>
      <c r="L1031" s="177">
        <f>'[6]price list MAN'!R1031</f>
        <v>1305000</v>
      </c>
      <c r="M1031" s="174">
        <f>'[6]price list MAN'!S1031</f>
        <v>1835000</v>
      </c>
      <c r="N1031" s="174">
        <f>'[6]price list MAN'!Y1031</f>
        <v>1428000</v>
      </c>
      <c r="O1031" s="174">
        <f>'[6]price list MAN'!AA1031</f>
        <v>1360000</v>
      </c>
      <c r="P1031" s="68">
        <f t="shared" si="81"/>
        <v>0.25885558583106266</v>
      </c>
      <c r="Q1031" s="62" t="e">
        <f>O1031-#REF!</f>
        <v>#REF!</v>
      </c>
      <c r="W1031" s="210"/>
      <c r="X1031" s="210"/>
      <c r="Y1031" s="210"/>
      <c r="Z1031" s="210"/>
      <c r="AA1031" s="210"/>
      <c r="AB1031" s="210"/>
      <c r="AC1031" s="210"/>
      <c r="AT1031" s="425" t="str">
        <f t="shared" si="82"/>
        <v>KP0007182017Q415,9</v>
      </c>
      <c r="AU1031" s="64" t="str">
        <f t="shared" si="83"/>
        <v>11-2017</v>
      </c>
      <c r="BA1031" s="428" t="str">
        <f t="shared" si="84"/>
        <v>WIP - 30 Days</v>
      </c>
    </row>
    <row r="1032" spans="2:53">
      <c r="B1032" s="36">
        <f>'[6]price list MAN'!B1032</f>
        <v>48910</v>
      </c>
      <c r="C1032" s="10" t="str">
        <f>'[6]price list MAN'!C1032</f>
        <v>TGS-27-4406X4BBS-L-STEEL</v>
      </c>
      <c r="D1032" s="16" t="str">
        <f>IFERROR(VLOOKUP(C1032&amp;"",'[7]Retail Price List'!$A$3:$B$103,2,FALSE),"Special Order")</f>
        <v>KP000718</v>
      </c>
      <c r="E1032" s="494" t="str">
        <f>'[6]price list MAN'!E1032</f>
        <v>CKD</v>
      </c>
      <c r="F1032" s="11" t="str">
        <f>'[6]price list MAN'!F1032</f>
        <v>2018-04-30</v>
      </c>
      <c r="G1032" s="32">
        <f>'[6]price list MAN'!G1032</f>
        <v>15.9</v>
      </c>
      <c r="H1032" s="26">
        <f>'[6]price list MAN'!H1032</f>
        <v>43069</v>
      </c>
      <c r="I1032" s="51" t="str">
        <f t="shared" si="80"/>
        <v>2017Q4</v>
      </c>
      <c r="J1032" s="177">
        <f>'[6]price list MAN'!J1032</f>
        <v>1780000</v>
      </c>
      <c r="K1032" s="177">
        <f>'[6]price list MAN'!P1032</f>
        <v>1370250</v>
      </c>
      <c r="L1032" s="177">
        <f>'[6]price list MAN'!R1032</f>
        <v>1305000</v>
      </c>
      <c r="M1032" s="174">
        <f>'[6]price list MAN'!S1032</f>
        <v>1835000</v>
      </c>
      <c r="N1032" s="174">
        <f>'[6]price list MAN'!Y1032</f>
        <v>1428000</v>
      </c>
      <c r="O1032" s="174">
        <f>'[6]price list MAN'!AA1032</f>
        <v>1360000</v>
      </c>
      <c r="P1032" s="68">
        <f t="shared" si="81"/>
        <v>0.25885558583106266</v>
      </c>
      <c r="Q1032" s="62" t="e">
        <f>O1032-#REF!</f>
        <v>#REF!</v>
      </c>
      <c r="W1032" s="210"/>
      <c r="X1032" s="210"/>
      <c r="Y1032" s="210"/>
      <c r="Z1032" s="210"/>
      <c r="AA1032" s="210"/>
      <c r="AB1032" s="210"/>
      <c r="AC1032" s="210"/>
      <c r="AT1032" s="425" t="str">
        <f t="shared" si="82"/>
        <v>KP0007182017Q415,9</v>
      </c>
      <c r="AU1032" s="64" t="str">
        <f t="shared" si="83"/>
        <v>11-2017</v>
      </c>
      <c r="BA1032" s="428" t="str">
        <f t="shared" si="84"/>
        <v>WIP - 30 Days</v>
      </c>
    </row>
    <row r="1033" spans="2:53">
      <c r="B1033" s="36">
        <f>'[6]price list MAN'!B1033</f>
        <v>48911</v>
      </c>
      <c r="C1033" s="10" t="str">
        <f>'[6]price list MAN'!C1033</f>
        <v>TGS-27-4406X4BBS-L-STEEL</v>
      </c>
      <c r="D1033" s="16" t="str">
        <f>IFERROR(VLOOKUP(C1033&amp;"",'[7]Retail Price List'!$A$3:$B$103,2,FALSE),"Special Order")</f>
        <v>KP000718</v>
      </c>
      <c r="E1033" s="494" t="str">
        <f>'[6]price list MAN'!E1033</f>
        <v>CKD</v>
      </c>
      <c r="F1033" s="11" t="str">
        <f>'[6]price list MAN'!F1033</f>
        <v>2018-06-30</v>
      </c>
      <c r="G1033" s="32">
        <f>'[6]price list MAN'!G1033</f>
        <v>15.9</v>
      </c>
      <c r="H1033" s="26">
        <f>'[6]price list MAN'!H1033</f>
        <v>43069</v>
      </c>
      <c r="I1033" s="51" t="str">
        <f t="shared" si="80"/>
        <v>2017Q4</v>
      </c>
      <c r="J1033" s="177">
        <f>'[6]price list MAN'!J1033</f>
        <v>1780000</v>
      </c>
      <c r="K1033" s="177">
        <f>'[6]price list MAN'!P1033</f>
        <v>1370250</v>
      </c>
      <c r="L1033" s="177">
        <f>'[6]price list MAN'!R1033</f>
        <v>1305000</v>
      </c>
      <c r="M1033" s="174">
        <f>'[6]price list MAN'!S1033</f>
        <v>1835000</v>
      </c>
      <c r="N1033" s="174">
        <f>'[6]price list MAN'!Y1033</f>
        <v>1428000</v>
      </c>
      <c r="O1033" s="174">
        <f>'[6]price list MAN'!AA1033</f>
        <v>1360000</v>
      </c>
      <c r="P1033" s="68">
        <f t="shared" si="81"/>
        <v>0.25885558583106266</v>
      </c>
      <c r="Q1033" s="62" t="e">
        <f>O1033-#REF!</f>
        <v>#REF!</v>
      </c>
      <c r="W1033" s="210"/>
      <c r="X1033" s="210"/>
      <c r="Y1033" s="210"/>
      <c r="Z1033" s="210"/>
      <c r="AA1033" s="210"/>
      <c r="AB1033" s="210"/>
      <c r="AC1033" s="210"/>
      <c r="AT1033" s="425" t="str">
        <f t="shared" si="82"/>
        <v>KP0007182017Q415,9</v>
      </c>
      <c r="AU1033" s="64" t="str">
        <f t="shared" si="83"/>
        <v>11-2017</v>
      </c>
      <c r="BA1033" s="428" t="str">
        <f t="shared" si="84"/>
        <v>WIP - 30 Days</v>
      </c>
    </row>
    <row r="1034" spans="2:53">
      <c r="B1034" s="36">
        <f>'[6]price list MAN'!B1034</f>
        <v>48912</v>
      </c>
      <c r="C1034" s="10" t="str">
        <f>'[6]price list MAN'!C1034</f>
        <v>TGS-27-4406X4BBS-L-STEEL</v>
      </c>
      <c r="D1034" s="16" t="str">
        <f>IFERROR(VLOOKUP(C1034&amp;"",'[7]Retail Price List'!$A$3:$B$103,2,FALSE),"Special Order")</f>
        <v>KP000718</v>
      </c>
      <c r="E1034" s="494" t="str">
        <f>'[6]price list MAN'!E1034</f>
        <v>CKD</v>
      </c>
      <c r="F1034" s="11" t="str">
        <f>'[6]price list MAN'!F1034</f>
        <v>2018-07-30</v>
      </c>
      <c r="G1034" s="32">
        <f>'[6]price list MAN'!G1034</f>
        <v>15.9</v>
      </c>
      <c r="H1034" s="26">
        <f>'[6]price list MAN'!H1034</f>
        <v>43069</v>
      </c>
      <c r="I1034" s="51" t="str">
        <f t="shared" si="80"/>
        <v>2017Q4</v>
      </c>
      <c r="J1034" s="177">
        <f>'[6]price list MAN'!J1034</f>
        <v>1780000</v>
      </c>
      <c r="K1034" s="177">
        <f>'[6]price list MAN'!P1034</f>
        <v>1370250</v>
      </c>
      <c r="L1034" s="177">
        <f>'[6]price list MAN'!R1034</f>
        <v>1305000</v>
      </c>
      <c r="M1034" s="174">
        <f>'[6]price list MAN'!S1034</f>
        <v>1835000</v>
      </c>
      <c r="N1034" s="174">
        <f>'[6]price list MAN'!Y1034</f>
        <v>1428000</v>
      </c>
      <c r="O1034" s="174">
        <f>'[6]price list MAN'!AA1034</f>
        <v>1360000</v>
      </c>
      <c r="P1034" s="68">
        <f t="shared" si="81"/>
        <v>0.25885558583106266</v>
      </c>
      <c r="Q1034" s="62" t="e">
        <f>O1034-#REF!</f>
        <v>#REF!</v>
      </c>
      <c r="W1034" s="210"/>
      <c r="X1034" s="210"/>
      <c r="Y1034" s="210"/>
      <c r="Z1034" s="210"/>
      <c r="AA1034" s="210"/>
      <c r="AB1034" s="210"/>
      <c r="AC1034" s="210"/>
      <c r="AT1034" s="425" t="str">
        <f t="shared" si="82"/>
        <v>KP0007182017Q415,9</v>
      </c>
      <c r="AU1034" s="64" t="str">
        <f t="shared" si="83"/>
        <v>11-2017</v>
      </c>
      <c r="BA1034" s="428" t="str">
        <f t="shared" si="84"/>
        <v>WIP - 30 Days</v>
      </c>
    </row>
    <row r="1035" spans="2:53">
      <c r="B1035" s="36">
        <f>'[6]price list MAN'!B1035</f>
        <v>48913</v>
      </c>
      <c r="C1035" s="10" t="str">
        <f>'[6]price list MAN'!C1035</f>
        <v>TGS-27-4406X4BBS-L-STEEL</v>
      </c>
      <c r="D1035" s="16" t="str">
        <f>IFERROR(VLOOKUP(C1035&amp;"",'[7]Retail Price List'!$A$3:$B$103,2,FALSE),"Special Order")</f>
        <v>KP000718</v>
      </c>
      <c r="E1035" s="494" t="str">
        <f>'[6]price list MAN'!E1035</f>
        <v>CKD</v>
      </c>
      <c r="F1035" s="11" t="str">
        <f>'[6]price list MAN'!F1035</f>
        <v>2018-07-30</v>
      </c>
      <c r="G1035" s="32">
        <f>'[6]price list MAN'!G1035</f>
        <v>15.9</v>
      </c>
      <c r="H1035" s="26">
        <f>'[6]price list MAN'!H1035</f>
        <v>43069</v>
      </c>
      <c r="I1035" s="51" t="str">
        <f t="shared" si="80"/>
        <v>2017Q4</v>
      </c>
      <c r="J1035" s="177">
        <f>'[6]price list MAN'!J1035</f>
        <v>1780000</v>
      </c>
      <c r="K1035" s="177">
        <f>'[6]price list MAN'!P1035</f>
        <v>1370250</v>
      </c>
      <c r="L1035" s="177">
        <f>'[6]price list MAN'!R1035</f>
        <v>1305000</v>
      </c>
      <c r="M1035" s="174">
        <f>'[6]price list MAN'!S1035</f>
        <v>1835000</v>
      </c>
      <c r="N1035" s="174">
        <f>'[6]price list MAN'!Y1035</f>
        <v>1428000</v>
      </c>
      <c r="O1035" s="174">
        <f>'[6]price list MAN'!AA1035</f>
        <v>1360000</v>
      </c>
      <c r="P1035" s="68">
        <f t="shared" si="81"/>
        <v>0.25885558583106266</v>
      </c>
      <c r="Q1035" s="62" t="e">
        <f>O1035-#REF!</f>
        <v>#REF!</v>
      </c>
      <c r="W1035" s="210"/>
      <c r="X1035" s="210"/>
      <c r="Y1035" s="210"/>
      <c r="Z1035" s="210"/>
      <c r="AA1035" s="210"/>
      <c r="AB1035" s="210"/>
      <c r="AC1035" s="210"/>
      <c r="AT1035" s="425" t="str">
        <f t="shared" si="82"/>
        <v>KP0007182017Q415,9</v>
      </c>
      <c r="AU1035" s="64" t="str">
        <f t="shared" si="83"/>
        <v>11-2017</v>
      </c>
      <c r="BA1035" s="428" t="str">
        <f t="shared" si="84"/>
        <v>WIP - 30 Days</v>
      </c>
    </row>
    <row r="1036" spans="2:53">
      <c r="B1036" s="36">
        <f>'[6]price list MAN'!B1036</f>
        <v>48914</v>
      </c>
      <c r="C1036" s="10" t="str">
        <f>'[6]price list MAN'!C1036</f>
        <v>TGS-27-4406X4BBS-L-STEEL</v>
      </c>
      <c r="D1036" s="16" t="str">
        <f>IFERROR(VLOOKUP(C1036&amp;"",'[7]Retail Price List'!$A$3:$B$103,2,FALSE),"Special Order")</f>
        <v>KP000718</v>
      </c>
      <c r="E1036" s="494" t="str">
        <f>'[6]price list MAN'!E1036</f>
        <v>CKD</v>
      </c>
      <c r="F1036" s="11" t="str">
        <f>'[6]price list MAN'!F1036</f>
        <v>2018-07-30</v>
      </c>
      <c r="G1036" s="32">
        <f>'[6]price list MAN'!G1036</f>
        <v>15.9</v>
      </c>
      <c r="H1036" s="26">
        <f>'[6]price list MAN'!H1036</f>
        <v>43069</v>
      </c>
      <c r="I1036" s="51" t="str">
        <f t="shared" si="80"/>
        <v>2017Q4</v>
      </c>
      <c r="J1036" s="177">
        <f>'[6]price list MAN'!J1036</f>
        <v>1780000</v>
      </c>
      <c r="K1036" s="177">
        <f>'[6]price list MAN'!P1036</f>
        <v>1370250</v>
      </c>
      <c r="L1036" s="177">
        <f>'[6]price list MAN'!R1036</f>
        <v>1305000</v>
      </c>
      <c r="M1036" s="174">
        <f>'[6]price list MAN'!S1036</f>
        <v>1835000</v>
      </c>
      <c r="N1036" s="174">
        <f>'[6]price list MAN'!Y1036</f>
        <v>1428000</v>
      </c>
      <c r="O1036" s="174">
        <f>'[6]price list MAN'!AA1036</f>
        <v>1360000</v>
      </c>
      <c r="P1036" s="68">
        <f t="shared" si="81"/>
        <v>0.25885558583106266</v>
      </c>
      <c r="Q1036" s="62" t="e">
        <f>O1036-#REF!</f>
        <v>#REF!</v>
      </c>
      <c r="W1036" s="210"/>
      <c r="X1036" s="210"/>
      <c r="Y1036" s="210"/>
      <c r="Z1036" s="210"/>
      <c r="AA1036" s="210"/>
      <c r="AB1036" s="210"/>
      <c r="AC1036" s="210"/>
      <c r="AT1036" s="425" t="str">
        <f t="shared" si="82"/>
        <v>KP0007182017Q415,9</v>
      </c>
      <c r="AU1036" s="64" t="str">
        <f t="shared" si="83"/>
        <v>11-2017</v>
      </c>
      <c r="BA1036" s="428" t="str">
        <f t="shared" si="84"/>
        <v>WIP - 30 Days</v>
      </c>
    </row>
    <row r="1037" spans="2:53">
      <c r="B1037" s="36">
        <f>'[6]price list MAN'!B1037</f>
        <v>48915</v>
      </c>
      <c r="C1037" s="10" t="str">
        <f>'[6]price list MAN'!C1037</f>
        <v>TGS-27-4406X4BBS-L-STEEL</v>
      </c>
      <c r="D1037" s="16" t="str">
        <f>IFERROR(VLOOKUP(C1037&amp;"",'[7]Retail Price List'!$A$3:$B$103,2,FALSE),"Special Order")</f>
        <v>KP000718</v>
      </c>
      <c r="E1037" s="494" t="str">
        <f>'[6]price list MAN'!E1037</f>
        <v>CKD</v>
      </c>
      <c r="F1037" s="11" t="str">
        <f>'[6]price list MAN'!F1037</f>
        <v>2018-08-30</v>
      </c>
      <c r="G1037" s="32">
        <f>'[6]price list MAN'!G1037</f>
        <v>15.9</v>
      </c>
      <c r="H1037" s="26">
        <f>'[6]price list MAN'!H1037</f>
        <v>43069</v>
      </c>
      <c r="I1037" s="51" t="str">
        <f t="shared" si="80"/>
        <v>2017Q4</v>
      </c>
      <c r="J1037" s="177">
        <f>'[6]price list MAN'!J1037</f>
        <v>1780000</v>
      </c>
      <c r="K1037" s="177">
        <f>'[6]price list MAN'!P1037</f>
        <v>1370250</v>
      </c>
      <c r="L1037" s="177">
        <f>'[6]price list MAN'!R1037</f>
        <v>1305000</v>
      </c>
      <c r="M1037" s="174">
        <f>'[6]price list MAN'!S1037</f>
        <v>1835000</v>
      </c>
      <c r="N1037" s="174">
        <f>'[6]price list MAN'!Y1037</f>
        <v>1428000</v>
      </c>
      <c r="O1037" s="174">
        <f>'[6]price list MAN'!AA1037</f>
        <v>1360000</v>
      </c>
      <c r="P1037" s="68">
        <f t="shared" si="81"/>
        <v>0.25885558583106266</v>
      </c>
      <c r="Q1037" s="62" t="e">
        <f>O1037-#REF!</f>
        <v>#REF!</v>
      </c>
      <c r="W1037" s="210"/>
      <c r="X1037" s="210"/>
      <c r="Y1037" s="210"/>
      <c r="Z1037" s="210"/>
      <c r="AA1037" s="210"/>
      <c r="AB1037" s="210"/>
      <c r="AC1037" s="210"/>
      <c r="AT1037" s="425" t="str">
        <f t="shared" si="82"/>
        <v>KP0007182017Q415,9</v>
      </c>
      <c r="AU1037" s="64" t="str">
        <f t="shared" si="83"/>
        <v>11-2017</v>
      </c>
      <c r="BA1037" s="428" t="str">
        <f t="shared" si="84"/>
        <v>WIP - 30 Days</v>
      </c>
    </row>
    <row r="1038" spans="2:53">
      <c r="B1038" s="36">
        <f>'[6]price list MAN'!B1038</f>
        <v>48916</v>
      </c>
      <c r="C1038" s="10" t="str">
        <f>'[6]price list MAN'!C1038</f>
        <v>TGS-27-4406X4BBS-L-STEEL</v>
      </c>
      <c r="D1038" s="16" t="str">
        <f>IFERROR(VLOOKUP(C1038&amp;"",'[7]Retail Price List'!$A$3:$B$103,2,FALSE),"Special Order")</f>
        <v>KP000718</v>
      </c>
      <c r="E1038" s="494" t="str">
        <f>'[6]price list MAN'!E1038</f>
        <v>CKD</v>
      </c>
      <c r="F1038" s="11" t="str">
        <f>'[6]price list MAN'!F1038</f>
        <v>2018-08-30</v>
      </c>
      <c r="G1038" s="32">
        <f>'[6]price list MAN'!G1038</f>
        <v>15.9</v>
      </c>
      <c r="H1038" s="26">
        <f>'[6]price list MAN'!H1038</f>
        <v>43069</v>
      </c>
      <c r="I1038" s="51" t="str">
        <f t="shared" si="80"/>
        <v>2017Q4</v>
      </c>
      <c r="J1038" s="177">
        <f>'[6]price list MAN'!J1038</f>
        <v>1780000</v>
      </c>
      <c r="K1038" s="177">
        <f>'[6]price list MAN'!P1038</f>
        <v>1370250</v>
      </c>
      <c r="L1038" s="177">
        <f>'[6]price list MAN'!R1038</f>
        <v>1305000</v>
      </c>
      <c r="M1038" s="174">
        <f>'[6]price list MAN'!S1038</f>
        <v>1835000</v>
      </c>
      <c r="N1038" s="174">
        <f>'[6]price list MAN'!Y1038</f>
        <v>1428000</v>
      </c>
      <c r="O1038" s="174">
        <f>'[6]price list MAN'!AA1038</f>
        <v>1360000</v>
      </c>
      <c r="P1038" s="68">
        <f t="shared" si="81"/>
        <v>0.25885558583106266</v>
      </c>
      <c r="Q1038" s="62" t="e">
        <f>O1038-#REF!</f>
        <v>#REF!</v>
      </c>
      <c r="W1038" s="210"/>
      <c r="X1038" s="210"/>
      <c r="Y1038" s="210"/>
      <c r="Z1038" s="210"/>
      <c r="AA1038" s="210"/>
      <c r="AB1038" s="210"/>
      <c r="AC1038" s="210"/>
      <c r="AT1038" s="425" t="str">
        <f t="shared" si="82"/>
        <v>KP0007182017Q415,9</v>
      </c>
      <c r="AU1038" s="64" t="str">
        <f t="shared" si="83"/>
        <v>11-2017</v>
      </c>
      <c r="BA1038" s="428" t="str">
        <f t="shared" si="84"/>
        <v>WIP - 30 Days</v>
      </c>
    </row>
    <row r="1039" spans="2:53">
      <c r="B1039" s="36">
        <f>'[6]price list MAN'!B1039</f>
        <v>48917</v>
      </c>
      <c r="C1039" s="10" t="str">
        <f>'[6]price list MAN'!C1039</f>
        <v>TGS-27-4406X4BBS-L-STEEL</v>
      </c>
      <c r="D1039" s="16" t="str">
        <f>IFERROR(VLOOKUP(C1039&amp;"",'[7]Retail Price List'!$A$3:$B$103,2,FALSE),"Special Order")</f>
        <v>KP000718</v>
      </c>
      <c r="E1039" s="494" t="str">
        <f>'[6]price list MAN'!E1039</f>
        <v>CKD</v>
      </c>
      <c r="F1039" s="11" t="str">
        <f>'[6]price list MAN'!F1039</f>
        <v>2018-09-30</v>
      </c>
      <c r="G1039" s="32">
        <f>'[6]price list MAN'!G1039</f>
        <v>15.9</v>
      </c>
      <c r="H1039" s="26">
        <f>'[6]price list MAN'!H1039</f>
        <v>43069</v>
      </c>
      <c r="I1039" s="51" t="str">
        <f t="shared" si="80"/>
        <v>2017Q4</v>
      </c>
      <c r="J1039" s="177">
        <f>'[6]price list MAN'!J1039</f>
        <v>1780000</v>
      </c>
      <c r="K1039" s="177">
        <f>'[6]price list MAN'!P1039</f>
        <v>1370250</v>
      </c>
      <c r="L1039" s="177">
        <f>'[6]price list MAN'!R1039</f>
        <v>1305000</v>
      </c>
      <c r="M1039" s="174">
        <f>'[6]price list MAN'!S1039</f>
        <v>1835000</v>
      </c>
      <c r="N1039" s="174">
        <f>'[6]price list MAN'!Y1039</f>
        <v>1428000</v>
      </c>
      <c r="O1039" s="174">
        <f>'[6]price list MAN'!AA1039</f>
        <v>1360000</v>
      </c>
      <c r="P1039" s="68">
        <f t="shared" si="81"/>
        <v>0.25885558583106266</v>
      </c>
      <c r="Q1039" s="62" t="e">
        <f>O1039-#REF!</f>
        <v>#REF!</v>
      </c>
      <c r="W1039" s="210"/>
      <c r="X1039" s="210"/>
      <c r="Y1039" s="210"/>
      <c r="Z1039" s="210"/>
      <c r="AA1039" s="210"/>
      <c r="AB1039" s="210"/>
      <c r="AC1039" s="210"/>
      <c r="AT1039" s="425" t="str">
        <f t="shared" si="82"/>
        <v>KP0007182017Q415,9</v>
      </c>
      <c r="AU1039" s="64" t="str">
        <f t="shared" si="83"/>
        <v>11-2017</v>
      </c>
      <c r="BA1039" s="428" t="str">
        <f t="shared" si="84"/>
        <v>WIP - 30 Days</v>
      </c>
    </row>
    <row r="1040" spans="2:53">
      <c r="B1040" s="36">
        <f>'[6]price list MAN'!B1040</f>
        <v>48918</v>
      </c>
      <c r="C1040" s="10" t="str">
        <f>'[6]price list MAN'!C1040</f>
        <v>TGS-27-4406X4BBS-L-STEEL</v>
      </c>
      <c r="D1040" s="16" t="str">
        <f>IFERROR(VLOOKUP(C1040&amp;"",'[7]Retail Price List'!$A$3:$B$103,2,FALSE),"Special Order")</f>
        <v>KP000718</v>
      </c>
      <c r="E1040" s="494" t="str">
        <f>'[6]price list MAN'!E1040</f>
        <v>CKD</v>
      </c>
      <c r="F1040" s="11" t="str">
        <f>'[6]price list MAN'!F1040</f>
        <v>2018-09-30</v>
      </c>
      <c r="G1040" s="32">
        <f>'[6]price list MAN'!G1040</f>
        <v>15.9</v>
      </c>
      <c r="H1040" s="26">
        <f>'[6]price list MAN'!H1040</f>
        <v>43069</v>
      </c>
      <c r="I1040" s="51" t="str">
        <f t="shared" si="80"/>
        <v>2017Q4</v>
      </c>
      <c r="J1040" s="177">
        <f>'[6]price list MAN'!J1040</f>
        <v>1780000</v>
      </c>
      <c r="K1040" s="177">
        <f>'[6]price list MAN'!P1040</f>
        <v>1370250</v>
      </c>
      <c r="L1040" s="177">
        <f>'[6]price list MAN'!R1040</f>
        <v>1305000</v>
      </c>
      <c r="M1040" s="174">
        <f>'[6]price list MAN'!S1040</f>
        <v>1835000</v>
      </c>
      <c r="N1040" s="174">
        <f>'[6]price list MAN'!Y1040</f>
        <v>1428000</v>
      </c>
      <c r="O1040" s="174">
        <f>'[6]price list MAN'!AA1040</f>
        <v>1360000</v>
      </c>
      <c r="P1040" s="68">
        <f t="shared" si="81"/>
        <v>0.25885558583106266</v>
      </c>
      <c r="Q1040" s="62" t="e">
        <f>O1040-#REF!</f>
        <v>#REF!</v>
      </c>
      <c r="W1040" s="210"/>
      <c r="X1040" s="210"/>
      <c r="Y1040" s="210"/>
      <c r="Z1040" s="210"/>
      <c r="AA1040" s="210"/>
      <c r="AB1040" s="210"/>
      <c r="AC1040" s="210"/>
      <c r="AT1040" s="425" t="str">
        <f t="shared" si="82"/>
        <v>KP0007182017Q415,9</v>
      </c>
      <c r="AU1040" s="64" t="str">
        <f t="shared" si="83"/>
        <v>11-2017</v>
      </c>
      <c r="BA1040" s="428" t="str">
        <f t="shared" si="84"/>
        <v>WIP - 30 Days</v>
      </c>
    </row>
    <row r="1041" spans="2:53">
      <c r="B1041" s="36">
        <f>'[6]price list MAN'!B1041</f>
        <v>48959</v>
      </c>
      <c r="C1041" s="10" t="str">
        <f>'[6]price list MAN'!C1041</f>
        <v>TGS-27-4406X4BBS-L-STEEL</v>
      </c>
      <c r="D1041" s="16" t="str">
        <f>IFERROR(VLOOKUP(C1041&amp;"",'[7]Retail Price List'!$A$3:$B$103,2,FALSE),"Special Order")</f>
        <v>KP000718</v>
      </c>
      <c r="E1041" s="494" t="str">
        <f>'[6]price list MAN'!E1041</f>
        <v>CKD</v>
      </c>
      <c r="F1041" s="11" t="str">
        <f>'[6]price list MAN'!F1041</f>
        <v>2018-06-30</v>
      </c>
      <c r="G1041" s="32">
        <f>'[6]price list MAN'!G1041</f>
        <v>15.9</v>
      </c>
      <c r="H1041" s="26">
        <f>'[6]price list MAN'!H1041</f>
        <v>43069</v>
      </c>
      <c r="I1041" s="51" t="str">
        <f t="shared" si="80"/>
        <v>2017Q4</v>
      </c>
      <c r="J1041" s="177">
        <f>'[6]price list MAN'!J1041</f>
        <v>1780000</v>
      </c>
      <c r="K1041" s="177">
        <f>'[6]price list MAN'!P1041</f>
        <v>1370250</v>
      </c>
      <c r="L1041" s="177">
        <f>'[6]price list MAN'!R1041</f>
        <v>1305000</v>
      </c>
      <c r="M1041" s="174">
        <f>'[6]price list MAN'!S1041</f>
        <v>1835000</v>
      </c>
      <c r="N1041" s="174">
        <f>'[6]price list MAN'!Y1041</f>
        <v>1428000</v>
      </c>
      <c r="O1041" s="174">
        <f>'[6]price list MAN'!AA1041</f>
        <v>1360000</v>
      </c>
      <c r="P1041" s="68">
        <f t="shared" si="81"/>
        <v>0.25885558583106266</v>
      </c>
      <c r="Q1041" s="62" t="e">
        <f>O1041-#REF!</f>
        <v>#REF!</v>
      </c>
      <c r="W1041" s="210"/>
      <c r="X1041" s="210"/>
      <c r="Y1041" s="210"/>
      <c r="Z1041" s="210"/>
      <c r="AA1041" s="210"/>
      <c r="AB1041" s="210"/>
      <c r="AC1041" s="210"/>
      <c r="AT1041" s="425" t="str">
        <f t="shared" si="82"/>
        <v>KP0007182017Q415,9</v>
      </c>
      <c r="AU1041" s="64" t="str">
        <f t="shared" si="83"/>
        <v>11-2017</v>
      </c>
      <c r="BA1041" s="428" t="str">
        <f t="shared" si="84"/>
        <v>WIP - 30 Days</v>
      </c>
    </row>
    <row r="1042" spans="2:53">
      <c r="B1042" s="36">
        <f>'[6]price list MAN'!B1042</f>
        <v>48960</v>
      </c>
      <c r="C1042" s="10" t="str">
        <f>'[6]price list MAN'!C1042</f>
        <v>TGS-27-4406X4BBS-L-STEEL</v>
      </c>
      <c r="D1042" s="16" t="str">
        <f>IFERROR(VLOOKUP(C1042&amp;"",'[7]Retail Price List'!$A$3:$B$103,2,FALSE),"Special Order")</f>
        <v>KP000718</v>
      </c>
      <c r="E1042" s="494" t="str">
        <f>'[6]price list MAN'!E1042</f>
        <v>CKD</v>
      </c>
      <c r="F1042" s="11" t="str">
        <f>'[6]price list MAN'!F1042</f>
        <v>2018-06-30</v>
      </c>
      <c r="G1042" s="32">
        <f>'[6]price list MAN'!G1042</f>
        <v>15.9</v>
      </c>
      <c r="H1042" s="26">
        <f>'[6]price list MAN'!H1042</f>
        <v>43069</v>
      </c>
      <c r="I1042" s="51" t="str">
        <f t="shared" si="80"/>
        <v>2017Q4</v>
      </c>
      <c r="J1042" s="177">
        <f>'[6]price list MAN'!J1042</f>
        <v>1780000</v>
      </c>
      <c r="K1042" s="177">
        <f>'[6]price list MAN'!P1042</f>
        <v>1370250</v>
      </c>
      <c r="L1042" s="177">
        <f>'[6]price list MAN'!R1042</f>
        <v>1305000</v>
      </c>
      <c r="M1042" s="174">
        <f>'[6]price list MAN'!S1042</f>
        <v>1835000</v>
      </c>
      <c r="N1042" s="174">
        <f>'[6]price list MAN'!Y1042</f>
        <v>1428000</v>
      </c>
      <c r="O1042" s="174">
        <f>'[6]price list MAN'!AA1042</f>
        <v>1360000</v>
      </c>
      <c r="P1042" s="68">
        <f t="shared" si="81"/>
        <v>0.25885558583106266</v>
      </c>
      <c r="Q1042" s="62" t="e">
        <f>O1042-#REF!</f>
        <v>#REF!</v>
      </c>
      <c r="W1042" s="210"/>
      <c r="X1042" s="210"/>
      <c r="Y1042" s="210"/>
      <c r="Z1042" s="210"/>
      <c r="AA1042" s="210"/>
      <c r="AB1042" s="210"/>
      <c r="AC1042" s="210"/>
      <c r="AT1042" s="425" t="str">
        <f t="shared" si="82"/>
        <v>KP0007182017Q415,9</v>
      </c>
      <c r="AU1042" s="64" t="str">
        <f t="shared" si="83"/>
        <v>11-2017</v>
      </c>
      <c r="BA1042" s="428" t="str">
        <f t="shared" si="84"/>
        <v>WIP - 30 Days</v>
      </c>
    </row>
    <row r="1043" spans="2:53">
      <c r="B1043" s="36">
        <f>'[6]price list MAN'!B1043</f>
        <v>48961</v>
      </c>
      <c r="C1043" s="10" t="str">
        <f>'[6]price list MAN'!C1043</f>
        <v>TGS-27-4406X4BBS-L-STEEL</v>
      </c>
      <c r="D1043" s="16" t="str">
        <f>IFERROR(VLOOKUP(C1043&amp;"",'[7]Retail Price List'!$A$3:$B$103,2,FALSE),"Special Order")</f>
        <v>KP000718</v>
      </c>
      <c r="E1043" s="494" t="str">
        <f>'[6]price list MAN'!E1043</f>
        <v>CKD</v>
      </c>
      <c r="F1043" s="11" t="str">
        <f>'[6]price list MAN'!F1043</f>
        <v>2018-06-30</v>
      </c>
      <c r="G1043" s="32">
        <f>'[6]price list MAN'!G1043</f>
        <v>15.9</v>
      </c>
      <c r="H1043" s="26">
        <f>'[6]price list MAN'!H1043</f>
        <v>43069</v>
      </c>
      <c r="I1043" s="51" t="str">
        <f t="shared" si="80"/>
        <v>2017Q4</v>
      </c>
      <c r="J1043" s="177">
        <f>'[6]price list MAN'!J1043</f>
        <v>1780000</v>
      </c>
      <c r="K1043" s="177">
        <f>'[6]price list MAN'!P1043</f>
        <v>1370250</v>
      </c>
      <c r="L1043" s="177">
        <f>'[6]price list MAN'!R1043</f>
        <v>1305000</v>
      </c>
      <c r="M1043" s="174">
        <f>'[6]price list MAN'!S1043</f>
        <v>1835000</v>
      </c>
      <c r="N1043" s="174">
        <f>'[6]price list MAN'!Y1043</f>
        <v>1428000</v>
      </c>
      <c r="O1043" s="174">
        <f>'[6]price list MAN'!AA1043</f>
        <v>1360000</v>
      </c>
      <c r="P1043" s="68">
        <f t="shared" si="81"/>
        <v>0.25885558583106266</v>
      </c>
      <c r="Q1043" s="62" t="e">
        <f>O1043-#REF!</f>
        <v>#REF!</v>
      </c>
      <c r="W1043" s="210"/>
      <c r="X1043" s="210"/>
      <c r="Y1043" s="210"/>
      <c r="Z1043" s="210"/>
      <c r="AA1043" s="210"/>
      <c r="AB1043" s="210"/>
      <c r="AC1043" s="210"/>
      <c r="AT1043" s="425" t="str">
        <f t="shared" si="82"/>
        <v>KP0007182017Q415,9</v>
      </c>
      <c r="AU1043" s="64" t="str">
        <f t="shared" si="83"/>
        <v>11-2017</v>
      </c>
      <c r="BA1043" s="428" t="str">
        <f t="shared" si="84"/>
        <v>WIP - 30 Days</v>
      </c>
    </row>
    <row r="1044" spans="2:53">
      <c r="B1044" s="36">
        <f>'[6]price list MAN'!B1044</f>
        <v>48962</v>
      </c>
      <c r="C1044" s="10" t="str">
        <f>'[6]price list MAN'!C1044</f>
        <v>TGS-27-4406X4BBS-L-STEEL</v>
      </c>
      <c r="D1044" s="16" t="str">
        <f>IFERROR(VLOOKUP(C1044&amp;"",'[7]Retail Price List'!$A$3:$B$103,2,FALSE),"Special Order")</f>
        <v>KP000718</v>
      </c>
      <c r="E1044" s="494" t="str">
        <f>'[6]price list MAN'!E1044</f>
        <v>CKD</v>
      </c>
      <c r="F1044" s="11" t="str">
        <f>'[6]price list MAN'!F1044</f>
        <v>2018-06-30</v>
      </c>
      <c r="G1044" s="32">
        <f>'[6]price list MAN'!G1044</f>
        <v>15.9</v>
      </c>
      <c r="H1044" s="26">
        <f>'[6]price list MAN'!H1044</f>
        <v>43069</v>
      </c>
      <c r="I1044" s="51" t="str">
        <f t="shared" si="80"/>
        <v>2017Q4</v>
      </c>
      <c r="J1044" s="177">
        <f>'[6]price list MAN'!J1044</f>
        <v>1780000</v>
      </c>
      <c r="K1044" s="177">
        <f>'[6]price list MAN'!P1044</f>
        <v>1370250</v>
      </c>
      <c r="L1044" s="177">
        <f>'[6]price list MAN'!R1044</f>
        <v>1305000</v>
      </c>
      <c r="M1044" s="174">
        <f>'[6]price list MAN'!S1044</f>
        <v>1835000</v>
      </c>
      <c r="N1044" s="174">
        <f>'[6]price list MAN'!Y1044</f>
        <v>1428000</v>
      </c>
      <c r="O1044" s="174">
        <f>'[6]price list MAN'!AA1044</f>
        <v>1360000</v>
      </c>
      <c r="P1044" s="68">
        <f t="shared" si="81"/>
        <v>0.25885558583106266</v>
      </c>
      <c r="Q1044" s="62" t="e">
        <f>O1044-#REF!</f>
        <v>#REF!</v>
      </c>
      <c r="W1044" s="210"/>
      <c r="X1044" s="210"/>
      <c r="Y1044" s="210"/>
      <c r="Z1044" s="210"/>
      <c r="AA1044" s="210"/>
      <c r="AB1044" s="210"/>
      <c r="AC1044" s="210"/>
      <c r="AT1044" s="425" t="str">
        <f t="shared" si="82"/>
        <v>KP0007182017Q415,9</v>
      </c>
      <c r="AU1044" s="64" t="str">
        <f t="shared" si="83"/>
        <v>11-2017</v>
      </c>
      <c r="BA1044" s="428" t="str">
        <f t="shared" si="84"/>
        <v>WIP - 30 Days</v>
      </c>
    </row>
    <row r="1045" spans="2:53">
      <c r="B1045" s="36">
        <f>'[6]price list MAN'!B1045</f>
        <v>48963</v>
      </c>
      <c r="C1045" s="10" t="str">
        <f>'[6]price list MAN'!C1045</f>
        <v>TGS-27-4406X4BBS-L-STEEL</v>
      </c>
      <c r="D1045" s="16" t="str">
        <f>IFERROR(VLOOKUP(C1045&amp;"",'[7]Retail Price List'!$A$3:$B$103,2,FALSE),"Special Order")</f>
        <v>KP000718</v>
      </c>
      <c r="E1045" s="494" t="str">
        <f>'[6]price list MAN'!E1045</f>
        <v>CKD</v>
      </c>
      <c r="F1045" s="11" t="str">
        <f>'[6]price list MAN'!F1045</f>
        <v>2018-06-30</v>
      </c>
      <c r="G1045" s="32">
        <f>'[6]price list MAN'!G1045</f>
        <v>15.9</v>
      </c>
      <c r="H1045" s="26">
        <f>'[6]price list MAN'!H1045</f>
        <v>43069</v>
      </c>
      <c r="I1045" s="51" t="str">
        <f t="shared" si="80"/>
        <v>2017Q4</v>
      </c>
      <c r="J1045" s="177">
        <f>'[6]price list MAN'!J1045</f>
        <v>1780000</v>
      </c>
      <c r="K1045" s="177">
        <f>'[6]price list MAN'!P1045</f>
        <v>1370250</v>
      </c>
      <c r="L1045" s="177">
        <f>'[6]price list MAN'!R1045</f>
        <v>1305000</v>
      </c>
      <c r="M1045" s="174">
        <f>'[6]price list MAN'!S1045</f>
        <v>1835000</v>
      </c>
      <c r="N1045" s="174">
        <f>'[6]price list MAN'!Y1045</f>
        <v>1428000</v>
      </c>
      <c r="O1045" s="174">
        <f>'[6]price list MAN'!AA1045</f>
        <v>1360000</v>
      </c>
      <c r="P1045" s="68">
        <f t="shared" si="81"/>
        <v>0.25885558583106266</v>
      </c>
      <c r="Q1045" s="62" t="e">
        <f>O1045-#REF!</f>
        <v>#REF!</v>
      </c>
      <c r="W1045" s="210"/>
      <c r="X1045" s="210"/>
      <c r="Y1045" s="210"/>
      <c r="Z1045" s="210"/>
      <c r="AA1045" s="210"/>
      <c r="AB1045" s="210"/>
      <c r="AC1045" s="210"/>
      <c r="AT1045" s="425" t="str">
        <f t="shared" si="82"/>
        <v>KP0007182017Q415,9</v>
      </c>
      <c r="AU1045" s="64" t="str">
        <f t="shared" si="83"/>
        <v>11-2017</v>
      </c>
      <c r="BA1045" s="428" t="str">
        <f t="shared" si="84"/>
        <v>WIP - 30 Days</v>
      </c>
    </row>
    <row r="1046" spans="2:53">
      <c r="B1046" s="36">
        <f>'[6]price list MAN'!B1046</f>
        <v>48964</v>
      </c>
      <c r="C1046" s="10" t="str">
        <f>'[6]price list MAN'!C1046</f>
        <v>TGS-27-4406X4BBS-L-STEEL</v>
      </c>
      <c r="D1046" s="16" t="str">
        <f>IFERROR(VLOOKUP(C1046&amp;"",'[7]Retail Price List'!$A$3:$B$103,2,FALSE),"Special Order")</f>
        <v>KP000718</v>
      </c>
      <c r="E1046" s="494" t="str">
        <f>'[6]price list MAN'!E1046</f>
        <v>CKD</v>
      </c>
      <c r="F1046" s="11" t="str">
        <f>'[6]price list MAN'!F1046</f>
        <v>2018-06-30</v>
      </c>
      <c r="G1046" s="32">
        <f>'[6]price list MAN'!G1046</f>
        <v>15.9</v>
      </c>
      <c r="H1046" s="26">
        <f>'[6]price list MAN'!H1046</f>
        <v>43069</v>
      </c>
      <c r="I1046" s="51" t="str">
        <f t="shared" si="80"/>
        <v>2017Q4</v>
      </c>
      <c r="J1046" s="177">
        <f>'[6]price list MAN'!J1046</f>
        <v>1780000</v>
      </c>
      <c r="K1046" s="177">
        <f>'[6]price list MAN'!P1046</f>
        <v>1370250</v>
      </c>
      <c r="L1046" s="177">
        <f>'[6]price list MAN'!R1046</f>
        <v>1305000</v>
      </c>
      <c r="M1046" s="174">
        <f>'[6]price list MAN'!S1046</f>
        <v>1835000</v>
      </c>
      <c r="N1046" s="174">
        <f>'[6]price list MAN'!Y1046</f>
        <v>1428000</v>
      </c>
      <c r="O1046" s="174">
        <f>'[6]price list MAN'!AA1046</f>
        <v>1360000</v>
      </c>
      <c r="P1046" s="68">
        <f t="shared" si="81"/>
        <v>0.25885558583106266</v>
      </c>
      <c r="Q1046" s="62" t="e">
        <f>O1046-#REF!</f>
        <v>#REF!</v>
      </c>
      <c r="W1046" s="210"/>
      <c r="X1046" s="210"/>
      <c r="Y1046" s="210"/>
      <c r="Z1046" s="210"/>
      <c r="AA1046" s="210"/>
      <c r="AB1046" s="210"/>
      <c r="AC1046" s="210"/>
      <c r="AT1046" s="425" t="str">
        <f t="shared" si="82"/>
        <v>KP0007182017Q415,9</v>
      </c>
      <c r="AU1046" s="64" t="str">
        <f t="shared" si="83"/>
        <v>11-2017</v>
      </c>
      <c r="BA1046" s="428" t="str">
        <f t="shared" si="84"/>
        <v>WIP - 30 Days</v>
      </c>
    </row>
    <row r="1047" spans="2:53">
      <c r="B1047" s="36">
        <f>'[6]price list MAN'!B1047</f>
        <v>48965</v>
      </c>
      <c r="C1047" s="10" t="str">
        <f>'[6]price list MAN'!C1047</f>
        <v>TGS-27-4406X4BBS-L-STEEL</v>
      </c>
      <c r="D1047" s="16" t="str">
        <f>IFERROR(VLOOKUP(C1047&amp;"",'[7]Retail Price List'!$A$3:$B$103,2,FALSE),"Special Order")</f>
        <v>KP000718</v>
      </c>
      <c r="E1047" s="494" t="str">
        <f>'[6]price list MAN'!E1047</f>
        <v>CKD</v>
      </c>
      <c r="F1047" s="11" t="str">
        <f>'[6]price list MAN'!F1047</f>
        <v>2018-06-30</v>
      </c>
      <c r="G1047" s="32">
        <f>'[6]price list MAN'!G1047</f>
        <v>15.9</v>
      </c>
      <c r="H1047" s="26">
        <f>'[6]price list MAN'!H1047</f>
        <v>43069</v>
      </c>
      <c r="I1047" s="51" t="str">
        <f t="shared" si="80"/>
        <v>2017Q4</v>
      </c>
      <c r="J1047" s="177">
        <f>'[6]price list MAN'!J1047</f>
        <v>1780000</v>
      </c>
      <c r="K1047" s="177">
        <f>'[6]price list MAN'!P1047</f>
        <v>1370250</v>
      </c>
      <c r="L1047" s="177">
        <f>'[6]price list MAN'!R1047</f>
        <v>1305000</v>
      </c>
      <c r="M1047" s="174">
        <f>'[6]price list MAN'!S1047</f>
        <v>1835000</v>
      </c>
      <c r="N1047" s="174">
        <f>'[6]price list MAN'!Y1047</f>
        <v>1428000</v>
      </c>
      <c r="O1047" s="174">
        <f>'[6]price list MAN'!AA1047</f>
        <v>1360000</v>
      </c>
      <c r="P1047" s="68">
        <f t="shared" si="81"/>
        <v>0.25885558583106266</v>
      </c>
      <c r="Q1047" s="62" t="e">
        <f>O1047-#REF!</f>
        <v>#REF!</v>
      </c>
      <c r="W1047" s="210"/>
      <c r="X1047" s="210"/>
      <c r="Y1047" s="210"/>
      <c r="Z1047" s="210"/>
      <c r="AA1047" s="210"/>
      <c r="AB1047" s="210"/>
      <c r="AC1047" s="210"/>
      <c r="AT1047" s="425" t="str">
        <f t="shared" si="82"/>
        <v>KP0007182017Q415,9</v>
      </c>
      <c r="AU1047" s="64" t="str">
        <f t="shared" si="83"/>
        <v>11-2017</v>
      </c>
      <c r="BA1047" s="428" t="str">
        <f t="shared" si="84"/>
        <v>WIP - 30 Days</v>
      </c>
    </row>
    <row r="1048" spans="2:53">
      <c r="B1048" s="36">
        <f>'[6]price list MAN'!B1048</f>
        <v>48966</v>
      </c>
      <c r="C1048" s="10" t="str">
        <f>'[6]price list MAN'!C1048</f>
        <v>TGS-27-4406X4BBS-L-STEEL</v>
      </c>
      <c r="D1048" s="16" t="str">
        <f>IFERROR(VLOOKUP(C1048&amp;"",'[7]Retail Price List'!$A$3:$B$103,2,FALSE),"Special Order")</f>
        <v>KP000718</v>
      </c>
      <c r="E1048" s="494" t="str">
        <f>'[6]price list MAN'!E1048</f>
        <v>CKD</v>
      </c>
      <c r="F1048" s="11" t="str">
        <f>'[6]price list MAN'!F1048</f>
        <v>2018-06-30</v>
      </c>
      <c r="G1048" s="32">
        <f>'[6]price list MAN'!G1048</f>
        <v>15.9</v>
      </c>
      <c r="H1048" s="26">
        <f>'[6]price list MAN'!H1048</f>
        <v>43069</v>
      </c>
      <c r="I1048" s="51" t="str">
        <f t="shared" si="80"/>
        <v>2017Q4</v>
      </c>
      <c r="J1048" s="177">
        <f>'[6]price list MAN'!J1048</f>
        <v>1780000</v>
      </c>
      <c r="K1048" s="177">
        <f>'[6]price list MAN'!P1048</f>
        <v>1370250</v>
      </c>
      <c r="L1048" s="177">
        <f>'[6]price list MAN'!R1048</f>
        <v>1305000</v>
      </c>
      <c r="M1048" s="174">
        <f>'[6]price list MAN'!S1048</f>
        <v>1835000</v>
      </c>
      <c r="N1048" s="174">
        <f>'[6]price list MAN'!Y1048</f>
        <v>1428000</v>
      </c>
      <c r="O1048" s="174">
        <f>'[6]price list MAN'!AA1048</f>
        <v>1360000</v>
      </c>
      <c r="P1048" s="68">
        <f t="shared" si="81"/>
        <v>0.25885558583106266</v>
      </c>
      <c r="Q1048" s="62" t="e">
        <f>O1048-#REF!</f>
        <v>#REF!</v>
      </c>
      <c r="W1048" s="210"/>
      <c r="X1048" s="210"/>
      <c r="Y1048" s="210"/>
      <c r="Z1048" s="210"/>
      <c r="AA1048" s="210"/>
      <c r="AB1048" s="210"/>
      <c r="AC1048" s="210"/>
      <c r="AT1048" s="425" t="str">
        <f t="shared" si="82"/>
        <v>KP0007182017Q415,9</v>
      </c>
      <c r="AU1048" s="64" t="str">
        <f t="shared" si="83"/>
        <v>11-2017</v>
      </c>
      <c r="BA1048" s="428" t="str">
        <f t="shared" si="84"/>
        <v>WIP - 30 Days</v>
      </c>
    </row>
    <row r="1049" spans="2:53">
      <c r="B1049" s="36">
        <f>'[6]price list MAN'!B1049</f>
        <v>48967</v>
      </c>
      <c r="C1049" s="10" t="str">
        <f>'[6]price list MAN'!C1049</f>
        <v>TGS-27-4406X4BBS-L-STEEL</v>
      </c>
      <c r="D1049" s="16" t="str">
        <f>IFERROR(VLOOKUP(C1049&amp;"",'[7]Retail Price List'!$A$3:$B$103,2,FALSE),"Special Order")</f>
        <v>KP000718</v>
      </c>
      <c r="E1049" s="494" t="str">
        <f>'[6]price list MAN'!E1049</f>
        <v>CKD</v>
      </c>
      <c r="F1049" s="11" t="str">
        <f>'[6]price list MAN'!F1049</f>
        <v>2018-06-30</v>
      </c>
      <c r="G1049" s="32">
        <f>'[6]price list MAN'!G1049</f>
        <v>15.9</v>
      </c>
      <c r="H1049" s="26">
        <f>'[6]price list MAN'!H1049</f>
        <v>43069</v>
      </c>
      <c r="I1049" s="51" t="str">
        <f t="shared" si="80"/>
        <v>2017Q4</v>
      </c>
      <c r="J1049" s="177">
        <f>'[6]price list MAN'!J1049</f>
        <v>1780000</v>
      </c>
      <c r="K1049" s="177">
        <f>'[6]price list MAN'!P1049</f>
        <v>1370250</v>
      </c>
      <c r="L1049" s="177">
        <f>'[6]price list MAN'!R1049</f>
        <v>1305000</v>
      </c>
      <c r="M1049" s="174">
        <f>'[6]price list MAN'!S1049</f>
        <v>1835000</v>
      </c>
      <c r="N1049" s="174">
        <f>'[6]price list MAN'!Y1049</f>
        <v>1428000</v>
      </c>
      <c r="O1049" s="174">
        <f>'[6]price list MAN'!AA1049</f>
        <v>1360000</v>
      </c>
      <c r="P1049" s="68">
        <f t="shared" si="81"/>
        <v>0.25885558583106266</v>
      </c>
      <c r="Q1049" s="62" t="e">
        <f>O1049-#REF!</f>
        <v>#REF!</v>
      </c>
      <c r="W1049" s="210"/>
      <c r="X1049" s="210"/>
      <c r="Y1049" s="210"/>
      <c r="Z1049" s="210"/>
      <c r="AA1049" s="210"/>
      <c r="AB1049" s="210"/>
      <c r="AC1049" s="210"/>
      <c r="AT1049" s="425" t="str">
        <f t="shared" si="82"/>
        <v>KP0007182017Q415,9</v>
      </c>
      <c r="AU1049" s="64" t="str">
        <f t="shared" si="83"/>
        <v>11-2017</v>
      </c>
      <c r="BA1049" s="428" t="str">
        <f t="shared" si="84"/>
        <v>WIP - 30 Days</v>
      </c>
    </row>
    <row r="1050" spans="2:53">
      <c r="B1050" s="36">
        <f>'[6]price list MAN'!B1050</f>
        <v>48968</v>
      </c>
      <c r="C1050" s="10" t="str">
        <f>'[6]price list MAN'!C1050</f>
        <v>TGS-27-4406X4BBS-L-STEEL</v>
      </c>
      <c r="D1050" s="16" t="str">
        <f>IFERROR(VLOOKUP(C1050&amp;"",'[7]Retail Price List'!$A$3:$B$103,2,FALSE),"Special Order")</f>
        <v>KP000718</v>
      </c>
      <c r="E1050" s="494" t="str">
        <f>'[6]price list MAN'!E1050</f>
        <v>CKD</v>
      </c>
      <c r="F1050" s="11" t="str">
        <f>'[6]price list MAN'!F1050</f>
        <v>2018-06-30</v>
      </c>
      <c r="G1050" s="32">
        <f>'[6]price list MAN'!G1050</f>
        <v>15.9</v>
      </c>
      <c r="H1050" s="26">
        <f>'[6]price list MAN'!H1050</f>
        <v>43069</v>
      </c>
      <c r="I1050" s="51" t="str">
        <f t="shared" si="80"/>
        <v>2017Q4</v>
      </c>
      <c r="J1050" s="177">
        <f>'[6]price list MAN'!J1050</f>
        <v>1780000</v>
      </c>
      <c r="K1050" s="177">
        <f>'[6]price list MAN'!P1050</f>
        <v>1370250</v>
      </c>
      <c r="L1050" s="177">
        <f>'[6]price list MAN'!R1050</f>
        <v>1305000</v>
      </c>
      <c r="M1050" s="174">
        <f>'[6]price list MAN'!S1050</f>
        <v>1835000</v>
      </c>
      <c r="N1050" s="174">
        <f>'[6]price list MAN'!Y1050</f>
        <v>1428000</v>
      </c>
      <c r="O1050" s="174">
        <f>'[6]price list MAN'!AA1050</f>
        <v>1360000</v>
      </c>
      <c r="P1050" s="68">
        <f t="shared" si="81"/>
        <v>0.25885558583106266</v>
      </c>
      <c r="Q1050" s="62" t="e">
        <f>O1050-#REF!</f>
        <v>#REF!</v>
      </c>
      <c r="W1050" s="210"/>
      <c r="X1050" s="210"/>
      <c r="Y1050" s="210"/>
      <c r="Z1050" s="210"/>
      <c r="AA1050" s="210"/>
      <c r="AB1050" s="210"/>
      <c r="AC1050" s="210"/>
      <c r="AT1050" s="425" t="str">
        <f t="shared" si="82"/>
        <v>KP0007182017Q415,9</v>
      </c>
      <c r="AU1050" s="64" t="str">
        <f t="shared" si="83"/>
        <v>11-2017</v>
      </c>
      <c r="BA1050" s="428" t="str">
        <f t="shared" si="84"/>
        <v>WIP - 30 Days</v>
      </c>
    </row>
    <row r="1051" spans="2:53">
      <c r="B1051" s="36">
        <f>'[6]price list MAN'!B1051</f>
        <v>48969</v>
      </c>
      <c r="C1051" s="10" t="str">
        <f>'[6]price list MAN'!C1051</f>
        <v>TGS-27-4406X4BBS-L-STEEL</v>
      </c>
      <c r="D1051" s="16" t="str">
        <f>IFERROR(VLOOKUP(C1051&amp;"",'[7]Retail Price List'!$A$3:$B$103,2,FALSE),"Special Order")</f>
        <v>KP000718</v>
      </c>
      <c r="E1051" s="494" t="str">
        <f>'[6]price list MAN'!E1051</f>
        <v>CKD</v>
      </c>
      <c r="F1051" s="11" t="str">
        <f>'[6]price list MAN'!F1051</f>
        <v>2018-06-30</v>
      </c>
      <c r="G1051" s="32">
        <f>'[6]price list MAN'!G1051</f>
        <v>15.9</v>
      </c>
      <c r="H1051" s="26">
        <f>'[6]price list MAN'!H1051</f>
        <v>43069</v>
      </c>
      <c r="I1051" s="51" t="str">
        <f t="shared" si="80"/>
        <v>2017Q4</v>
      </c>
      <c r="J1051" s="177">
        <f>'[6]price list MAN'!J1051</f>
        <v>1780000</v>
      </c>
      <c r="K1051" s="177">
        <f>'[6]price list MAN'!P1051</f>
        <v>1370250</v>
      </c>
      <c r="L1051" s="177">
        <f>'[6]price list MAN'!R1051</f>
        <v>1305000</v>
      </c>
      <c r="M1051" s="174">
        <f>'[6]price list MAN'!S1051</f>
        <v>1835000</v>
      </c>
      <c r="N1051" s="174">
        <f>'[6]price list MAN'!Y1051</f>
        <v>1428000</v>
      </c>
      <c r="O1051" s="174">
        <f>'[6]price list MAN'!AA1051</f>
        <v>1360000</v>
      </c>
      <c r="P1051" s="68">
        <f t="shared" si="81"/>
        <v>0.25885558583106266</v>
      </c>
      <c r="Q1051" s="62" t="e">
        <f>O1051-#REF!</f>
        <v>#REF!</v>
      </c>
      <c r="W1051" s="210"/>
      <c r="X1051" s="210"/>
      <c r="Y1051" s="210"/>
      <c r="Z1051" s="210"/>
      <c r="AA1051" s="210"/>
      <c r="AB1051" s="210"/>
      <c r="AC1051" s="210"/>
      <c r="AT1051" s="425" t="str">
        <f t="shared" si="82"/>
        <v>KP0007182017Q415,9</v>
      </c>
      <c r="AU1051" s="64" t="str">
        <f t="shared" si="83"/>
        <v>11-2017</v>
      </c>
      <c r="BA1051" s="428" t="str">
        <f t="shared" si="84"/>
        <v>WIP - 30 Days</v>
      </c>
    </row>
    <row r="1052" spans="2:53">
      <c r="B1052" s="36">
        <f>'[6]price list MAN'!B1052</f>
        <v>48970</v>
      </c>
      <c r="C1052" s="10" t="str">
        <f>'[6]price list MAN'!C1052</f>
        <v>TGS-27-4406X4BBS-L-STEEL</v>
      </c>
      <c r="D1052" s="16" t="str">
        <f>IFERROR(VLOOKUP(C1052&amp;"",'[7]Retail Price List'!$A$3:$B$103,2,FALSE),"Special Order")</f>
        <v>KP000718</v>
      </c>
      <c r="E1052" s="494" t="str">
        <f>'[6]price list MAN'!E1052</f>
        <v>CKD</v>
      </c>
      <c r="F1052" s="11" t="str">
        <f>'[6]price list MAN'!F1052</f>
        <v>2018-06-30</v>
      </c>
      <c r="G1052" s="32">
        <f>'[6]price list MAN'!G1052</f>
        <v>15.9</v>
      </c>
      <c r="H1052" s="26">
        <f>'[6]price list MAN'!H1052</f>
        <v>43069</v>
      </c>
      <c r="I1052" s="51" t="str">
        <f t="shared" si="80"/>
        <v>2017Q4</v>
      </c>
      <c r="J1052" s="177">
        <f>'[6]price list MAN'!J1052</f>
        <v>1780000</v>
      </c>
      <c r="K1052" s="177">
        <f>'[6]price list MAN'!P1052</f>
        <v>1370250</v>
      </c>
      <c r="L1052" s="177">
        <f>'[6]price list MAN'!R1052</f>
        <v>1305000</v>
      </c>
      <c r="M1052" s="174">
        <f>'[6]price list MAN'!S1052</f>
        <v>1835000</v>
      </c>
      <c r="N1052" s="174">
        <f>'[6]price list MAN'!Y1052</f>
        <v>1428000</v>
      </c>
      <c r="O1052" s="174">
        <f>'[6]price list MAN'!AA1052</f>
        <v>1360000</v>
      </c>
      <c r="P1052" s="68">
        <f t="shared" si="81"/>
        <v>0.25885558583106266</v>
      </c>
      <c r="Q1052" s="62" t="e">
        <f>O1052-#REF!</f>
        <v>#REF!</v>
      </c>
      <c r="W1052" s="210"/>
      <c r="X1052" s="210"/>
      <c r="Y1052" s="210"/>
      <c r="Z1052" s="210"/>
      <c r="AA1052" s="210"/>
      <c r="AB1052" s="210"/>
      <c r="AC1052" s="210"/>
      <c r="AT1052" s="425" t="str">
        <f t="shared" si="82"/>
        <v>KP0007182017Q415,9</v>
      </c>
      <c r="AU1052" s="64" t="str">
        <f t="shared" si="83"/>
        <v>11-2017</v>
      </c>
      <c r="BA1052" s="428" t="str">
        <f t="shared" si="84"/>
        <v>WIP - 30 Days</v>
      </c>
    </row>
    <row r="1053" spans="2:53">
      <c r="B1053" s="36">
        <f>'[6]price list MAN'!B1053</f>
        <v>48971</v>
      </c>
      <c r="C1053" s="10" t="str">
        <f>'[6]price list MAN'!C1053</f>
        <v>TGS-27-4406X4BBS-L-STEEL</v>
      </c>
      <c r="D1053" s="16" t="str">
        <f>IFERROR(VLOOKUP(C1053&amp;"",'[7]Retail Price List'!$A$3:$B$103,2,FALSE),"Special Order")</f>
        <v>KP000718</v>
      </c>
      <c r="E1053" s="494" t="str">
        <f>'[6]price list MAN'!E1053</f>
        <v>CKD</v>
      </c>
      <c r="F1053" s="11" t="str">
        <f>'[6]price list MAN'!F1053</f>
        <v>2018-06-30</v>
      </c>
      <c r="G1053" s="32">
        <f>'[6]price list MAN'!G1053</f>
        <v>15.9</v>
      </c>
      <c r="H1053" s="26">
        <f>'[6]price list MAN'!H1053</f>
        <v>43069</v>
      </c>
      <c r="I1053" s="51" t="str">
        <f t="shared" si="80"/>
        <v>2017Q4</v>
      </c>
      <c r="J1053" s="177">
        <f>'[6]price list MAN'!J1053</f>
        <v>1780000</v>
      </c>
      <c r="K1053" s="177">
        <f>'[6]price list MAN'!P1053</f>
        <v>1370250</v>
      </c>
      <c r="L1053" s="177">
        <f>'[6]price list MAN'!R1053</f>
        <v>1305000</v>
      </c>
      <c r="M1053" s="174">
        <f>'[6]price list MAN'!S1053</f>
        <v>1835000</v>
      </c>
      <c r="N1053" s="174">
        <f>'[6]price list MAN'!Y1053</f>
        <v>1428000</v>
      </c>
      <c r="O1053" s="174">
        <f>'[6]price list MAN'!AA1053</f>
        <v>1360000</v>
      </c>
      <c r="P1053" s="68">
        <f t="shared" si="81"/>
        <v>0.25885558583106266</v>
      </c>
      <c r="Q1053" s="62" t="e">
        <f>O1053-#REF!</f>
        <v>#REF!</v>
      </c>
      <c r="W1053" s="210"/>
      <c r="X1053" s="210"/>
      <c r="Y1053" s="210"/>
      <c r="Z1053" s="210"/>
      <c r="AA1053" s="210"/>
      <c r="AB1053" s="210"/>
      <c r="AC1053" s="210"/>
      <c r="AT1053" s="425" t="str">
        <f t="shared" si="82"/>
        <v>KP0007182017Q415,9</v>
      </c>
      <c r="AU1053" s="64" t="str">
        <f t="shared" si="83"/>
        <v>11-2017</v>
      </c>
      <c r="BA1053" s="428" t="str">
        <f t="shared" si="84"/>
        <v>WIP - 30 Days</v>
      </c>
    </row>
    <row r="1054" spans="2:53">
      <c r="B1054" s="36">
        <f>'[6]price list MAN'!B1054</f>
        <v>48972</v>
      </c>
      <c r="C1054" s="10" t="str">
        <f>'[6]price list MAN'!C1054</f>
        <v>TGS-27-4406X4BBS-L-STEEL</v>
      </c>
      <c r="D1054" s="16" t="str">
        <f>IFERROR(VLOOKUP(C1054&amp;"",'[7]Retail Price List'!$A$3:$B$103,2,FALSE),"Special Order")</f>
        <v>KP000718</v>
      </c>
      <c r="E1054" s="494" t="str">
        <f>'[6]price list MAN'!E1054</f>
        <v>CKD</v>
      </c>
      <c r="F1054" s="11" t="str">
        <f>'[6]price list MAN'!F1054</f>
        <v>2018-04-30</v>
      </c>
      <c r="G1054" s="32">
        <f>'[6]price list MAN'!G1054</f>
        <v>15.9</v>
      </c>
      <c r="H1054" s="26">
        <f>'[6]price list MAN'!H1054</f>
        <v>43069</v>
      </c>
      <c r="I1054" s="51" t="str">
        <f t="shared" si="80"/>
        <v>2017Q4</v>
      </c>
      <c r="J1054" s="177">
        <f>'[6]price list MAN'!J1054</f>
        <v>1780000</v>
      </c>
      <c r="K1054" s="177">
        <f>'[6]price list MAN'!P1054</f>
        <v>1370250</v>
      </c>
      <c r="L1054" s="177">
        <f>'[6]price list MAN'!R1054</f>
        <v>1305000</v>
      </c>
      <c r="M1054" s="174">
        <f>'[6]price list MAN'!S1054</f>
        <v>1835000</v>
      </c>
      <c r="N1054" s="174">
        <f>'[6]price list MAN'!Y1054</f>
        <v>1428000</v>
      </c>
      <c r="O1054" s="174">
        <f>'[6]price list MAN'!AA1054</f>
        <v>1360000</v>
      </c>
      <c r="P1054" s="68">
        <f t="shared" si="81"/>
        <v>0.25885558583106266</v>
      </c>
      <c r="Q1054" s="62" t="e">
        <f>O1054-#REF!</f>
        <v>#REF!</v>
      </c>
      <c r="W1054" s="210"/>
      <c r="X1054" s="210"/>
      <c r="Y1054" s="210"/>
      <c r="Z1054" s="210"/>
      <c r="AA1054" s="210"/>
      <c r="AB1054" s="210"/>
      <c r="AC1054" s="210"/>
      <c r="AT1054" s="425" t="str">
        <f t="shared" si="82"/>
        <v>KP0007182017Q415,9</v>
      </c>
      <c r="AU1054" s="64" t="str">
        <f t="shared" si="83"/>
        <v>11-2017</v>
      </c>
      <c r="BA1054" s="428" t="str">
        <f t="shared" si="84"/>
        <v>WIP - 30 Days</v>
      </c>
    </row>
    <row r="1055" spans="2:53">
      <c r="B1055" s="36">
        <f>'[6]price list MAN'!B1055</f>
        <v>48973</v>
      </c>
      <c r="C1055" s="10" t="str">
        <f>'[6]price list MAN'!C1055</f>
        <v>TGS-27-4406X4BBS-L-STEEL</v>
      </c>
      <c r="D1055" s="16" t="str">
        <f>IFERROR(VLOOKUP(C1055&amp;"",'[7]Retail Price List'!$A$3:$B$103,2,FALSE),"Special Order")</f>
        <v>KP000718</v>
      </c>
      <c r="E1055" s="494" t="str">
        <f>'[6]price list MAN'!E1055</f>
        <v>CKD</v>
      </c>
      <c r="F1055" s="11" t="str">
        <f>'[6]price list MAN'!F1055</f>
        <v>2018-04-30</v>
      </c>
      <c r="G1055" s="32">
        <f>'[6]price list MAN'!G1055</f>
        <v>15.9</v>
      </c>
      <c r="H1055" s="26">
        <f>'[6]price list MAN'!H1055</f>
        <v>43069</v>
      </c>
      <c r="I1055" s="51" t="str">
        <f t="shared" si="80"/>
        <v>2017Q4</v>
      </c>
      <c r="J1055" s="177">
        <f>'[6]price list MAN'!J1055</f>
        <v>1780000</v>
      </c>
      <c r="K1055" s="177">
        <f>'[6]price list MAN'!P1055</f>
        <v>1370250</v>
      </c>
      <c r="L1055" s="177">
        <f>'[6]price list MAN'!R1055</f>
        <v>1305000</v>
      </c>
      <c r="M1055" s="174">
        <f>'[6]price list MAN'!S1055</f>
        <v>1835000</v>
      </c>
      <c r="N1055" s="174">
        <f>'[6]price list MAN'!Y1055</f>
        <v>1428000</v>
      </c>
      <c r="O1055" s="174">
        <f>'[6]price list MAN'!AA1055</f>
        <v>1360000</v>
      </c>
      <c r="P1055" s="68">
        <f t="shared" si="81"/>
        <v>0.25885558583106266</v>
      </c>
      <c r="Q1055" s="62" t="e">
        <f>O1055-#REF!</f>
        <v>#REF!</v>
      </c>
      <c r="W1055" s="210"/>
      <c r="X1055" s="210"/>
      <c r="Y1055" s="210"/>
      <c r="Z1055" s="210"/>
      <c r="AA1055" s="210"/>
      <c r="AB1055" s="210"/>
      <c r="AC1055" s="210"/>
      <c r="AT1055" s="425" t="str">
        <f t="shared" si="82"/>
        <v>KP0007182017Q415,9</v>
      </c>
      <c r="AU1055" s="64" t="str">
        <f t="shared" si="83"/>
        <v>11-2017</v>
      </c>
      <c r="BA1055" s="428" t="str">
        <f t="shared" si="84"/>
        <v>WIP - 30 Days</v>
      </c>
    </row>
    <row r="1056" spans="2:53">
      <c r="B1056" s="36">
        <f>'[6]price list MAN'!B1056</f>
        <v>48974</v>
      </c>
      <c r="C1056" s="10" t="str">
        <f>'[6]price list MAN'!C1056</f>
        <v>TGS-27-4406X4BBS-L-STEEL</v>
      </c>
      <c r="D1056" s="16" t="str">
        <f>IFERROR(VLOOKUP(C1056&amp;"",'[7]Retail Price List'!$A$3:$B$103,2,FALSE),"Special Order")</f>
        <v>KP000718</v>
      </c>
      <c r="E1056" s="494" t="str">
        <f>'[6]price list MAN'!E1056</f>
        <v>CKD</v>
      </c>
      <c r="F1056" s="11" t="str">
        <f>'[6]price list MAN'!F1056</f>
        <v>2018-06-30</v>
      </c>
      <c r="G1056" s="32">
        <f>'[6]price list MAN'!G1056</f>
        <v>15.9</v>
      </c>
      <c r="H1056" s="26">
        <f>'[6]price list MAN'!H1056</f>
        <v>43069</v>
      </c>
      <c r="I1056" s="51" t="str">
        <f t="shared" si="80"/>
        <v>2017Q4</v>
      </c>
      <c r="J1056" s="177">
        <f>'[6]price list MAN'!J1056</f>
        <v>1780000</v>
      </c>
      <c r="K1056" s="177">
        <f>'[6]price list MAN'!P1056</f>
        <v>1370250</v>
      </c>
      <c r="L1056" s="177">
        <f>'[6]price list MAN'!R1056</f>
        <v>1305000</v>
      </c>
      <c r="M1056" s="174">
        <f>'[6]price list MAN'!S1056</f>
        <v>1835000</v>
      </c>
      <c r="N1056" s="174">
        <f>'[6]price list MAN'!Y1056</f>
        <v>1428000</v>
      </c>
      <c r="O1056" s="174">
        <f>'[6]price list MAN'!AA1056</f>
        <v>1360000</v>
      </c>
      <c r="P1056" s="68">
        <f t="shared" si="81"/>
        <v>0.25885558583106266</v>
      </c>
      <c r="Q1056" s="62" t="e">
        <f>O1056-#REF!</f>
        <v>#REF!</v>
      </c>
      <c r="W1056" s="210"/>
      <c r="X1056" s="210"/>
      <c r="Y1056" s="210"/>
      <c r="Z1056" s="210"/>
      <c r="AA1056" s="210"/>
      <c r="AB1056" s="210"/>
      <c r="AC1056" s="210"/>
      <c r="AT1056" s="425" t="str">
        <f t="shared" si="82"/>
        <v>KP0007182017Q415,9</v>
      </c>
      <c r="AU1056" s="64" t="str">
        <f t="shared" si="83"/>
        <v>11-2017</v>
      </c>
      <c r="BA1056" s="428" t="str">
        <f t="shared" si="84"/>
        <v>WIP - 30 Days</v>
      </c>
    </row>
    <row r="1057" spans="2:53">
      <c r="B1057" s="36">
        <f>'[6]price list MAN'!B1057</f>
        <v>48975</v>
      </c>
      <c r="C1057" s="10" t="str">
        <f>'[6]price list MAN'!C1057</f>
        <v>TGS-27-4406X4BBS-L-STEEL</v>
      </c>
      <c r="D1057" s="16" t="str">
        <f>IFERROR(VLOOKUP(C1057&amp;"",'[7]Retail Price List'!$A$3:$B$103,2,FALSE),"Special Order")</f>
        <v>KP000718</v>
      </c>
      <c r="E1057" s="494" t="str">
        <f>'[6]price list MAN'!E1057</f>
        <v>CKD</v>
      </c>
      <c r="F1057" s="11" t="str">
        <f>'[6]price list MAN'!F1057</f>
        <v>2018-04-30</v>
      </c>
      <c r="G1057" s="32">
        <f>'[6]price list MAN'!G1057</f>
        <v>15.9</v>
      </c>
      <c r="H1057" s="26">
        <f>'[6]price list MAN'!H1057</f>
        <v>43069</v>
      </c>
      <c r="I1057" s="51" t="str">
        <f t="shared" si="80"/>
        <v>2017Q4</v>
      </c>
      <c r="J1057" s="177">
        <f>'[6]price list MAN'!J1057</f>
        <v>1780000</v>
      </c>
      <c r="K1057" s="177">
        <f>'[6]price list MAN'!P1057</f>
        <v>1370250</v>
      </c>
      <c r="L1057" s="177">
        <f>'[6]price list MAN'!R1057</f>
        <v>1305000</v>
      </c>
      <c r="M1057" s="174">
        <f>'[6]price list MAN'!S1057</f>
        <v>1835000</v>
      </c>
      <c r="N1057" s="174">
        <f>'[6]price list MAN'!Y1057</f>
        <v>1428000</v>
      </c>
      <c r="O1057" s="174">
        <f>'[6]price list MAN'!AA1057</f>
        <v>1360000</v>
      </c>
      <c r="P1057" s="68">
        <f t="shared" si="81"/>
        <v>0.25885558583106266</v>
      </c>
      <c r="Q1057" s="62" t="e">
        <f>O1057-#REF!</f>
        <v>#REF!</v>
      </c>
      <c r="W1057" s="210"/>
      <c r="X1057" s="210"/>
      <c r="Y1057" s="210"/>
      <c r="Z1057" s="210"/>
      <c r="AA1057" s="210"/>
      <c r="AB1057" s="210"/>
      <c r="AC1057" s="210"/>
      <c r="AT1057" s="425" t="str">
        <f t="shared" si="82"/>
        <v>KP0007182017Q415,9</v>
      </c>
      <c r="AU1057" s="64" t="str">
        <f t="shared" si="83"/>
        <v>11-2017</v>
      </c>
      <c r="BA1057" s="428" t="str">
        <f t="shared" si="84"/>
        <v>WIP - 30 Days</v>
      </c>
    </row>
    <row r="1058" spans="2:53">
      <c r="B1058" s="36">
        <f>'[6]price list MAN'!B1058</f>
        <v>48976</v>
      </c>
      <c r="C1058" s="10" t="str">
        <f>'[6]price list MAN'!C1058</f>
        <v>TGS-27-4406X4BBS-L-STEEL</v>
      </c>
      <c r="D1058" s="16" t="str">
        <f>IFERROR(VLOOKUP(C1058&amp;"",'[7]Retail Price List'!$A$3:$B$103,2,FALSE),"Special Order")</f>
        <v>KP000718</v>
      </c>
      <c r="E1058" s="494" t="str">
        <f>'[6]price list MAN'!E1058</f>
        <v>CKD</v>
      </c>
      <c r="F1058" s="11" t="str">
        <f>'[6]price list MAN'!F1058</f>
        <v>2018-04-30</v>
      </c>
      <c r="G1058" s="32">
        <f>'[6]price list MAN'!G1058</f>
        <v>15.9</v>
      </c>
      <c r="H1058" s="26">
        <f>'[6]price list MAN'!H1058</f>
        <v>43069</v>
      </c>
      <c r="I1058" s="51" t="str">
        <f t="shared" si="80"/>
        <v>2017Q4</v>
      </c>
      <c r="J1058" s="177">
        <f>'[6]price list MAN'!J1058</f>
        <v>1780000</v>
      </c>
      <c r="K1058" s="177">
        <f>'[6]price list MAN'!P1058</f>
        <v>1370250</v>
      </c>
      <c r="L1058" s="177">
        <f>'[6]price list MAN'!R1058</f>
        <v>1305000</v>
      </c>
      <c r="M1058" s="174">
        <f>'[6]price list MAN'!S1058</f>
        <v>1835000</v>
      </c>
      <c r="N1058" s="174">
        <f>'[6]price list MAN'!Y1058</f>
        <v>1428000</v>
      </c>
      <c r="O1058" s="174">
        <f>'[6]price list MAN'!AA1058</f>
        <v>1360000</v>
      </c>
      <c r="P1058" s="68">
        <f t="shared" si="81"/>
        <v>0.25885558583106266</v>
      </c>
      <c r="Q1058" s="62" t="e">
        <f>O1058-#REF!</f>
        <v>#REF!</v>
      </c>
      <c r="W1058" s="210"/>
      <c r="X1058" s="210"/>
      <c r="Y1058" s="210"/>
      <c r="Z1058" s="210"/>
      <c r="AA1058" s="210"/>
      <c r="AB1058" s="210"/>
      <c r="AC1058" s="210"/>
      <c r="AT1058" s="425" t="str">
        <f t="shared" si="82"/>
        <v>KP0007182017Q415,9</v>
      </c>
      <c r="AU1058" s="64" t="str">
        <f t="shared" si="83"/>
        <v>11-2017</v>
      </c>
      <c r="BA1058" s="428" t="str">
        <f t="shared" si="84"/>
        <v>WIP - 30 Days</v>
      </c>
    </row>
    <row r="1059" spans="2:53">
      <c r="B1059" s="36">
        <f>'[6]price list MAN'!B1059</f>
        <v>48977</v>
      </c>
      <c r="C1059" s="10" t="str">
        <f>'[6]price list MAN'!C1059</f>
        <v>TGS-27-4406X4BBS-L-STEEL</v>
      </c>
      <c r="D1059" s="16" t="str">
        <f>IFERROR(VLOOKUP(C1059&amp;"",'[7]Retail Price List'!$A$3:$B$103,2,FALSE),"Special Order")</f>
        <v>KP000718</v>
      </c>
      <c r="E1059" s="494" t="str">
        <f>'[6]price list MAN'!E1059</f>
        <v>CKD</v>
      </c>
      <c r="F1059" s="11" t="str">
        <f>'[6]price list MAN'!F1059</f>
        <v>2018-06-30</v>
      </c>
      <c r="G1059" s="32">
        <f>'[6]price list MAN'!G1059</f>
        <v>15.9</v>
      </c>
      <c r="H1059" s="26">
        <f>'[6]price list MAN'!H1059</f>
        <v>43069</v>
      </c>
      <c r="I1059" s="51" t="str">
        <f t="shared" si="80"/>
        <v>2017Q4</v>
      </c>
      <c r="J1059" s="177">
        <f>'[6]price list MAN'!J1059</f>
        <v>1780000</v>
      </c>
      <c r="K1059" s="177">
        <f>'[6]price list MAN'!P1059</f>
        <v>1370250</v>
      </c>
      <c r="L1059" s="177">
        <f>'[6]price list MAN'!R1059</f>
        <v>1305000</v>
      </c>
      <c r="M1059" s="174">
        <f>'[6]price list MAN'!S1059</f>
        <v>1835000</v>
      </c>
      <c r="N1059" s="174">
        <f>'[6]price list MAN'!Y1059</f>
        <v>1428000</v>
      </c>
      <c r="O1059" s="174">
        <f>'[6]price list MAN'!AA1059</f>
        <v>1360000</v>
      </c>
      <c r="P1059" s="68">
        <f t="shared" si="81"/>
        <v>0.25885558583106266</v>
      </c>
      <c r="Q1059" s="62" t="e">
        <f>O1059-#REF!</f>
        <v>#REF!</v>
      </c>
      <c r="W1059" s="210"/>
      <c r="X1059" s="210"/>
      <c r="Y1059" s="210"/>
      <c r="Z1059" s="210"/>
      <c r="AA1059" s="210"/>
      <c r="AB1059" s="210"/>
      <c r="AC1059" s="210"/>
      <c r="AT1059" s="425" t="str">
        <f t="shared" si="82"/>
        <v>KP0007182017Q415,9</v>
      </c>
      <c r="AU1059" s="64" t="str">
        <f t="shared" si="83"/>
        <v>11-2017</v>
      </c>
      <c r="BA1059" s="428" t="str">
        <f t="shared" si="84"/>
        <v>WIP - 30 Days</v>
      </c>
    </row>
    <row r="1060" spans="2:53">
      <c r="B1060" s="36">
        <f>'[6]price list MAN'!B1060</f>
        <v>48978</v>
      </c>
      <c r="C1060" s="10" t="str">
        <f>'[6]price list MAN'!C1060</f>
        <v>TGS-27-4406X4BBS-L-STEEL</v>
      </c>
      <c r="D1060" s="16" t="str">
        <f>IFERROR(VLOOKUP(C1060&amp;"",'[7]Retail Price List'!$A$3:$B$103,2,FALSE),"Special Order")</f>
        <v>KP000718</v>
      </c>
      <c r="E1060" s="494" t="str">
        <f>'[6]price list MAN'!E1060</f>
        <v>CKD</v>
      </c>
      <c r="F1060" s="11" t="str">
        <f>'[6]price list MAN'!F1060</f>
        <v>2018-06-30</v>
      </c>
      <c r="G1060" s="32">
        <f>'[6]price list MAN'!G1060</f>
        <v>15.9</v>
      </c>
      <c r="H1060" s="26">
        <f>'[6]price list MAN'!H1060</f>
        <v>43069</v>
      </c>
      <c r="I1060" s="51" t="str">
        <f t="shared" si="80"/>
        <v>2017Q4</v>
      </c>
      <c r="J1060" s="177">
        <f>'[6]price list MAN'!J1060</f>
        <v>1780000</v>
      </c>
      <c r="K1060" s="177">
        <f>'[6]price list MAN'!P1060</f>
        <v>1370250</v>
      </c>
      <c r="L1060" s="177">
        <f>'[6]price list MAN'!R1060</f>
        <v>1305000</v>
      </c>
      <c r="M1060" s="174">
        <f>'[6]price list MAN'!S1060</f>
        <v>1835000</v>
      </c>
      <c r="N1060" s="174">
        <f>'[6]price list MAN'!Y1060</f>
        <v>1428000</v>
      </c>
      <c r="O1060" s="174">
        <f>'[6]price list MAN'!AA1060</f>
        <v>1360000</v>
      </c>
      <c r="P1060" s="68">
        <f t="shared" si="81"/>
        <v>0.25885558583106266</v>
      </c>
      <c r="Q1060" s="62" t="e">
        <f>O1060-#REF!</f>
        <v>#REF!</v>
      </c>
      <c r="W1060" s="210"/>
      <c r="X1060" s="210"/>
      <c r="Y1060" s="210"/>
      <c r="Z1060" s="210"/>
      <c r="AA1060" s="210"/>
      <c r="AB1060" s="210"/>
      <c r="AC1060" s="210"/>
      <c r="AT1060" s="425" t="str">
        <f t="shared" si="82"/>
        <v>KP0007182017Q415,9</v>
      </c>
      <c r="AU1060" s="64" t="str">
        <f t="shared" si="83"/>
        <v>11-2017</v>
      </c>
      <c r="BA1060" s="428" t="str">
        <f t="shared" si="84"/>
        <v>WIP - 30 Days</v>
      </c>
    </row>
    <row r="1061" spans="2:53">
      <c r="B1061" s="36">
        <f>'[6]price list MAN'!B1061</f>
        <v>48979</v>
      </c>
      <c r="C1061" s="10" t="str">
        <f>'[6]price list MAN'!C1061</f>
        <v>TGS-27-4406X4BBS-L-STEEL</v>
      </c>
      <c r="D1061" s="16" t="str">
        <f>IFERROR(VLOOKUP(C1061&amp;"",'[7]Retail Price List'!$A$3:$B$103,2,FALSE),"Special Order")</f>
        <v>KP000718</v>
      </c>
      <c r="E1061" s="494" t="str">
        <f>'[6]price list MAN'!E1061</f>
        <v>CKD</v>
      </c>
      <c r="F1061" s="11" t="str">
        <f>'[6]price list MAN'!F1061</f>
        <v>2018-07-30</v>
      </c>
      <c r="G1061" s="32">
        <f>'[6]price list MAN'!G1061</f>
        <v>15.9</v>
      </c>
      <c r="H1061" s="26">
        <f>'[6]price list MAN'!H1061</f>
        <v>43069</v>
      </c>
      <c r="I1061" s="51" t="str">
        <f t="shared" si="80"/>
        <v>2017Q4</v>
      </c>
      <c r="J1061" s="177">
        <f>'[6]price list MAN'!J1061</f>
        <v>1780000</v>
      </c>
      <c r="K1061" s="177">
        <f>'[6]price list MAN'!P1061</f>
        <v>1370250</v>
      </c>
      <c r="L1061" s="177">
        <f>'[6]price list MAN'!R1061</f>
        <v>1305000</v>
      </c>
      <c r="M1061" s="174">
        <f>'[6]price list MAN'!S1061</f>
        <v>1835000</v>
      </c>
      <c r="N1061" s="174">
        <f>'[6]price list MAN'!Y1061</f>
        <v>1428000</v>
      </c>
      <c r="O1061" s="174">
        <f>'[6]price list MAN'!AA1061</f>
        <v>1360000</v>
      </c>
      <c r="P1061" s="68">
        <f t="shared" si="81"/>
        <v>0.25885558583106266</v>
      </c>
      <c r="Q1061" s="62" t="e">
        <f>O1061-#REF!</f>
        <v>#REF!</v>
      </c>
      <c r="W1061" s="210"/>
      <c r="X1061" s="210"/>
      <c r="Y1061" s="210"/>
      <c r="Z1061" s="210"/>
      <c r="AA1061" s="210"/>
      <c r="AB1061" s="210"/>
      <c r="AC1061" s="210"/>
      <c r="AT1061" s="425" t="str">
        <f t="shared" si="82"/>
        <v>KP0007182017Q415,9</v>
      </c>
      <c r="AU1061" s="64" t="str">
        <f t="shared" si="83"/>
        <v>11-2017</v>
      </c>
      <c r="BA1061" s="428" t="str">
        <f t="shared" si="84"/>
        <v>WIP - 30 Days</v>
      </c>
    </row>
    <row r="1062" spans="2:53">
      <c r="B1062" s="36">
        <f>'[6]price list MAN'!B1062</f>
        <v>48980</v>
      </c>
      <c r="C1062" s="10" t="str">
        <f>'[6]price list MAN'!C1062</f>
        <v>TGS-27-4406X4BBS-L-STEEL</v>
      </c>
      <c r="D1062" s="16" t="str">
        <f>IFERROR(VLOOKUP(C1062&amp;"",'[7]Retail Price List'!$A$3:$B$103,2,FALSE),"Special Order")</f>
        <v>KP000718</v>
      </c>
      <c r="E1062" s="494" t="str">
        <f>'[6]price list MAN'!E1062</f>
        <v>CKD</v>
      </c>
      <c r="F1062" s="11" t="str">
        <f>'[6]price list MAN'!F1062</f>
        <v>2018-07-30</v>
      </c>
      <c r="G1062" s="32">
        <f>'[6]price list MAN'!G1062</f>
        <v>15.9</v>
      </c>
      <c r="H1062" s="26">
        <f>'[6]price list MAN'!H1062</f>
        <v>43069</v>
      </c>
      <c r="I1062" s="51" t="str">
        <f t="shared" si="80"/>
        <v>2017Q4</v>
      </c>
      <c r="J1062" s="177">
        <f>'[6]price list MAN'!J1062</f>
        <v>1780000</v>
      </c>
      <c r="K1062" s="177">
        <f>'[6]price list MAN'!P1062</f>
        <v>1370250</v>
      </c>
      <c r="L1062" s="177">
        <f>'[6]price list MAN'!R1062</f>
        <v>1305000</v>
      </c>
      <c r="M1062" s="174">
        <f>'[6]price list MAN'!S1062</f>
        <v>1835000</v>
      </c>
      <c r="N1062" s="174">
        <f>'[6]price list MAN'!Y1062</f>
        <v>1428000</v>
      </c>
      <c r="O1062" s="174">
        <f>'[6]price list MAN'!AA1062</f>
        <v>1360000</v>
      </c>
      <c r="P1062" s="68">
        <f t="shared" si="81"/>
        <v>0.25885558583106266</v>
      </c>
      <c r="Q1062" s="62" t="e">
        <f>O1062-#REF!</f>
        <v>#REF!</v>
      </c>
      <c r="W1062" s="210"/>
      <c r="X1062" s="210"/>
      <c r="Y1062" s="210"/>
      <c r="Z1062" s="210"/>
      <c r="AA1062" s="210"/>
      <c r="AB1062" s="210"/>
      <c r="AC1062" s="210"/>
      <c r="AT1062" s="425" t="str">
        <f t="shared" si="82"/>
        <v>KP0007182017Q415,9</v>
      </c>
      <c r="AU1062" s="64" t="str">
        <f t="shared" si="83"/>
        <v>11-2017</v>
      </c>
      <c r="BA1062" s="428" t="str">
        <f t="shared" si="84"/>
        <v>WIP - 30 Days</v>
      </c>
    </row>
    <row r="1063" spans="2:53">
      <c r="B1063" s="36">
        <f>'[6]price list MAN'!B1063</f>
        <v>48981</v>
      </c>
      <c r="C1063" s="10" t="str">
        <f>'[6]price list MAN'!C1063</f>
        <v>TGS-27-4406X4BBS-L-STEEL</v>
      </c>
      <c r="D1063" s="16" t="str">
        <f>IFERROR(VLOOKUP(C1063&amp;"",'[7]Retail Price List'!$A$3:$B$103,2,FALSE),"Special Order")</f>
        <v>KP000718</v>
      </c>
      <c r="E1063" s="494" t="str">
        <f>'[6]price list MAN'!E1063</f>
        <v>CKD</v>
      </c>
      <c r="F1063" s="11" t="str">
        <f>'[6]price list MAN'!F1063</f>
        <v>2018-07-30</v>
      </c>
      <c r="G1063" s="32">
        <f>'[6]price list MAN'!G1063</f>
        <v>15.9</v>
      </c>
      <c r="H1063" s="26">
        <f>'[6]price list MAN'!H1063</f>
        <v>43069</v>
      </c>
      <c r="I1063" s="51" t="str">
        <f t="shared" si="80"/>
        <v>2017Q4</v>
      </c>
      <c r="J1063" s="177">
        <f>'[6]price list MAN'!J1063</f>
        <v>1780000</v>
      </c>
      <c r="K1063" s="177">
        <f>'[6]price list MAN'!P1063</f>
        <v>1370250</v>
      </c>
      <c r="L1063" s="177">
        <f>'[6]price list MAN'!R1063</f>
        <v>1305000</v>
      </c>
      <c r="M1063" s="174">
        <f>'[6]price list MAN'!S1063</f>
        <v>1835000</v>
      </c>
      <c r="N1063" s="174">
        <f>'[6]price list MAN'!Y1063</f>
        <v>1428000</v>
      </c>
      <c r="O1063" s="174">
        <f>'[6]price list MAN'!AA1063</f>
        <v>1360000</v>
      </c>
      <c r="P1063" s="68">
        <f t="shared" si="81"/>
        <v>0.25885558583106266</v>
      </c>
      <c r="Q1063" s="62" t="e">
        <f>O1063-#REF!</f>
        <v>#REF!</v>
      </c>
      <c r="W1063" s="210"/>
      <c r="X1063" s="210"/>
      <c r="Y1063" s="210"/>
      <c r="Z1063" s="210"/>
      <c r="AA1063" s="210"/>
      <c r="AB1063" s="210"/>
      <c r="AC1063" s="210"/>
      <c r="AT1063" s="425" t="str">
        <f t="shared" si="82"/>
        <v>KP0007182017Q415,9</v>
      </c>
      <c r="AU1063" s="64" t="str">
        <f t="shared" si="83"/>
        <v>11-2017</v>
      </c>
      <c r="BA1063" s="428" t="str">
        <f t="shared" si="84"/>
        <v>WIP - 30 Days</v>
      </c>
    </row>
    <row r="1064" spans="2:53">
      <c r="B1064" s="36">
        <f>'[6]price list MAN'!B1064</f>
        <v>48982</v>
      </c>
      <c r="C1064" s="10" t="str">
        <f>'[6]price list MAN'!C1064</f>
        <v>TGS-27-4406X4BBS-L-STEEL</v>
      </c>
      <c r="D1064" s="16" t="str">
        <f>IFERROR(VLOOKUP(C1064&amp;"",'[7]Retail Price List'!$A$3:$B$103,2,FALSE),"Special Order")</f>
        <v>KP000718</v>
      </c>
      <c r="E1064" s="494" t="str">
        <f>'[6]price list MAN'!E1064</f>
        <v>CKD</v>
      </c>
      <c r="F1064" s="11" t="str">
        <f>'[6]price list MAN'!F1064</f>
        <v>2018-07-30</v>
      </c>
      <c r="G1064" s="32">
        <f>'[6]price list MAN'!G1064</f>
        <v>15.9</v>
      </c>
      <c r="H1064" s="26">
        <f>'[6]price list MAN'!H1064</f>
        <v>43069</v>
      </c>
      <c r="I1064" s="51" t="str">
        <f t="shared" si="80"/>
        <v>2017Q4</v>
      </c>
      <c r="J1064" s="177">
        <f>'[6]price list MAN'!J1064</f>
        <v>1780000</v>
      </c>
      <c r="K1064" s="177">
        <f>'[6]price list MAN'!P1064</f>
        <v>1370250</v>
      </c>
      <c r="L1064" s="177">
        <f>'[6]price list MAN'!R1064</f>
        <v>1305000</v>
      </c>
      <c r="M1064" s="174">
        <f>'[6]price list MAN'!S1064</f>
        <v>1835000</v>
      </c>
      <c r="N1064" s="174">
        <f>'[6]price list MAN'!Y1064</f>
        <v>1428000</v>
      </c>
      <c r="O1064" s="174">
        <f>'[6]price list MAN'!AA1064</f>
        <v>1360000</v>
      </c>
      <c r="P1064" s="68">
        <f t="shared" si="81"/>
        <v>0.25885558583106266</v>
      </c>
      <c r="Q1064" s="62" t="e">
        <f>O1064-#REF!</f>
        <v>#REF!</v>
      </c>
      <c r="W1064" s="210"/>
      <c r="X1064" s="210"/>
      <c r="Y1064" s="210"/>
      <c r="Z1064" s="210"/>
      <c r="AA1064" s="210"/>
      <c r="AB1064" s="210"/>
      <c r="AC1064" s="210"/>
      <c r="AT1064" s="425" t="str">
        <f t="shared" si="82"/>
        <v>KP0007182017Q415,9</v>
      </c>
      <c r="AU1064" s="64" t="str">
        <f t="shared" si="83"/>
        <v>11-2017</v>
      </c>
      <c r="BA1064" s="428" t="str">
        <f t="shared" si="84"/>
        <v>WIP - 30 Days</v>
      </c>
    </row>
    <row r="1065" spans="2:53">
      <c r="B1065" s="36">
        <f>'[6]price list MAN'!B1065</f>
        <v>48983</v>
      </c>
      <c r="C1065" s="10" t="str">
        <f>'[6]price list MAN'!C1065</f>
        <v>TGS-27-4406X4BBS-L-STEEL</v>
      </c>
      <c r="D1065" s="16" t="str">
        <f>IFERROR(VLOOKUP(C1065&amp;"",'[7]Retail Price List'!$A$3:$B$103,2,FALSE),"Special Order")</f>
        <v>KP000718</v>
      </c>
      <c r="E1065" s="494" t="str">
        <f>'[6]price list MAN'!E1065</f>
        <v>CKD</v>
      </c>
      <c r="F1065" s="11" t="str">
        <f>'[6]price list MAN'!F1065</f>
        <v>2018-06-30</v>
      </c>
      <c r="G1065" s="32">
        <f>'[6]price list MAN'!G1065</f>
        <v>15.9</v>
      </c>
      <c r="H1065" s="26">
        <f>'[6]price list MAN'!H1065</f>
        <v>43069</v>
      </c>
      <c r="I1065" s="51" t="str">
        <f t="shared" si="80"/>
        <v>2017Q4</v>
      </c>
      <c r="J1065" s="177">
        <f>'[6]price list MAN'!J1065</f>
        <v>1780000</v>
      </c>
      <c r="K1065" s="177">
        <f>'[6]price list MAN'!P1065</f>
        <v>1370250</v>
      </c>
      <c r="L1065" s="177">
        <f>'[6]price list MAN'!R1065</f>
        <v>1305000</v>
      </c>
      <c r="M1065" s="174">
        <f>'[6]price list MAN'!S1065</f>
        <v>1835000</v>
      </c>
      <c r="N1065" s="174">
        <f>'[6]price list MAN'!Y1065</f>
        <v>1428000</v>
      </c>
      <c r="O1065" s="174">
        <f>'[6]price list MAN'!AA1065</f>
        <v>1360000</v>
      </c>
      <c r="P1065" s="68">
        <f t="shared" si="81"/>
        <v>0.25885558583106266</v>
      </c>
      <c r="Q1065" s="62" t="e">
        <f>O1065-#REF!</f>
        <v>#REF!</v>
      </c>
      <c r="W1065" s="210"/>
      <c r="X1065" s="210"/>
      <c r="Y1065" s="210"/>
      <c r="Z1065" s="210"/>
      <c r="AA1065" s="210"/>
      <c r="AB1065" s="210"/>
      <c r="AC1065" s="210"/>
      <c r="AT1065" s="425" t="str">
        <f t="shared" si="82"/>
        <v>KP0007182017Q415,9</v>
      </c>
      <c r="AU1065" s="64" t="str">
        <f t="shared" si="83"/>
        <v>11-2017</v>
      </c>
      <c r="BA1065" s="428" t="str">
        <f t="shared" si="84"/>
        <v>WIP - 30 Days</v>
      </c>
    </row>
    <row r="1066" spans="2:53">
      <c r="B1066" s="36">
        <f>'[6]price list MAN'!B1066</f>
        <v>48984</v>
      </c>
      <c r="C1066" s="10" t="str">
        <f>'[6]price list MAN'!C1066</f>
        <v>TGS-27-4406X4BBS-L-STEEL</v>
      </c>
      <c r="D1066" s="16" t="str">
        <f>IFERROR(VLOOKUP(C1066&amp;"",'[7]Retail Price List'!$A$3:$B$103,2,FALSE),"Special Order")</f>
        <v>KP000718</v>
      </c>
      <c r="E1066" s="494" t="str">
        <f>'[6]price list MAN'!E1066</f>
        <v>CKD</v>
      </c>
      <c r="F1066" s="11" t="str">
        <f>'[6]price list MAN'!F1066</f>
        <v>2018-06-30</v>
      </c>
      <c r="G1066" s="32">
        <f>'[6]price list MAN'!G1066</f>
        <v>15.9</v>
      </c>
      <c r="H1066" s="26">
        <f>'[6]price list MAN'!H1066</f>
        <v>43069</v>
      </c>
      <c r="I1066" s="51" t="str">
        <f t="shared" si="80"/>
        <v>2017Q4</v>
      </c>
      <c r="J1066" s="177">
        <f>'[6]price list MAN'!J1066</f>
        <v>1780000</v>
      </c>
      <c r="K1066" s="177">
        <f>'[6]price list MAN'!P1066</f>
        <v>1370250</v>
      </c>
      <c r="L1066" s="177">
        <f>'[6]price list MAN'!R1066</f>
        <v>1305000</v>
      </c>
      <c r="M1066" s="174">
        <f>'[6]price list MAN'!S1066</f>
        <v>1835000</v>
      </c>
      <c r="N1066" s="174">
        <f>'[6]price list MAN'!Y1066</f>
        <v>1428000</v>
      </c>
      <c r="O1066" s="174">
        <f>'[6]price list MAN'!AA1066</f>
        <v>1360000</v>
      </c>
      <c r="P1066" s="68">
        <f t="shared" si="81"/>
        <v>0.25885558583106266</v>
      </c>
      <c r="Q1066" s="62" t="e">
        <f>O1066-#REF!</f>
        <v>#REF!</v>
      </c>
      <c r="W1066" s="210"/>
      <c r="X1066" s="210"/>
      <c r="Y1066" s="210"/>
      <c r="Z1066" s="210"/>
      <c r="AA1066" s="210"/>
      <c r="AB1066" s="210"/>
      <c r="AC1066" s="210"/>
      <c r="AT1066" s="425" t="str">
        <f t="shared" si="82"/>
        <v>KP0007182017Q415,9</v>
      </c>
      <c r="AU1066" s="64" t="str">
        <f t="shared" si="83"/>
        <v>11-2017</v>
      </c>
      <c r="BA1066" s="428" t="str">
        <f t="shared" si="84"/>
        <v>WIP - 30 Days</v>
      </c>
    </row>
    <row r="1067" spans="2:53">
      <c r="B1067" s="36">
        <f>'[6]price list MAN'!B1067</f>
        <v>48985</v>
      </c>
      <c r="C1067" s="10" t="str">
        <f>'[6]price list MAN'!C1067</f>
        <v>TGS-27-4406X4BBS-L-STEEL</v>
      </c>
      <c r="D1067" s="16" t="str">
        <f>IFERROR(VLOOKUP(C1067&amp;"",'[7]Retail Price List'!$A$3:$B$103,2,FALSE),"Special Order")</f>
        <v>KP000718</v>
      </c>
      <c r="E1067" s="494" t="str">
        <f>'[6]price list MAN'!E1067</f>
        <v>CKD</v>
      </c>
      <c r="F1067" s="11" t="str">
        <f>'[6]price list MAN'!F1067</f>
        <v>2018-06-30</v>
      </c>
      <c r="G1067" s="32">
        <f>'[6]price list MAN'!G1067</f>
        <v>15.9</v>
      </c>
      <c r="H1067" s="26">
        <f>'[6]price list MAN'!H1067</f>
        <v>43069</v>
      </c>
      <c r="I1067" s="51" t="str">
        <f t="shared" si="80"/>
        <v>2017Q4</v>
      </c>
      <c r="J1067" s="177">
        <f>'[6]price list MAN'!J1067</f>
        <v>1780000</v>
      </c>
      <c r="K1067" s="177">
        <f>'[6]price list MAN'!P1067</f>
        <v>1370250</v>
      </c>
      <c r="L1067" s="177">
        <f>'[6]price list MAN'!R1067</f>
        <v>1305000</v>
      </c>
      <c r="M1067" s="174">
        <f>'[6]price list MAN'!S1067</f>
        <v>1835000</v>
      </c>
      <c r="N1067" s="174">
        <f>'[6]price list MAN'!Y1067</f>
        <v>1428000</v>
      </c>
      <c r="O1067" s="174">
        <f>'[6]price list MAN'!AA1067</f>
        <v>1360000</v>
      </c>
      <c r="P1067" s="68">
        <f t="shared" si="81"/>
        <v>0.25885558583106266</v>
      </c>
      <c r="Q1067" s="62" t="e">
        <f>O1067-#REF!</f>
        <v>#REF!</v>
      </c>
      <c r="W1067" s="210"/>
      <c r="X1067" s="210"/>
      <c r="Y1067" s="210"/>
      <c r="Z1067" s="210"/>
      <c r="AA1067" s="210"/>
      <c r="AB1067" s="210"/>
      <c r="AC1067" s="210"/>
      <c r="AT1067" s="425" t="str">
        <f t="shared" si="82"/>
        <v>KP0007182017Q415,9</v>
      </c>
      <c r="AU1067" s="64" t="str">
        <f t="shared" si="83"/>
        <v>11-2017</v>
      </c>
      <c r="BA1067" s="428" t="str">
        <f t="shared" si="84"/>
        <v>WIP - 30 Days</v>
      </c>
    </row>
    <row r="1068" spans="2:53">
      <c r="B1068" s="36">
        <f>'[6]price list MAN'!B1068</f>
        <v>48986</v>
      </c>
      <c r="C1068" s="10" t="str">
        <f>'[6]price list MAN'!C1068</f>
        <v>TGS-27-4406X4BBS-L-STEEL</v>
      </c>
      <c r="D1068" s="16" t="str">
        <f>IFERROR(VLOOKUP(C1068&amp;"",'[7]Retail Price List'!$A$3:$B$103,2,FALSE),"Special Order")</f>
        <v>KP000718</v>
      </c>
      <c r="E1068" s="494" t="str">
        <f>'[6]price list MAN'!E1068</f>
        <v>CKD</v>
      </c>
      <c r="F1068" s="11" t="str">
        <f>'[6]price list MAN'!F1068</f>
        <v>2018-06-30</v>
      </c>
      <c r="G1068" s="32">
        <f>'[6]price list MAN'!G1068</f>
        <v>15.9</v>
      </c>
      <c r="H1068" s="26">
        <f>'[6]price list MAN'!H1068</f>
        <v>43069</v>
      </c>
      <c r="I1068" s="51" t="str">
        <f t="shared" si="80"/>
        <v>2017Q4</v>
      </c>
      <c r="J1068" s="177">
        <f>'[6]price list MAN'!J1068</f>
        <v>1780000</v>
      </c>
      <c r="K1068" s="177">
        <f>'[6]price list MAN'!P1068</f>
        <v>1370250</v>
      </c>
      <c r="L1068" s="177">
        <f>'[6]price list MAN'!R1068</f>
        <v>1305000</v>
      </c>
      <c r="M1068" s="174">
        <f>'[6]price list MAN'!S1068</f>
        <v>1835000</v>
      </c>
      <c r="N1068" s="174">
        <f>'[6]price list MAN'!Y1068</f>
        <v>1428000</v>
      </c>
      <c r="O1068" s="174">
        <f>'[6]price list MAN'!AA1068</f>
        <v>1360000</v>
      </c>
      <c r="P1068" s="68">
        <f t="shared" si="81"/>
        <v>0.25885558583106266</v>
      </c>
      <c r="Q1068" s="62" t="e">
        <f>O1068-#REF!</f>
        <v>#REF!</v>
      </c>
      <c r="W1068" s="210"/>
      <c r="X1068" s="210"/>
      <c r="Y1068" s="210"/>
      <c r="Z1068" s="210"/>
      <c r="AA1068" s="210"/>
      <c r="AB1068" s="210"/>
      <c r="AC1068" s="210"/>
      <c r="AT1068" s="425" t="str">
        <f t="shared" si="82"/>
        <v>KP0007182017Q415,9</v>
      </c>
      <c r="AU1068" s="64" t="str">
        <f t="shared" si="83"/>
        <v>11-2017</v>
      </c>
      <c r="BA1068" s="428" t="str">
        <f t="shared" si="84"/>
        <v>WIP - 30 Days</v>
      </c>
    </row>
    <row r="1069" spans="2:53">
      <c r="B1069" s="36">
        <f>'[6]price list MAN'!B1069</f>
        <v>48987</v>
      </c>
      <c r="C1069" s="10" t="str">
        <f>'[6]price list MAN'!C1069</f>
        <v>TGS-27-4406X4BBS-L-STEEL</v>
      </c>
      <c r="D1069" s="16" t="str">
        <f>IFERROR(VLOOKUP(C1069&amp;"",'[7]Retail Price List'!$A$3:$B$103,2,FALSE),"Special Order")</f>
        <v>KP000718</v>
      </c>
      <c r="E1069" s="494" t="str">
        <f>'[6]price list MAN'!E1069</f>
        <v>CKD</v>
      </c>
      <c r="F1069" s="11" t="str">
        <f>'[6]price list MAN'!F1069</f>
        <v>2018-07-30</v>
      </c>
      <c r="G1069" s="32">
        <f>'[6]price list MAN'!G1069</f>
        <v>15.9</v>
      </c>
      <c r="H1069" s="26">
        <f>'[6]price list MAN'!H1069</f>
        <v>43069</v>
      </c>
      <c r="I1069" s="51" t="str">
        <f t="shared" si="80"/>
        <v>2017Q4</v>
      </c>
      <c r="J1069" s="177">
        <f>'[6]price list MAN'!J1069</f>
        <v>1780000</v>
      </c>
      <c r="K1069" s="177">
        <f>'[6]price list MAN'!P1069</f>
        <v>1370250</v>
      </c>
      <c r="L1069" s="177">
        <f>'[6]price list MAN'!R1069</f>
        <v>1305000</v>
      </c>
      <c r="M1069" s="174">
        <f>'[6]price list MAN'!S1069</f>
        <v>1835000</v>
      </c>
      <c r="N1069" s="174">
        <f>'[6]price list MAN'!Y1069</f>
        <v>1428000</v>
      </c>
      <c r="O1069" s="174">
        <f>'[6]price list MAN'!AA1069</f>
        <v>1360000</v>
      </c>
      <c r="P1069" s="68">
        <f t="shared" si="81"/>
        <v>0.25885558583106266</v>
      </c>
      <c r="Q1069" s="62" t="e">
        <f>O1069-#REF!</f>
        <v>#REF!</v>
      </c>
      <c r="W1069" s="210"/>
      <c r="X1069" s="210"/>
      <c r="Y1069" s="210"/>
      <c r="Z1069" s="210"/>
      <c r="AA1069" s="210"/>
      <c r="AB1069" s="210"/>
      <c r="AC1069" s="210"/>
      <c r="AT1069" s="425" t="str">
        <f t="shared" si="82"/>
        <v>KP0007182017Q415,9</v>
      </c>
      <c r="AU1069" s="64" t="str">
        <f t="shared" si="83"/>
        <v>11-2017</v>
      </c>
      <c r="BA1069" s="428" t="str">
        <f t="shared" si="84"/>
        <v>WIP - 30 Days</v>
      </c>
    </row>
    <row r="1070" spans="2:53">
      <c r="B1070" s="36">
        <f>'[6]price list MAN'!B1070</f>
        <v>48988</v>
      </c>
      <c r="C1070" s="10" t="str">
        <f>'[6]price list MAN'!C1070</f>
        <v>TGS-27-4406X4BBS-L-STEEL</v>
      </c>
      <c r="D1070" s="16" t="str">
        <f>IFERROR(VLOOKUP(C1070&amp;"",'[7]Retail Price List'!$A$3:$B$103,2,FALSE),"Special Order")</f>
        <v>KP000718</v>
      </c>
      <c r="E1070" s="494" t="str">
        <f>'[6]price list MAN'!E1070</f>
        <v>CKD</v>
      </c>
      <c r="F1070" s="11" t="str">
        <f>'[6]price list MAN'!F1070</f>
        <v>2018-07-30</v>
      </c>
      <c r="G1070" s="32">
        <f>'[6]price list MAN'!G1070</f>
        <v>15.9</v>
      </c>
      <c r="H1070" s="26">
        <f>'[6]price list MAN'!H1070</f>
        <v>43069</v>
      </c>
      <c r="I1070" s="51" t="str">
        <f t="shared" si="80"/>
        <v>2017Q4</v>
      </c>
      <c r="J1070" s="177">
        <f>'[6]price list MAN'!J1070</f>
        <v>1780000</v>
      </c>
      <c r="K1070" s="177">
        <f>'[6]price list MAN'!P1070</f>
        <v>1370250</v>
      </c>
      <c r="L1070" s="177">
        <f>'[6]price list MAN'!R1070</f>
        <v>1305000</v>
      </c>
      <c r="M1070" s="174">
        <f>'[6]price list MAN'!S1070</f>
        <v>1835000</v>
      </c>
      <c r="N1070" s="174">
        <f>'[6]price list MAN'!Y1070</f>
        <v>1428000</v>
      </c>
      <c r="O1070" s="174">
        <f>'[6]price list MAN'!AA1070</f>
        <v>1360000</v>
      </c>
      <c r="P1070" s="68">
        <f t="shared" si="81"/>
        <v>0.25885558583106266</v>
      </c>
      <c r="Q1070" s="62" t="e">
        <f>O1070-#REF!</f>
        <v>#REF!</v>
      </c>
      <c r="W1070" s="210"/>
      <c r="X1070" s="210"/>
      <c r="Y1070" s="210"/>
      <c r="Z1070" s="210"/>
      <c r="AA1070" s="210"/>
      <c r="AB1070" s="210"/>
      <c r="AC1070" s="210"/>
      <c r="AT1070" s="425" t="str">
        <f t="shared" si="82"/>
        <v>KP0007182017Q415,9</v>
      </c>
      <c r="AU1070" s="64" t="str">
        <f t="shared" si="83"/>
        <v>11-2017</v>
      </c>
      <c r="BA1070" s="428" t="str">
        <f t="shared" si="84"/>
        <v>WIP - 30 Days</v>
      </c>
    </row>
    <row r="1071" spans="2:53">
      <c r="B1071" s="36">
        <f>'[6]price list MAN'!B1071</f>
        <v>48989</v>
      </c>
      <c r="C1071" s="10" t="str">
        <f>'[6]price list MAN'!C1071</f>
        <v>TGS-27-4406X4BBS-L-STEEL</v>
      </c>
      <c r="D1071" s="16" t="str">
        <f>IFERROR(VLOOKUP(C1071&amp;"",'[7]Retail Price List'!$A$3:$B$103,2,FALSE),"Special Order")</f>
        <v>KP000718</v>
      </c>
      <c r="E1071" s="494" t="str">
        <f>'[6]price list MAN'!E1071</f>
        <v>CKD</v>
      </c>
      <c r="F1071" s="11" t="str">
        <f>'[6]price list MAN'!F1071</f>
        <v>2018-07-30</v>
      </c>
      <c r="G1071" s="32">
        <f>'[6]price list MAN'!G1071</f>
        <v>15.9</v>
      </c>
      <c r="H1071" s="26">
        <f>'[6]price list MAN'!H1071</f>
        <v>43069</v>
      </c>
      <c r="I1071" s="51" t="str">
        <f t="shared" si="80"/>
        <v>2017Q4</v>
      </c>
      <c r="J1071" s="177">
        <f>'[6]price list MAN'!J1071</f>
        <v>1780000</v>
      </c>
      <c r="K1071" s="177">
        <f>'[6]price list MAN'!P1071</f>
        <v>1370250</v>
      </c>
      <c r="L1071" s="177">
        <f>'[6]price list MAN'!R1071</f>
        <v>1305000</v>
      </c>
      <c r="M1071" s="174">
        <f>'[6]price list MAN'!S1071</f>
        <v>1835000</v>
      </c>
      <c r="N1071" s="174">
        <f>'[6]price list MAN'!Y1071</f>
        <v>1428000</v>
      </c>
      <c r="O1071" s="174">
        <f>'[6]price list MAN'!AA1071</f>
        <v>1360000</v>
      </c>
      <c r="P1071" s="68">
        <f t="shared" si="81"/>
        <v>0.25885558583106266</v>
      </c>
      <c r="Q1071" s="62" t="e">
        <f>O1071-#REF!</f>
        <v>#REF!</v>
      </c>
      <c r="W1071" s="210"/>
      <c r="X1071" s="210"/>
      <c r="Y1071" s="210"/>
      <c r="Z1071" s="210"/>
      <c r="AA1071" s="210"/>
      <c r="AB1071" s="210"/>
      <c r="AC1071" s="210"/>
      <c r="AT1071" s="425" t="str">
        <f t="shared" si="82"/>
        <v>KP0007182017Q415,9</v>
      </c>
      <c r="AU1071" s="64" t="str">
        <f t="shared" si="83"/>
        <v>11-2017</v>
      </c>
      <c r="BA1071" s="428" t="str">
        <f t="shared" si="84"/>
        <v>WIP - 30 Days</v>
      </c>
    </row>
    <row r="1072" spans="2:53">
      <c r="B1072" s="36">
        <f>'[6]price list MAN'!B1072</f>
        <v>48990</v>
      </c>
      <c r="C1072" s="10" t="str">
        <f>'[6]price list MAN'!C1072</f>
        <v>TGS-27-4406X4BBS-L-STEEL</v>
      </c>
      <c r="D1072" s="16" t="str">
        <f>IFERROR(VLOOKUP(C1072&amp;"",'[7]Retail Price List'!$A$3:$B$103,2,FALSE),"Special Order")</f>
        <v>KP000718</v>
      </c>
      <c r="E1072" s="494" t="str">
        <f>'[6]price list MAN'!E1072</f>
        <v>CKD</v>
      </c>
      <c r="F1072" s="11" t="str">
        <f>'[6]price list MAN'!F1072</f>
        <v>2018-07-30</v>
      </c>
      <c r="G1072" s="32">
        <f>'[6]price list MAN'!G1072</f>
        <v>15.9</v>
      </c>
      <c r="H1072" s="26">
        <f>'[6]price list MAN'!H1072</f>
        <v>43069</v>
      </c>
      <c r="I1072" s="51" t="str">
        <f t="shared" si="80"/>
        <v>2017Q4</v>
      </c>
      <c r="J1072" s="177">
        <f>'[6]price list MAN'!J1072</f>
        <v>1780000</v>
      </c>
      <c r="K1072" s="177">
        <f>'[6]price list MAN'!P1072</f>
        <v>1370250</v>
      </c>
      <c r="L1072" s="177">
        <f>'[6]price list MAN'!R1072</f>
        <v>1305000</v>
      </c>
      <c r="M1072" s="174">
        <f>'[6]price list MAN'!S1072</f>
        <v>1835000</v>
      </c>
      <c r="N1072" s="174">
        <f>'[6]price list MAN'!Y1072</f>
        <v>1428000</v>
      </c>
      <c r="O1072" s="174">
        <f>'[6]price list MAN'!AA1072</f>
        <v>1360000</v>
      </c>
      <c r="P1072" s="68">
        <f t="shared" si="81"/>
        <v>0.25885558583106266</v>
      </c>
      <c r="Q1072" s="62" t="e">
        <f>O1072-#REF!</f>
        <v>#REF!</v>
      </c>
      <c r="W1072" s="210"/>
      <c r="X1072" s="210"/>
      <c r="Y1072" s="210"/>
      <c r="Z1072" s="210"/>
      <c r="AA1072" s="210"/>
      <c r="AB1072" s="210"/>
      <c r="AC1072" s="210"/>
      <c r="AT1072" s="425" t="str">
        <f t="shared" si="82"/>
        <v>KP0007182017Q415,9</v>
      </c>
      <c r="AU1072" s="64" t="str">
        <f t="shared" si="83"/>
        <v>11-2017</v>
      </c>
      <c r="BA1072" s="428" t="str">
        <f t="shared" si="84"/>
        <v>WIP - 30 Days</v>
      </c>
    </row>
    <row r="1073" spans="2:53">
      <c r="B1073" s="36">
        <f>'[6]price list MAN'!B1073</f>
        <v>48991</v>
      </c>
      <c r="C1073" s="10" t="str">
        <f>'[6]price list MAN'!C1073</f>
        <v>TGS-27-4406X4BBS-L-STEEL</v>
      </c>
      <c r="D1073" s="16" t="str">
        <f>IFERROR(VLOOKUP(C1073&amp;"",'[7]Retail Price List'!$A$3:$B$103,2,FALSE),"Special Order")</f>
        <v>KP000718</v>
      </c>
      <c r="E1073" s="494" t="str">
        <f>'[6]price list MAN'!E1073</f>
        <v>CKD</v>
      </c>
      <c r="F1073" s="11" t="str">
        <f>'[6]price list MAN'!F1073</f>
        <v>2018-08-30</v>
      </c>
      <c r="G1073" s="32">
        <f>'[6]price list MAN'!G1073</f>
        <v>15.9</v>
      </c>
      <c r="H1073" s="26">
        <f>'[6]price list MAN'!H1073</f>
        <v>43069</v>
      </c>
      <c r="I1073" s="51" t="str">
        <f t="shared" si="80"/>
        <v>2017Q4</v>
      </c>
      <c r="J1073" s="177">
        <f>'[6]price list MAN'!J1073</f>
        <v>1780000</v>
      </c>
      <c r="K1073" s="177">
        <f>'[6]price list MAN'!P1073</f>
        <v>1370250</v>
      </c>
      <c r="L1073" s="177">
        <f>'[6]price list MAN'!R1073</f>
        <v>1305000</v>
      </c>
      <c r="M1073" s="174">
        <f>'[6]price list MAN'!S1073</f>
        <v>1835000</v>
      </c>
      <c r="N1073" s="174">
        <f>'[6]price list MAN'!Y1073</f>
        <v>1428000</v>
      </c>
      <c r="O1073" s="174">
        <f>'[6]price list MAN'!AA1073</f>
        <v>1360000</v>
      </c>
      <c r="P1073" s="68">
        <f t="shared" si="81"/>
        <v>0.25885558583106266</v>
      </c>
      <c r="Q1073" s="62" t="e">
        <f>O1073-#REF!</f>
        <v>#REF!</v>
      </c>
      <c r="W1073" s="210"/>
      <c r="X1073" s="210"/>
      <c r="Y1073" s="210"/>
      <c r="Z1073" s="210"/>
      <c r="AA1073" s="210"/>
      <c r="AB1073" s="210"/>
      <c r="AC1073" s="210"/>
      <c r="AT1073" s="425" t="str">
        <f t="shared" si="82"/>
        <v>KP0007182017Q415,9</v>
      </c>
      <c r="AU1073" s="64" t="str">
        <f t="shared" si="83"/>
        <v>11-2017</v>
      </c>
      <c r="BA1073" s="428" t="str">
        <f t="shared" si="84"/>
        <v>WIP - 30 Days</v>
      </c>
    </row>
    <row r="1074" spans="2:53">
      <c r="B1074" s="36">
        <f>'[6]price list MAN'!B1074</f>
        <v>48992</v>
      </c>
      <c r="C1074" s="10" t="str">
        <f>'[6]price list MAN'!C1074</f>
        <v>TGS-27-4406X4BBS-L-STEEL</v>
      </c>
      <c r="D1074" s="16" t="str">
        <f>IFERROR(VLOOKUP(C1074&amp;"",'[7]Retail Price List'!$A$3:$B$103,2,FALSE),"Special Order")</f>
        <v>KP000718</v>
      </c>
      <c r="E1074" s="494" t="str">
        <f>'[6]price list MAN'!E1074</f>
        <v>CKD</v>
      </c>
      <c r="F1074" s="11" t="str">
        <f>'[6]price list MAN'!F1074</f>
        <v>2018-08-30</v>
      </c>
      <c r="G1074" s="32">
        <f>'[6]price list MAN'!G1074</f>
        <v>15.9</v>
      </c>
      <c r="H1074" s="26">
        <f>'[6]price list MAN'!H1074</f>
        <v>43069</v>
      </c>
      <c r="I1074" s="51" t="str">
        <f t="shared" si="80"/>
        <v>2017Q4</v>
      </c>
      <c r="J1074" s="177">
        <f>'[6]price list MAN'!J1074</f>
        <v>1780000</v>
      </c>
      <c r="K1074" s="177">
        <f>'[6]price list MAN'!P1074</f>
        <v>1370250</v>
      </c>
      <c r="L1074" s="177">
        <f>'[6]price list MAN'!R1074</f>
        <v>1305000</v>
      </c>
      <c r="M1074" s="174">
        <f>'[6]price list MAN'!S1074</f>
        <v>1835000</v>
      </c>
      <c r="N1074" s="174">
        <f>'[6]price list MAN'!Y1074</f>
        <v>1428000</v>
      </c>
      <c r="O1074" s="174">
        <f>'[6]price list MAN'!AA1074</f>
        <v>1360000</v>
      </c>
      <c r="P1074" s="68">
        <f t="shared" si="81"/>
        <v>0.25885558583106266</v>
      </c>
      <c r="Q1074" s="62" t="e">
        <f>O1074-#REF!</f>
        <v>#REF!</v>
      </c>
      <c r="W1074" s="210"/>
      <c r="X1074" s="210"/>
      <c r="Y1074" s="210"/>
      <c r="Z1074" s="210"/>
      <c r="AA1074" s="210"/>
      <c r="AB1074" s="210"/>
      <c r="AC1074" s="210"/>
      <c r="AT1074" s="425" t="str">
        <f t="shared" si="82"/>
        <v>KP0007182017Q415,9</v>
      </c>
      <c r="AU1074" s="64" t="str">
        <f t="shared" si="83"/>
        <v>11-2017</v>
      </c>
      <c r="BA1074" s="428" t="str">
        <f t="shared" si="84"/>
        <v>WIP - 30 Days</v>
      </c>
    </row>
    <row r="1075" spans="2:53">
      <c r="B1075" s="36">
        <f>'[6]price list MAN'!B1075</f>
        <v>48993</v>
      </c>
      <c r="C1075" s="10" t="str">
        <f>'[6]price list MAN'!C1075</f>
        <v>TGS-27-4406X4BBS-L-STEEL</v>
      </c>
      <c r="D1075" s="16" t="str">
        <f>IFERROR(VLOOKUP(C1075&amp;"",'[7]Retail Price List'!$A$3:$B$103,2,FALSE),"Special Order")</f>
        <v>KP000718</v>
      </c>
      <c r="E1075" s="494" t="str">
        <f>'[6]price list MAN'!E1075</f>
        <v>CKD</v>
      </c>
      <c r="F1075" s="11" t="str">
        <f>'[6]price list MAN'!F1075</f>
        <v>2018-09-30</v>
      </c>
      <c r="G1075" s="32">
        <f>'[6]price list MAN'!G1075</f>
        <v>15.9</v>
      </c>
      <c r="H1075" s="26">
        <f>'[6]price list MAN'!H1075</f>
        <v>43069</v>
      </c>
      <c r="I1075" s="51" t="str">
        <f t="shared" si="80"/>
        <v>2017Q4</v>
      </c>
      <c r="J1075" s="177">
        <f>'[6]price list MAN'!J1075</f>
        <v>1780000</v>
      </c>
      <c r="K1075" s="177">
        <f>'[6]price list MAN'!P1075</f>
        <v>1370250</v>
      </c>
      <c r="L1075" s="177">
        <f>'[6]price list MAN'!R1075</f>
        <v>1305000</v>
      </c>
      <c r="M1075" s="174">
        <f>'[6]price list MAN'!S1075</f>
        <v>1835000</v>
      </c>
      <c r="N1075" s="174">
        <f>'[6]price list MAN'!Y1075</f>
        <v>1428000</v>
      </c>
      <c r="O1075" s="174">
        <f>'[6]price list MAN'!AA1075</f>
        <v>1360000</v>
      </c>
      <c r="P1075" s="68">
        <f t="shared" si="81"/>
        <v>0.25885558583106266</v>
      </c>
      <c r="Q1075" s="62" t="e">
        <f>O1075-#REF!</f>
        <v>#REF!</v>
      </c>
      <c r="W1075" s="210"/>
      <c r="X1075" s="210"/>
      <c r="Y1075" s="210"/>
      <c r="Z1075" s="210"/>
      <c r="AA1075" s="210"/>
      <c r="AB1075" s="210"/>
      <c r="AC1075" s="210"/>
      <c r="AT1075" s="425" t="str">
        <f t="shared" si="82"/>
        <v>KP0007182017Q415,9</v>
      </c>
      <c r="AU1075" s="64" t="str">
        <f t="shared" si="83"/>
        <v>11-2017</v>
      </c>
      <c r="BA1075" s="428" t="str">
        <f t="shared" si="84"/>
        <v>WIP - 30 Days</v>
      </c>
    </row>
    <row r="1076" spans="2:53">
      <c r="B1076" s="36">
        <f>'[6]price list MAN'!B1076</f>
        <v>48994</v>
      </c>
      <c r="C1076" s="10" t="str">
        <f>'[6]price list MAN'!C1076</f>
        <v>TGS-27-4406X4BBS-L-STEEL</v>
      </c>
      <c r="D1076" s="16" t="str">
        <f>IFERROR(VLOOKUP(C1076&amp;"",'[7]Retail Price List'!$A$3:$B$103,2,FALSE),"Special Order")</f>
        <v>KP000718</v>
      </c>
      <c r="E1076" s="494" t="str">
        <f>'[6]price list MAN'!E1076</f>
        <v>CKD</v>
      </c>
      <c r="F1076" s="11" t="str">
        <f>'[6]price list MAN'!F1076</f>
        <v>2018-09-30</v>
      </c>
      <c r="G1076" s="32">
        <f>'[6]price list MAN'!G1076</f>
        <v>15.9</v>
      </c>
      <c r="H1076" s="26">
        <f>'[6]price list MAN'!H1076</f>
        <v>43069</v>
      </c>
      <c r="I1076" s="51" t="str">
        <f t="shared" si="80"/>
        <v>2017Q4</v>
      </c>
      <c r="J1076" s="177">
        <f>'[6]price list MAN'!J1076</f>
        <v>1780000</v>
      </c>
      <c r="K1076" s="177">
        <f>'[6]price list MAN'!P1076</f>
        <v>1370250</v>
      </c>
      <c r="L1076" s="177">
        <f>'[6]price list MAN'!R1076</f>
        <v>1305000</v>
      </c>
      <c r="M1076" s="174">
        <f>'[6]price list MAN'!S1076</f>
        <v>1835000</v>
      </c>
      <c r="N1076" s="174">
        <f>'[6]price list MAN'!Y1076</f>
        <v>1428000</v>
      </c>
      <c r="O1076" s="174">
        <f>'[6]price list MAN'!AA1076</f>
        <v>1360000</v>
      </c>
      <c r="P1076" s="68">
        <f t="shared" si="81"/>
        <v>0.25885558583106266</v>
      </c>
      <c r="Q1076" s="62" t="e">
        <f>O1076-#REF!</f>
        <v>#REF!</v>
      </c>
      <c r="W1076" s="210"/>
      <c r="X1076" s="210"/>
      <c r="Y1076" s="210"/>
      <c r="Z1076" s="210"/>
      <c r="AA1076" s="210"/>
      <c r="AB1076" s="210"/>
      <c r="AC1076" s="210"/>
      <c r="AT1076" s="425" t="str">
        <f t="shared" si="82"/>
        <v>KP0007182017Q415,9</v>
      </c>
      <c r="AU1076" s="64" t="str">
        <f t="shared" si="83"/>
        <v>11-2017</v>
      </c>
      <c r="BA1076" s="428" t="str">
        <f t="shared" si="84"/>
        <v>WIP - 30 Days</v>
      </c>
    </row>
    <row r="1077" spans="2:53">
      <c r="B1077" s="36" t="str">
        <f>'[6]price list MAN'!B1077</f>
        <v>76W-9335</v>
      </c>
      <c r="C1077" s="10" t="str">
        <f>'[6]price list MAN'!C1077</f>
        <v>TGS-27-4406X4BBS-L-STEEL</v>
      </c>
      <c r="D1077" s="16" t="str">
        <f>IFERROR(VLOOKUP(C1077&amp;"",'[7]Retail Price List'!$A$3:$B$103,2,FALSE),"Special Order")</f>
        <v>KP000718</v>
      </c>
      <c r="E1077" s="494" t="str">
        <f>'[6]price list MAN'!E1077</f>
        <v>BOOKED: 2017-11-28</v>
      </c>
      <c r="F1077" s="11">
        <f>'[6]price list MAN'!F1077</f>
        <v>113</v>
      </c>
      <c r="G1077" s="32">
        <f>'[6]price list MAN'!G1077</f>
        <v>14.7</v>
      </c>
      <c r="H1077" s="26">
        <f>'[6]price list MAN'!H1077</f>
        <v>42859</v>
      </c>
      <c r="I1077" s="51" t="str">
        <f t="shared" si="80"/>
        <v>2017Q2</v>
      </c>
      <c r="J1077" s="177">
        <f>'[6]price list MAN'!J1077</f>
        <v>1780000</v>
      </c>
      <c r="K1077" s="177">
        <f>'[6]price list MAN'!P1077</f>
        <v>1407000</v>
      </c>
      <c r="L1077" s="177">
        <f>'[6]price list MAN'!R1077</f>
        <v>1340000</v>
      </c>
      <c r="M1077" s="174">
        <f>'[6]price list MAN'!S1077</f>
        <v>1835000</v>
      </c>
      <c r="N1077" s="174">
        <f>'[6]price list MAN'!Y1077</f>
        <v>1464750</v>
      </c>
      <c r="O1077" s="174">
        <f>'[6]price list MAN'!AA1077</f>
        <v>1395000</v>
      </c>
      <c r="P1077" s="68">
        <f t="shared" si="81"/>
        <v>0.23978201634877383</v>
      </c>
      <c r="Q1077" s="62" t="e">
        <f>O1077-#REF!</f>
        <v>#REF!</v>
      </c>
      <c r="W1077" s="210"/>
      <c r="X1077" s="210"/>
      <c r="Y1077" s="210"/>
      <c r="Z1077" s="210"/>
      <c r="AA1077" s="210"/>
      <c r="AB1077" s="210"/>
      <c r="AC1077" s="210"/>
      <c r="AT1077" s="425" t="str">
        <f t="shared" si="82"/>
        <v>KP0007182017Q214,7</v>
      </c>
      <c r="AU1077" s="64" t="str">
        <f t="shared" si="83"/>
        <v>05-2017</v>
      </c>
      <c r="BA1077" s="428" t="str">
        <f t="shared" si="84"/>
        <v>31-120 Days</v>
      </c>
    </row>
    <row r="1078" spans="2:53">
      <c r="B1078" s="36" t="str">
        <f>'[6]price list MAN'!B1078</f>
        <v>76W-9477</v>
      </c>
      <c r="C1078" s="10" t="str">
        <f>'[6]price list MAN'!C1078</f>
        <v>TGS-27-4406X4BBS-L-STEEL</v>
      </c>
      <c r="D1078" s="16" t="str">
        <f>IFERROR(VLOOKUP(C1078&amp;"",'[7]Retail Price List'!$A$3:$B$103,2,FALSE),"Special Order")</f>
        <v>KP000718</v>
      </c>
      <c r="E1078" s="494" t="str">
        <f>'[6]price list MAN'!E1078</f>
        <v>SOLD</v>
      </c>
      <c r="F1078" s="11">
        <f>'[6]price list MAN'!F1078</f>
        <v>78</v>
      </c>
      <c r="G1078" s="32">
        <f>'[6]price list MAN'!G1078</f>
        <v>14.7</v>
      </c>
      <c r="H1078" s="26">
        <f>'[6]price list MAN'!H1078</f>
        <v>42937</v>
      </c>
      <c r="I1078" s="51" t="str">
        <f t="shared" si="80"/>
        <v>201707Q3</v>
      </c>
      <c r="J1078" s="177">
        <f>'[6]price list MAN'!J1078</f>
        <v>1780000</v>
      </c>
      <c r="K1078" s="177">
        <f>'[6]price list MAN'!P1078</f>
        <v>1407000</v>
      </c>
      <c r="L1078" s="177">
        <f>'[6]price list MAN'!R1078</f>
        <v>1340000</v>
      </c>
      <c r="M1078" s="174">
        <f>'[6]price list MAN'!S1078</f>
        <v>1835000</v>
      </c>
      <c r="N1078" s="174">
        <f>'[6]price list MAN'!Y1078</f>
        <v>1464750</v>
      </c>
      <c r="O1078" s="174">
        <f>'[6]price list MAN'!AA1078</f>
        <v>1395000</v>
      </c>
      <c r="P1078" s="68">
        <f t="shared" si="81"/>
        <v>0.23978201634877383</v>
      </c>
      <c r="Q1078" s="62" t="e">
        <f>O1078-#REF!</f>
        <v>#REF!</v>
      </c>
      <c r="W1078" s="210"/>
      <c r="X1078" s="210"/>
      <c r="Y1078" s="210"/>
      <c r="Z1078" s="210"/>
      <c r="AA1078" s="210"/>
      <c r="AB1078" s="210"/>
      <c r="AC1078" s="210"/>
      <c r="AT1078" s="425" t="str">
        <f t="shared" si="82"/>
        <v>KP000718201707Q314,7</v>
      </c>
      <c r="AU1078" s="64" t="str">
        <f t="shared" si="83"/>
        <v>07-2017</v>
      </c>
      <c r="BA1078" s="428" t="str">
        <f t="shared" si="84"/>
        <v>31-120 Days</v>
      </c>
    </row>
    <row r="1079" spans="2:53">
      <c r="B1079" s="36" t="str">
        <f>'[6]price list MAN'!B1079</f>
        <v>76W-9648</v>
      </c>
      <c r="C1079" s="10" t="str">
        <f>'[6]price list MAN'!C1079</f>
        <v>TGS-27-4406X4BBS-L-STEEL</v>
      </c>
      <c r="D1079" s="16" t="str">
        <f>IFERROR(VLOOKUP(C1079&amp;"",'[7]Retail Price List'!$A$3:$B$103,2,FALSE),"Special Order")</f>
        <v>KP000718</v>
      </c>
      <c r="E1079" s="494" t="str">
        <f>'[6]price list MAN'!E1079</f>
        <v>BOOKED: 2018-02-14</v>
      </c>
      <c r="F1079" s="11" t="str">
        <f>'[6]price list MAN'!F1079</f>
        <v>2018-02-26</v>
      </c>
      <c r="G1079" s="32">
        <f>'[6]price list MAN'!G1079</f>
        <v>14.7</v>
      </c>
      <c r="H1079" s="26">
        <f>'[6]price list MAN'!H1079</f>
        <v>42947</v>
      </c>
      <c r="I1079" s="51" t="str">
        <f t="shared" si="80"/>
        <v>201707Q3</v>
      </c>
      <c r="J1079" s="177">
        <f>'[6]price list MAN'!J1079</f>
        <v>1780000</v>
      </c>
      <c r="K1079" s="177">
        <f>'[6]price list MAN'!P1079</f>
        <v>1370250</v>
      </c>
      <c r="L1079" s="177">
        <f>'[6]price list MAN'!R1079</f>
        <v>1305000</v>
      </c>
      <c r="M1079" s="174">
        <f>'[6]price list MAN'!S1079</f>
        <v>1835000</v>
      </c>
      <c r="N1079" s="174">
        <f>'[6]price list MAN'!Y1079</f>
        <v>1428000</v>
      </c>
      <c r="O1079" s="174">
        <f>'[6]price list MAN'!AA1079</f>
        <v>1360000</v>
      </c>
      <c r="P1079" s="68">
        <f t="shared" si="81"/>
        <v>0.25885558583106266</v>
      </c>
      <c r="Q1079" s="62" t="e">
        <f>O1079-#REF!</f>
        <v>#REF!</v>
      </c>
      <c r="W1079" s="210"/>
      <c r="X1079" s="210"/>
      <c r="Y1079" s="210"/>
      <c r="Z1079" s="210"/>
      <c r="AA1079" s="210"/>
      <c r="AB1079" s="210"/>
      <c r="AC1079" s="210"/>
      <c r="AT1079" s="425" t="str">
        <f t="shared" si="82"/>
        <v>KP000718201707Q314,7</v>
      </c>
      <c r="AU1079" s="64" t="str">
        <f t="shared" si="83"/>
        <v>07-2017</v>
      </c>
      <c r="BA1079" s="428" t="str">
        <f t="shared" si="84"/>
        <v>&gt;365 Days</v>
      </c>
    </row>
    <row r="1080" spans="2:53">
      <c r="B1080" s="36" t="str">
        <f>'[6]price list MAN'!B1080</f>
        <v>76W-9649</v>
      </c>
      <c r="C1080" s="10" t="str">
        <f>'[6]price list MAN'!C1080</f>
        <v>TGS-27-4406X4BBS-L-STEEL</v>
      </c>
      <c r="D1080" s="16" t="str">
        <f>IFERROR(VLOOKUP(C1080&amp;"",'[7]Retail Price List'!$A$3:$B$103,2,FALSE),"Special Order")</f>
        <v>KP000718</v>
      </c>
      <c r="E1080" s="494" t="str">
        <f>'[6]price list MAN'!E1080</f>
        <v>CKD</v>
      </c>
      <c r="F1080" s="11" t="str">
        <f>'[6]price list MAN'!F1080</f>
        <v>2018-02-26</v>
      </c>
      <c r="G1080" s="32">
        <f>'[6]price list MAN'!G1080</f>
        <v>14.7</v>
      </c>
      <c r="H1080" s="26">
        <f>'[6]price list MAN'!H1080</f>
        <v>42947</v>
      </c>
      <c r="I1080" s="51" t="str">
        <f t="shared" si="80"/>
        <v>201707Q3</v>
      </c>
      <c r="J1080" s="177">
        <f>'[6]price list MAN'!J1080</f>
        <v>1780000</v>
      </c>
      <c r="K1080" s="177">
        <f>'[6]price list MAN'!P1080</f>
        <v>1370250</v>
      </c>
      <c r="L1080" s="177">
        <f>'[6]price list MAN'!R1080</f>
        <v>1305000</v>
      </c>
      <c r="M1080" s="174">
        <f>'[6]price list MAN'!S1080</f>
        <v>1835000</v>
      </c>
      <c r="N1080" s="174">
        <f>'[6]price list MAN'!Y1080</f>
        <v>1428000</v>
      </c>
      <c r="O1080" s="174">
        <f>'[6]price list MAN'!AA1080</f>
        <v>1360000</v>
      </c>
      <c r="P1080" s="68">
        <f t="shared" si="81"/>
        <v>0.25885558583106266</v>
      </c>
      <c r="Q1080" s="62" t="e">
        <f>O1080-#REF!</f>
        <v>#REF!</v>
      </c>
      <c r="W1080" s="210"/>
      <c r="X1080" s="210"/>
      <c r="Y1080" s="210"/>
      <c r="Z1080" s="210"/>
      <c r="AA1080" s="210"/>
      <c r="AB1080" s="210"/>
      <c r="AC1080" s="210"/>
      <c r="AT1080" s="425" t="str">
        <f t="shared" si="82"/>
        <v>KP000718201707Q314,7</v>
      </c>
      <c r="AU1080" s="64" t="str">
        <f t="shared" si="83"/>
        <v>07-2017</v>
      </c>
      <c r="BA1080" s="428" t="str">
        <f t="shared" si="84"/>
        <v>WIP - 30 Days</v>
      </c>
    </row>
    <row r="1081" spans="2:53">
      <c r="B1081" s="36" t="str">
        <f>'[6]price list MAN'!B1081</f>
        <v>76W-9650</v>
      </c>
      <c r="C1081" s="10" t="str">
        <f>'[6]price list MAN'!C1081</f>
        <v>TGS-27-4406X4BBS-L-STEEL</v>
      </c>
      <c r="D1081" s="16" t="str">
        <f>IFERROR(VLOOKUP(C1081&amp;"",'[7]Retail Price List'!$A$3:$B$103,2,FALSE),"Special Order")</f>
        <v>KP000718</v>
      </c>
      <c r="E1081" s="494" t="str">
        <f>'[6]price list MAN'!E1081</f>
        <v>SOLD</v>
      </c>
      <c r="F1081" s="11">
        <f>'[6]price list MAN'!F1081</f>
        <v>6</v>
      </c>
      <c r="G1081" s="32">
        <f>'[6]price list MAN'!G1081</f>
        <v>14.7</v>
      </c>
      <c r="H1081" s="26">
        <f>'[6]price list MAN'!H1081</f>
        <v>42947</v>
      </c>
      <c r="I1081" s="51" t="str">
        <f t="shared" si="80"/>
        <v>201707Q3</v>
      </c>
      <c r="J1081" s="177">
        <f>'[6]price list MAN'!J1081</f>
        <v>1780000</v>
      </c>
      <c r="K1081" s="177">
        <f>'[6]price list MAN'!P1081</f>
        <v>1407000</v>
      </c>
      <c r="L1081" s="177">
        <f>'[6]price list MAN'!R1081</f>
        <v>1340000</v>
      </c>
      <c r="M1081" s="174">
        <f>'[6]price list MAN'!S1081</f>
        <v>1835000</v>
      </c>
      <c r="N1081" s="174">
        <f>'[6]price list MAN'!Y1081</f>
        <v>1464750</v>
      </c>
      <c r="O1081" s="174">
        <f>'[6]price list MAN'!AA1081</f>
        <v>1395000</v>
      </c>
      <c r="P1081" s="68">
        <f t="shared" si="81"/>
        <v>0.23978201634877383</v>
      </c>
      <c r="Q1081" s="62" t="e">
        <f>O1081-#REF!</f>
        <v>#REF!</v>
      </c>
      <c r="W1081" s="210"/>
      <c r="X1081" s="210"/>
      <c r="Y1081" s="210"/>
      <c r="Z1081" s="210"/>
      <c r="AA1081" s="210"/>
      <c r="AB1081" s="210"/>
      <c r="AC1081" s="210"/>
      <c r="AT1081" s="425" t="str">
        <f t="shared" si="82"/>
        <v>KP000718201707Q314,7</v>
      </c>
      <c r="AU1081" s="64" t="str">
        <f t="shared" si="83"/>
        <v>07-2017</v>
      </c>
      <c r="BA1081" s="428" t="str">
        <f t="shared" si="84"/>
        <v>WIP - 30 Days</v>
      </c>
    </row>
    <row r="1082" spans="2:53">
      <c r="B1082" s="36" t="str">
        <f>'[6]price list MAN'!B1082</f>
        <v>76W-9651</v>
      </c>
      <c r="C1082" s="10" t="str">
        <f>'[6]price list MAN'!C1082</f>
        <v>TGS-27-4406X4BBS-L-STEEL</v>
      </c>
      <c r="D1082" s="16" t="str">
        <f>IFERROR(VLOOKUP(C1082&amp;"",'[7]Retail Price List'!$A$3:$B$103,2,FALSE),"Special Order")</f>
        <v>KP000718</v>
      </c>
      <c r="E1082" s="494" t="str">
        <f>'[6]price list MAN'!E1082</f>
        <v>SOLD</v>
      </c>
      <c r="F1082" s="11">
        <f>'[6]price list MAN'!F1082</f>
        <v>6</v>
      </c>
      <c r="G1082" s="32">
        <f>'[6]price list MAN'!G1082</f>
        <v>14.7</v>
      </c>
      <c r="H1082" s="26">
        <f>'[6]price list MAN'!H1082</f>
        <v>42947</v>
      </c>
      <c r="I1082" s="51" t="str">
        <f t="shared" si="80"/>
        <v>201707Q3</v>
      </c>
      <c r="J1082" s="177">
        <f>'[6]price list MAN'!J1082</f>
        <v>1780000</v>
      </c>
      <c r="K1082" s="177">
        <f>'[6]price list MAN'!P1082</f>
        <v>1407000</v>
      </c>
      <c r="L1082" s="177">
        <f>'[6]price list MAN'!R1082</f>
        <v>1340000</v>
      </c>
      <c r="M1082" s="174">
        <f>'[6]price list MAN'!S1082</f>
        <v>1835000</v>
      </c>
      <c r="N1082" s="174">
        <f>'[6]price list MAN'!Y1082</f>
        <v>1464750</v>
      </c>
      <c r="O1082" s="174">
        <f>'[6]price list MAN'!AA1082</f>
        <v>1395000</v>
      </c>
      <c r="P1082" s="68">
        <f t="shared" si="81"/>
        <v>0.23978201634877383</v>
      </c>
      <c r="Q1082" s="62" t="e">
        <f>O1082-#REF!</f>
        <v>#REF!</v>
      </c>
      <c r="W1082" s="210"/>
      <c r="X1082" s="210"/>
      <c r="Y1082" s="210"/>
      <c r="Z1082" s="210"/>
      <c r="AA1082" s="210"/>
      <c r="AB1082" s="210"/>
      <c r="AC1082" s="210"/>
      <c r="AT1082" s="425" t="str">
        <f t="shared" si="82"/>
        <v>KP000718201707Q314,7</v>
      </c>
      <c r="AU1082" s="64" t="str">
        <f t="shared" si="83"/>
        <v>07-2017</v>
      </c>
      <c r="BA1082" s="428" t="str">
        <f t="shared" si="84"/>
        <v>WIP - 30 Days</v>
      </c>
    </row>
    <row r="1083" spans="2:53">
      <c r="B1083" s="36" t="str">
        <f>'[6]price list MAN'!B1083</f>
        <v>76W-9668</v>
      </c>
      <c r="C1083" s="10" t="str">
        <f>'[6]price list MAN'!C1083</f>
        <v>TGS-27-4406X4BBS-L-STEEL</v>
      </c>
      <c r="D1083" s="16" t="str">
        <f>IFERROR(VLOOKUP(C1083&amp;"",'[7]Retail Price List'!$A$3:$B$103,2,FALSE),"Special Order")</f>
        <v>KP000718</v>
      </c>
      <c r="E1083" s="494" t="str">
        <f>'[6]price list MAN'!E1083</f>
        <v>CKD</v>
      </c>
      <c r="F1083" s="11" t="str">
        <f>'[6]price list MAN'!F1083</f>
        <v>2018-02-27</v>
      </c>
      <c r="G1083" s="32">
        <f>'[6]price list MAN'!G1083</f>
        <v>14.7</v>
      </c>
      <c r="H1083" s="26">
        <f>'[6]price list MAN'!H1083</f>
        <v>42947</v>
      </c>
      <c r="I1083" s="51" t="str">
        <f t="shared" si="80"/>
        <v>201707Q3</v>
      </c>
      <c r="J1083" s="177">
        <f>'[6]price list MAN'!J1083</f>
        <v>1780000</v>
      </c>
      <c r="K1083" s="177">
        <f>'[6]price list MAN'!P1083</f>
        <v>1370250</v>
      </c>
      <c r="L1083" s="177">
        <f>'[6]price list MAN'!R1083</f>
        <v>1305000</v>
      </c>
      <c r="M1083" s="174">
        <f>'[6]price list MAN'!S1083</f>
        <v>1835000</v>
      </c>
      <c r="N1083" s="174">
        <f>'[6]price list MAN'!Y1083</f>
        <v>1428000</v>
      </c>
      <c r="O1083" s="174">
        <f>'[6]price list MAN'!AA1083</f>
        <v>1360000</v>
      </c>
      <c r="P1083" s="68">
        <f t="shared" si="81"/>
        <v>0.25885558583106266</v>
      </c>
      <c r="Q1083" s="62" t="e">
        <f>O1083-#REF!</f>
        <v>#REF!</v>
      </c>
      <c r="W1083" s="210"/>
      <c r="X1083" s="210"/>
      <c r="Y1083" s="210"/>
      <c r="Z1083" s="210"/>
      <c r="AA1083" s="210"/>
      <c r="AB1083" s="210"/>
      <c r="AC1083" s="210"/>
      <c r="AT1083" s="425" t="str">
        <f t="shared" si="82"/>
        <v>KP000718201707Q314,7</v>
      </c>
      <c r="AU1083" s="64" t="str">
        <f t="shared" si="83"/>
        <v>07-2017</v>
      </c>
      <c r="BA1083" s="428" t="str">
        <f t="shared" si="84"/>
        <v>WIP - 30 Days</v>
      </c>
    </row>
    <row r="1084" spans="2:53">
      <c r="B1084" s="36" t="str">
        <f>'[6]price list MAN'!B1084</f>
        <v>76W-9669</v>
      </c>
      <c r="C1084" s="10" t="str">
        <f>'[6]price list MAN'!C1084</f>
        <v>TGS-27-4406X4BBS-L-STEEL</v>
      </c>
      <c r="D1084" s="16" t="str">
        <f>IFERROR(VLOOKUP(C1084&amp;"",'[7]Retail Price List'!$A$3:$B$103,2,FALSE),"Special Order")</f>
        <v>KP000718</v>
      </c>
      <c r="E1084" s="494" t="str">
        <f>'[6]price list MAN'!E1084</f>
        <v>CKD</v>
      </c>
      <c r="F1084" s="11" t="str">
        <f>'[6]price list MAN'!F1084</f>
        <v>2018-02-27</v>
      </c>
      <c r="G1084" s="32">
        <f>'[6]price list MAN'!G1084</f>
        <v>14.7</v>
      </c>
      <c r="H1084" s="26">
        <f>'[6]price list MAN'!H1084</f>
        <v>42947</v>
      </c>
      <c r="I1084" s="51" t="str">
        <f t="shared" si="80"/>
        <v>201707Q3</v>
      </c>
      <c r="J1084" s="177">
        <f>'[6]price list MAN'!J1084</f>
        <v>1780000</v>
      </c>
      <c r="K1084" s="177">
        <f>'[6]price list MAN'!P1084</f>
        <v>1370250</v>
      </c>
      <c r="L1084" s="177">
        <f>'[6]price list MAN'!R1084</f>
        <v>1305000</v>
      </c>
      <c r="M1084" s="174">
        <f>'[6]price list MAN'!S1084</f>
        <v>1835000</v>
      </c>
      <c r="N1084" s="174">
        <f>'[6]price list MAN'!Y1084</f>
        <v>1428000</v>
      </c>
      <c r="O1084" s="174">
        <f>'[6]price list MAN'!AA1084</f>
        <v>1360000</v>
      </c>
      <c r="P1084" s="68">
        <f t="shared" si="81"/>
        <v>0.25885558583106266</v>
      </c>
      <c r="Q1084" s="62" t="e">
        <f>O1084-#REF!</f>
        <v>#REF!</v>
      </c>
      <c r="W1084" s="210"/>
      <c r="X1084" s="210"/>
      <c r="Y1084" s="210"/>
      <c r="Z1084" s="210"/>
      <c r="AA1084" s="210"/>
      <c r="AB1084" s="210"/>
      <c r="AC1084" s="210"/>
      <c r="AT1084" s="425" t="str">
        <f t="shared" si="82"/>
        <v>KP000718201707Q314,7</v>
      </c>
      <c r="AU1084" s="64" t="str">
        <f t="shared" si="83"/>
        <v>07-2017</v>
      </c>
      <c r="BA1084" s="428" t="str">
        <f t="shared" si="84"/>
        <v>WIP - 30 Days</v>
      </c>
    </row>
    <row r="1085" spans="2:53">
      <c r="B1085" s="36" t="str">
        <f>'[6]price list MAN'!B1085</f>
        <v>76W-9670</v>
      </c>
      <c r="C1085" s="10" t="str">
        <f>'[6]price list MAN'!C1085</f>
        <v>TGS-27-4406X4BBS-L-STEEL</v>
      </c>
      <c r="D1085" s="16" t="str">
        <f>IFERROR(VLOOKUP(C1085&amp;"",'[7]Retail Price List'!$A$3:$B$103,2,FALSE),"Special Order")</f>
        <v>KP000718</v>
      </c>
      <c r="E1085" s="494" t="str">
        <f>'[6]price list MAN'!E1085</f>
        <v>CKD</v>
      </c>
      <c r="F1085" s="11" t="str">
        <f>'[6]price list MAN'!F1085</f>
        <v>2018-02-27</v>
      </c>
      <c r="G1085" s="32">
        <f>'[6]price list MAN'!G1085</f>
        <v>14.7</v>
      </c>
      <c r="H1085" s="26">
        <f>'[6]price list MAN'!H1085</f>
        <v>42947</v>
      </c>
      <c r="I1085" s="51" t="str">
        <f t="shared" si="80"/>
        <v>201707Q3</v>
      </c>
      <c r="J1085" s="177">
        <f>'[6]price list MAN'!J1085</f>
        <v>1780000</v>
      </c>
      <c r="K1085" s="177">
        <f>'[6]price list MAN'!P1085</f>
        <v>1370250</v>
      </c>
      <c r="L1085" s="177">
        <f>'[6]price list MAN'!R1085</f>
        <v>1305000</v>
      </c>
      <c r="M1085" s="174">
        <f>'[6]price list MAN'!S1085</f>
        <v>1835000</v>
      </c>
      <c r="N1085" s="174">
        <f>'[6]price list MAN'!Y1085</f>
        <v>1428000</v>
      </c>
      <c r="O1085" s="174">
        <f>'[6]price list MAN'!AA1085</f>
        <v>1360000</v>
      </c>
      <c r="P1085" s="68">
        <f t="shared" si="81"/>
        <v>0.25885558583106266</v>
      </c>
      <c r="Q1085" s="62" t="e">
        <f>O1085-#REF!</f>
        <v>#REF!</v>
      </c>
      <c r="W1085" s="210"/>
      <c r="X1085" s="210"/>
      <c r="Y1085" s="210"/>
      <c r="Z1085" s="210"/>
      <c r="AA1085" s="210"/>
      <c r="AB1085" s="210"/>
      <c r="AC1085" s="210"/>
      <c r="AT1085" s="425" t="str">
        <f t="shared" si="82"/>
        <v>KP000718201707Q314,7</v>
      </c>
      <c r="AU1085" s="64" t="str">
        <f t="shared" si="83"/>
        <v>07-2017</v>
      </c>
      <c r="BA1085" s="428" t="str">
        <f t="shared" si="84"/>
        <v>WIP - 30 Days</v>
      </c>
    </row>
    <row r="1086" spans="2:53">
      <c r="B1086" s="36" t="str">
        <f>'[6]price list MAN'!B1086</f>
        <v>76W-9671</v>
      </c>
      <c r="C1086" s="10" t="str">
        <f>'[6]price list MAN'!C1086</f>
        <v>TGS-27-4406X4BBS-L-STEEL</v>
      </c>
      <c r="D1086" s="16" t="str">
        <f>IFERROR(VLOOKUP(C1086&amp;"",'[7]Retail Price List'!$A$3:$B$103,2,FALSE),"Special Order")</f>
        <v>KP000718</v>
      </c>
      <c r="E1086" s="494" t="str">
        <f>'[6]price list MAN'!E1086</f>
        <v>CKD</v>
      </c>
      <c r="F1086" s="11" t="str">
        <f>'[6]price list MAN'!F1086</f>
        <v>2018-02-27</v>
      </c>
      <c r="G1086" s="32">
        <f>'[6]price list MAN'!G1086</f>
        <v>14.7</v>
      </c>
      <c r="H1086" s="26">
        <f>'[6]price list MAN'!H1086</f>
        <v>42947</v>
      </c>
      <c r="I1086" s="51" t="str">
        <f t="shared" si="80"/>
        <v>201707Q3</v>
      </c>
      <c r="J1086" s="177">
        <f>'[6]price list MAN'!J1086</f>
        <v>1780000</v>
      </c>
      <c r="K1086" s="177">
        <f>'[6]price list MAN'!P1086</f>
        <v>1370250</v>
      </c>
      <c r="L1086" s="177">
        <f>'[6]price list MAN'!R1086</f>
        <v>1305000</v>
      </c>
      <c r="M1086" s="174">
        <f>'[6]price list MAN'!S1086</f>
        <v>1835000</v>
      </c>
      <c r="N1086" s="174">
        <f>'[6]price list MAN'!Y1086</f>
        <v>1428000</v>
      </c>
      <c r="O1086" s="174">
        <f>'[6]price list MAN'!AA1086</f>
        <v>1360000</v>
      </c>
      <c r="P1086" s="68">
        <f t="shared" si="81"/>
        <v>0.25885558583106266</v>
      </c>
      <c r="Q1086" s="62" t="e">
        <f>O1086-#REF!</f>
        <v>#REF!</v>
      </c>
      <c r="W1086" s="210"/>
      <c r="X1086" s="210"/>
      <c r="Y1086" s="210"/>
      <c r="Z1086" s="210"/>
      <c r="AA1086" s="210"/>
      <c r="AB1086" s="210"/>
      <c r="AC1086" s="210"/>
      <c r="AT1086" s="425" t="str">
        <f t="shared" si="82"/>
        <v>KP000718201707Q314,7</v>
      </c>
      <c r="AU1086" s="64" t="str">
        <f t="shared" si="83"/>
        <v>07-2017</v>
      </c>
      <c r="BA1086" s="428" t="str">
        <f t="shared" si="84"/>
        <v>WIP - 30 Days</v>
      </c>
    </row>
    <row r="1087" spans="2:53">
      <c r="B1087" s="36" t="str">
        <f>'[6]price list MAN'!B1087</f>
        <v>76W-9672</v>
      </c>
      <c r="C1087" s="10" t="str">
        <f>'[6]price list MAN'!C1087</f>
        <v>TGS-27-4406X4BBS-L-STEEL</v>
      </c>
      <c r="D1087" s="16" t="str">
        <f>IFERROR(VLOOKUP(C1087&amp;"",'[7]Retail Price List'!$A$3:$B$103,2,FALSE),"Special Order")</f>
        <v>KP000718</v>
      </c>
      <c r="E1087" s="494" t="str">
        <f>'[6]price list MAN'!E1087</f>
        <v>CKD</v>
      </c>
      <c r="F1087" s="11" t="str">
        <f>'[6]price list MAN'!F1087</f>
        <v>2018-03-30</v>
      </c>
      <c r="G1087" s="32">
        <f>'[6]price list MAN'!G1087</f>
        <v>14.7</v>
      </c>
      <c r="H1087" s="26">
        <f>'[6]price list MAN'!H1087</f>
        <v>42947</v>
      </c>
      <c r="I1087" s="51" t="str">
        <f t="shared" si="80"/>
        <v>201707Q3</v>
      </c>
      <c r="J1087" s="177">
        <f>'[6]price list MAN'!J1087</f>
        <v>1780000</v>
      </c>
      <c r="K1087" s="177">
        <f>'[6]price list MAN'!P1087</f>
        <v>1370250</v>
      </c>
      <c r="L1087" s="177">
        <f>'[6]price list MAN'!R1087</f>
        <v>1305000</v>
      </c>
      <c r="M1087" s="174">
        <f>'[6]price list MAN'!S1087</f>
        <v>1835000</v>
      </c>
      <c r="N1087" s="174">
        <f>'[6]price list MAN'!Y1087</f>
        <v>1428000</v>
      </c>
      <c r="O1087" s="174">
        <f>'[6]price list MAN'!AA1087</f>
        <v>1360000</v>
      </c>
      <c r="P1087" s="68">
        <f t="shared" si="81"/>
        <v>0.25885558583106266</v>
      </c>
      <c r="Q1087" s="62" t="e">
        <f>O1087-#REF!</f>
        <v>#REF!</v>
      </c>
      <c r="W1087" s="210"/>
      <c r="X1087" s="210"/>
      <c r="Y1087" s="210"/>
      <c r="Z1087" s="210"/>
      <c r="AA1087" s="210"/>
      <c r="AB1087" s="210"/>
      <c r="AC1087" s="210"/>
      <c r="AT1087" s="425" t="str">
        <f t="shared" si="82"/>
        <v>KP000718201707Q314,7</v>
      </c>
      <c r="AU1087" s="64" t="str">
        <f t="shared" si="83"/>
        <v>07-2017</v>
      </c>
      <c r="BA1087" s="428" t="str">
        <f t="shared" si="84"/>
        <v>WIP - 30 Days</v>
      </c>
    </row>
    <row r="1088" spans="2:53">
      <c r="B1088" s="36" t="str">
        <f>'[6]price list MAN'!B1088</f>
        <v>76W-9673</v>
      </c>
      <c r="C1088" s="10" t="str">
        <f>'[6]price list MAN'!C1088</f>
        <v>TGS-27-4406X4BBS-L-STEEL</v>
      </c>
      <c r="D1088" s="16" t="str">
        <f>IFERROR(VLOOKUP(C1088&amp;"",'[7]Retail Price List'!$A$3:$B$103,2,FALSE),"Special Order")</f>
        <v>KP000718</v>
      </c>
      <c r="E1088" s="494" t="str">
        <f>'[6]price list MAN'!E1088</f>
        <v>CKD</v>
      </c>
      <c r="F1088" s="11" t="str">
        <f>'[6]price list MAN'!F1088</f>
        <v>2018-03-30</v>
      </c>
      <c r="G1088" s="32">
        <f>'[6]price list MAN'!G1088</f>
        <v>14.7</v>
      </c>
      <c r="H1088" s="26">
        <f>'[6]price list MAN'!H1088</f>
        <v>42947</v>
      </c>
      <c r="I1088" s="51" t="str">
        <f t="shared" si="80"/>
        <v>201707Q3</v>
      </c>
      <c r="J1088" s="177">
        <f>'[6]price list MAN'!J1088</f>
        <v>1780000</v>
      </c>
      <c r="K1088" s="177">
        <f>'[6]price list MAN'!P1088</f>
        <v>1370250</v>
      </c>
      <c r="L1088" s="177">
        <f>'[6]price list MAN'!R1088</f>
        <v>1305000</v>
      </c>
      <c r="M1088" s="174">
        <f>'[6]price list MAN'!S1088</f>
        <v>1835000</v>
      </c>
      <c r="N1088" s="174">
        <f>'[6]price list MAN'!Y1088</f>
        <v>1428000</v>
      </c>
      <c r="O1088" s="174">
        <f>'[6]price list MAN'!AA1088</f>
        <v>1360000</v>
      </c>
      <c r="P1088" s="68">
        <f t="shared" si="81"/>
        <v>0.25885558583106266</v>
      </c>
      <c r="Q1088" s="62" t="e">
        <f>O1088-#REF!</f>
        <v>#REF!</v>
      </c>
      <c r="W1088" s="210"/>
      <c r="X1088" s="210"/>
      <c r="Y1088" s="210"/>
      <c r="Z1088" s="210"/>
      <c r="AA1088" s="210"/>
      <c r="AB1088" s="210"/>
      <c r="AC1088" s="210"/>
      <c r="AT1088" s="425" t="str">
        <f t="shared" si="82"/>
        <v>KP000718201707Q314,7</v>
      </c>
      <c r="AU1088" s="64" t="str">
        <f t="shared" si="83"/>
        <v>07-2017</v>
      </c>
      <c r="BA1088" s="428" t="str">
        <f t="shared" si="84"/>
        <v>WIP - 30 Days</v>
      </c>
    </row>
    <row r="1089" spans="2:53">
      <c r="B1089" s="36" t="str">
        <f>'[6]price list MAN'!B1089</f>
        <v>76W-9674</v>
      </c>
      <c r="C1089" s="10" t="str">
        <f>'[6]price list MAN'!C1089</f>
        <v>TGS-27-4406X4BBS-L-STEEL</v>
      </c>
      <c r="D1089" s="16" t="str">
        <f>IFERROR(VLOOKUP(C1089&amp;"",'[7]Retail Price List'!$A$3:$B$103,2,FALSE),"Special Order")</f>
        <v>KP000718</v>
      </c>
      <c r="E1089" s="494" t="str">
        <f>'[6]price list MAN'!E1089</f>
        <v>CKD</v>
      </c>
      <c r="F1089" s="11" t="str">
        <f>'[6]price list MAN'!F1089</f>
        <v>2018-03-30</v>
      </c>
      <c r="G1089" s="32">
        <f>'[6]price list MAN'!G1089</f>
        <v>14.7</v>
      </c>
      <c r="H1089" s="26">
        <f>'[6]price list MAN'!H1089</f>
        <v>42947</v>
      </c>
      <c r="I1089" s="51" t="str">
        <f t="shared" si="80"/>
        <v>201707Q3</v>
      </c>
      <c r="J1089" s="177">
        <f>'[6]price list MAN'!J1089</f>
        <v>1780000</v>
      </c>
      <c r="K1089" s="177">
        <f>'[6]price list MAN'!P1089</f>
        <v>1370250</v>
      </c>
      <c r="L1089" s="177">
        <f>'[6]price list MAN'!R1089</f>
        <v>1305000</v>
      </c>
      <c r="M1089" s="174">
        <f>'[6]price list MAN'!S1089</f>
        <v>1835000</v>
      </c>
      <c r="N1089" s="174">
        <f>'[6]price list MAN'!Y1089</f>
        <v>1428000</v>
      </c>
      <c r="O1089" s="174">
        <f>'[6]price list MAN'!AA1089</f>
        <v>1360000</v>
      </c>
      <c r="P1089" s="68">
        <f t="shared" si="81"/>
        <v>0.25885558583106266</v>
      </c>
      <c r="Q1089" s="62" t="e">
        <f>O1089-#REF!</f>
        <v>#REF!</v>
      </c>
      <c r="W1089" s="210"/>
      <c r="X1089" s="210"/>
      <c r="Y1089" s="210"/>
      <c r="Z1089" s="210"/>
      <c r="AA1089" s="210"/>
      <c r="AB1089" s="210"/>
      <c r="AC1089" s="210"/>
      <c r="AT1089" s="425" t="str">
        <f t="shared" si="82"/>
        <v>KP000718201707Q314,7</v>
      </c>
      <c r="AU1089" s="64" t="str">
        <f t="shared" si="83"/>
        <v>07-2017</v>
      </c>
      <c r="BA1089" s="428" t="str">
        <f t="shared" si="84"/>
        <v>WIP - 30 Days</v>
      </c>
    </row>
    <row r="1090" spans="2:53">
      <c r="B1090" s="36" t="str">
        <f>'[6]price list MAN'!B1090</f>
        <v>76W-9675</v>
      </c>
      <c r="C1090" s="10" t="str">
        <f>'[6]price list MAN'!C1090</f>
        <v>TGS-27-4406X4BBS-L-STEEL</v>
      </c>
      <c r="D1090" s="16" t="str">
        <f>IFERROR(VLOOKUP(C1090&amp;"",'[7]Retail Price List'!$A$3:$B$103,2,FALSE),"Special Order")</f>
        <v>KP000718</v>
      </c>
      <c r="E1090" s="494" t="str">
        <f>'[6]price list MAN'!E1090</f>
        <v>CKD</v>
      </c>
      <c r="F1090" s="11" t="str">
        <f>'[6]price list MAN'!F1090</f>
        <v>2018-03-30</v>
      </c>
      <c r="G1090" s="32">
        <f>'[6]price list MAN'!G1090</f>
        <v>14.7</v>
      </c>
      <c r="H1090" s="26">
        <f>'[6]price list MAN'!H1090</f>
        <v>42947</v>
      </c>
      <c r="I1090" s="51" t="str">
        <f t="shared" si="80"/>
        <v>201707Q3</v>
      </c>
      <c r="J1090" s="177">
        <f>'[6]price list MAN'!J1090</f>
        <v>1780000</v>
      </c>
      <c r="K1090" s="177">
        <f>'[6]price list MAN'!P1090</f>
        <v>1370250</v>
      </c>
      <c r="L1090" s="177">
        <f>'[6]price list MAN'!R1090</f>
        <v>1305000</v>
      </c>
      <c r="M1090" s="174">
        <f>'[6]price list MAN'!S1090</f>
        <v>1835000</v>
      </c>
      <c r="N1090" s="174">
        <f>'[6]price list MAN'!Y1090</f>
        <v>1428000</v>
      </c>
      <c r="O1090" s="174">
        <f>'[6]price list MAN'!AA1090</f>
        <v>1360000</v>
      </c>
      <c r="P1090" s="68">
        <f t="shared" si="81"/>
        <v>0.25885558583106266</v>
      </c>
      <c r="Q1090" s="62" t="e">
        <f>O1090-#REF!</f>
        <v>#REF!</v>
      </c>
      <c r="W1090" s="210"/>
      <c r="X1090" s="210"/>
      <c r="Y1090" s="210"/>
      <c r="Z1090" s="210"/>
      <c r="AA1090" s="210"/>
      <c r="AB1090" s="210"/>
      <c r="AC1090" s="210"/>
      <c r="AT1090" s="425" t="str">
        <f t="shared" si="82"/>
        <v>KP000718201707Q314,7</v>
      </c>
      <c r="AU1090" s="64" t="str">
        <f t="shared" si="83"/>
        <v>07-2017</v>
      </c>
      <c r="BA1090" s="428" t="str">
        <f t="shared" si="84"/>
        <v>WIP - 30 Days</v>
      </c>
    </row>
    <row r="1091" spans="2:53">
      <c r="B1091" s="36" t="str">
        <f>'[6]price list MAN'!B1091</f>
        <v>76W-B099</v>
      </c>
      <c r="C1091" s="10" t="str">
        <f>'[6]price list MAN'!C1091</f>
        <v>TGS-27-4406X4BBS-L-STEEL</v>
      </c>
      <c r="D1091" s="16" t="str">
        <f>IFERROR(VLOOKUP(C1091&amp;"",'[7]Retail Price List'!$A$3:$B$103,2,FALSE),"Special Order")</f>
        <v>KP000718</v>
      </c>
      <c r="E1091" s="494" t="str">
        <f>'[6]price list MAN'!E1091</f>
        <v>CKD</v>
      </c>
      <c r="F1091" s="11" t="str">
        <f>'[6]price list MAN'!F1091</f>
        <v>2018-03-30</v>
      </c>
      <c r="G1091" s="32">
        <f>'[6]price list MAN'!G1091</f>
        <v>15.3</v>
      </c>
      <c r="H1091" s="26">
        <f>'[6]price list MAN'!H1091</f>
        <v>42978</v>
      </c>
      <c r="I1091" s="51" t="str">
        <f t="shared" si="80"/>
        <v>2017Q3</v>
      </c>
      <c r="J1091" s="177">
        <f>'[6]price list MAN'!J1091</f>
        <v>1780000</v>
      </c>
      <c r="K1091" s="177">
        <f>'[6]price list MAN'!P1091</f>
        <v>1370250</v>
      </c>
      <c r="L1091" s="177">
        <f>'[6]price list MAN'!R1091</f>
        <v>1305000</v>
      </c>
      <c r="M1091" s="174">
        <f>'[6]price list MAN'!S1091</f>
        <v>1835000</v>
      </c>
      <c r="N1091" s="174">
        <f>'[6]price list MAN'!Y1091</f>
        <v>1428000</v>
      </c>
      <c r="O1091" s="174">
        <f>'[6]price list MAN'!AA1091</f>
        <v>1360000</v>
      </c>
      <c r="P1091" s="68">
        <f t="shared" si="81"/>
        <v>0.25885558583106266</v>
      </c>
      <c r="Q1091" s="62" t="e">
        <f>O1091-#REF!</f>
        <v>#REF!</v>
      </c>
      <c r="W1091" s="210"/>
      <c r="X1091" s="210"/>
      <c r="Y1091" s="210"/>
      <c r="Z1091" s="210"/>
      <c r="AA1091" s="210"/>
      <c r="AB1091" s="210"/>
      <c r="AC1091" s="210"/>
      <c r="AT1091" s="425" t="str">
        <f t="shared" si="82"/>
        <v>KP0007182017Q315,3</v>
      </c>
      <c r="AU1091" s="64" t="str">
        <f t="shared" si="83"/>
        <v>08-2017</v>
      </c>
      <c r="BA1091" s="428" t="str">
        <f t="shared" si="84"/>
        <v>WIP - 30 Days</v>
      </c>
    </row>
    <row r="1092" spans="2:53">
      <c r="B1092" s="36" t="str">
        <f>'[6]price list MAN'!B1092</f>
        <v>76W-B100</v>
      </c>
      <c r="C1092" s="10" t="str">
        <f>'[6]price list MAN'!C1092</f>
        <v>TGS-27-4406X4BBS-L-STEEL</v>
      </c>
      <c r="D1092" s="16" t="str">
        <f>IFERROR(VLOOKUP(C1092&amp;"",'[7]Retail Price List'!$A$3:$B$103,2,FALSE),"Special Order")</f>
        <v>KP000718</v>
      </c>
      <c r="E1092" s="494" t="str">
        <f>'[6]price list MAN'!E1092</f>
        <v>CKD</v>
      </c>
      <c r="F1092" s="11" t="str">
        <f>'[6]price list MAN'!F1092</f>
        <v>2018-03-30</v>
      </c>
      <c r="G1092" s="32">
        <f>'[6]price list MAN'!G1092</f>
        <v>15.3</v>
      </c>
      <c r="H1092" s="26">
        <f>'[6]price list MAN'!H1092</f>
        <v>42978</v>
      </c>
      <c r="I1092" s="51" t="str">
        <f t="shared" si="80"/>
        <v>2017Q3</v>
      </c>
      <c r="J1092" s="177">
        <f>'[6]price list MAN'!J1092</f>
        <v>1780000</v>
      </c>
      <c r="K1092" s="177">
        <f>'[6]price list MAN'!P1092</f>
        <v>1370250</v>
      </c>
      <c r="L1092" s="177">
        <f>'[6]price list MAN'!R1092</f>
        <v>1305000</v>
      </c>
      <c r="M1092" s="174">
        <f>'[6]price list MAN'!S1092</f>
        <v>1835000</v>
      </c>
      <c r="N1092" s="174">
        <f>'[6]price list MAN'!Y1092</f>
        <v>1428000</v>
      </c>
      <c r="O1092" s="174">
        <f>'[6]price list MAN'!AA1092</f>
        <v>1360000</v>
      </c>
      <c r="P1092" s="68">
        <f t="shared" si="81"/>
        <v>0.25885558583106266</v>
      </c>
      <c r="Q1092" s="62" t="e">
        <f>O1092-#REF!</f>
        <v>#REF!</v>
      </c>
      <c r="W1092" s="210"/>
      <c r="X1092" s="210"/>
      <c r="Y1092" s="210"/>
      <c r="Z1092" s="210"/>
      <c r="AA1092" s="210"/>
      <c r="AB1092" s="210"/>
      <c r="AC1092" s="210"/>
      <c r="AT1092" s="425" t="str">
        <f t="shared" si="82"/>
        <v>KP0007182017Q315,3</v>
      </c>
      <c r="AU1092" s="64" t="str">
        <f t="shared" si="83"/>
        <v>08-2017</v>
      </c>
      <c r="BA1092" s="428" t="str">
        <f t="shared" si="84"/>
        <v>WIP - 30 Days</v>
      </c>
    </row>
    <row r="1093" spans="2:53">
      <c r="B1093" s="36" t="str">
        <f>'[6]price list MAN'!B1093</f>
        <v>76W-B101</v>
      </c>
      <c r="C1093" s="10" t="str">
        <f>'[6]price list MAN'!C1093</f>
        <v>TGS-27-4406X4BBS-L-STEEL</v>
      </c>
      <c r="D1093" s="16" t="str">
        <f>IFERROR(VLOOKUP(C1093&amp;"",'[7]Retail Price List'!$A$3:$B$103,2,FALSE),"Special Order")</f>
        <v>KP000718</v>
      </c>
      <c r="E1093" s="494" t="str">
        <f>'[6]price list MAN'!E1093</f>
        <v>CKD</v>
      </c>
      <c r="F1093" s="11" t="str">
        <f>'[6]price list MAN'!F1093</f>
        <v>2018-02-28</v>
      </c>
      <c r="G1093" s="32">
        <f>'[6]price list MAN'!G1093</f>
        <v>15.3</v>
      </c>
      <c r="H1093" s="26">
        <f>'[6]price list MAN'!H1093</f>
        <v>42978</v>
      </c>
      <c r="I1093" s="51" t="str">
        <f t="shared" ref="I1093:I1156" si="85">IFERROR(VLOOKUP(AU1093,$AW$5:$AY$40,3,FALSE),"")</f>
        <v>2017Q3</v>
      </c>
      <c r="J1093" s="177">
        <f>'[6]price list MAN'!J1093</f>
        <v>1780000</v>
      </c>
      <c r="K1093" s="177">
        <f>'[6]price list MAN'!P1093</f>
        <v>1407000</v>
      </c>
      <c r="L1093" s="177">
        <f>'[6]price list MAN'!R1093</f>
        <v>1340000</v>
      </c>
      <c r="M1093" s="174">
        <f>'[6]price list MAN'!S1093</f>
        <v>1835000</v>
      </c>
      <c r="N1093" s="174">
        <f>'[6]price list MAN'!Y1093</f>
        <v>1464750</v>
      </c>
      <c r="O1093" s="174">
        <f>'[6]price list MAN'!AA1093</f>
        <v>1395000</v>
      </c>
      <c r="P1093" s="68">
        <f t="shared" ref="P1093:P1156" si="86">(M1093-O1093)/M1093</f>
        <v>0.23978201634877383</v>
      </c>
      <c r="Q1093" s="62" t="e">
        <f>O1093-#REF!</f>
        <v>#REF!</v>
      </c>
      <c r="W1093" s="210"/>
      <c r="X1093" s="210"/>
      <c r="Y1093" s="210"/>
      <c r="Z1093" s="210"/>
      <c r="AA1093" s="210"/>
      <c r="AB1093" s="210"/>
      <c r="AC1093" s="210"/>
      <c r="AT1093" s="425" t="str">
        <f t="shared" ref="AT1093:AT1156" si="87">D1093&amp;I1093&amp;G1093</f>
        <v>KP0007182017Q315,3</v>
      </c>
      <c r="AU1093" s="64" t="str">
        <f t="shared" ref="AU1093:AU1156" si="88">IF(MONTH(H1093)&lt;10,0&amp;MONTH(H1093)&amp;"-"&amp;YEAR(H1093),MONTH(H1093)&amp;"-"&amp;YEAR(H1093))</f>
        <v>08-2017</v>
      </c>
      <c r="BA1093" s="428" t="str">
        <f t="shared" ref="BA1093:BA1156" si="89">IF(B1093=0,"",IF(AND(F1093&gt;=31,F1093&lt;=120),"31-120 Days",IF(AND(F1093&gt;=121,F1093&lt;=365),"121-365 Days",IF(OR(E1093="CKD",F1093&lt;=30),"WIP - 30 Days","&gt;365 Days"))))</f>
        <v>WIP - 30 Days</v>
      </c>
    </row>
    <row r="1094" spans="2:53">
      <c r="B1094" s="36" t="str">
        <f>'[6]price list MAN'!B1094</f>
        <v>76W-B102</v>
      </c>
      <c r="C1094" s="10" t="str">
        <f>'[6]price list MAN'!C1094</f>
        <v>TGS-27-4406X4BBS-L-STEEL</v>
      </c>
      <c r="D1094" s="16" t="str">
        <f>IFERROR(VLOOKUP(C1094&amp;"",'[7]Retail Price List'!$A$3:$B$103,2,FALSE),"Special Order")</f>
        <v>KP000718</v>
      </c>
      <c r="E1094" s="494" t="str">
        <f>'[6]price list MAN'!E1094</f>
        <v>BOOKED: 2018-02-06</v>
      </c>
      <c r="F1094" s="11" t="str">
        <f>'[6]price list MAN'!F1094</f>
        <v>2018-02-28</v>
      </c>
      <c r="G1094" s="32">
        <f>'[6]price list MAN'!G1094</f>
        <v>15.3</v>
      </c>
      <c r="H1094" s="26">
        <f>'[6]price list MAN'!H1094</f>
        <v>42978</v>
      </c>
      <c r="I1094" s="51" t="str">
        <f t="shared" si="85"/>
        <v>2017Q3</v>
      </c>
      <c r="J1094" s="177">
        <f>'[6]price list MAN'!J1094</f>
        <v>1780000</v>
      </c>
      <c r="K1094" s="177">
        <f>'[6]price list MAN'!P1094</f>
        <v>1370250</v>
      </c>
      <c r="L1094" s="177">
        <f>'[6]price list MAN'!R1094</f>
        <v>1305000</v>
      </c>
      <c r="M1094" s="174">
        <f>'[6]price list MAN'!S1094</f>
        <v>1835000</v>
      </c>
      <c r="N1094" s="174">
        <f>'[6]price list MAN'!Y1094</f>
        <v>1428000</v>
      </c>
      <c r="O1094" s="174">
        <f>'[6]price list MAN'!AA1094</f>
        <v>1360000</v>
      </c>
      <c r="P1094" s="68">
        <f t="shared" si="86"/>
        <v>0.25885558583106266</v>
      </c>
      <c r="Q1094" s="62" t="e">
        <f>O1094-#REF!</f>
        <v>#REF!</v>
      </c>
      <c r="W1094" s="210"/>
      <c r="X1094" s="210"/>
      <c r="Y1094" s="210"/>
      <c r="Z1094" s="210"/>
      <c r="AA1094" s="210"/>
      <c r="AB1094" s="210"/>
      <c r="AC1094" s="210"/>
      <c r="AT1094" s="425" t="str">
        <f t="shared" si="87"/>
        <v>KP0007182017Q315,3</v>
      </c>
      <c r="AU1094" s="64" t="str">
        <f t="shared" si="88"/>
        <v>08-2017</v>
      </c>
      <c r="BA1094" s="428" t="str">
        <f t="shared" si="89"/>
        <v>&gt;365 Days</v>
      </c>
    </row>
    <row r="1095" spans="2:53">
      <c r="B1095" s="36" t="str">
        <f>'[6]price list MAN'!B1095</f>
        <v>76W-B123</v>
      </c>
      <c r="C1095" s="10" t="str">
        <f>'[6]price list MAN'!C1095</f>
        <v>TGS-27-4406X4BBS-L-STEEL</v>
      </c>
      <c r="D1095" s="16" t="str">
        <f>IFERROR(VLOOKUP(C1095&amp;"",'[7]Retail Price List'!$A$3:$B$103,2,FALSE),"Special Order")</f>
        <v>KP000718</v>
      </c>
      <c r="E1095" s="494" t="str">
        <f>'[6]price list MAN'!E1095</f>
        <v>CKD</v>
      </c>
      <c r="F1095" s="11" t="str">
        <f>'[6]price list MAN'!F1095</f>
        <v>2018-03-30</v>
      </c>
      <c r="G1095" s="32">
        <f>'[6]price list MAN'!G1095</f>
        <v>15.3</v>
      </c>
      <c r="H1095" s="26">
        <f>'[6]price list MAN'!H1095</f>
        <v>42978</v>
      </c>
      <c r="I1095" s="51" t="str">
        <f t="shared" si="85"/>
        <v>2017Q3</v>
      </c>
      <c r="J1095" s="177">
        <f>'[6]price list MAN'!J1095</f>
        <v>1780000</v>
      </c>
      <c r="K1095" s="177">
        <f>'[6]price list MAN'!P1095</f>
        <v>1370250</v>
      </c>
      <c r="L1095" s="177">
        <f>'[6]price list MAN'!R1095</f>
        <v>1305000</v>
      </c>
      <c r="M1095" s="174">
        <f>'[6]price list MAN'!S1095</f>
        <v>1835000</v>
      </c>
      <c r="N1095" s="174">
        <f>'[6]price list MAN'!Y1095</f>
        <v>1428000</v>
      </c>
      <c r="O1095" s="174">
        <f>'[6]price list MAN'!AA1095</f>
        <v>1360000</v>
      </c>
      <c r="P1095" s="68">
        <f t="shared" si="86"/>
        <v>0.25885558583106266</v>
      </c>
      <c r="Q1095" s="62" t="e">
        <f>O1095-#REF!</f>
        <v>#REF!</v>
      </c>
      <c r="W1095" s="210"/>
      <c r="X1095" s="210"/>
      <c r="Y1095" s="210"/>
      <c r="Z1095" s="210"/>
      <c r="AA1095" s="210"/>
      <c r="AB1095" s="210"/>
      <c r="AC1095" s="210"/>
      <c r="AT1095" s="425" t="str">
        <f t="shared" si="87"/>
        <v>KP0007182017Q315,3</v>
      </c>
      <c r="AU1095" s="64" t="str">
        <f t="shared" si="88"/>
        <v>08-2017</v>
      </c>
      <c r="BA1095" s="428" t="str">
        <f t="shared" si="89"/>
        <v>WIP - 30 Days</v>
      </c>
    </row>
    <row r="1096" spans="2:53">
      <c r="B1096" s="36" t="str">
        <f>'[6]price list MAN'!B1096</f>
        <v>76W-B124</v>
      </c>
      <c r="C1096" s="10" t="str">
        <f>'[6]price list MAN'!C1096</f>
        <v>TGS-27-4406X4BBS-L-STEEL</v>
      </c>
      <c r="D1096" s="16" t="str">
        <f>IFERROR(VLOOKUP(C1096&amp;"",'[7]Retail Price List'!$A$3:$B$103,2,FALSE),"Special Order")</f>
        <v>KP000718</v>
      </c>
      <c r="E1096" s="494" t="str">
        <f>'[6]price list MAN'!E1096</f>
        <v>CKD</v>
      </c>
      <c r="F1096" s="11" t="str">
        <f>'[6]price list MAN'!F1096</f>
        <v>2018-03-30</v>
      </c>
      <c r="G1096" s="32">
        <f>'[6]price list MAN'!G1096</f>
        <v>15.3</v>
      </c>
      <c r="H1096" s="26">
        <f>'[6]price list MAN'!H1096</f>
        <v>42978</v>
      </c>
      <c r="I1096" s="51" t="str">
        <f t="shared" si="85"/>
        <v>2017Q3</v>
      </c>
      <c r="J1096" s="177">
        <f>'[6]price list MAN'!J1096</f>
        <v>1780000</v>
      </c>
      <c r="K1096" s="177">
        <f>'[6]price list MAN'!P1096</f>
        <v>1370250</v>
      </c>
      <c r="L1096" s="177">
        <f>'[6]price list MAN'!R1096</f>
        <v>1305000</v>
      </c>
      <c r="M1096" s="174">
        <f>'[6]price list MAN'!S1096</f>
        <v>1835000</v>
      </c>
      <c r="N1096" s="174">
        <f>'[6]price list MAN'!Y1096</f>
        <v>1428000</v>
      </c>
      <c r="O1096" s="174">
        <f>'[6]price list MAN'!AA1096</f>
        <v>1360000</v>
      </c>
      <c r="P1096" s="68">
        <f t="shared" si="86"/>
        <v>0.25885558583106266</v>
      </c>
      <c r="Q1096" s="62" t="e">
        <f>O1096-#REF!</f>
        <v>#REF!</v>
      </c>
      <c r="W1096" s="210"/>
      <c r="X1096" s="210"/>
      <c r="Y1096" s="210"/>
      <c r="Z1096" s="210"/>
      <c r="AA1096" s="210"/>
      <c r="AB1096" s="210"/>
      <c r="AC1096" s="210"/>
      <c r="AT1096" s="425" t="str">
        <f t="shared" si="87"/>
        <v>KP0007182017Q315,3</v>
      </c>
      <c r="AU1096" s="64" t="str">
        <f t="shared" si="88"/>
        <v>08-2017</v>
      </c>
      <c r="BA1096" s="428" t="str">
        <f t="shared" si="89"/>
        <v>WIP - 30 Days</v>
      </c>
    </row>
    <row r="1097" spans="2:53">
      <c r="B1097" s="36" t="str">
        <f>'[6]price list MAN'!B1097</f>
        <v>76W-B125</v>
      </c>
      <c r="C1097" s="10" t="str">
        <f>'[6]price list MAN'!C1097</f>
        <v>TGS-27-4406X4BBS-L-STEEL</v>
      </c>
      <c r="D1097" s="16" t="str">
        <f>IFERROR(VLOOKUP(C1097&amp;"",'[7]Retail Price List'!$A$3:$B$103,2,FALSE),"Special Order")</f>
        <v>KP000718</v>
      </c>
      <c r="E1097" s="494" t="str">
        <f>'[6]price list MAN'!E1097</f>
        <v>CKD</v>
      </c>
      <c r="F1097" s="11" t="str">
        <f>'[6]price list MAN'!F1097</f>
        <v>2018-03-30</v>
      </c>
      <c r="G1097" s="32">
        <f>'[6]price list MAN'!G1097</f>
        <v>15.3</v>
      </c>
      <c r="H1097" s="26">
        <f>'[6]price list MAN'!H1097</f>
        <v>42978</v>
      </c>
      <c r="I1097" s="51" t="str">
        <f t="shared" si="85"/>
        <v>2017Q3</v>
      </c>
      <c r="J1097" s="177">
        <f>'[6]price list MAN'!J1097</f>
        <v>1780000</v>
      </c>
      <c r="K1097" s="177">
        <f>'[6]price list MAN'!P1097</f>
        <v>1370250</v>
      </c>
      <c r="L1097" s="177">
        <f>'[6]price list MAN'!R1097</f>
        <v>1305000</v>
      </c>
      <c r="M1097" s="174">
        <f>'[6]price list MAN'!S1097</f>
        <v>1835000</v>
      </c>
      <c r="N1097" s="174">
        <f>'[6]price list MAN'!Y1097</f>
        <v>1428000</v>
      </c>
      <c r="O1097" s="174">
        <f>'[6]price list MAN'!AA1097</f>
        <v>1360000</v>
      </c>
      <c r="P1097" s="68">
        <f t="shared" si="86"/>
        <v>0.25885558583106266</v>
      </c>
      <c r="Q1097" s="62" t="e">
        <f>O1097-#REF!</f>
        <v>#REF!</v>
      </c>
      <c r="W1097" s="210"/>
      <c r="X1097" s="210"/>
      <c r="Y1097" s="210"/>
      <c r="Z1097" s="210"/>
      <c r="AA1097" s="210"/>
      <c r="AB1097" s="210"/>
      <c r="AC1097" s="210"/>
      <c r="AT1097" s="425" t="str">
        <f t="shared" si="87"/>
        <v>KP0007182017Q315,3</v>
      </c>
      <c r="AU1097" s="64" t="str">
        <f t="shared" si="88"/>
        <v>08-2017</v>
      </c>
      <c r="BA1097" s="428" t="str">
        <f t="shared" si="89"/>
        <v>WIP - 30 Days</v>
      </c>
    </row>
    <row r="1098" spans="2:53">
      <c r="B1098" s="36" t="str">
        <f>'[6]price list MAN'!B1098</f>
        <v>76W-B126</v>
      </c>
      <c r="C1098" s="10" t="str">
        <f>'[6]price list MAN'!C1098</f>
        <v>TGS-27-4406X4BBS-L-STEEL</v>
      </c>
      <c r="D1098" s="16" t="str">
        <f>IFERROR(VLOOKUP(C1098&amp;"",'[7]Retail Price List'!$A$3:$B$103,2,FALSE),"Special Order")</f>
        <v>KP000718</v>
      </c>
      <c r="E1098" s="494" t="str">
        <f>'[6]price list MAN'!E1098</f>
        <v>CKD</v>
      </c>
      <c r="F1098" s="11" t="str">
        <f>'[6]price list MAN'!F1098</f>
        <v>2018-03-30</v>
      </c>
      <c r="G1098" s="32">
        <f>'[6]price list MAN'!G1098</f>
        <v>15.3</v>
      </c>
      <c r="H1098" s="26">
        <f>'[6]price list MAN'!H1098</f>
        <v>42978</v>
      </c>
      <c r="I1098" s="51" t="str">
        <f t="shared" si="85"/>
        <v>2017Q3</v>
      </c>
      <c r="J1098" s="177">
        <f>'[6]price list MAN'!J1098</f>
        <v>1780000</v>
      </c>
      <c r="K1098" s="177">
        <f>'[6]price list MAN'!P1098</f>
        <v>1370250</v>
      </c>
      <c r="L1098" s="177">
        <f>'[6]price list MAN'!R1098</f>
        <v>1305000</v>
      </c>
      <c r="M1098" s="174">
        <f>'[6]price list MAN'!S1098</f>
        <v>1835000</v>
      </c>
      <c r="N1098" s="174">
        <f>'[6]price list MAN'!Y1098</f>
        <v>1428000</v>
      </c>
      <c r="O1098" s="174">
        <f>'[6]price list MAN'!AA1098</f>
        <v>1360000</v>
      </c>
      <c r="P1098" s="68">
        <f t="shared" si="86"/>
        <v>0.25885558583106266</v>
      </c>
      <c r="Q1098" s="62" t="e">
        <f>O1098-#REF!</f>
        <v>#REF!</v>
      </c>
      <c r="W1098" s="210"/>
      <c r="X1098" s="210"/>
      <c r="Y1098" s="210"/>
      <c r="Z1098" s="210"/>
      <c r="AA1098" s="210"/>
      <c r="AB1098" s="210"/>
      <c r="AC1098" s="210"/>
      <c r="AT1098" s="425" t="str">
        <f t="shared" si="87"/>
        <v>KP0007182017Q315,3</v>
      </c>
      <c r="AU1098" s="64" t="str">
        <f t="shared" si="88"/>
        <v>08-2017</v>
      </c>
      <c r="BA1098" s="428" t="str">
        <f t="shared" si="89"/>
        <v>WIP - 30 Days</v>
      </c>
    </row>
    <row r="1099" spans="2:53">
      <c r="B1099" s="36" t="str">
        <f>'[6]price list MAN'!B1099</f>
        <v>76W-B127</v>
      </c>
      <c r="C1099" s="10" t="str">
        <f>'[6]price list MAN'!C1099</f>
        <v>TGS-27-4406X4BBS-L-STEEL</v>
      </c>
      <c r="D1099" s="16" t="str">
        <f>IFERROR(VLOOKUP(C1099&amp;"",'[7]Retail Price List'!$A$3:$B$103,2,FALSE),"Special Order")</f>
        <v>KP000718</v>
      </c>
      <c r="E1099" s="494" t="str">
        <f>'[6]price list MAN'!E1099</f>
        <v>CKD</v>
      </c>
      <c r="F1099" s="11" t="str">
        <f>'[6]price list MAN'!F1099</f>
        <v>2018-03-30</v>
      </c>
      <c r="G1099" s="32">
        <f>'[6]price list MAN'!G1099</f>
        <v>15.3</v>
      </c>
      <c r="H1099" s="26">
        <f>'[6]price list MAN'!H1099</f>
        <v>42978</v>
      </c>
      <c r="I1099" s="51" t="str">
        <f t="shared" si="85"/>
        <v>2017Q3</v>
      </c>
      <c r="J1099" s="177">
        <f>'[6]price list MAN'!J1099</f>
        <v>1780000</v>
      </c>
      <c r="K1099" s="177">
        <f>'[6]price list MAN'!P1099</f>
        <v>1370250</v>
      </c>
      <c r="L1099" s="177">
        <f>'[6]price list MAN'!R1099</f>
        <v>1305000</v>
      </c>
      <c r="M1099" s="174">
        <f>'[6]price list MAN'!S1099</f>
        <v>1835000</v>
      </c>
      <c r="N1099" s="174">
        <f>'[6]price list MAN'!Y1099</f>
        <v>1428000</v>
      </c>
      <c r="O1099" s="174">
        <f>'[6]price list MAN'!AA1099</f>
        <v>1360000</v>
      </c>
      <c r="P1099" s="68">
        <f t="shared" si="86"/>
        <v>0.25885558583106266</v>
      </c>
      <c r="Q1099" s="62" t="e">
        <f>O1099-#REF!</f>
        <v>#REF!</v>
      </c>
      <c r="W1099" s="210"/>
      <c r="X1099" s="210"/>
      <c r="Y1099" s="210"/>
      <c r="Z1099" s="210"/>
      <c r="AA1099" s="210"/>
      <c r="AB1099" s="210"/>
      <c r="AC1099" s="210"/>
      <c r="AT1099" s="425" t="str">
        <f t="shared" si="87"/>
        <v>KP0007182017Q315,3</v>
      </c>
      <c r="AU1099" s="64" t="str">
        <f t="shared" si="88"/>
        <v>08-2017</v>
      </c>
      <c r="BA1099" s="428" t="str">
        <f t="shared" si="89"/>
        <v>WIP - 30 Days</v>
      </c>
    </row>
    <row r="1100" spans="2:53">
      <c r="B1100" s="36" t="str">
        <f>'[6]price list MAN'!B1100</f>
        <v>76W-B128</v>
      </c>
      <c r="C1100" s="10" t="str">
        <f>'[6]price list MAN'!C1100</f>
        <v>TGS-27-4406X4BBS-L-STEEL</v>
      </c>
      <c r="D1100" s="16" t="str">
        <f>IFERROR(VLOOKUP(C1100&amp;"",'[7]Retail Price List'!$A$3:$B$103,2,FALSE),"Special Order")</f>
        <v>KP000718</v>
      </c>
      <c r="E1100" s="494" t="str">
        <f>'[6]price list MAN'!E1100</f>
        <v>CKD</v>
      </c>
      <c r="F1100" s="11" t="str">
        <f>'[6]price list MAN'!F1100</f>
        <v>2018-03-30</v>
      </c>
      <c r="G1100" s="32">
        <f>'[6]price list MAN'!G1100</f>
        <v>15.3</v>
      </c>
      <c r="H1100" s="26">
        <f>'[6]price list MAN'!H1100</f>
        <v>42978</v>
      </c>
      <c r="I1100" s="51" t="str">
        <f t="shared" si="85"/>
        <v>2017Q3</v>
      </c>
      <c r="J1100" s="177">
        <f>'[6]price list MAN'!J1100</f>
        <v>1780000</v>
      </c>
      <c r="K1100" s="177">
        <f>'[6]price list MAN'!P1100</f>
        <v>1370250</v>
      </c>
      <c r="L1100" s="177">
        <f>'[6]price list MAN'!R1100</f>
        <v>1305000</v>
      </c>
      <c r="M1100" s="174">
        <f>'[6]price list MAN'!S1100</f>
        <v>1835000</v>
      </c>
      <c r="N1100" s="174">
        <f>'[6]price list MAN'!Y1100</f>
        <v>1428000</v>
      </c>
      <c r="O1100" s="174">
        <f>'[6]price list MAN'!AA1100</f>
        <v>1360000</v>
      </c>
      <c r="P1100" s="68">
        <f t="shared" si="86"/>
        <v>0.25885558583106266</v>
      </c>
      <c r="Q1100" s="62" t="e">
        <f>O1100-#REF!</f>
        <v>#REF!</v>
      </c>
      <c r="W1100" s="210"/>
      <c r="X1100" s="210"/>
      <c r="Y1100" s="210"/>
      <c r="Z1100" s="210"/>
      <c r="AA1100" s="210"/>
      <c r="AB1100" s="210"/>
      <c r="AC1100" s="210"/>
      <c r="AT1100" s="425" t="str">
        <f t="shared" si="87"/>
        <v>KP0007182017Q315,3</v>
      </c>
      <c r="AU1100" s="64" t="str">
        <f t="shared" si="88"/>
        <v>08-2017</v>
      </c>
      <c r="BA1100" s="428" t="str">
        <f t="shared" si="89"/>
        <v>WIP - 30 Days</v>
      </c>
    </row>
    <row r="1101" spans="2:53">
      <c r="B1101" s="36" t="str">
        <f>'[6]price list MAN'!B1101</f>
        <v>76W-B129</v>
      </c>
      <c r="C1101" s="10" t="str">
        <f>'[6]price list MAN'!C1101</f>
        <v>TGS-27-4406X4BBS-L-STEEL</v>
      </c>
      <c r="D1101" s="16" t="str">
        <f>IFERROR(VLOOKUP(C1101&amp;"",'[7]Retail Price List'!$A$3:$B$103,2,FALSE),"Special Order")</f>
        <v>KP000718</v>
      </c>
      <c r="E1101" s="494" t="str">
        <f>'[6]price list MAN'!E1101</f>
        <v>CKD</v>
      </c>
      <c r="F1101" s="11" t="str">
        <f>'[6]price list MAN'!F1101</f>
        <v>2018-03-30</v>
      </c>
      <c r="G1101" s="32">
        <f>'[6]price list MAN'!G1101</f>
        <v>15.3</v>
      </c>
      <c r="H1101" s="26">
        <f>'[6]price list MAN'!H1101</f>
        <v>42978</v>
      </c>
      <c r="I1101" s="51" t="str">
        <f t="shared" si="85"/>
        <v>2017Q3</v>
      </c>
      <c r="J1101" s="177">
        <f>'[6]price list MAN'!J1101</f>
        <v>1780000</v>
      </c>
      <c r="K1101" s="177">
        <f>'[6]price list MAN'!P1101</f>
        <v>1370250</v>
      </c>
      <c r="L1101" s="177">
        <f>'[6]price list MAN'!R1101</f>
        <v>1305000</v>
      </c>
      <c r="M1101" s="174">
        <f>'[6]price list MAN'!S1101</f>
        <v>1835000</v>
      </c>
      <c r="N1101" s="174">
        <f>'[6]price list MAN'!Y1101</f>
        <v>1428000</v>
      </c>
      <c r="O1101" s="174">
        <f>'[6]price list MAN'!AA1101</f>
        <v>1360000</v>
      </c>
      <c r="P1101" s="68">
        <f t="shared" si="86"/>
        <v>0.25885558583106266</v>
      </c>
      <c r="Q1101" s="62" t="e">
        <f>O1101-#REF!</f>
        <v>#REF!</v>
      </c>
      <c r="W1101" s="210"/>
      <c r="X1101" s="210"/>
      <c r="Y1101" s="210"/>
      <c r="Z1101" s="210"/>
      <c r="AA1101" s="210"/>
      <c r="AB1101" s="210"/>
      <c r="AC1101" s="210"/>
      <c r="AT1101" s="425" t="str">
        <f t="shared" si="87"/>
        <v>KP0007182017Q315,3</v>
      </c>
      <c r="AU1101" s="64" t="str">
        <f t="shared" si="88"/>
        <v>08-2017</v>
      </c>
      <c r="BA1101" s="428" t="str">
        <f t="shared" si="89"/>
        <v>WIP - 30 Days</v>
      </c>
    </row>
    <row r="1102" spans="2:53">
      <c r="B1102" s="36" t="str">
        <f>'[6]price list MAN'!B1102</f>
        <v>76W-B130</v>
      </c>
      <c r="C1102" s="10" t="str">
        <f>'[6]price list MAN'!C1102</f>
        <v>TGS-27-4406X4BBS-L-STEEL</v>
      </c>
      <c r="D1102" s="16" t="str">
        <f>IFERROR(VLOOKUP(C1102&amp;"",'[7]Retail Price List'!$A$3:$B$103,2,FALSE),"Special Order")</f>
        <v>KP000718</v>
      </c>
      <c r="E1102" s="494" t="str">
        <f>'[6]price list MAN'!E1102</f>
        <v>CKD</v>
      </c>
      <c r="F1102" s="11" t="str">
        <f>'[6]price list MAN'!F1102</f>
        <v>2018-03-30</v>
      </c>
      <c r="G1102" s="32">
        <f>'[6]price list MAN'!G1102</f>
        <v>15.3</v>
      </c>
      <c r="H1102" s="26">
        <f>'[6]price list MAN'!H1102</f>
        <v>42978</v>
      </c>
      <c r="I1102" s="51" t="str">
        <f t="shared" si="85"/>
        <v>2017Q3</v>
      </c>
      <c r="J1102" s="177">
        <f>'[6]price list MAN'!J1102</f>
        <v>1780000</v>
      </c>
      <c r="K1102" s="177">
        <f>'[6]price list MAN'!P1102</f>
        <v>1370250</v>
      </c>
      <c r="L1102" s="177">
        <f>'[6]price list MAN'!R1102</f>
        <v>1305000</v>
      </c>
      <c r="M1102" s="174">
        <f>'[6]price list MAN'!S1102</f>
        <v>1835000</v>
      </c>
      <c r="N1102" s="174">
        <f>'[6]price list MAN'!Y1102</f>
        <v>1428000</v>
      </c>
      <c r="O1102" s="174">
        <f>'[6]price list MAN'!AA1102</f>
        <v>1360000</v>
      </c>
      <c r="P1102" s="68">
        <f t="shared" si="86"/>
        <v>0.25885558583106266</v>
      </c>
      <c r="Q1102" s="62" t="e">
        <f>O1102-#REF!</f>
        <v>#REF!</v>
      </c>
      <c r="W1102" s="210"/>
      <c r="X1102" s="210"/>
      <c r="Y1102" s="210"/>
      <c r="Z1102" s="210"/>
      <c r="AA1102" s="210"/>
      <c r="AB1102" s="210"/>
      <c r="AC1102" s="210"/>
      <c r="AT1102" s="425" t="str">
        <f t="shared" si="87"/>
        <v>KP0007182017Q315,3</v>
      </c>
      <c r="AU1102" s="64" t="str">
        <f t="shared" si="88"/>
        <v>08-2017</v>
      </c>
      <c r="BA1102" s="428" t="str">
        <f t="shared" si="89"/>
        <v>WIP - 30 Days</v>
      </c>
    </row>
    <row r="1103" spans="2:53">
      <c r="B1103" s="36" t="str">
        <f>'[6]price list MAN'!B1103</f>
        <v>76W-B143</v>
      </c>
      <c r="C1103" s="10" t="str">
        <f>'[6]price list MAN'!C1103</f>
        <v>TGS-27-4406X4BBS-L-STEEL</v>
      </c>
      <c r="D1103" s="16" t="str">
        <f>IFERROR(VLOOKUP(C1103&amp;"",'[7]Retail Price List'!$A$3:$B$103,2,FALSE),"Special Order")</f>
        <v>KP000718</v>
      </c>
      <c r="E1103" s="494" t="str">
        <f>'[6]price list MAN'!E1103</f>
        <v>CKD</v>
      </c>
      <c r="F1103" s="11" t="str">
        <f>'[6]price list MAN'!F1103</f>
        <v>2018-03-30</v>
      </c>
      <c r="G1103" s="32">
        <f>'[6]price list MAN'!G1103</f>
        <v>15.3</v>
      </c>
      <c r="H1103" s="26">
        <f>'[6]price list MAN'!H1103</f>
        <v>42978</v>
      </c>
      <c r="I1103" s="51" t="str">
        <f t="shared" si="85"/>
        <v>2017Q3</v>
      </c>
      <c r="J1103" s="177">
        <f>'[6]price list MAN'!J1103</f>
        <v>1780000</v>
      </c>
      <c r="K1103" s="177">
        <f>'[6]price list MAN'!P1103</f>
        <v>1370250</v>
      </c>
      <c r="L1103" s="177">
        <f>'[6]price list MAN'!R1103</f>
        <v>1305000</v>
      </c>
      <c r="M1103" s="174">
        <f>'[6]price list MAN'!S1103</f>
        <v>1835000</v>
      </c>
      <c r="N1103" s="174">
        <f>'[6]price list MAN'!Y1103</f>
        <v>1428000</v>
      </c>
      <c r="O1103" s="174">
        <f>'[6]price list MAN'!AA1103</f>
        <v>1360000</v>
      </c>
      <c r="P1103" s="68">
        <f t="shared" si="86"/>
        <v>0.25885558583106266</v>
      </c>
      <c r="Q1103" s="62" t="e">
        <f>O1103-#REF!</f>
        <v>#REF!</v>
      </c>
      <c r="W1103" s="210"/>
      <c r="X1103" s="210"/>
      <c r="Y1103" s="210"/>
      <c r="Z1103" s="210"/>
      <c r="AA1103" s="210"/>
      <c r="AB1103" s="210"/>
      <c r="AC1103" s="210"/>
      <c r="AT1103" s="425" t="str">
        <f t="shared" si="87"/>
        <v>KP0007182017Q315,3</v>
      </c>
      <c r="AU1103" s="64" t="str">
        <f t="shared" si="88"/>
        <v>08-2017</v>
      </c>
      <c r="BA1103" s="428" t="str">
        <f t="shared" si="89"/>
        <v>WIP - 30 Days</v>
      </c>
    </row>
    <row r="1104" spans="2:53">
      <c r="B1104" s="36" t="str">
        <f>'[6]price list MAN'!B1104</f>
        <v>76W-B144</v>
      </c>
      <c r="C1104" s="10" t="str">
        <f>'[6]price list MAN'!C1104</f>
        <v>TGS-27-4406X4BBS-L-STEEL</v>
      </c>
      <c r="D1104" s="16" t="str">
        <f>IFERROR(VLOOKUP(C1104&amp;"",'[7]Retail Price List'!$A$3:$B$103,2,FALSE),"Special Order")</f>
        <v>KP000718</v>
      </c>
      <c r="E1104" s="494" t="str">
        <f>'[6]price list MAN'!E1104</f>
        <v>CKD</v>
      </c>
      <c r="F1104" s="11" t="str">
        <f>'[6]price list MAN'!F1104</f>
        <v>2018-03-30</v>
      </c>
      <c r="G1104" s="32">
        <f>'[6]price list MAN'!G1104</f>
        <v>15.3</v>
      </c>
      <c r="H1104" s="26">
        <f>'[6]price list MAN'!H1104</f>
        <v>42978</v>
      </c>
      <c r="I1104" s="51" t="str">
        <f t="shared" si="85"/>
        <v>2017Q3</v>
      </c>
      <c r="J1104" s="177">
        <f>'[6]price list MAN'!J1104</f>
        <v>1780000</v>
      </c>
      <c r="K1104" s="177">
        <f>'[6]price list MAN'!P1104</f>
        <v>1370250</v>
      </c>
      <c r="L1104" s="177">
        <f>'[6]price list MAN'!R1104</f>
        <v>1305000</v>
      </c>
      <c r="M1104" s="174">
        <f>'[6]price list MAN'!S1104</f>
        <v>1835000</v>
      </c>
      <c r="N1104" s="174">
        <f>'[6]price list MAN'!Y1104</f>
        <v>1428000</v>
      </c>
      <c r="O1104" s="174">
        <f>'[6]price list MAN'!AA1104</f>
        <v>1360000</v>
      </c>
      <c r="P1104" s="68">
        <f t="shared" si="86"/>
        <v>0.25885558583106266</v>
      </c>
      <c r="Q1104" s="62" t="e">
        <f>O1104-#REF!</f>
        <v>#REF!</v>
      </c>
      <c r="W1104" s="210"/>
      <c r="X1104" s="210"/>
      <c r="Y1104" s="210"/>
      <c r="Z1104" s="210"/>
      <c r="AA1104" s="210"/>
      <c r="AB1104" s="210"/>
      <c r="AC1104" s="210"/>
      <c r="AT1104" s="425" t="str">
        <f t="shared" si="87"/>
        <v>KP0007182017Q315,3</v>
      </c>
      <c r="AU1104" s="64" t="str">
        <f t="shared" si="88"/>
        <v>08-2017</v>
      </c>
      <c r="BA1104" s="428" t="str">
        <f t="shared" si="89"/>
        <v>WIP - 30 Days</v>
      </c>
    </row>
    <row r="1105" spans="2:53">
      <c r="B1105" s="36" t="str">
        <f>'[6]price list MAN'!B1105</f>
        <v>76W-B145</v>
      </c>
      <c r="C1105" s="10" t="str">
        <f>'[6]price list MAN'!C1105</f>
        <v>TGS-27-4406X4BBS-L-STEEL</v>
      </c>
      <c r="D1105" s="16" t="str">
        <f>IFERROR(VLOOKUP(C1105&amp;"",'[7]Retail Price List'!$A$3:$B$103,2,FALSE),"Special Order")</f>
        <v>KP000718</v>
      </c>
      <c r="E1105" s="494" t="str">
        <f>'[6]price list MAN'!E1105</f>
        <v>CKD</v>
      </c>
      <c r="F1105" s="11" t="str">
        <f>'[6]price list MAN'!F1105</f>
        <v>2018-03-30</v>
      </c>
      <c r="G1105" s="32">
        <f>'[6]price list MAN'!G1105</f>
        <v>15.3</v>
      </c>
      <c r="H1105" s="26">
        <f>'[6]price list MAN'!H1105</f>
        <v>42978</v>
      </c>
      <c r="I1105" s="51" t="str">
        <f t="shared" si="85"/>
        <v>2017Q3</v>
      </c>
      <c r="J1105" s="177">
        <f>'[6]price list MAN'!J1105</f>
        <v>1780000</v>
      </c>
      <c r="K1105" s="177">
        <f>'[6]price list MAN'!P1105</f>
        <v>1370250</v>
      </c>
      <c r="L1105" s="177">
        <f>'[6]price list MAN'!R1105</f>
        <v>1305000</v>
      </c>
      <c r="M1105" s="174">
        <f>'[6]price list MAN'!S1105</f>
        <v>1835000</v>
      </c>
      <c r="N1105" s="174">
        <f>'[6]price list MAN'!Y1105</f>
        <v>1428000</v>
      </c>
      <c r="O1105" s="174">
        <f>'[6]price list MAN'!AA1105</f>
        <v>1360000</v>
      </c>
      <c r="P1105" s="68">
        <f t="shared" si="86"/>
        <v>0.25885558583106266</v>
      </c>
      <c r="Q1105" s="62" t="e">
        <f>O1105-#REF!</f>
        <v>#REF!</v>
      </c>
      <c r="W1105" s="210"/>
      <c r="X1105" s="210"/>
      <c r="Y1105" s="210"/>
      <c r="Z1105" s="210"/>
      <c r="AA1105" s="210"/>
      <c r="AB1105" s="210"/>
      <c r="AC1105" s="210"/>
      <c r="AT1105" s="425" t="str">
        <f t="shared" si="87"/>
        <v>KP0007182017Q315,3</v>
      </c>
      <c r="AU1105" s="64" t="str">
        <f t="shared" si="88"/>
        <v>08-2017</v>
      </c>
      <c r="BA1105" s="428" t="str">
        <f t="shared" si="89"/>
        <v>WIP - 30 Days</v>
      </c>
    </row>
    <row r="1106" spans="2:53">
      <c r="B1106" s="36" t="str">
        <f>'[6]price list MAN'!B1106</f>
        <v>76W-B146</v>
      </c>
      <c r="C1106" s="10" t="str">
        <f>'[6]price list MAN'!C1106</f>
        <v>TGS-27-4406X4BBS-L-STEEL</v>
      </c>
      <c r="D1106" s="16" t="str">
        <f>IFERROR(VLOOKUP(C1106&amp;"",'[7]Retail Price List'!$A$3:$B$103,2,FALSE),"Special Order")</f>
        <v>KP000718</v>
      </c>
      <c r="E1106" s="494" t="str">
        <f>'[6]price list MAN'!E1106</f>
        <v>CKD</v>
      </c>
      <c r="F1106" s="11" t="str">
        <f>'[6]price list MAN'!F1106</f>
        <v>2018-03-30</v>
      </c>
      <c r="G1106" s="32">
        <f>'[6]price list MAN'!G1106</f>
        <v>15.3</v>
      </c>
      <c r="H1106" s="26">
        <f>'[6]price list MAN'!H1106</f>
        <v>42978</v>
      </c>
      <c r="I1106" s="51" t="str">
        <f t="shared" si="85"/>
        <v>2017Q3</v>
      </c>
      <c r="J1106" s="177">
        <f>'[6]price list MAN'!J1106</f>
        <v>1780000</v>
      </c>
      <c r="K1106" s="177">
        <f>'[6]price list MAN'!P1106</f>
        <v>1370250</v>
      </c>
      <c r="L1106" s="177">
        <f>'[6]price list MAN'!R1106</f>
        <v>1305000</v>
      </c>
      <c r="M1106" s="174">
        <f>'[6]price list MAN'!S1106</f>
        <v>1835000</v>
      </c>
      <c r="N1106" s="174">
        <f>'[6]price list MAN'!Y1106</f>
        <v>1428000</v>
      </c>
      <c r="O1106" s="174">
        <f>'[6]price list MAN'!AA1106</f>
        <v>1360000</v>
      </c>
      <c r="P1106" s="68">
        <f t="shared" si="86"/>
        <v>0.25885558583106266</v>
      </c>
      <c r="Q1106" s="62" t="e">
        <f>O1106-#REF!</f>
        <v>#REF!</v>
      </c>
      <c r="W1106" s="210"/>
      <c r="X1106" s="210"/>
      <c r="Y1106" s="210"/>
      <c r="Z1106" s="210"/>
      <c r="AA1106" s="210"/>
      <c r="AB1106" s="210"/>
      <c r="AC1106" s="210"/>
      <c r="AT1106" s="425" t="str">
        <f t="shared" si="87"/>
        <v>KP0007182017Q315,3</v>
      </c>
      <c r="AU1106" s="64" t="str">
        <f t="shared" si="88"/>
        <v>08-2017</v>
      </c>
      <c r="BA1106" s="428" t="str">
        <f t="shared" si="89"/>
        <v>WIP - 30 Days</v>
      </c>
    </row>
    <row r="1107" spans="2:53">
      <c r="B1107" s="36" t="str">
        <f>'[6]price list MAN'!B1107</f>
        <v>76W-B147</v>
      </c>
      <c r="C1107" s="10" t="str">
        <f>'[6]price list MAN'!C1107</f>
        <v>TGS-27-4406X4BBS-L-STEEL</v>
      </c>
      <c r="D1107" s="16" t="str">
        <f>IFERROR(VLOOKUP(C1107&amp;"",'[7]Retail Price List'!$A$3:$B$103,2,FALSE),"Special Order")</f>
        <v>KP000718</v>
      </c>
      <c r="E1107" s="494" t="str">
        <f>'[6]price list MAN'!E1107</f>
        <v>CKD</v>
      </c>
      <c r="F1107" s="11" t="str">
        <f>'[6]price list MAN'!F1107</f>
        <v>2018-03-30</v>
      </c>
      <c r="G1107" s="32">
        <f>'[6]price list MAN'!G1107</f>
        <v>15.3</v>
      </c>
      <c r="H1107" s="26">
        <f>'[6]price list MAN'!H1107</f>
        <v>42978</v>
      </c>
      <c r="I1107" s="51" t="str">
        <f t="shared" si="85"/>
        <v>2017Q3</v>
      </c>
      <c r="J1107" s="177">
        <f>'[6]price list MAN'!J1107</f>
        <v>1780000</v>
      </c>
      <c r="K1107" s="177">
        <f>'[6]price list MAN'!P1107</f>
        <v>1370250</v>
      </c>
      <c r="L1107" s="177">
        <f>'[6]price list MAN'!R1107</f>
        <v>1305000</v>
      </c>
      <c r="M1107" s="174">
        <f>'[6]price list MAN'!S1107</f>
        <v>1835000</v>
      </c>
      <c r="N1107" s="174">
        <f>'[6]price list MAN'!Y1107</f>
        <v>1428000</v>
      </c>
      <c r="O1107" s="174">
        <f>'[6]price list MAN'!AA1107</f>
        <v>1360000</v>
      </c>
      <c r="P1107" s="68">
        <f t="shared" si="86"/>
        <v>0.25885558583106266</v>
      </c>
      <c r="Q1107" s="62" t="e">
        <f>O1107-#REF!</f>
        <v>#REF!</v>
      </c>
      <c r="W1107" s="210"/>
      <c r="X1107" s="210"/>
      <c r="Y1107" s="210"/>
      <c r="Z1107" s="210"/>
      <c r="AA1107" s="210"/>
      <c r="AB1107" s="210"/>
      <c r="AC1107" s="210"/>
      <c r="AT1107" s="425" t="str">
        <f t="shared" si="87"/>
        <v>KP0007182017Q315,3</v>
      </c>
      <c r="AU1107" s="64" t="str">
        <f t="shared" si="88"/>
        <v>08-2017</v>
      </c>
      <c r="BA1107" s="428" t="str">
        <f t="shared" si="89"/>
        <v>WIP - 30 Days</v>
      </c>
    </row>
    <row r="1108" spans="2:53">
      <c r="B1108" s="36" t="str">
        <f>'[6]price list MAN'!B1108</f>
        <v>76W-B148</v>
      </c>
      <c r="C1108" s="10" t="str">
        <f>'[6]price list MAN'!C1108</f>
        <v>TGS-27-4406X4BBS-L-STEEL</v>
      </c>
      <c r="D1108" s="16" t="str">
        <f>IFERROR(VLOOKUP(C1108&amp;"",'[7]Retail Price List'!$A$3:$B$103,2,FALSE),"Special Order")</f>
        <v>KP000718</v>
      </c>
      <c r="E1108" s="494" t="str">
        <f>'[6]price list MAN'!E1108</f>
        <v>CKD</v>
      </c>
      <c r="F1108" s="11" t="str">
        <f>'[6]price list MAN'!F1108</f>
        <v>2018-03-30</v>
      </c>
      <c r="G1108" s="32">
        <f>'[6]price list MAN'!G1108</f>
        <v>15.3</v>
      </c>
      <c r="H1108" s="26">
        <f>'[6]price list MAN'!H1108</f>
        <v>42978</v>
      </c>
      <c r="I1108" s="51" t="str">
        <f t="shared" si="85"/>
        <v>2017Q3</v>
      </c>
      <c r="J1108" s="177">
        <f>'[6]price list MAN'!J1108</f>
        <v>1780000</v>
      </c>
      <c r="K1108" s="177">
        <f>'[6]price list MAN'!P1108</f>
        <v>1370250</v>
      </c>
      <c r="L1108" s="177">
        <f>'[6]price list MAN'!R1108</f>
        <v>1305000</v>
      </c>
      <c r="M1108" s="174">
        <f>'[6]price list MAN'!S1108</f>
        <v>1835000</v>
      </c>
      <c r="N1108" s="174">
        <f>'[6]price list MAN'!Y1108</f>
        <v>1428000</v>
      </c>
      <c r="O1108" s="174">
        <f>'[6]price list MAN'!AA1108</f>
        <v>1360000</v>
      </c>
      <c r="P1108" s="68">
        <f t="shared" si="86"/>
        <v>0.25885558583106266</v>
      </c>
      <c r="Q1108" s="62" t="e">
        <f>O1108-#REF!</f>
        <v>#REF!</v>
      </c>
      <c r="W1108" s="210"/>
      <c r="X1108" s="210"/>
      <c r="Y1108" s="210"/>
      <c r="Z1108" s="210"/>
      <c r="AA1108" s="210"/>
      <c r="AB1108" s="210"/>
      <c r="AC1108" s="210"/>
      <c r="AT1108" s="425" t="str">
        <f t="shared" si="87"/>
        <v>KP0007182017Q315,3</v>
      </c>
      <c r="AU1108" s="64" t="str">
        <f t="shared" si="88"/>
        <v>08-2017</v>
      </c>
      <c r="BA1108" s="428" t="str">
        <f t="shared" si="89"/>
        <v>WIP - 30 Days</v>
      </c>
    </row>
    <row r="1109" spans="2:53">
      <c r="B1109" s="36" t="str">
        <f>'[6]price list MAN'!B1109</f>
        <v>76W-B149</v>
      </c>
      <c r="C1109" s="10" t="str">
        <f>'[6]price list MAN'!C1109</f>
        <v>TGS-27-4406X4BBS-L-STEEL</v>
      </c>
      <c r="D1109" s="16" t="str">
        <f>IFERROR(VLOOKUP(C1109&amp;"",'[7]Retail Price List'!$A$3:$B$103,2,FALSE),"Special Order")</f>
        <v>KP000718</v>
      </c>
      <c r="E1109" s="494" t="str">
        <f>'[6]price list MAN'!E1109</f>
        <v>CKD</v>
      </c>
      <c r="F1109" s="11" t="str">
        <f>'[6]price list MAN'!F1109</f>
        <v>2018-03-30</v>
      </c>
      <c r="G1109" s="32">
        <f>'[6]price list MAN'!G1109</f>
        <v>15.3</v>
      </c>
      <c r="H1109" s="26">
        <f>'[6]price list MAN'!H1109</f>
        <v>42978</v>
      </c>
      <c r="I1109" s="51" t="str">
        <f t="shared" si="85"/>
        <v>2017Q3</v>
      </c>
      <c r="J1109" s="177">
        <f>'[6]price list MAN'!J1109</f>
        <v>1780000</v>
      </c>
      <c r="K1109" s="177">
        <f>'[6]price list MAN'!P1109</f>
        <v>1370250</v>
      </c>
      <c r="L1109" s="177">
        <f>'[6]price list MAN'!R1109</f>
        <v>1305000</v>
      </c>
      <c r="M1109" s="174">
        <f>'[6]price list MAN'!S1109</f>
        <v>1835000</v>
      </c>
      <c r="N1109" s="174">
        <f>'[6]price list MAN'!Y1109</f>
        <v>1428000</v>
      </c>
      <c r="O1109" s="174">
        <f>'[6]price list MAN'!AA1109</f>
        <v>1360000</v>
      </c>
      <c r="P1109" s="68">
        <f t="shared" si="86"/>
        <v>0.25885558583106266</v>
      </c>
      <c r="Q1109" s="62" t="e">
        <f>O1109-#REF!</f>
        <v>#REF!</v>
      </c>
      <c r="W1109" s="210"/>
      <c r="X1109" s="210"/>
      <c r="Y1109" s="210"/>
      <c r="Z1109" s="210"/>
      <c r="AA1109" s="210"/>
      <c r="AB1109" s="210"/>
      <c r="AC1109" s="210"/>
      <c r="AT1109" s="425" t="str">
        <f t="shared" si="87"/>
        <v>KP0007182017Q315,3</v>
      </c>
      <c r="AU1109" s="64" t="str">
        <f t="shared" si="88"/>
        <v>08-2017</v>
      </c>
      <c r="BA1109" s="428" t="str">
        <f t="shared" si="89"/>
        <v>WIP - 30 Days</v>
      </c>
    </row>
    <row r="1110" spans="2:53">
      <c r="B1110" s="36" t="str">
        <f>'[6]price list MAN'!B1110</f>
        <v>76W-B150</v>
      </c>
      <c r="C1110" s="10" t="str">
        <f>'[6]price list MAN'!C1110</f>
        <v>TGS-27-4406X4BBS-L-STEEL</v>
      </c>
      <c r="D1110" s="16" t="str">
        <f>IFERROR(VLOOKUP(C1110&amp;"",'[7]Retail Price List'!$A$3:$B$103,2,FALSE),"Special Order")</f>
        <v>KP000718</v>
      </c>
      <c r="E1110" s="494" t="str">
        <f>'[6]price list MAN'!E1110</f>
        <v>CKD</v>
      </c>
      <c r="F1110" s="11" t="str">
        <f>'[6]price list MAN'!F1110</f>
        <v>2018-03-30</v>
      </c>
      <c r="G1110" s="32">
        <f>'[6]price list MAN'!G1110</f>
        <v>15.3</v>
      </c>
      <c r="H1110" s="26">
        <f>'[6]price list MAN'!H1110</f>
        <v>42978</v>
      </c>
      <c r="I1110" s="51" t="str">
        <f t="shared" si="85"/>
        <v>2017Q3</v>
      </c>
      <c r="J1110" s="177">
        <f>'[6]price list MAN'!J1110</f>
        <v>1780000</v>
      </c>
      <c r="K1110" s="177">
        <f>'[6]price list MAN'!P1110</f>
        <v>1370250</v>
      </c>
      <c r="L1110" s="177">
        <f>'[6]price list MAN'!R1110</f>
        <v>1305000</v>
      </c>
      <c r="M1110" s="174">
        <f>'[6]price list MAN'!S1110</f>
        <v>1835000</v>
      </c>
      <c r="N1110" s="174">
        <f>'[6]price list MAN'!Y1110</f>
        <v>1428000</v>
      </c>
      <c r="O1110" s="174">
        <f>'[6]price list MAN'!AA1110</f>
        <v>1360000</v>
      </c>
      <c r="P1110" s="68">
        <f t="shared" si="86"/>
        <v>0.25885558583106266</v>
      </c>
      <c r="Q1110" s="62" t="e">
        <f>O1110-#REF!</f>
        <v>#REF!</v>
      </c>
      <c r="W1110" s="210"/>
      <c r="X1110" s="210"/>
      <c r="Y1110" s="210"/>
      <c r="Z1110" s="210"/>
      <c r="AA1110" s="210"/>
      <c r="AB1110" s="210"/>
      <c r="AC1110" s="210"/>
      <c r="AT1110" s="425" t="str">
        <f t="shared" si="87"/>
        <v>KP0007182017Q315,3</v>
      </c>
      <c r="AU1110" s="64" t="str">
        <f t="shared" si="88"/>
        <v>08-2017</v>
      </c>
      <c r="BA1110" s="428" t="str">
        <f t="shared" si="89"/>
        <v>WIP - 30 Days</v>
      </c>
    </row>
    <row r="1111" spans="2:53">
      <c r="B1111" s="36" t="str">
        <f>'[6]price list MAN'!B1111</f>
        <v>76W-B163</v>
      </c>
      <c r="C1111" s="10" t="str">
        <f>'[6]price list MAN'!C1111</f>
        <v>TGS-27-4406X4BBS-L-STEEL</v>
      </c>
      <c r="D1111" s="16" t="str">
        <f>IFERROR(VLOOKUP(C1111&amp;"",'[7]Retail Price List'!$A$3:$B$103,2,FALSE),"Special Order")</f>
        <v>KP000718</v>
      </c>
      <c r="E1111" s="494" t="str">
        <f>'[6]price list MAN'!E1111</f>
        <v>CKD</v>
      </c>
      <c r="F1111" s="11" t="str">
        <f>'[6]price list MAN'!F1111</f>
        <v>2018-03-30</v>
      </c>
      <c r="G1111" s="32">
        <f>'[6]price list MAN'!G1111</f>
        <v>15.3</v>
      </c>
      <c r="H1111" s="26">
        <f>'[6]price list MAN'!H1111</f>
        <v>42978</v>
      </c>
      <c r="I1111" s="51" t="str">
        <f t="shared" si="85"/>
        <v>2017Q3</v>
      </c>
      <c r="J1111" s="177">
        <f>'[6]price list MAN'!J1111</f>
        <v>1780000</v>
      </c>
      <c r="K1111" s="177">
        <f>'[6]price list MAN'!P1111</f>
        <v>1370250</v>
      </c>
      <c r="L1111" s="177">
        <f>'[6]price list MAN'!R1111</f>
        <v>1305000</v>
      </c>
      <c r="M1111" s="174">
        <f>'[6]price list MAN'!S1111</f>
        <v>1835000</v>
      </c>
      <c r="N1111" s="174">
        <f>'[6]price list MAN'!Y1111</f>
        <v>1428000</v>
      </c>
      <c r="O1111" s="174">
        <f>'[6]price list MAN'!AA1111</f>
        <v>1360000</v>
      </c>
      <c r="P1111" s="68">
        <f t="shared" si="86"/>
        <v>0.25885558583106266</v>
      </c>
      <c r="Q1111" s="62" t="e">
        <f>O1111-#REF!</f>
        <v>#REF!</v>
      </c>
      <c r="W1111" s="210"/>
      <c r="X1111" s="210"/>
      <c r="Y1111" s="210"/>
      <c r="Z1111" s="210"/>
      <c r="AA1111" s="210"/>
      <c r="AB1111" s="210"/>
      <c r="AC1111" s="210"/>
      <c r="AT1111" s="425" t="str">
        <f t="shared" si="87"/>
        <v>KP0007182017Q315,3</v>
      </c>
      <c r="AU1111" s="64" t="str">
        <f t="shared" si="88"/>
        <v>08-2017</v>
      </c>
      <c r="BA1111" s="428" t="str">
        <f t="shared" si="89"/>
        <v>WIP - 30 Days</v>
      </c>
    </row>
    <row r="1112" spans="2:53">
      <c r="B1112" s="36" t="str">
        <f>'[6]price list MAN'!B1112</f>
        <v>76W-B164</v>
      </c>
      <c r="C1112" s="10" t="str">
        <f>'[6]price list MAN'!C1112</f>
        <v>TGS-27-4406X4BBS-L-STEEL</v>
      </c>
      <c r="D1112" s="16" t="str">
        <f>IFERROR(VLOOKUP(C1112&amp;"",'[7]Retail Price List'!$A$3:$B$103,2,FALSE),"Special Order")</f>
        <v>KP000718</v>
      </c>
      <c r="E1112" s="494" t="str">
        <f>'[6]price list MAN'!E1112</f>
        <v>CKD</v>
      </c>
      <c r="F1112" s="11" t="str">
        <f>'[6]price list MAN'!F1112</f>
        <v>2018-03-30</v>
      </c>
      <c r="G1112" s="32">
        <f>'[6]price list MAN'!G1112</f>
        <v>15.3</v>
      </c>
      <c r="H1112" s="26">
        <f>'[6]price list MAN'!H1112</f>
        <v>42978</v>
      </c>
      <c r="I1112" s="51" t="str">
        <f t="shared" si="85"/>
        <v>2017Q3</v>
      </c>
      <c r="J1112" s="177">
        <f>'[6]price list MAN'!J1112</f>
        <v>1780000</v>
      </c>
      <c r="K1112" s="177">
        <f>'[6]price list MAN'!P1112</f>
        <v>1370250</v>
      </c>
      <c r="L1112" s="177">
        <f>'[6]price list MAN'!R1112</f>
        <v>1305000</v>
      </c>
      <c r="M1112" s="174">
        <f>'[6]price list MAN'!S1112</f>
        <v>1835000</v>
      </c>
      <c r="N1112" s="174">
        <f>'[6]price list MAN'!Y1112</f>
        <v>1428000</v>
      </c>
      <c r="O1112" s="174">
        <f>'[6]price list MAN'!AA1112</f>
        <v>1360000</v>
      </c>
      <c r="P1112" s="68">
        <f t="shared" si="86"/>
        <v>0.25885558583106266</v>
      </c>
      <c r="Q1112" s="62" t="e">
        <f>O1112-#REF!</f>
        <v>#REF!</v>
      </c>
      <c r="W1112" s="210"/>
      <c r="X1112" s="210"/>
      <c r="Y1112" s="210"/>
      <c r="Z1112" s="210"/>
      <c r="AA1112" s="210"/>
      <c r="AB1112" s="210"/>
      <c r="AC1112" s="210"/>
      <c r="AT1112" s="425" t="str">
        <f t="shared" si="87"/>
        <v>KP0007182017Q315,3</v>
      </c>
      <c r="AU1112" s="64" t="str">
        <f t="shared" si="88"/>
        <v>08-2017</v>
      </c>
      <c r="BA1112" s="428" t="str">
        <f t="shared" si="89"/>
        <v>WIP - 30 Days</v>
      </c>
    </row>
    <row r="1113" spans="2:53">
      <c r="B1113" s="36" t="str">
        <f>'[6]price list MAN'!B1113</f>
        <v>76W-B165</v>
      </c>
      <c r="C1113" s="10" t="str">
        <f>'[6]price list MAN'!C1113</f>
        <v>TGS-27-4406X4BBS-L-STEEL</v>
      </c>
      <c r="D1113" s="16" t="str">
        <f>IFERROR(VLOOKUP(C1113&amp;"",'[7]Retail Price List'!$A$3:$B$103,2,FALSE),"Special Order")</f>
        <v>KP000718</v>
      </c>
      <c r="E1113" s="494" t="str">
        <f>'[6]price list MAN'!E1113</f>
        <v>CKD</v>
      </c>
      <c r="F1113" s="11" t="str">
        <f>'[6]price list MAN'!F1113</f>
        <v>2018-03-30</v>
      </c>
      <c r="G1113" s="32">
        <f>'[6]price list MAN'!G1113</f>
        <v>15.3</v>
      </c>
      <c r="H1113" s="26">
        <f>'[6]price list MAN'!H1113</f>
        <v>42978</v>
      </c>
      <c r="I1113" s="51" t="str">
        <f t="shared" si="85"/>
        <v>2017Q3</v>
      </c>
      <c r="J1113" s="177">
        <f>'[6]price list MAN'!J1113</f>
        <v>1780000</v>
      </c>
      <c r="K1113" s="177">
        <f>'[6]price list MAN'!P1113</f>
        <v>1370250</v>
      </c>
      <c r="L1113" s="177">
        <f>'[6]price list MAN'!R1113</f>
        <v>1305000</v>
      </c>
      <c r="M1113" s="174">
        <f>'[6]price list MAN'!S1113</f>
        <v>1835000</v>
      </c>
      <c r="N1113" s="174">
        <f>'[6]price list MAN'!Y1113</f>
        <v>1428000</v>
      </c>
      <c r="O1113" s="174">
        <f>'[6]price list MAN'!AA1113</f>
        <v>1360000</v>
      </c>
      <c r="P1113" s="68">
        <f t="shared" si="86"/>
        <v>0.25885558583106266</v>
      </c>
      <c r="Q1113" s="62" t="e">
        <f>O1113-#REF!</f>
        <v>#REF!</v>
      </c>
      <c r="W1113" s="210"/>
      <c r="X1113" s="210"/>
      <c r="Y1113" s="210"/>
      <c r="Z1113" s="210"/>
      <c r="AA1113" s="210"/>
      <c r="AB1113" s="210"/>
      <c r="AC1113" s="210"/>
      <c r="AT1113" s="425" t="str">
        <f t="shared" si="87"/>
        <v>KP0007182017Q315,3</v>
      </c>
      <c r="AU1113" s="64" t="str">
        <f t="shared" si="88"/>
        <v>08-2017</v>
      </c>
      <c r="BA1113" s="428" t="str">
        <f t="shared" si="89"/>
        <v>WIP - 30 Days</v>
      </c>
    </row>
    <row r="1114" spans="2:53">
      <c r="B1114" s="36" t="str">
        <f>'[6]price list MAN'!B1114</f>
        <v>76W-B166</v>
      </c>
      <c r="C1114" s="10" t="str">
        <f>'[6]price list MAN'!C1114</f>
        <v>TGS-27-4406X4BBS-L-STEEL</v>
      </c>
      <c r="D1114" s="16" t="str">
        <f>IFERROR(VLOOKUP(C1114&amp;"",'[7]Retail Price List'!$A$3:$B$103,2,FALSE),"Special Order")</f>
        <v>KP000718</v>
      </c>
      <c r="E1114" s="494" t="str">
        <f>'[6]price list MAN'!E1114</f>
        <v>CKD</v>
      </c>
      <c r="F1114" s="11" t="str">
        <f>'[6]price list MAN'!F1114</f>
        <v>2018-04-30</v>
      </c>
      <c r="G1114" s="32">
        <f>'[6]price list MAN'!G1114</f>
        <v>15.3</v>
      </c>
      <c r="H1114" s="26">
        <f>'[6]price list MAN'!H1114</f>
        <v>42978</v>
      </c>
      <c r="I1114" s="51" t="str">
        <f t="shared" si="85"/>
        <v>2017Q3</v>
      </c>
      <c r="J1114" s="177">
        <f>'[6]price list MAN'!J1114</f>
        <v>1780000</v>
      </c>
      <c r="K1114" s="177">
        <f>'[6]price list MAN'!P1114</f>
        <v>1370250</v>
      </c>
      <c r="L1114" s="177">
        <f>'[6]price list MAN'!R1114</f>
        <v>1305000</v>
      </c>
      <c r="M1114" s="174">
        <f>'[6]price list MAN'!S1114</f>
        <v>1835000</v>
      </c>
      <c r="N1114" s="174">
        <f>'[6]price list MAN'!Y1114</f>
        <v>1428000</v>
      </c>
      <c r="O1114" s="174">
        <f>'[6]price list MAN'!AA1114</f>
        <v>1360000</v>
      </c>
      <c r="P1114" s="68">
        <f t="shared" si="86"/>
        <v>0.25885558583106266</v>
      </c>
      <c r="Q1114" s="62" t="e">
        <f>O1114-#REF!</f>
        <v>#REF!</v>
      </c>
      <c r="W1114" s="210"/>
      <c r="X1114" s="210"/>
      <c r="Y1114" s="210"/>
      <c r="Z1114" s="210"/>
      <c r="AA1114" s="210"/>
      <c r="AB1114" s="210"/>
      <c r="AC1114" s="210"/>
      <c r="AT1114" s="425" t="str">
        <f t="shared" si="87"/>
        <v>KP0007182017Q315,3</v>
      </c>
      <c r="AU1114" s="64" t="str">
        <f t="shared" si="88"/>
        <v>08-2017</v>
      </c>
      <c r="BA1114" s="428" t="str">
        <f t="shared" si="89"/>
        <v>WIP - 30 Days</v>
      </c>
    </row>
    <row r="1115" spans="2:53">
      <c r="B1115" s="36" t="str">
        <f>'[6]price list MAN'!B1115</f>
        <v>76W-B167</v>
      </c>
      <c r="C1115" s="10" t="str">
        <f>'[6]price list MAN'!C1115</f>
        <v>TGS-27-4406X4BBS-L-STEEL</v>
      </c>
      <c r="D1115" s="16" t="str">
        <f>IFERROR(VLOOKUP(C1115&amp;"",'[7]Retail Price List'!$A$3:$B$103,2,FALSE),"Special Order")</f>
        <v>KP000718</v>
      </c>
      <c r="E1115" s="494" t="str">
        <f>'[6]price list MAN'!E1115</f>
        <v>CKD</v>
      </c>
      <c r="F1115" s="11" t="str">
        <f>'[6]price list MAN'!F1115</f>
        <v>2018-03-30</v>
      </c>
      <c r="G1115" s="32">
        <f>'[6]price list MAN'!G1115</f>
        <v>15.3</v>
      </c>
      <c r="H1115" s="26">
        <f>'[6]price list MAN'!H1115</f>
        <v>42978</v>
      </c>
      <c r="I1115" s="51" t="str">
        <f t="shared" si="85"/>
        <v>2017Q3</v>
      </c>
      <c r="J1115" s="177">
        <f>'[6]price list MAN'!J1115</f>
        <v>1780000</v>
      </c>
      <c r="K1115" s="177">
        <f>'[6]price list MAN'!P1115</f>
        <v>1370250</v>
      </c>
      <c r="L1115" s="177">
        <f>'[6]price list MAN'!R1115</f>
        <v>1305000</v>
      </c>
      <c r="M1115" s="174">
        <f>'[6]price list MAN'!S1115</f>
        <v>1835000</v>
      </c>
      <c r="N1115" s="174">
        <f>'[6]price list MAN'!Y1115</f>
        <v>1428000</v>
      </c>
      <c r="O1115" s="174">
        <f>'[6]price list MAN'!AA1115</f>
        <v>1360000</v>
      </c>
      <c r="P1115" s="68">
        <f t="shared" si="86"/>
        <v>0.25885558583106266</v>
      </c>
      <c r="Q1115" s="62" t="e">
        <f>O1115-#REF!</f>
        <v>#REF!</v>
      </c>
      <c r="W1115" s="210"/>
      <c r="X1115" s="210"/>
      <c r="Y1115" s="210"/>
      <c r="Z1115" s="210"/>
      <c r="AA1115" s="210"/>
      <c r="AB1115" s="210"/>
      <c r="AC1115" s="210"/>
      <c r="AT1115" s="425" t="str">
        <f t="shared" si="87"/>
        <v>KP0007182017Q315,3</v>
      </c>
      <c r="AU1115" s="64" t="str">
        <f t="shared" si="88"/>
        <v>08-2017</v>
      </c>
      <c r="BA1115" s="428" t="str">
        <f t="shared" si="89"/>
        <v>WIP - 30 Days</v>
      </c>
    </row>
    <row r="1116" spans="2:53">
      <c r="B1116" s="36" t="str">
        <f>'[6]price list MAN'!B1116</f>
        <v>76W-B168</v>
      </c>
      <c r="C1116" s="10" t="str">
        <f>'[6]price list MAN'!C1116</f>
        <v>TGS-27-4406X4BBS-L-STEEL</v>
      </c>
      <c r="D1116" s="16" t="str">
        <f>IFERROR(VLOOKUP(C1116&amp;"",'[7]Retail Price List'!$A$3:$B$103,2,FALSE),"Special Order")</f>
        <v>KP000718</v>
      </c>
      <c r="E1116" s="494" t="str">
        <f>'[6]price list MAN'!E1116</f>
        <v>CKD</v>
      </c>
      <c r="F1116" s="11" t="str">
        <f>'[6]price list MAN'!F1116</f>
        <v>2018-03-30</v>
      </c>
      <c r="G1116" s="32">
        <f>'[6]price list MAN'!G1116</f>
        <v>15.3</v>
      </c>
      <c r="H1116" s="26">
        <f>'[6]price list MAN'!H1116</f>
        <v>42978</v>
      </c>
      <c r="I1116" s="51" t="str">
        <f t="shared" si="85"/>
        <v>2017Q3</v>
      </c>
      <c r="J1116" s="177">
        <f>'[6]price list MAN'!J1116</f>
        <v>1780000</v>
      </c>
      <c r="K1116" s="177">
        <f>'[6]price list MAN'!P1116</f>
        <v>1370250</v>
      </c>
      <c r="L1116" s="177">
        <f>'[6]price list MAN'!R1116</f>
        <v>1305000</v>
      </c>
      <c r="M1116" s="174">
        <f>'[6]price list MAN'!S1116</f>
        <v>1835000</v>
      </c>
      <c r="N1116" s="174">
        <f>'[6]price list MAN'!Y1116</f>
        <v>1428000</v>
      </c>
      <c r="O1116" s="174">
        <f>'[6]price list MAN'!AA1116</f>
        <v>1360000</v>
      </c>
      <c r="P1116" s="68">
        <f t="shared" si="86"/>
        <v>0.25885558583106266</v>
      </c>
      <c r="Q1116" s="62" t="e">
        <f>O1116-#REF!</f>
        <v>#REF!</v>
      </c>
      <c r="W1116" s="210"/>
      <c r="X1116" s="210"/>
      <c r="Y1116" s="210"/>
      <c r="Z1116" s="210"/>
      <c r="AA1116" s="210"/>
      <c r="AB1116" s="210"/>
      <c r="AC1116" s="210"/>
      <c r="AT1116" s="425" t="str">
        <f t="shared" si="87"/>
        <v>KP0007182017Q315,3</v>
      </c>
      <c r="AU1116" s="64" t="str">
        <f t="shared" si="88"/>
        <v>08-2017</v>
      </c>
      <c r="BA1116" s="428" t="str">
        <f t="shared" si="89"/>
        <v>WIP - 30 Days</v>
      </c>
    </row>
    <row r="1117" spans="2:53">
      <c r="B1117" s="36" t="str">
        <f>'[6]price list MAN'!B1117</f>
        <v>76W-B169</v>
      </c>
      <c r="C1117" s="10" t="str">
        <f>'[6]price list MAN'!C1117</f>
        <v>TGS-27-4406X4BBS-L-STEEL</v>
      </c>
      <c r="D1117" s="16" t="str">
        <f>IFERROR(VLOOKUP(C1117&amp;"",'[7]Retail Price List'!$A$3:$B$103,2,FALSE),"Special Order")</f>
        <v>KP000718</v>
      </c>
      <c r="E1117" s="494" t="str">
        <f>'[6]price list MAN'!E1117</f>
        <v>CKD</v>
      </c>
      <c r="F1117" s="11" t="str">
        <f>'[6]price list MAN'!F1117</f>
        <v>2018-03-30</v>
      </c>
      <c r="G1117" s="32">
        <f>'[6]price list MAN'!G1117</f>
        <v>15.3</v>
      </c>
      <c r="H1117" s="26">
        <f>'[6]price list MAN'!H1117</f>
        <v>42978</v>
      </c>
      <c r="I1117" s="51" t="str">
        <f t="shared" si="85"/>
        <v>2017Q3</v>
      </c>
      <c r="J1117" s="177">
        <f>'[6]price list MAN'!J1117</f>
        <v>1780000</v>
      </c>
      <c r="K1117" s="177">
        <f>'[6]price list MAN'!P1117</f>
        <v>1370250</v>
      </c>
      <c r="L1117" s="177">
        <f>'[6]price list MAN'!R1117</f>
        <v>1305000</v>
      </c>
      <c r="M1117" s="174">
        <f>'[6]price list MAN'!S1117</f>
        <v>1835000</v>
      </c>
      <c r="N1117" s="174">
        <f>'[6]price list MAN'!Y1117</f>
        <v>1428000</v>
      </c>
      <c r="O1117" s="174">
        <f>'[6]price list MAN'!AA1117</f>
        <v>1360000</v>
      </c>
      <c r="P1117" s="68">
        <f t="shared" si="86"/>
        <v>0.25885558583106266</v>
      </c>
      <c r="Q1117" s="62" t="e">
        <f>O1117-#REF!</f>
        <v>#REF!</v>
      </c>
      <c r="W1117" s="210"/>
      <c r="X1117" s="210"/>
      <c r="Y1117" s="210"/>
      <c r="Z1117" s="210"/>
      <c r="AA1117" s="210"/>
      <c r="AB1117" s="210"/>
      <c r="AC1117" s="210"/>
      <c r="AT1117" s="425" t="str">
        <f t="shared" si="87"/>
        <v>KP0007182017Q315,3</v>
      </c>
      <c r="AU1117" s="64" t="str">
        <f t="shared" si="88"/>
        <v>08-2017</v>
      </c>
      <c r="BA1117" s="428" t="str">
        <f t="shared" si="89"/>
        <v>WIP - 30 Days</v>
      </c>
    </row>
    <row r="1118" spans="2:53">
      <c r="B1118" s="36" t="str">
        <f>'[6]price list MAN'!B1118</f>
        <v>76W-B170</v>
      </c>
      <c r="C1118" s="10" t="str">
        <f>'[6]price list MAN'!C1118</f>
        <v>TGS-27-4406X4BBS-L-STEEL</v>
      </c>
      <c r="D1118" s="16" t="str">
        <f>IFERROR(VLOOKUP(C1118&amp;"",'[7]Retail Price List'!$A$3:$B$103,2,FALSE),"Special Order")</f>
        <v>KP000718</v>
      </c>
      <c r="E1118" s="494" t="str">
        <f>'[6]price list MAN'!E1118</f>
        <v>CKD</v>
      </c>
      <c r="F1118" s="11" t="str">
        <f>'[6]price list MAN'!F1118</f>
        <v>2018-03-30</v>
      </c>
      <c r="G1118" s="32">
        <f>'[6]price list MAN'!G1118</f>
        <v>15.3</v>
      </c>
      <c r="H1118" s="26">
        <f>'[6]price list MAN'!H1118</f>
        <v>42978</v>
      </c>
      <c r="I1118" s="51" t="str">
        <f t="shared" si="85"/>
        <v>2017Q3</v>
      </c>
      <c r="J1118" s="177">
        <f>'[6]price list MAN'!J1118</f>
        <v>1780000</v>
      </c>
      <c r="K1118" s="177">
        <f>'[6]price list MAN'!P1118</f>
        <v>1370250</v>
      </c>
      <c r="L1118" s="177">
        <f>'[6]price list MAN'!R1118</f>
        <v>1305000</v>
      </c>
      <c r="M1118" s="174">
        <f>'[6]price list MAN'!S1118</f>
        <v>1835000</v>
      </c>
      <c r="N1118" s="174">
        <f>'[6]price list MAN'!Y1118</f>
        <v>1428000</v>
      </c>
      <c r="O1118" s="174">
        <f>'[6]price list MAN'!AA1118</f>
        <v>1360000</v>
      </c>
      <c r="P1118" s="68">
        <f t="shared" si="86"/>
        <v>0.25885558583106266</v>
      </c>
      <c r="Q1118" s="62" t="e">
        <f>O1118-#REF!</f>
        <v>#REF!</v>
      </c>
      <c r="W1118" s="210"/>
      <c r="X1118" s="210"/>
      <c r="Y1118" s="210"/>
      <c r="Z1118" s="210"/>
      <c r="AA1118" s="210"/>
      <c r="AB1118" s="210"/>
      <c r="AC1118" s="210"/>
      <c r="AT1118" s="425" t="str">
        <f t="shared" si="87"/>
        <v>KP0007182017Q315,3</v>
      </c>
      <c r="AU1118" s="64" t="str">
        <f t="shared" si="88"/>
        <v>08-2017</v>
      </c>
      <c r="BA1118" s="428" t="str">
        <f t="shared" si="89"/>
        <v>WIP - 30 Days</v>
      </c>
    </row>
    <row r="1119" spans="2:53">
      <c r="B1119" s="36" t="str">
        <f>'[6]price list MAN'!B1119</f>
        <v>76W-B179</v>
      </c>
      <c r="C1119" s="10" t="str">
        <f>'[6]price list MAN'!C1119</f>
        <v>TGS-27-4406X4BBS-L-STEEL</v>
      </c>
      <c r="D1119" s="16" t="str">
        <f>IFERROR(VLOOKUP(C1119&amp;"",'[7]Retail Price List'!$A$3:$B$103,2,FALSE),"Special Order")</f>
        <v>KP000718</v>
      </c>
      <c r="E1119" s="494" t="str">
        <f>'[6]price list MAN'!E1119</f>
        <v>CKD</v>
      </c>
      <c r="F1119" s="11" t="str">
        <f>'[6]price list MAN'!F1119</f>
        <v>2018-03-30</v>
      </c>
      <c r="G1119" s="32">
        <f>'[6]price list MAN'!G1119</f>
        <v>15.3</v>
      </c>
      <c r="H1119" s="26">
        <f>'[6]price list MAN'!H1119</f>
        <v>42978</v>
      </c>
      <c r="I1119" s="51" t="str">
        <f t="shared" si="85"/>
        <v>2017Q3</v>
      </c>
      <c r="J1119" s="177">
        <f>'[6]price list MAN'!J1119</f>
        <v>1780000</v>
      </c>
      <c r="K1119" s="177">
        <f>'[6]price list MAN'!P1119</f>
        <v>1370250</v>
      </c>
      <c r="L1119" s="177">
        <f>'[6]price list MAN'!R1119</f>
        <v>1305000</v>
      </c>
      <c r="M1119" s="174">
        <f>'[6]price list MAN'!S1119</f>
        <v>1835000</v>
      </c>
      <c r="N1119" s="174">
        <f>'[6]price list MAN'!Y1119</f>
        <v>1428000</v>
      </c>
      <c r="O1119" s="174">
        <f>'[6]price list MAN'!AA1119</f>
        <v>1360000</v>
      </c>
      <c r="P1119" s="68">
        <f t="shared" si="86"/>
        <v>0.25885558583106266</v>
      </c>
      <c r="Q1119" s="62" t="e">
        <f>O1119-#REF!</f>
        <v>#REF!</v>
      </c>
      <c r="W1119" s="210"/>
      <c r="X1119" s="210"/>
      <c r="Y1119" s="210"/>
      <c r="Z1119" s="210"/>
      <c r="AA1119" s="210"/>
      <c r="AB1119" s="210"/>
      <c r="AC1119" s="210"/>
      <c r="AT1119" s="425" t="str">
        <f t="shared" si="87"/>
        <v>KP0007182017Q315,3</v>
      </c>
      <c r="AU1119" s="64" t="str">
        <f t="shared" si="88"/>
        <v>08-2017</v>
      </c>
      <c r="BA1119" s="428" t="str">
        <f t="shared" si="89"/>
        <v>WIP - 30 Days</v>
      </c>
    </row>
    <row r="1120" spans="2:53">
      <c r="B1120" s="36" t="str">
        <f>'[6]price list MAN'!B1120</f>
        <v>76W-B180</v>
      </c>
      <c r="C1120" s="10" t="str">
        <f>'[6]price list MAN'!C1120</f>
        <v>TGS-27-4406X4BBS-L-STEEL</v>
      </c>
      <c r="D1120" s="16" t="str">
        <f>IFERROR(VLOOKUP(C1120&amp;"",'[7]Retail Price List'!$A$3:$B$103,2,FALSE),"Special Order")</f>
        <v>KP000718</v>
      </c>
      <c r="E1120" s="494" t="str">
        <f>'[6]price list MAN'!E1120</f>
        <v>CKD</v>
      </c>
      <c r="F1120" s="11" t="str">
        <f>'[6]price list MAN'!F1120</f>
        <v>2018-03-30</v>
      </c>
      <c r="G1120" s="32">
        <f>'[6]price list MAN'!G1120</f>
        <v>15.3</v>
      </c>
      <c r="H1120" s="26">
        <f>'[6]price list MAN'!H1120</f>
        <v>42978</v>
      </c>
      <c r="I1120" s="51" t="str">
        <f t="shared" si="85"/>
        <v>2017Q3</v>
      </c>
      <c r="J1120" s="177">
        <f>'[6]price list MAN'!J1120</f>
        <v>1780000</v>
      </c>
      <c r="K1120" s="177">
        <f>'[6]price list MAN'!P1120</f>
        <v>1370250</v>
      </c>
      <c r="L1120" s="177">
        <f>'[6]price list MAN'!R1120</f>
        <v>1305000</v>
      </c>
      <c r="M1120" s="174">
        <f>'[6]price list MAN'!S1120</f>
        <v>1835000</v>
      </c>
      <c r="N1120" s="174">
        <f>'[6]price list MAN'!Y1120</f>
        <v>1428000</v>
      </c>
      <c r="O1120" s="174">
        <f>'[6]price list MAN'!AA1120</f>
        <v>1360000</v>
      </c>
      <c r="P1120" s="68">
        <f t="shared" si="86"/>
        <v>0.25885558583106266</v>
      </c>
      <c r="Q1120" s="62" t="e">
        <f>O1120-#REF!</f>
        <v>#REF!</v>
      </c>
      <c r="W1120" s="210"/>
      <c r="X1120" s="210"/>
      <c r="Y1120" s="210"/>
      <c r="Z1120" s="210"/>
      <c r="AA1120" s="210"/>
      <c r="AB1120" s="210"/>
      <c r="AC1120" s="210"/>
      <c r="AT1120" s="425" t="str">
        <f t="shared" si="87"/>
        <v>KP0007182017Q315,3</v>
      </c>
      <c r="AU1120" s="64" t="str">
        <f t="shared" si="88"/>
        <v>08-2017</v>
      </c>
      <c r="BA1120" s="428" t="str">
        <f t="shared" si="89"/>
        <v>WIP - 30 Days</v>
      </c>
    </row>
    <row r="1121" spans="2:53">
      <c r="B1121" s="36" t="str">
        <f>'[6]price list MAN'!B1121</f>
        <v>76W-B181</v>
      </c>
      <c r="C1121" s="10" t="str">
        <f>'[6]price list MAN'!C1121</f>
        <v>TGS-27-4406X4BBS-L-STEEL</v>
      </c>
      <c r="D1121" s="16" t="str">
        <f>IFERROR(VLOOKUP(C1121&amp;"",'[7]Retail Price List'!$A$3:$B$103,2,FALSE),"Special Order")</f>
        <v>KP000718</v>
      </c>
      <c r="E1121" s="494" t="str">
        <f>'[6]price list MAN'!E1121</f>
        <v>CKD</v>
      </c>
      <c r="F1121" s="11" t="str">
        <f>'[6]price list MAN'!F1121</f>
        <v>2018-03-30</v>
      </c>
      <c r="G1121" s="32">
        <f>'[6]price list MAN'!G1121</f>
        <v>15.3</v>
      </c>
      <c r="H1121" s="26">
        <f>'[6]price list MAN'!H1121</f>
        <v>42978</v>
      </c>
      <c r="I1121" s="51" t="str">
        <f t="shared" si="85"/>
        <v>2017Q3</v>
      </c>
      <c r="J1121" s="177">
        <f>'[6]price list MAN'!J1121</f>
        <v>1780000</v>
      </c>
      <c r="K1121" s="177">
        <f>'[6]price list MAN'!P1121</f>
        <v>1370250</v>
      </c>
      <c r="L1121" s="177">
        <f>'[6]price list MAN'!R1121</f>
        <v>1305000</v>
      </c>
      <c r="M1121" s="174">
        <f>'[6]price list MAN'!S1121</f>
        <v>1835000</v>
      </c>
      <c r="N1121" s="174">
        <f>'[6]price list MAN'!Y1121</f>
        <v>1428000</v>
      </c>
      <c r="O1121" s="174">
        <f>'[6]price list MAN'!AA1121</f>
        <v>1360000</v>
      </c>
      <c r="P1121" s="68">
        <f t="shared" si="86"/>
        <v>0.25885558583106266</v>
      </c>
      <c r="Q1121" s="62" t="e">
        <f>O1121-#REF!</f>
        <v>#REF!</v>
      </c>
      <c r="W1121" s="210"/>
      <c r="X1121" s="210"/>
      <c r="Y1121" s="210"/>
      <c r="Z1121" s="210"/>
      <c r="AA1121" s="210"/>
      <c r="AB1121" s="210"/>
      <c r="AC1121" s="210"/>
      <c r="AT1121" s="425" t="str">
        <f t="shared" si="87"/>
        <v>KP0007182017Q315,3</v>
      </c>
      <c r="AU1121" s="64" t="str">
        <f t="shared" si="88"/>
        <v>08-2017</v>
      </c>
      <c r="BA1121" s="428" t="str">
        <f t="shared" si="89"/>
        <v>WIP - 30 Days</v>
      </c>
    </row>
    <row r="1122" spans="2:53">
      <c r="B1122" s="36" t="str">
        <f>'[6]price list MAN'!B1122</f>
        <v>76W-B182</v>
      </c>
      <c r="C1122" s="10" t="str">
        <f>'[6]price list MAN'!C1122</f>
        <v>TGS-27-4406X4BBS-L-STEEL</v>
      </c>
      <c r="D1122" s="16" t="str">
        <f>IFERROR(VLOOKUP(C1122&amp;"",'[7]Retail Price List'!$A$3:$B$103,2,FALSE),"Special Order")</f>
        <v>KP000718</v>
      </c>
      <c r="E1122" s="494" t="str">
        <f>'[6]price list MAN'!E1122</f>
        <v>CKD</v>
      </c>
      <c r="F1122" s="11" t="str">
        <f>'[6]price list MAN'!F1122</f>
        <v>2018-03-30</v>
      </c>
      <c r="G1122" s="32">
        <f>'[6]price list MAN'!G1122</f>
        <v>15.3</v>
      </c>
      <c r="H1122" s="26">
        <f>'[6]price list MAN'!H1122</f>
        <v>42978</v>
      </c>
      <c r="I1122" s="51" t="str">
        <f t="shared" si="85"/>
        <v>2017Q3</v>
      </c>
      <c r="J1122" s="177">
        <f>'[6]price list MAN'!J1122</f>
        <v>1780000</v>
      </c>
      <c r="K1122" s="177">
        <f>'[6]price list MAN'!P1122</f>
        <v>1370250</v>
      </c>
      <c r="L1122" s="177">
        <f>'[6]price list MAN'!R1122</f>
        <v>1305000</v>
      </c>
      <c r="M1122" s="174">
        <f>'[6]price list MAN'!S1122</f>
        <v>1835000</v>
      </c>
      <c r="N1122" s="174">
        <f>'[6]price list MAN'!Y1122</f>
        <v>1428000</v>
      </c>
      <c r="O1122" s="174">
        <f>'[6]price list MAN'!AA1122</f>
        <v>1360000</v>
      </c>
      <c r="P1122" s="68">
        <f t="shared" si="86"/>
        <v>0.25885558583106266</v>
      </c>
      <c r="Q1122" s="62" t="e">
        <f>O1122-#REF!</f>
        <v>#REF!</v>
      </c>
      <c r="W1122" s="210"/>
      <c r="X1122" s="210"/>
      <c r="Y1122" s="210"/>
      <c r="Z1122" s="210"/>
      <c r="AA1122" s="210"/>
      <c r="AB1122" s="210"/>
      <c r="AC1122" s="210"/>
      <c r="AT1122" s="425" t="str">
        <f t="shared" si="87"/>
        <v>KP0007182017Q315,3</v>
      </c>
      <c r="AU1122" s="64" t="str">
        <f t="shared" si="88"/>
        <v>08-2017</v>
      </c>
      <c r="BA1122" s="428" t="str">
        <f t="shared" si="89"/>
        <v>WIP - 30 Days</v>
      </c>
    </row>
    <row r="1123" spans="2:53">
      <c r="B1123" s="36" t="str">
        <f>'[6]price list MAN'!B1123</f>
        <v>76W-B191</v>
      </c>
      <c r="C1123" s="10" t="str">
        <f>'[6]price list MAN'!C1123</f>
        <v>TGS-27-4406X4BBS-L-STEEL</v>
      </c>
      <c r="D1123" s="16" t="str">
        <f>IFERROR(VLOOKUP(C1123&amp;"",'[7]Retail Price List'!$A$3:$B$103,2,FALSE),"Special Order")</f>
        <v>KP000718</v>
      </c>
      <c r="E1123" s="494" t="str">
        <f>'[6]price list MAN'!E1123</f>
        <v>CKD</v>
      </c>
      <c r="F1123" s="11" t="str">
        <f>'[6]price list MAN'!F1123</f>
        <v>2018-03-30</v>
      </c>
      <c r="G1123" s="32">
        <f>'[6]price list MAN'!G1123</f>
        <v>15.3</v>
      </c>
      <c r="H1123" s="26">
        <f>'[6]price list MAN'!H1123</f>
        <v>42978</v>
      </c>
      <c r="I1123" s="51" t="str">
        <f t="shared" si="85"/>
        <v>2017Q3</v>
      </c>
      <c r="J1123" s="177">
        <f>'[6]price list MAN'!J1123</f>
        <v>1780000</v>
      </c>
      <c r="K1123" s="177">
        <f>'[6]price list MAN'!P1123</f>
        <v>1370250</v>
      </c>
      <c r="L1123" s="177">
        <f>'[6]price list MAN'!R1123</f>
        <v>1305000</v>
      </c>
      <c r="M1123" s="174">
        <f>'[6]price list MAN'!S1123</f>
        <v>1835000</v>
      </c>
      <c r="N1123" s="174">
        <f>'[6]price list MAN'!Y1123</f>
        <v>1428000</v>
      </c>
      <c r="O1123" s="174">
        <f>'[6]price list MAN'!AA1123</f>
        <v>1360000</v>
      </c>
      <c r="P1123" s="68">
        <f t="shared" si="86"/>
        <v>0.25885558583106266</v>
      </c>
      <c r="Q1123" s="62" t="e">
        <f>O1123-#REF!</f>
        <v>#REF!</v>
      </c>
      <c r="W1123" s="210"/>
      <c r="X1123" s="210"/>
      <c r="Y1123" s="210"/>
      <c r="Z1123" s="210"/>
      <c r="AA1123" s="210"/>
      <c r="AB1123" s="210"/>
      <c r="AC1123" s="210"/>
      <c r="AT1123" s="425" t="str">
        <f t="shared" si="87"/>
        <v>KP0007182017Q315,3</v>
      </c>
      <c r="AU1123" s="64" t="str">
        <f t="shared" si="88"/>
        <v>08-2017</v>
      </c>
      <c r="BA1123" s="428" t="str">
        <f t="shared" si="89"/>
        <v>WIP - 30 Days</v>
      </c>
    </row>
    <row r="1124" spans="2:53">
      <c r="B1124" s="36" t="str">
        <f>'[6]price list MAN'!B1124</f>
        <v>76W-B192</v>
      </c>
      <c r="C1124" s="10" t="str">
        <f>'[6]price list MAN'!C1124</f>
        <v>TGS-27-4406X4BBS-L-STEEL</v>
      </c>
      <c r="D1124" s="16" t="str">
        <f>IFERROR(VLOOKUP(C1124&amp;"",'[7]Retail Price List'!$A$3:$B$103,2,FALSE),"Special Order")</f>
        <v>KP000718</v>
      </c>
      <c r="E1124" s="494" t="str">
        <f>'[6]price list MAN'!E1124</f>
        <v>CKD</v>
      </c>
      <c r="F1124" s="11" t="str">
        <f>'[6]price list MAN'!F1124</f>
        <v>2018-03-30</v>
      </c>
      <c r="G1124" s="32">
        <f>'[6]price list MAN'!G1124</f>
        <v>15.3</v>
      </c>
      <c r="H1124" s="26">
        <f>'[6]price list MAN'!H1124</f>
        <v>42978</v>
      </c>
      <c r="I1124" s="51" t="str">
        <f t="shared" si="85"/>
        <v>2017Q3</v>
      </c>
      <c r="J1124" s="177">
        <f>'[6]price list MAN'!J1124</f>
        <v>1780000</v>
      </c>
      <c r="K1124" s="177">
        <f>'[6]price list MAN'!P1124</f>
        <v>1370250</v>
      </c>
      <c r="L1124" s="177">
        <f>'[6]price list MAN'!R1124</f>
        <v>1305000</v>
      </c>
      <c r="M1124" s="174">
        <f>'[6]price list MAN'!S1124</f>
        <v>1835000</v>
      </c>
      <c r="N1124" s="174">
        <f>'[6]price list MAN'!Y1124</f>
        <v>1428000</v>
      </c>
      <c r="O1124" s="174">
        <f>'[6]price list MAN'!AA1124</f>
        <v>1360000</v>
      </c>
      <c r="P1124" s="68">
        <f t="shared" si="86"/>
        <v>0.25885558583106266</v>
      </c>
      <c r="Q1124" s="62" t="e">
        <f>O1124-#REF!</f>
        <v>#REF!</v>
      </c>
      <c r="W1124" s="210"/>
      <c r="X1124" s="210"/>
      <c r="Y1124" s="210"/>
      <c r="Z1124" s="210"/>
      <c r="AA1124" s="210"/>
      <c r="AB1124" s="210"/>
      <c r="AC1124" s="210"/>
      <c r="AT1124" s="425" t="str">
        <f t="shared" si="87"/>
        <v>KP0007182017Q315,3</v>
      </c>
      <c r="AU1124" s="64" t="str">
        <f t="shared" si="88"/>
        <v>08-2017</v>
      </c>
      <c r="BA1124" s="428" t="str">
        <f t="shared" si="89"/>
        <v>WIP - 30 Days</v>
      </c>
    </row>
    <row r="1125" spans="2:53">
      <c r="B1125" s="36" t="str">
        <f>'[6]price list MAN'!B1125</f>
        <v>76W-B193</v>
      </c>
      <c r="C1125" s="10" t="str">
        <f>'[6]price list MAN'!C1125</f>
        <v>TGS-27-4406X4BBS-L-STEEL</v>
      </c>
      <c r="D1125" s="16" t="str">
        <f>IFERROR(VLOOKUP(C1125&amp;"",'[7]Retail Price List'!$A$3:$B$103,2,FALSE),"Special Order")</f>
        <v>KP000718</v>
      </c>
      <c r="E1125" s="494" t="str">
        <f>'[6]price list MAN'!E1125</f>
        <v>CKD</v>
      </c>
      <c r="F1125" s="11" t="str">
        <f>'[6]price list MAN'!F1125</f>
        <v>2018-03-30</v>
      </c>
      <c r="G1125" s="32">
        <f>'[6]price list MAN'!G1125</f>
        <v>15.3</v>
      </c>
      <c r="H1125" s="26">
        <f>'[6]price list MAN'!H1125</f>
        <v>42978</v>
      </c>
      <c r="I1125" s="51" t="str">
        <f t="shared" si="85"/>
        <v>2017Q3</v>
      </c>
      <c r="J1125" s="177">
        <f>'[6]price list MAN'!J1125</f>
        <v>1780000</v>
      </c>
      <c r="K1125" s="177">
        <f>'[6]price list MAN'!P1125</f>
        <v>1370250</v>
      </c>
      <c r="L1125" s="177">
        <f>'[6]price list MAN'!R1125</f>
        <v>1305000</v>
      </c>
      <c r="M1125" s="174">
        <f>'[6]price list MAN'!S1125</f>
        <v>1835000</v>
      </c>
      <c r="N1125" s="174">
        <f>'[6]price list MAN'!Y1125</f>
        <v>1428000</v>
      </c>
      <c r="O1125" s="174">
        <f>'[6]price list MAN'!AA1125</f>
        <v>1360000</v>
      </c>
      <c r="P1125" s="68">
        <f t="shared" si="86"/>
        <v>0.25885558583106266</v>
      </c>
      <c r="Q1125" s="62" t="e">
        <f>O1125-#REF!</f>
        <v>#REF!</v>
      </c>
      <c r="W1125" s="210"/>
      <c r="X1125" s="210"/>
      <c r="Y1125" s="210"/>
      <c r="Z1125" s="210"/>
      <c r="AA1125" s="210"/>
      <c r="AB1125" s="210"/>
      <c r="AC1125" s="210"/>
      <c r="AT1125" s="425" t="str">
        <f t="shared" si="87"/>
        <v>KP0007182017Q315,3</v>
      </c>
      <c r="AU1125" s="64" t="str">
        <f t="shared" si="88"/>
        <v>08-2017</v>
      </c>
      <c r="BA1125" s="428" t="str">
        <f t="shared" si="89"/>
        <v>WIP - 30 Days</v>
      </c>
    </row>
    <row r="1126" spans="2:53">
      <c r="B1126" s="36" t="str">
        <f>'[6]price list MAN'!B1126</f>
        <v>76W-B194</v>
      </c>
      <c r="C1126" s="10" t="str">
        <f>'[6]price list MAN'!C1126</f>
        <v>TGS-27-4406X4BBS-L-STEEL</v>
      </c>
      <c r="D1126" s="16" t="str">
        <f>IFERROR(VLOOKUP(C1126&amp;"",'[7]Retail Price List'!$A$3:$B$103,2,FALSE),"Special Order")</f>
        <v>KP000718</v>
      </c>
      <c r="E1126" s="494" t="str">
        <f>'[6]price list MAN'!E1126</f>
        <v>CKD</v>
      </c>
      <c r="F1126" s="11" t="str">
        <f>'[6]price list MAN'!F1126</f>
        <v>2018-03-30</v>
      </c>
      <c r="G1126" s="32">
        <f>'[6]price list MAN'!G1126</f>
        <v>15.3</v>
      </c>
      <c r="H1126" s="26">
        <f>'[6]price list MAN'!H1126</f>
        <v>42978</v>
      </c>
      <c r="I1126" s="51" t="str">
        <f t="shared" si="85"/>
        <v>2017Q3</v>
      </c>
      <c r="J1126" s="177">
        <f>'[6]price list MAN'!J1126</f>
        <v>1780000</v>
      </c>
      <c r="K1126" s="177">
        <f>'[6]price list MAN'!P1126</f>
        <v>1370250</v>
      </c>
      <c r="L1126" s="177">
        <f>'[6]price list MAN'!R1126</f>
        <v>1305000</v>
      </c>
      <c r="M1126" s="174">
        <f>'[6]price list MAN'!S1126</f>
        <v>1835000</v>
      </c>
      <c r="N1126" s="174">
        <f>'[6]price list MAN'!Y1126</f>
        <v>1428000</v>
      </c>
      <c r="O1126" s="174">
        <f>'[6]price list MAN'!AA1126</f>
        <v>1360000</v>
      </c>
      <c r="P1126" s="68">
        <f t="shared" si="86"/>
        <v>0.25885558583106266</v>
      </c>
      <c r="Q1126" s="62" t="e">
        <f>O1126-#REF!</f>
        <v>#REF!</v>
      </c>
      <c r="W1126" s="210"/>
      <c r="X1126" s="210"/>
      <c r="Y1126" s="210"/>
      <c r="Z1126" s="210"/>
      <c r="AA1126" s="210"/>
      <c r="AB1126" s="210"/>
      <c r="AC1126" s="210"/>
      <c r="AT1126" s="425" t="str">
        <f t="shared" si="87"/>
        <v>KP0007182017Q315,3</v>
      </c>
      <c r="AU1126" s="64" t="str">
        <f t="shared" si="88"/>
        <v>08-2017</v>
      </c>
      <c r="BA1126" s="428" t="str">
        <f t="shared" si="89"/>
        <v>WIP - 30 Days</v>
      </c>
    </row>
    <row r="1127" spans="2:53">
      <c r="B1127" s="36" t="str">
        <f>'[6]price list MAN'!B1127</f>
        <v>76W-B203</v>
      </c>
      <c r="C1127" s="10" t="str">
        <f>'[6]price list MAN'!C1127</f>
        <v>TGS-27-4406X4BBS-L-STEEL</v>
      </c>
      <c r="D1127" s="16" t="str">
        <f>IFERROR(VLOOKUP(C1127&amp;"",'[7]Retail Price List'!$A$3:$B$103,2,FALSE),"Special Order")</f>
        <v>KP000718</v>
      </c>
      <c r="E1127" s="494" t="str">
        <f>'[6]price list MAN'!E1127</f>
        <v>CKD</v>
      </c>
      <c r="F1127" s="11" t="str">
        <f>'[6]price list MAN'!F1127</f>
        <v>2018-04-30</v>
      </c>
      <c r="G1127" s="32">
        <f>'[6]price list MAN'!G1127</f>
        <v>15.3</v>
      </c>
      <c r="H1127" s="26">
        <f>'[6]price list MAN'!H1127</f>
        <v>42978</v>
      </c>
      <c r="I1127" s="51" t="str">
        <f t="shared" si="85"/>
        <v>2017Q3</v>
      </c>
      <c r="J1127" s="177">
        <f>'[6]price list MAN'!J1127</f>
        <v>1780000</v>
      </c>
      <c r="K1127" s="177">
        <f>'[6]price list MAN'!P1127</f>
        <v>1370250</v>
      </c>
      <c r="L1127" s="177">
        <f>'[6]price list MAN'!R1127</f>
        <v>1305000</v>
      </c>
      <c r="M1127" s="174">
        <f>'[6]price list MAN'!S1127</f>
        <v>1835000</v>
      </c>
      <c r="N1127" s="174">
        <f>'[6]price list MAN'!Y1127</f>
        <v>1428000</v>
      </c>
      <c r="O1127" s="174">
        <f>'[6]price list MAN'!AA1127</f>
        <v>1360000</v>
      </c>
      <c r="P1127" s="68">
        <f t="shared" si="86"/>
        <v>0.25885558583106266</v>
      </c>
      <c r="Q1127" s="62" t="e">
        <f>O1127-#REF!</f>
        <v>#REF!</v>
      </c>
      <c r="W1127" s="210"/>
      <c r="X1127" s="210"/>
      <c r="Y1127" s="210"/>
      <c r="Z1127" s="210"/>
      <c r="AA1127" s="210"/>
      <c r="AB1127" s="210"/>
      <c r="AC1127" s="210"/>
      <c r="AT1127" s="425" t="str">
        <f t="shared" si="87"/>
        <v>KP0007182017Q315,3</v>
      </c>
      <c r="AU1127" s="64" t="str">
        <f t="shared" si="88"/>
        <v>08-2017</v>
      </c>
      <c r="BA1127" s="428" t="str">
        <f t="shared" si="89"/>
        <v>WIP - 30 Days</v>
      </c>
    </row>
    <row r="1128" spans="2:53">
      <c r="B1128" s="36" t="str">
        <f>'[6]price list MAN'!B1128</f>
        <v>76W-B204</v>
      </c>
      <c r="C1128" s="10" t="str">
        <f>'[6]price list MAN'!C1128</f>
        <v>TGS-27-4406X4BBS-L-STEEL</v>
      </c>
      <c r="D1128" s="16" t="str">
        <f>IFERROR(VLOOKUP(C1128&amp;"",'[7]Retail Price List'!$A$3:$B$103,2,FALSE),"Special Order")</f>
        <v>KP000718</v>
      </c>
      <c r="E1128" s="494" t="str">
        <f>'[6]price list MAN'!E1128</f>
        <v>CKD</v>
      </c>
      <c r="F1128" s="11" t="str">
        <f>'[6]price list MAN'!F1128</f>
        <v>2018-04-30</v>
      </c>
      <c r="G1128" s="32">
        <f>'[6]price list MAN'!G1128</f>
        <v>15.3</v>
      </c>
      <c r="H1128" s="26">
        <f>'[6]price list MAN'!H1128</f>
        <v>42978</v>
      </c>
      <c r="I1128" s="51" t="str">
        <f t="shared" si="85"/>
        <v>2017Q3</v>
      </c>
      <c r="J1128" s="177">
        <f>'[6]price list MAN'!J1128</f>
        <v>1780000</v>
      </c>
      <c r="K1128" s="177">
        <f>'[6]price list MAN'!P1128</f>
        <v>1370250</v>
      </c>
      <c r="L1128" s="177">
        <f>'[6]price list MAN'!R1128</f>
        <v>1305000</v>
      </c>
      <c r="M1128" s="174">
        <f>'[6]price list MAN'!S1128</f>
        <v>1835000</v>
      </c>
      <c r="N1128" s="174">
        <f>'[6]price list MAN'!Y1128</f>
        <v>1428000</v>
      </c>
      <c r="O1128" s="174">
        <f>'[6]price list MAN'!AA1128</f>
        <v>1360000</v>
      </c>
      <c r="P1128" s="68">
        <f t="shared" si="86"/>
        <v>0.25885558583106266</v>
      </c>
      <c r="Q1128" s="62" t="e">
        <f>O1128-#REF!</f>
        <v>#REF!</v>
      </c>
      <c r="W1128" s="210"/>
      <c r="X1128" s="210"/>
      <c r="Y1128" s="210"/>
      <c r="Z1128" s="210"/>
      <c r="AA1128" s="210"/>
      <c r="AB1128" s="210"/>
      <c r="AC1128" s="210"/>
      <c r="AT1128" s="425" t="str">
        <f t="shared" si="87"/>
        <v>KP0007182017Q315,3</v>
      </c>
      <c r="AU1128" s="64" t="str">
        <f t="shared" si="88"/>
        <v>08-2017</v>
      </c>
      <c r="BA1128" s="428" t="str">
        <f t="shared" si="89"/>
        <v>WIP - 30 Days</v>
      </c>
    </row>
    <row r="1129" spans="2:53">
      <c r="B1129" s="36" t="str">
        <f>'[6]price list MAN'!B1129</f>
        <v>76W-B205</v>
      </c>
      <c r="C1129" s="10" t="str">
        <f>'[6]price list MAN'!C1129</f>
        <v>TGS-27-4406X4BBS-L-STEEL</v>
      </c>
      <c r="D1129" s="16" t="str">
        <f>IFERROR(VLOOKUP(C1129&amp;"",'[7]Retail Price List'!$A$3:$B$103,2,FALSE),"Special Order")</f>
        <v>KP000718</v>
      </c>
      <c r="E1129" s="494" t="str">
        <f>'[6]price list MAN'!E1129</f>
        <v>CKD</v>
      </c>
      <c r="F1129" s="11" t="str">
        <f>'[6]price list MAN'!F1129</f>
        <v>2018-04-30</v>
      </c>
      <c r="G1129" s="32">
        <f>'[6]price list MAN'!G1129</f>
        <v>15.3</v>
      </c>
      <c r="H1129" s="26">
        <f>'[6]price list MAN'!H1129</f>
        <v>42978</v>
      </c>
      <c r="I1129" s="51" t="str">
        <f t="shared" si="85"/>
        <v>2017Q3</v>
      </c>
      <c r="J1129" s="177">
        <f>'[6]price list MAN'!J1129</f>
        <v>1780000</v>
      </c>
      <c r="K1129" s="177">
        <f>'[6]price list MAN'!P1129</f>
        <v>1370250</v>
      </c>
      <c r="L1129" s="177">
        <f>'[6]price list MAN'!R1129</f>
        <v>1305000</v>
      </c>
      <c r="M1129" s="174">
        <f>'[6]price list MAN'!S1129</f>
        <v>1835000</v>
      </c>
      <c r="N1129" s="174">
        <f>'[6]price list MAN'!Y1129</f>
        <v>1428000</v>
      </c>
      <c r="O1129" s="174">
        <f>'[6]price list MAN'!AA1129</f>
        <v>1360000</v>
      </c>
      <c r="P1129" s="68">
        <f t="shared" si="86"/>
        <v>0.25885558583106266</v>
      </c>
      <c r="Q1129" s="62" t="e">
        <f>O1129-#REF!</f>
        <v>#REF!</v>
      </c>
      <c r="W1129" s="210"/>
      <c r="X1129" s="210"/>
      <c r="Y1129" s="210"/>
      <c r="Z1129" s="210"/>
      <c r="AA1129" s="210"/>
      <c r="AB1129" s="210"/>
      <c r="AC1129" s="210"/>
      <c r="AT1129" s="425" t="str">
        <f t="shared" si="87"/>
        <v>KP0007182017Q315,3</v>
      </c>
      <c r="AU1129" s="64" t="str">
        <f t="shared" si="88"/>
        <v>08-2017</v>
      </c>
      <c r="BA1129" s="428" t="str">
        <f t="shared" si="89"/>
        <v>WIP - 30 Days</v>
      </c>
    </row>
    <row r="1130" spans="2:53">
      <c r="B1130" s="36" t="str">
        <f>'[6]price list MAN'!B1130</f>
        <v>76W-B206</v>
      </c>
      <c r="C1130" s="10" t="str">
        <f>'[6]price list MAN'!C1130</f>
        <v>TGS-27-4406X4BBS-L-STEEL</v>
      </c>
      <c r="D1130" s="16" t="str">
        <f>IFERROR(VLOOKUP(C1130&amp;"",'[7]Retail Price List'!$A$3:$B$103,2,FALSE),"Special Order")</f>
        <v>KP000718</v>
      </c>
      <c r="E1130" s="494" t="str">
        <f>'[6]price list MAN'!E1130</f>
        <v>CKD</v>
      </c>
      <c r="F1130" s="11" t="str">
        <f>'[6]price list MAN'!F1130</f>
        <v>2018-04-30</v>
      </c>
      <c r="G1130" s="32">
        <f>'[6]price list MAN'!G1130</f>
        <v>15.3</v>
      </c>
      <c r="H1130" s="26">
        <f>'[6]price list MAN'!H1130</f>
        <v>42978</v>
      </c>
      <c r="I1130" s="51" t="str">
        <f t="shared" si="85"/>
        <v>2017Q3</v>
      </c>
      <c r="J1130" s="177">
        <f>'[6]price list MAN'!J1130</f>
        <v>1780000</v>
      </c>
      <c r="K1130" s="177">
        <f>'[6]price list MAN'!P1130</f>
        <v>1370250</v>
      </c>
      <c r="L1130" s="177">
        <f>'[6]price list MAN'!R1130</f>
        <v>1305000</v>
      </c>
      <c r="M1130" s="174">
        <f>'[6]price list MAN'!S1130</f>
        <v>1835000</v>
      </c>
      <c r="N1130" s="174">
        <f>'[6]price list MAN'!Y1130</f>
        <v>1428000</v>
      </c>
      <c r="O1130" s="174">
        <f>'[6]price list MAN'!AA1130</f>
        <v>1360000</v>
      </c>
      <c r="P1130" s="68">
        <f t="shared" si="86"/>
        <v>0.25885558583106266</v>
      </c>
      <c r="Q1130" s="62" t="e">
        <f>O1130-#REF!</f>
        <v>#REF!</v>
      </c>
      <c r="W1130" s="210"/>
      <c r="X1130" s="210"/>
      <c r="Y1130" s="210"/>
      <c r="Z1130" s="210"/>
      <c r="AA1130" s="210"/>
      <c r="AB1130" s="210"/>
      <c r="AC1130" s="210"/>
      <c r="AT1130" s="425" t="str">
        <f t="shared" si="87"/>
        <v>KP0007182017Q315,3</v>
      </c>
      <c r="AU1130" s="64" t="str">
        <f t="shared" si="88"/>
        <v>08-2017</v>
      </c>
      <c r="BA1130" s="428" t="str">
        <f t="shared" si="89"/>
        <v>WIP - 30 Days</v>
      </c>
    </row>
    <row r="1131" spans="2:53">
      <c r="B1131" s="36" t="str">
        <f>'[6]price list MAN'!B1131</f>
        <v>76W-B207</v>
      </c>
      <c r="C1131" s="10" t="str">
        <f>'[6]price list MAN'!C1131</f>
        <v>TGS-27-4406X4BBS-L-STEEL</v>
      </c>
      <c r="D1131" s="16" t="str">
        <f>IFERROR(VLOOKUP(C1131&amp;"",'[7]Retail Price List'!$A$3:$B$103,2,FALSE),"Special Order")</f>
        <v>KP000718</v>
      </c>
      <c r="E1131" s="494" t="str">
        <f>'[6]price list MAN'!E1131</f>
        <v>CKD</v>
      </c>
      <c r="F1131" s="11" t="str">
        <f>'[6]price list MAN'!F1131</f>
        <v>2018-04-30</v>
      </c>
      <c r="G1131" s="32">
        <f>'[6]price list MAN'!G1131</f>
        <v>15.3</v>
      </c>
      <c r="H1131" s="26">
        <f>'[6]price list MAN'!H1131</f>
        <v>42978</v>
      </c>
      <c r="I1131" s="51" t="str">
        <f t="shared" si="85"/>
        <v>2017Q3</v>
      </c>
      <c r="J1131" s="177">
        <f>'[6]price list MAN'!J1131</f>
        <v>1780000</v>
      </c>
      <c r="K1131" s="177">
        <f>'[6]price list MAN'!P1131</f>
        <v>1407000</v>
      </c>
      <c r="L1131" s="177">
        <f>'[6]price list MAN'!R1131</f>
        <v>1340000</v>
      </c>
      <c r="M1131" s="174">
        <f>'[6]price list MAN'!S1131</f>
        <v>1835000</v>
      </c>
      <c r="N1131" s="174">
        <f>'[6]price list MAN'!Y1131</f>
        <v>1464750</v>
      </c>
      <c r="O1131" s="174">
        <f>'[6]price list MAN'!AA1131</f>
        <v>1395000</v>
      </c>
      <c r="P1131" s="68">
        <f t="shared" si="86"/>
        <v>0.23978201634877383</v>
      </c>
      <c r="Q1131" s="62" t="e">
        <f>O1131-#REF!</f>
        <v>#REF!</v>
      </c>
      <c r="W1131" s="210"/>
      <c r="X1131" s="210"/>
      <c r="Y1131" s="210"/>
      <c r="Z1131" s="210"/>
      <c r="AA1131" s="210"/>
      <c r="AB1131" s="210"/>
      <c r="AC1131" s="210"/>
      <c r="AT1131" s="425" t="str">
        <f t="shared" si="87"/>
        <v>KP0007182017Q315,3</v>
      </c>
      <c r="AU1131" s="64" t="str">
        <f t="shared" si="88"/>
        <v>08-2017</v>
      </c>
      <c r="BA1131" s="428" t="str">
        <f t="shared" si="89"/>
        <v>WIP - 30 Days</v>
      </c>
    </row>
    <row r="1132" spans="2:53">
      <c r="B1132" s="36" t="str">
        <f>'[6]price list MAN'!B1132</f>
        <v>76W-B208</v>
      </c>
      <c r="C1132" s="10" t="str">
        <f>'[6]price list MAN'!C1132</f>
        <v>TGS-27-4406X4BBS-L-STEEL</v>
      </c>
      <c r="D1132" s="16" t="str">
        <f>IFERROR(VLOOKUP(C1132&amp;"",'[7]Retail Price List'!$A$3:$B$103,2,FALSE),"Special Order")</f>
        <v>KP000718</v>
      </c>
      <c r="E1132" s="494" t="str">
        <f>'[6]price list MAN'!E1132</f>
        <v>CKD</v>
      </c>
      <c r="F1132" s="11" t="str">
        <f>'[6]price list MAN'!F1132</f>
        <v>2018-04-30</v>
      </c>
      <c r="G1132" s="32">
        <f>'[6]price list MAN'!G1132</f>
        <v>15.3</v>
      </c>
      <c r="H1132" s="26">
        <f>'[6]price list MAN'!H1132</f>
        <v>42978</v>
      </c>
      <c r="I1132" s="51" t="str">
        <f t="shared" si="85"/>
        <v>2017Q3</v>
      </c>
      <c r="J1132" s="177">
        <f>'[6]price list MAN'!J1132</f>
        <v>1780000</v>
      </c>
      <c r="K1132" s="177">
        <f>'[6]price list MAN'!P1132</f>
        <v>1407000</v>
      </c>
      <c r="L1132" s="177">
        <f>'[6]price list MAN'!R1132</f>
        <v>1340000</v>
      </c>
      <c r="M1132" s="174">
        <f>'[6]price list MAN'!S1132</f>
        <v>1835000</v>
      </c>
      <c r="N1132" s="174">
        <f>'[6]price list MAN'!Y1132</f>
        <v>1464750</v>
      </c>
      <c r="O1132" s="174">
        <f>'[6]price list MAN'!AA1132</f>
        <v>1395000</v>
      </c>
      <c r="P1132" s="68">
        <f t="shared" si="86"/>
        <v>0.23978201634877383</v>
      </c>
      <c r="Q1132" s="62" t="e">
        <f>O1132-#REF!</f>
        <v>#REF!</v>
      </c>
      <c r="W1132" s="210"/>
      <c r="X1132" s="210"/>
      <c r="Y1132" s="210"/>
      <c r="Z1132" s="210"/>
      <c r="AA1132" s="210"/>
      <c r="AB1132" s="210"/>
      <c r="AC1132" s="210"/>
      <c r="AT1132" s="425" t="str">
        <f t="shared" si="87"/>
        <v>KP0007182017Q315,3</v>
      </c>
      <c r="AU1132" s="64" t="str">
        <f t="shared" si="88"/>
        <v>08-2017</v>
      </c>
      <c r="BA1132" s="428" t="str">
        <f t="shared" si="89"/>
        <v>WIP - 30 Days</v>
      </c>
    </row>
    <row r="1133" spans="2:53">
      <c r="B1133" s="36" t="str">
        <f>'[6]price list MAN'!B1133</f>
        <v>76W-B209</v>
      </c>
      <c r="C1133" s="10" t="str">
        <f>'[6]price list MAN'!C1133</f>
        <v>TGS-27-4406X4BBS-L-STEEL</v>
      </c>
      <c r="D1133" s="16" t="str">
        <f>IFERROR(VLOOKUP(C1133&amp;"",'[7]Retail Price List'!$A$3:$B$103,2,FALSE),"Special Order")</f>
        <v>KP000718</v>
      </c>
      <c r="E1133" s="494" t="str">
        <f>'[6]price list MAN'!E1133</f>
        <v>CKD</v>
      </c>
      <c r="F1133" s="11" t="str">
        <f>'[6]price list MAN'!F1133</f>
        <v>2018-04-30</v>
      </c>
      <c r="G1133" s="32">
        <f>'[6]price list MAN'!G1133</f>
        <v>15.3</v>
      </c>
      <c r="H1133" s="26">
        <f>'[6]price list MAN'!H1133</f>
        <v>42978</v>
      </c>
      <c r="I1133" s="51" t="str">
        <f t="shared" si="85"/>
        <v>2017Q3</v>
      </c>
      <c r="J1133" s="177">
        <f>'[6]price list MAN'!J1133</f>
        <v>1780000</v>
      </c>
      <c r="K1133" s="177">
        <f>'[6]price list MAN'!P1133</f>
        <v>1407000</v>
      </c>
      <c r="L1133" s="177">
        <f>'[6]price list MAN'!R1133</f>
        <v>1340000</v>
      </c>
      <c r="M1133" s="174">
        <f>'[6]price list MAN'!S1133</f>
        <v>1835000</v>
      </c>
      <c r="N1133" s="174">
        <f>'[6]price list MAN'!Y1133</f>
        <v>1464750</v>
      </c>
      <c r="O1133" s="174">
        <f>'[6]price list MAN'!AA1133</f>
        <v>1395000</v>
      </c>
      <c r="P1133" s="68">
        <f t="shared" si="86"/>
        <v>0.23978201634877383</v>
      </c>
      <c r="Q1133" s="62" t="e">
        <f>O1133-#REF!</f>
        <v>#REF!</v>
      </c>
      <c r="W1133" s="210"/>
      <c r="X1133" s="210"/>
      <c r="Y1133" s="210"/>
      <c r="Z1133" s="210"/>
      <c r="AA1133" s="210"/>
      <c r="AB1133" s="210"/>
      <c r="AC1133" s="210"/>
      <c r="AT1133" s="425" t="str">
        <f t="shared" si="87"/>
        <v>KP0007182017Q315,3</v>
      </c>
      <c r="AU1133" s="64" t="str">
        <f t="shared" si="88"/>
        <v>08-2017</v>
      </c>
      <c r="BA1133" s="428" t="str">
        <f t="shared" si="89"/>
        <v>WIP - 30 Days</v>
      </c>
    </row>
    <row r="1134" spans="2:53">
      <c r="B1134" s="36" t="str">
        <f>'[6]price list MAN'!B1134</f>
        <v>76W-B210</v>
      </c>
      <c r="C1134" s="10" t="str">
        <f>'[6]price list MAN'!C1134</f>
        <v>TGS-27-4406X4BBS-L-STEEL</v>
      </c>
      <c r="D1134" s="16" t="str">
        <f>IFERROR(VLOOKUP(C1134&amp;"",'[7]Retail Price List'!$A$3:$B$103,2,FALSE),"Special Order")</f>
        <v>KP000718</v>
      </c>
      <c r="E1134" s="494" t="str">
        <f>'[6]price list MAN'!E1134</f>
        <v>CKD</v>
      </c>
      <c r="F1134" s="11" t="str">
        <f>'[6]price list MAN'!F1134</f>
        <v>2018-04-30</v>
      </c>
      <c r="G1134" s="32">
        <f>'[6]price list MAN'!G1134</f>
        <v>15.3</v>
      </c>
      <c r="H1134" s="26">
        <f>'[6]price list MAN'!H1134</f>
        <v>42978</v>
      </c>
      <c r="I1134" s="51" t="str">
        <f t="shared" si="85"/>
        <v>2017Q3</v>
      </c>
      <c r="J1134" s="177">
        <f>'[6]price list MAN'!J1134</f>
        <v>1780000</v>
      </c>
      <c r="K1134" s="177">
        <f>'[6]price list MAN'!P1134</f>
        <v>1407000</v>
      </c>
      <c r="L1134" s="177">
        <f>'[6]price list MAN'!R1134</f>
        <v>1340000</v>
      </c>
      <c r="M1134" s="174">
        <f>'[6]price list MAN'!S1134</f>
        <v>1835000</v>
      </c>
      <c r="N1134" s="174">
        <f>'[6]price list MAN'!Y1134</f>
        <v>1464750</v>
      </c>
      <c r="O1134" s="174">
        <f>'[6]price list MAN'!AA1134</f>
        <v>1395000</v>
      </c>
      <c r="P1134" s="68">
        <f t="shared" si="86"/>
        <v>0.23978201634877383</v>
      </c>
      <c r="Q1134" s="62" t="e">
        <f>O1134-#REF!</f>
        <v>#REF!</v>
      </c>
      <c r="W1134" s="210"/>
      <c r="X1134" s="210"/>
      <c r="Y1134" s="210"/>
      <c r="Z1134" s="210"/>
      <c r="AA1134" s="210"/>
      <c r="AB1134" s="210"/>
      <c r="AC1134" s="210"/>
      <c r="AT1134" s="425" t="str">
        <f t="shared" si="87"/>
        <v>KP0007182017Q315,3</v>
      </c>
      <c r="AU1134" s="64" t="str">
        <f t="shared" si="88"/>
        <v>08-2017</v>
      </c>
      <c r="BA1134" s="428" t="str">
        <f t="shared" si="89"/>
        <v>WIP - 30 Days</v>
      </c>
    </row>
    <row r="1135" spans="2:53">
      <c r="B1135" s="36" t="str">
        <f>'[6]price list MAN'!B1135</f>
        <v>76W-B215</v>
      </c>
      <c r="C1135" s="10" t="str">
        <f>'[6]price list MAN'!C1135</f>
        <v>TGS-27-4406X4BBS-L-STEEL</v>
      </c>
      <c r="D1135" s="16" t="str">
        <f>IFERROR(VLOOKUP(C1135&amp;"",'[7]Retail Price List'!$A$3:$B$103,2,FALSE),"Special Order")</f>
        <v>KP000718</v>
      </c>
      <c r="E1135" s="494" t="str">
        <f>'[6]price list MAN'!E1135</f>
        <v>CKD</v>
      </c>
      <c r="F1135" s="11" t="str">
        <f>'[6]price list MAN'!F1135</f>
        <v>2018-04-30</v>
      </c>
      <c r="G1135" s="32">
        <f>'[6]price list MAN'!G1135</f>
        <v>15.3</v>
      </c>
      <c r="H1135" s="26">
        <f>'[6]price list MAN'!H1135</f>
        <v>42978</v>
      </c>
      <c r="I1135" s="51" t="str">
        <f t="shared" si="85"/>
        <v>2017Q3</v>
      </c>
      <c r="J1135" s="177">
        <f>'[6]price list MAN'!J1135</f>
        <v>1780000</v>
      </c>
      <c r="K1135" s="177">
        <f>'[6]price list MAN'!P1135</f>
        <v>1407000</v>
      </c>
      <c r="L1135" s="177">
        <f>'[6]price list MAN'!R1135</f>
        <v>1340000</v>
      </c>
      <c r="M1135" s="174">
        <f>'[6]price list MAN'!S1135</f>
        <v>1835000</v>
      </c>
      <c r="N1135" s="174">
        <f>'[6]price list MAN'!Y1135</f>
        <v>1464750</v>
      </c>
      <c r="O1135" s="174">
        <f>'[6]price list MAN'!AA1135</f>
        <v>1395000</v>
      </c>
      <c r="P1135" s="68">
        <f t="shared" si="86"/>
        <v>0.23978201634877383</v>
      </c>
      <c r="Q1135" s="62" t="e">
        <f>O1135-#REF!</f>
        <v>#REF!</v>
      </c>
      <c r="W1135" s="210"/>
      <c r="X1135" s="210"/>
      <c r="Y1135" s="210"/>
      <c r="Z1135" s="210"/>
      <c r="AA1135" s="210"/>
      <c r="AB1135" s="210"/>
      <c r="AC1135" s="210"/>
      <c r="AT1135" s="425" t="str">
        <f t="shared" si="87"/>
        <v>KP0007182017Q315,3</v>
      </c>
      <c r="AU1135" s="64" t="str">
        <f t="shared" si="88"/>
        <v>08-2017</v>
      </c>
      <c r="BA1135" s="428" t="str">
        <f t="shared" si="89"/>
        <v>WIP - 30 Days</v>
      </c>
    </row>
    <row r="1136" spans="2:53">
      <c r="B1136" s="36" t="str">
        <f>'[6]price list MAN'!B1136</f>
        <v>76W-B216</v>
      </c>
      <c r="C1136" s="10" t="str">
        <f>'[6]price list MAN'!C1136</f>
        <v>TGS-27-4406X4BBS-L-STEEL</v>
      </c>
      <c r="D1136" s="16" t="str">
        <f>IFERROR(VLOOKUP(C1136&amp;"",'[7]Retail Price List'!$A$3:$B$103,2,FALSE),"Special Order")</f>
        <v>KP000718</v>
      </c>
      <c r="E1136" s="494" t="str">
        <f>'[6]price list MAN'!E1136</f>
        <v>CKD</v>
      </c>
      <c r="F1136" s="11" t="str">
        <f>'[6]price list MAN'!F1136</f>
        <v>2018-04-30</v>
      </c>
      <c r="G1136" s="32">
        <f>'[6]price list MAN'!G1136</f>
        <v>15.3</v>
      </c>
      <c r="H1136" s="26">
        <f>'[6]price list MAN'!H1136</f>
        <v>42978</v>
      </c>
      <c r="I1136" s="51" t="str">
        <f t="shared" si="85"/>
        <v>2017Q3</v>
      </c>
      <c r="J1136" s="177">
        <f>'[6]price list MAN'!J1136</f>
        <v>1780000</v>
      </c>
      <c r="K1136" s="177">
        <f>'[6]price list MAN'!P1136</f>
        <v>1370250</v>
      </c>
      <c r="L1136" s="177">
        <f>'[6]price list MAN'!R1136</f>
        <v>1305000</v>
      </c>
      <c r="M1136" s="174">
        <f>'[6]price list MAN'!S1136</f>
        <v>1835000</v>
      </c>
      <c r="N1136" s="174">
        <f>'[6]price list MAN'!Y1136</f>
        <v>1428000</v>
      </c>
      <c r="O1136" s="174">
        <f>'[6]price list MAN'!AA1136</f>
        <v>1360000</v>
      </c>
      <c r="P1136" s="68">
        <f t="shared" si="86"/>
        <v>0.25885558583106266</v>
      </c>
      <c r="Q1136" s="62" t="e">
        <f>O1136-#REF!</f>
        <v>#REF!</v>
      </c>
      <c r="W1136" s="210"/>
      <c r="X1136" s="210"/>
      <c r="Y1136" s="210"/>
      <c r="Z1136" s="210"/>
      <c r="AA1136" s="210"/>
      <c r="AB1136" s="210"/>
      <c r="AC1136" s="210"/>
      <c r="AT1136" s="425" t="str">
        <f t="shared" si="87"/>
        <v>KP0007182017Q315,3</v>
      </c>
      <c r="AU1136" s="64" t="str">
        <f t="shared" si="88"/>
        <v>08-2017</v>
      </c>
      <c r="BA1136" s="428" t="str">
        <f t="shared" si="89"/>
        <v>WIP - 30 Days</v>
      </c>
    </row>
    <row r="1137" spans="2:53">
      <c r="B1137" s="36" t="str">
        <f>'[6]price list MAN'!B1137</f>
        <v>76W-B217</v>
      </c>
      <c r="C1137" s="10" t="str">
        <f>'[6]price list MAN'!C1137</f>
        <v>TGS-27-4406X4BBS-L-STEEL</v>
      </c>
      <c r="D1137" s="16" t="str">
        <f>IFERROR(VLOOKUP(C1137&amp;"",'[7]Retail Price List'!$A$3:$B$103,2,FALSE),"Special Order")</f>
        <v>KP000718</v>
      </c>
      <c r="E1137" s="494" t="str">
        <f>'[6]price list MAN'!E1137</f>
        <v>CKD</v>
      </c>
      <c r="F1137" s="11" t="str">
        <f>'[6]price list MAN'!F1137</f>
        <v>2018-04-30</v>
      </c>
      <c r="G1137" s="32">
        <f>'[6]price list MAN'!G1137</f>
        <v>15.3</v>
      </c>
      <c r="H1137" s="26">
        <f>'[6]price list MAN'!H1137</f>
        <v>42978</v>
      </c>
      <c r="I1137" s="51" t="str">
        <f t="shared" si="85"/>
        <v>2017Q3</v>
      </c>
      <c r="J1137" s="177">
        <f>'[6]price list MAN'!J1137</f>
        <v>1780000</v>
      </c>
      <c r="K1137" s="177">
        <f>'[6]price list MAN'!P1137</f>
        <v>1370250</v>
      </c>
      <c r="L1137" s="177">
        <f>'[6]price list MAN'!R1137</f>
        <v>1305000</v>
      </c>
      <c r="M1137" s="174">
        <f>'[6]price list MAN'!S1137</f>
        <v>1835000</v>
      </c>
      <c r="N1137" s="174">
        <f>'[6]price list MAN'!Y1137</f>
        <v>1428000</v>
      </c>
      <c r="O1137" s="174">
        <f>'[6]price list MAN'!AA1137</f>
        <v>1360000</v>
      </c>
      <c r="P1137" s="68">
        <f t="shared" si="86"/>
        <v>0.25885558583106266</v>
      </c>
      <c r="Q1137" s="62" t="e">
        <f>O1137-#REF!</f>
        <v>#REF!</v>
      </c>
      <c r="W1137" s="210"/>
      <c r="X1137" s="210"/>
      <c r="Y1137" s="210"/>
      <c r="Z1137" s="210"/>
      <c r="AA1137" s="210"/>
      <c r="AB1137" s="210"/>
      <c r="AC1137" s="210"/>
      <c r="AT1137" s="425" t="str">
        <f t="shared" si="87"/>
        <v>KP0007182017Q315,3</v>
      </c>
      <c r="AU1137" s="64" t="str">
        <f t="shared" si="88"/>
        <v>08-2017</v>
      </c>
      <c r="BA1137" s="428" t="str">
        <f t="shared" si="89"/>
        <v>WIP - 30 Days</v>
      </c>
    </row>
    <row r="1138" spans="2:53">
      <c r="B1138" s="36" t="str">
        <f>'[6]price list MAN'!B1138</f>
        <v>76W-B218</v>
      </c>
      <c r="C1138" s="10" t="str">
        <f>'[6]price list MAN'!C1138</f>
        <v>TGS-27-4406X4BBS-L-STEEL</v>
      </c>
      <c r="D1138" s="16" t="str">
        <f>IFERROR(VLOOKUP(C1138&amp;"",'[7]Retail Price List'!$A$3:$B$103,2,FALSE),"Special Order")</f>
        <v>KP000718</v>
      </c>
      <c r="E1138" s="494" t="str">
        <f>'[6]price list MAN'!E1138</f>
        <v>CKD</v>
      </c>
      <c r="F1138" s="11" t="str">
        <f>'[6]price list MAN'!F1138</f>
        <v>2018-04-30</v>
      </c>
      <c r="G1138" s="32">
        <f>'[6]price list MAN'!G1138</f>
        <v>15.3</v>
      </c>
      <c r="H1138" s="26">
        <f>'[6]price list MAN'!H1138</f>
        <v>42978</v>
      </c>
      <c r="I1138" s="51" t="str">
        <f t="shared" si="85"/>
        <v>2017Q3</v>
      </c>
      <c r="J1138" s="177">
        <f>'[6]price list MAN'!J1138</f>
        <v>1780000</v>
      </c>
      <c r="K1138" s="177">
        <f>'[6]price list MAN'!P1138</f>
        <v>1370250</v>
      </c>
      <c r="L1138" s="177">
        <f>'[6]price list MAN'!R1138</f>
        <v>1305000</v>
      </c>
      <c r="M1138" s="174">
        <f>'[6]price list MAN'!S1138</f>
        <v>1835000</v>
      </c>
      <c r="N1138" s="174">
        <f>'[6]price list MAN'!Y1138</f>
        <v>1428000</v>
      </c>
      <c r="O1138" s="174">
        <f>'[6]price list MAN'!AA1138</f>
        <v>1360000</v>
      </c>
      <c r="P1138" s="68">
        <f t="shared" si="86"/>
        <v>0.25885558583106266</v>
      </c>
      <c r="Q1138" s="62" t="e">
        <f>O1138-#REF!</f>
        <v>#REF!</v>
      </c>
      <c r="W1138" s="210"/>
      <c r="X1138" s="210"/>
      <c r="Y1138" s="210"/>
      <c r="Z1138" s="210"/>
      <c r="AA1138" s="210"/>
      <c r="AB1138" s="210"/>
      <c r="AC1138" s="210"/>
      <c r="AT1138" s="425" t="str">
        <f t="shared" si="87"/>
        <v>KP0007182017Q315,3</v>
      </c>
      <c r="AU1138" s="64" t="str">
        <f t="shared" si="88"/>
        <v>08-2017</v>
      </c>
      <c r="BA1138" s="428" t="str">
        <f t="shared" si="89"/>
        <v>WIP - 30 Days</v>
      </c>
    </row>
    <row r="1139" spans="2:53">
      <c r="B1139" s="36" t="str">
        <f>'[6]price list MAN'!B1139</f>
        <v>76W-B219</v>
      </c>
      <c r="C1139" s="10" t="str">
        <f>'[6]price list MAN'!C1139</f>
        <v>TGS-27-4406X4BBS-L-STEEL</v>
      </c>
      <c r="D1139" s="16" t="str">
        <f>IFERROR(VLOOKUP(C1139&amp;"",'[7]Retail Price List'!$A$3:$B$103,2,FALSE),"Special Order")</f>
        <v>KP000718</v>
      </c>
      <c r="E1139" s="494" t="str">
        <f>'[6]price list MAN'!E1139</f>
        <v>CKD</v>
      </c>
      <c r="F1139" s="11" t="str">
        <f>'[6]price list MAN'!F1139</f>
        <v>2018-04-30</v>
      </c>
      <c r="G1139" s="32">
        <f>'[6]price list MAN'!G1139</f>
        <v>15.3</v>
      </c>
      <c r="H1139" s="26">
        <f>'[6]price list MAN'!H1139</f>
        <v>42978</v>
      </c>
      <c r="I1139" s="51" t="str">
        <f t="shared" si="85"/>
        <v>2017Q3</v>
      </c>
      <c r="J1139" s="177">
        <f>'[6]price list MAN'!J1139</f>
        <v>1780000</v>
      </c>
      <c r="K1139" s="177">
        <f>'[6]price list MAN'!P1139</f>
        <v>1370250</v>
      </c>
      <c r="L1139" s="177">
        <f>'[6]price list MAN'!R1139</f>
        <v>1305000</v>
      </c>
      <c r="M1139" s="174">
        <f>'[6]price list MAN'!S1139</f>
        <v>1835000</v>
      </c>
      <c r="N1139" s="174">
        <f>'[6]price list MAN'!Y1139</f>
        <v>1428000</v>
      </c>
      <c r="O1139" s="174">
        <f>'[6]price list MAN'!AA1139</f>
        <v>1360000</v>
      </c>
      <c r="P1139" s="68">
        <f t="shared" si="86"/>
        <v>0.25885558583106266</v>
      </c>
      <c r="Q1139" s="62" t="e">
        <f>O1139-#REF!</f>
        <v>#REF!</v>
      </c>
      <c r="W1139" s="210"/>
      <c r="X1139" s="210"/>
      <c r="Y1139" s="210"/>
      <c r="Z1139" s="210"/>
      <c r="AA1139" s="210"/>
      <c r="AB1139" s="210"/>
      <c r="AC1139" s="210"/>
      <c r="AT1139" s="425" t="str">
        <f t="shared" si="87"/>
        <v>KP0007182017Q315,3</v>
      </c>
      <c r="AU1139" s="64" t="str">
        <f t="shared" si="88"/>
        <v>08-2017</v>
      </c>
      <c r="BA1139" s="428" t="str">
        <f t="shared" si="89"/>
        <v>WIP - 30 Days</v>
      </c>
    </row>
    <row r="1140" spans="2:53">
      <c r="B1140" s="36" t="str">
        <f>'[6]price list MAN'!B1140</f>
        <v>76W-B220</v>
      </c>
      <c r="C1140" s="10" t="str">
        <f>'[6]price list MAN'!C1140</f>
        <v>TGS-27-4406X4BBS-L-STEEL</v>
      </c>
      <c r="D1140" s="16" t="str">
        <f>IFERROR(VLOOKUP(C1140&amp;"",'[7]Retail Price List'!$A$3:$B$103,2,FALSE),"Special Order")</f>
        <v>KP000718</v>
      </c>
      <c r="E1140" s="494" t="str">
        <f>'[6]price list MAN'!E1140</f>
        <v>CKD</v>
      </c>
      <c r="F1140" s="11" t="str">
        <f>'[6]price list MAN'!F1140</f>
        <v>2018-04-30</v>
      </c>
      <c r="G1140" s="32">
        <f>'[6]price list MAN'!G1140</f>
        <v>15.3</v>
      </c>
      <c r="H1140" s="26">
        <f>'[6]price list MAN'!H1140</f>
        <v>42978</v>
      </c>
      <c r="I1140" s="51" t="str">
        <f t="shared" si="85"/>
        <v>2017Q3</v>
      </c>
      <c r="J1140" s="177">
        <f>'[6]price list MAN'!J1140</f>
        <v>1780000</v>
      </c>
      <c r="K1140" s="177">
        <f>'[6]price list MAN'!P1140</f>
        <v>1370250</v>
      </c>
      <c r="L1140" s="177">
        <f>'[6]price list MAN'!R1140</f>
        <v>1305000</v>
      </c>
      <c r="M1140" s="174">
        <f>'[6]price list MAN'!S1140</f>
        <v>1835000</v>
      </c>
      <c r="N1140" s="174">
        <f>'[6]price list MAN'!Y1140</f>
        <v>1428000</v>
      </c>
      <c r="O1140" s="174">
        <f>'[6]price list MAN'!AA1140</f>
        <v>1360000</v>
      </c>
      <c r="P1140" s="68">
        <f t="shared" si="86"/>
        <v>0.25885558583106266</v>
      </c>
      <c r="Q1140" s="62" t="e">
        <f>O1140-#REF!</f>
        <v>#REF!</v>
      </c>
      <c r="W1140" s="210"/>
      <c r="X1140" s="210"/>
      <c r="Y1140" s="210"/>
      <c r="Z1140" s="210"/>
      <c r="AA1140" s="210"/>
      <c r="AB1140" s="210"/>
      <c r="AC1140" s="210"/>
      <c r="AT1140" s="425" t="str">
        <f t="shared" si="87"/>
        <v>KP0007182017Q315,3</v>
      </c>
      <c r="AU1140" s="64" t="str">
        <f t="shared" si="88"/>
        <v>08-2017</v>
      </c>
      <c r="BA1140" s="428" t="str">
        <f t="shared" si="89"/>
        <v>WIP - 30 Days</v>
      </c>
    </row>
    <row r="1141" spans="2:53">
      <c r="B1141" s="36" t="str">
        <f>'[6]price list MAN'!B1141</f>
        <v>76W-B221</v>
      </c>
      <c r="C1141" s="10" t="str">
        <f>'[6]price list MAN'!C1141</f>
        <v>TGS-27-4406X4BBS-L-STEEL</v>
      </c>
      <c r="D1141" s="16" t="str">
        <f>IFERROR(VLOOKUP(C1141&amp;"",'[7]Retail Price List'!$A$3:$B$103,2,FALSE),"Special Order")</f>
        <v>KP000718</v>
      </c>
      <c r="E1141" s="494" t="str">
        <f>'[6]price list MAN'!E1141</f>
        <v>CKD</v>
      </c>
      <c r="F1141" s="11" t="str">
        <f>'[6]price list MAN'!F1141</f>
        <v>2018-04-30</v>
      </c>
      <c r="G1141" s="32">
        <f>'[6]price list MAN'!G1141</f>
        <v>15.3</v>
      </c>
      <c r="H1141" s="26">
        <f>'[6]price list MAN'!H1141</f>
        <v>42978</v>
      </c>
      <c r="I1141" s="51" t="str">
        <f t="shared" si="85"/>
        <v>2017Q3</v>
      </c>
      <c r="J1141" s="177">
        <f>'[6]price list MAN'!J1141</f>
        <v>1780000</v>
      </c>
      <c r="K1141" s="177">
        <f>'[6]price list MAN'!P1141</f>
        <v>1370250</v>
      </c>
      <c r="L1141" s="177">
        <f>'[6]price list MAN'!R1141</f>
        <v>1305000</v>
      </c>
      <c r="M1141" s="174">
        <f>'[6]price list MAN'!S1141</f>
        <v>1835000</v>
      </c>
      <c r="N1141" s="174">
        <f>'[6]price list MAN'!Y1141</f>
        <v>1428000</v>
      </c>
      <c r="O1141" s="174">
        <f>'[6]price list MAN'!AA1141</f>
        <v>1360000</v>
      </c>
      <c r="P1141" s="68">
        <f t="shared" si="86"/>
        <v>0.25885558583106266</v>
      </c>
      <c r="Q1141" s="62" t="e">
        <f>O1141-#REF!</f>
        <v>#REF!</v>
      </c>
      <c r="W1141" s="210"/>
      <c r="X1141" s="210"/>
      <c r="Y1141" s="210"/>
      <c r="Z1141" s="210"/>
      <c r="AA1141" s="210"/>
      <c r="AB1141" s="210"/>
      <c r="AC1141" s="210"/>
      <c r="AT1141" s="425" t="str">
        <f t="shared" si="87"/>
        <v>KP0007182017Q315,3</v>
      </c>
      <c r="AU1141" s="64" t="str">
        <f t="shared" si="88"/>
        <v>08-2017</v>
      </c>
      <c r="BA1141" s="428" t="str">
        <f t="shared" si="89"/>
        <v>WIP - 30 Days</v>
      </c>
    </row>
    <row r="1142" spans="2:53">
      <c r="B1142" s="36" t="str">
        <f>'[6]price list MAN'!B1142</f>
        <v>76W-B222</v>
      </c>
      <c r="C1142" s="10" t="str">
        <f>'[6]price list MAN'!C1142</f>
        <v>TGS-27-4406X4BBS-L-STEEL</v>
      </c>
      <c r="D1142" s="16" t="str">
        <f>IFERROR(VLOOKUP(C1142&amp;"",'[7]Retail Price List'!$A$3:$B$103,2,FALSE),"Special Order")</f>
        <v>KP000718</v>
      </c>
      <c r="E1142" s="494" t="str">
        <f>'[6]price list MAN'!E1142</f>
        <v>CKD</v>
      </c>
      <c r="F1142" s="11" t="str">
        <f>'[6]price list MAN'!F1142</f>
        <v>2018-04-30</v>
      </c>
      <c r="G1142" s="32">
        <f>'[6]price list MAN'!G1142</f>
        <v>15.3</v>
      </c>
      <c r="H1142" s="26">
        <f>'[6]price list MAN'!H1142</f>
        <v>42978</v>
      </c>
      <c r="I1142" s="51" t="str">
        <f t="shared" si="85"/>
        <v>2017Q3</v>
      </c>
      <c r="J1142" s="177">
        <f>'[6]price list MAN'!J1142</f>
        <v>1780000</v>
      </c>
      <c r="K1142" s="177">
        <f>'[6]price list MAN'!P1142</f>
        <v>1370250</v>
      </c>
      <c r="L1142" s="177">
        <f>'[6]price list MAN'!R1142</f>
        <v>1305000</v>
      </c>
      <c r="M1142" s="174">
        <f>'[6]price list MAN'!S1142</f>
        <v>1835000</v>
      </c>
      <c r="N1142" s="174">
        <f>'[6]price list MAN'!Y1142</f>
        <v>1428000</v>
      </c>
      <c r="O1142" s="174">
        <f>'[6]price list MAN'!AA1142</f>
        <v>1360000</v>
      </c>
      <c r="P1142" s="68">
        <f t="shared" si="86"/>
        <v>0.25885558583106266</v>
      </c>
      <c r="Q1142" s="62" t="e">
        <f>O1142-#REF!</f>
        <v>#REF!</v>
      </c>
      <c r="W1142" s="210"/>
      <c r="X1142" s="210"/>
      <c r="Y1142" s="210"/>
      <c r="Z1142" s="210"/>
      <c r="AA1142" s="210"/>
      <c r="AB1142" s="210"/>
      <c r="AC1142" s="210"/>
      <c r="AT1142" s="425" t="str">
        <f t="shared" si="87"/>
        <v>KP0007182017Q315,3</v>
      </c>
      <c r="AU1142" s="64" t="str">
        <f t="shared" si="88"/>
        <v>08-2017</v>
      </c>
      <c r="BA1142" s="428" t="str">
        <f t="shared" si="89"/>
        <v>WIP - 30 Days</v>
      </c>
    </row>
    <row r="1143" spans="2:53">
      <c r="B1143" s="36" t="str">
        <f>'[6]price list MAN'!B1143</f>
        <v>76W-B227</v>
      </c>
      <c r="C1143" s="10" t="str">
        <f>'[6]price list MAN'!C1143</f>
        <v>TGS-27-4406X4BBS-L-STEEL</v>
      </c>
      <c r="D1143" s="16" t="str">
        <f>IFERROR(VLOOKUP(C1143&amp;"",'[7]Retail Price List'!$A$3:$B$103,2,FALSE),"Special Order")</f>
        <v>KP000718</v>
      </c>
      <c r="E1143" s="494" t="str">
        <f>'[6]price list MAN'!E1143</f>
        <v>CKD</v>
      </c>
      <c r="F1143" s="11" t="str">
        <f>'[6]price list MAN'!F1143</f>
        <v>2018-04-30</v>
      </c>
      <c r="G1143" s="32">
        <f>'[6]price list MAN'!G1143</f>
        <v>15.3</v>
      </c>
      <c r="H1143" s="26">
        <f>'[6]price list MAN'!H1143</f>
        <v>42978</v>
      </c>
      <c r="I1143" s="51" t="str">
        <f t="shared" si="85"/>
        <v>2017Q3</v>
      </c>
      <c r="J1143" s="177">
        <f>'[6]price list MAN'!J1143</f>
        <v>1780000</v>
      </c>
      <c r="K1143" s="177">
        <f>'[6]price list MAN'!P1143</f>
        <v>1370250</v>
      </c>
      <c r="L1143" s="177">
        <f>'[6]price list MAN'!R1143</f>
        <v>1305000</v>
      </c>
      <c r="M1143" s="174">
        <f>'[6]price list MAN'!S1143</f>
        <v>1835000</v>
      </c>
      <c r="N1143" s="174">
        <f>'[6]price list MAN'!Y1143</f>
        <v>1428000</v>
      </c>
      <c r="O1143" s="174">
        <f>'[6]price list MAN'!AA1143</f>
        <v>1360000</v>
      </c>
      <c r="P1143" s="68">
        <f t="shared" si="86"/>
        <v>0.25885558583106266</v>
      </c>
      <c r="Q1143" s="62" t="e">
        <f>O1143-#REF!</f>
        <v>#REF!</v>
      </c>
      <c r="W1143" s="210"/>
      <c r="X1143" s="210"/>
      <c r="Y1143" s="210"/>
      <c r="Z1143" s="210"/>
      <c r="AA1143" s="210"/>
      <c r="AB1143" s="210"/>
      <c r="AC1143" s="210"/>
      <c r="AT1143" s="425" t="str">
        <f t="shared" si="87"/>
        <v>KP0007182017Q315,3</v>
      </c>
      <c r="AU1143" s="64" t="str">
        <f t="shared" si="88"/>
        <v>08-2017</v>
      </c>
      <c r="BA1143" s="428" t="str">
        <f t="shared" si="89"/>
        <v>WIP - 30 Days</v>
      </c>
    </row>
    <row r="1144" spans="2:53">
      <c r="B1144" s="36" t="str">
        <f>'[6]price list MAN'!B1144</f>
        <v>76W-B228</v>
      </c>
      <c r="C1144" s="10" t="str">
        <f>'[6]price list MAN'!C1144</f>
        <v>TGS-27-4406X4BBS-L-STEEL</v>
      </c>
      <c r="D1144" s="16" t="str">
        <f>IFERROR(VLOOKUP(C1144&amp;"",'[7]Retail Price List'!$A$3:$B$103,2,FALSE),"Special Order")</f>
        <v>KP000718</v>
      </c>
      <c r="E1144" s="494" t="str">
        <f>'[6]price list MAN'!E1144</f>
        <v>CKD</v>
      </c>
      <c r="F1144" s="11" t="str">
        <f>'[6]price list MAN'!F1144</f>
        <v>2018-04-30</v>
      </c>
      <c r="G1144" s="32">
        <f>'[6]price list MAN'!G1144</f>
        <v>15.3</v>
      </c>
      <c r="H1144" s="26">
        <f>'[6]price list MAN'!H1144</f>
        <v>42978</v>
      </c>
      <c r="I1144" s="51" t="str">
        <f t="shared" si="85"/>
        <v>2017Q3</v>
      </c>
      <c r="J1144" s="177">
        <f>'[6]price list MAN'!J1144</f>
        <v>1780000</v>
      </c>
      <c r="K1144" s="177">
        <f>'[6]price list MAN'!P1144</f>
        <v>1370250</v>
      </c>
      <c r="L1144" s="177">
        <f>'[6]price list MAN'!R1144</f>
        <v>1305000</v>
      </c>
      <c r="M1144" s="174">
        <f>'[6]price list MAN'!S1144</f>
        <v>1835000</v>
      </c>
      <c r="N1144" s="174">
        <f>'[6]price list MAN'!Y1144</f>
        <v>1428000</v>
      </c>
      <c r="O1144" s="174">
        <f>'[6]price list MAN'!AA1144</f>
        <v>1360000</v>
      </c>
      <c r="P1144" s="68">
        <f t="shared" si="86"/>
        <v>0.25885558583106266</v>
      </c>
      <c r="Q1144" s="62" t="e">
        <f>O1144-#REF!</f>
        <v>#REF!</v>
      </c>
      <c r="W1144" s="210"/>
      <c r="X1144" s="210"/>
      <c r="Y1144" s="210"/>
      <c r="Z1144" s="210"/>
      <c r="AA1144" s="210"/>
      <c r="AB1144" s="210"/>
      <c r="AC1144" s="210"/>
      <c r="AT1144" s="425" t="str">
        <f t="shared" si="87"/>
        <v>KP0007182017Q315,3</v>
      </c>
      <c r="AU1144" s="64" t="str">
        <f t="shared" si="88"/>
        <v>08-2017</v>
      </c>
      <c r="BA1144" s="428" t="str">
        <f t="shared" si="89"/>
        <v>WIP - 30 Days</v>
      </c>
    </row>
    <row r="1145" spans="2:53">
      <c r="B1145" s="36" t="str">
        <f>'[6]price list MAN'!B1145</f>
        <v>76W-B229</v>
      </c>
      <c r="C1145" s="10" t="str">
        <f>'[6]price list MAN'!C1145</f>
        <v>TGS-27-4406X4BBS-L-STEEL</v>
      </c>
      <c r="D1145" s="16" t="str">
        <f>IFERROR(VLOOKUP(C1145&amp;"",'[7]Retail Price List'!$A$3:$B$103,2,FALSE),"Special Order")</f>
        <v>KP000718</v>
      </c>
      <c r="E1145" s="494" t="str">
        <f>'[6]price list MAN'!E1145</f>
        <v>CKD</v>
      </c>
      <c r="F1145" s="11" t="str">
        <f>'[6]price list MAN'!F1145</f>
        <v>2018-04-30</v>
      </c>
      <c r="G1145" s="32">
        <f>'[6]price list MAN'!G1145</f>
        <v>15.3</v>
      </c>
      <c r="H1145" s="26">
        <f>'[6]price list MAN'!H1145</f>
        <v>42978</v>
      </c>
      <c r="I1145" s="51" t="str">
        <f t="shared" si="85"/>
        <v>2017Q3</v>
      </c>
      <c r="J1145" s="177">
        <f>'[6]price list MAN'!J1145</f>
        <v>1780000</v>
      </c>
      <c r="K1145" s="177">
        <f>'[6]price list MAN'!P1145</f>
        <v>1370250</v>
      </c>
      <c r="L1145" s="177">
        <f>'[6]price list MAN'!R1145</f>
        <v>1305000</v>
      </c>
      <c r="M1145" s="174">
        <f>'[6]price list MAN'!S1145</f>
        <v>1835000</v>
      </c>
      <c r="N1145" s="174">
        <f>'[6]price list MAN'!Y1145</f>
        <v>1428000</v>
      </c>
      <c r="O1145" s="174">
        <f>'[6]price list MAN'!AA1145</f>
        <v>1360000</v>
      </c>
      <c r="P1145" s="68">
        <f t="shared" si="86"/>
        <v>0.25885558583106266</v>
      </c>
      <c r="Q1145" s="62" t="e">
        <f>O1145-#REF!</f>
        <v>#REF!</v>
      </c>
      <c r="W1145" s="210"/>
      <c r="X1145" s="210"/>
      <c r="Y1145" s="210"/>
      <c r="Z1145" s="210"/>
      <c r="AA1145" s="210"/>
      <c r="AB1145" s="210"/>
      <c r="AC1145" s="210"/>
      <c r="AT1145" s="425" t="str">
        <f t="shared" si="87"/>
        <v>KP0007182017Q315,3</v>
      </c>
      <c r="AU1145" s="64" t="str">
        <f t="shared" si="88"/>
        <v>08-2017</v>
      </c>
      <c r="BA1145" s="428" t="str">
        <f t="shared" si="89"/>
        <v>WIP - 30 Days</v>
      </c>
    </row>
    <row r="1146" spans="2:53">
      <c r="B1146" s="36" t="str">
        <f>'[6]price list MAN'!B1146</f>
        <v>76W-B230</v>
      </c>
      <c r="C1146" s="10" t="str">
        <f>'[6]price list MAN'!C1146</f>
        <v>TGS-27-4406X4BBS-L-STEEL</v>
      </c>
      <c r="D1146" s="16" t="str">
        <f>IFERROR(VLOOKUP(C1146&amp;"",'[7]Retail Price List'!$A$3:$B$103,2,FALSE),"Special Order")</f>
        <v>KP000718</v>
      </c>
      <c r="E1146" s="494" t="str">
        <f>'[6]price list MAN'!E1146</f>
        <v>CKD</v>
      </c>
      <c r="F1146" s="11" t="str">
        <f>'[6]price list MAN'!F1146</f>
        <v>2018-04-30</v>
      </c>
      <c r="G1146" s="32">
        <f>'[6]price list MAN'!G1146</f>
        <v>15.3</v>
      </c>
      <c r="H1146" s="26">
        <f>'[6]price list MAN'!H1146</f>
        <v>42978</v>
      </c>
      <c r="I1146" s="51" t="str">
        <f t="shared" si="85"/>
        <v>2017Q3</v>
      </c>
      <c r="J1146" s="177">
        <f>'[6]price list MAN'!J1146</f>
        <v>1780000</v>
      </c>
      <c r="K1146" s="177">
        <f>'[6]price list MAN'!P1146</f>
        <v>1370250</v>
      </c>
      <c r="L1146" s="177">
        <f>'[6]price list MAN'!R1146</f>
        <v>1305000</v>
      </c>
      <c r="M1146" s="174">
        <f>'[6]price list MAN'!S1146</f>
        <v>1835000</v>
      </c>
      <c r="N1146" s="174">
        <f>'[6]price list MAN'!Y1146</f>
        <v>1428000</v>
      </c>
      <c r="O1146" s="174">
        <f>'[6]price list MAN'!AA1146</f>
        <v>1360000</v>
      </c>
      <c r="P1146" s="68">
        <f t="shared" si="86"/>
        <v>0.25885558583106266</v>
      </c>
      <c r="Q1146" s="62" t="e">
        <f>O1146-#REF!</f>
        <v>#REF!</v>
      </c>
      <c r="W1146" s="210"/>
      <c r="X1146" s="210"/>
      <c r="Y1146" s="210"/>
      <c r="Z1146" s="210"/>
      <c r="AA1146" s="210"/>
      <c r="AB1146" s="210"/>
      <c r="AC1146" s="210"/>
      <c r="AT1146" s="425" t="str">
        <f t="shared" si="87"/>
        <v>KP0007182017Q315,3</v>
      </c>
      <c r="AU1146" s="64" t="str">
        <f t="shared" si="88"/>
        <v>08-2017</v>
      </c>
      <c r="BA1146" s="428" t="str">
        <f t="shared" si="89"/>
        <v>WIP - 30 Days</v>
      </c>
    </row>
    <row r="1147" spans="2:53">
      <c r="B1147" s="36" t="str">
        <f>'[6]price list MAN'!B1147</f>
        <v>76W-B239</v>
      </c>
      <c r="C1147" s="10" t="str">
        <f>'[6]price list MAN'!C1147</f>
        <v>TGS-27-4406X4BBS-L-STEEL</v>
      </c>
      <c r="D1147" s="16" t="str">
        <f>IFERROR(VLOOKUP(C1147&amp;"",'[7]Retail Price List'!$A$3:$B$103,2,FALSE),"Special Order")</f>
        <v>KP000718</v>
      </c>
      <c r="E1147" s="494" t="str">
        <f>'[6]price list MAN'!E1147</f>
        <v>CKD</v>
      </c>
      <c r="F1147" s="11" t="str">
        <f>'[6]price list MAN'!F1147</f>
        <v>2018-04-30</v>
      </c>
      <c r="G1147" s="32">
        <f>'[6]price list MAN'!G1147</f>
        <v>15.3</v>
      </c>
      <c r="H1147" s="26">
        <f>'[6]price list MAN'!H1147</f>
        <v>42978</v>
      </c>
      <c r="I1147" s="51" t="str">
        <f t="shared" si="85"/>
        <v>2017Q3</v>
      </c>
      <c r="J1147" s="177">
        <f>'[6]price list MAN'!J1147</f>
        <v>1780000</v>
      </c>
      <c r="K1147" s="177">
        <f>'[6]price list MAN'!P1147</f>
        <v>1370250</v>
      </c>
      <c r="L1147" s="177">
        <f>'[6]price list MAN'!R1147</f>
        <v>1305000</v>
      </c>
      <c r="M1147" s="174">
        <f>'[6]price list MAN'!S1147</f>
        <v>1835000</v>
      </c>
      <c r="N1147" s="174">
        <f>'[6]price list MAN'!Y1147</f>
        <v>1428000</v>
      </c>
      <c r="O1147" s="174">
        <f>'[6]price list MAN'!AA1147</f>
        <v>1360000</v>
      </c>
      <c r="P1147" s="68">
        <f t="shared" si="86"/>
        <v>0.25885558583106266</v>
      </c>
      <c r="Q1147" s="62" t="e">
        <f>O1147-#REF!</f>
        <v>#REF!</v>
      </c>
      <c r="W1147" s="210"/>
      <c r="X1147" s="210"/>
      <c r="Y1147" s="210"/>
      <c r="Z1147" s="210"/>
      <c r="AA1147" s="210"/>
      <c r="AB1147" s="210"/>
      <c r="AC1147" s="210"/>
      <c r="AT1147" s="425" t="str">
        <f t="shared" si="87"/>
        <v>KP0007182017Q315,3</v>
      </c>
      <c r="AU1147" s="64" t="str">
        <f t="shared" si="88"/>
        <v>08-2017</v>
      </c>
      <c r="BA1147" s="428" t="str">
        <f t="shared" si="89"/>
        <v>WIP - 30 Days</v>
      </c>
    </row>
    <row r="1148" spans="2:53">
      <c r="B1148" s="36" t="str">
        <f>'[6]price list MAN'!B1148</f>
        <v>76W-B240</v>
      </c>
      <c r="C1148" s="10" t="str">
        <f>'[6]price list MAN'!C1148</f>
        <v>TGS-27-4406X4BBS-L-STEEL</v>
      </c>
      <c r="D1148" s="16" t="str">
        <f>IFERROR(VLOOKUP(C1148&amp;"",'[7]Retail Price List'!$A$3:$B$103,2,FALSE),"Special Order")</f>
        <v>KP000718</v>
      </c>
      <c r="E1148" s="494" t="str">
        <f>'[6]price list MAN'!E1148</f>
        <v>CKD</v>
      </c>
      <c r="F1148" s="11" t="str">
        <f>'[6]price list MAN'!F1148</f>
        <v>2018-04-30</v>
      </c>
      <c r="G1148" s="32">
        <f>'[6]price list MAN'!G1148</f>
        <v>15.3</v>
      </c>
      <c r="H1148" s="26">
        <f>'[6]price list MAN'!H1148</f>
        <v>42978</v>
      </c>
      <c r="I1148" s="51" t="str">
        <f t="shared" si="85"/>
        <v>2017Q3</v>
      </c>
      <c r="J1148" s="177">
        <f>'[6]price list MAN'!J1148</f>
        <v>1780000</v>
      </c>
      <c r="K1148" s="177">
        <f>'[6]price list MAN'!P1148</f>
        <v>1370250</v>
      </c>
      <c r="L1148" s="177">
        <f>'[6]price list MAN'!R1148</f>
        <v>1305000</v>
      </c>
      <c r="M1148" s="174">
        <f>'[6]price list MAN'!S1148</f>
        <v>1835000</v>
      </c>
      <c r="N1148" s="174">
        <f>'[6]price list MAN'!Y1148</f>
        <v>1428000</v>
      </c>
      <c r="O1148" s="174">
        <f>'[6]price list MAN'!AA1148</f>
        <v>1360000</v>
      </c>
      <c r="P1148" s="68">
        <f t="shared" si="86"/>
        <v>0.25885558583106266</v>
      </c>
      <c r="Q1148" s="62" t="e">
        <f>O1148-#REF!</f>
        <v>#REF!</v>
      </c>
      <c r="W1148" s="210"/>
      <c r="X1148" s="210"/>
      <c r="Y1148" s="210"/>
      <c r="Z1148" s="210"/>
      <c r="AA1148" s="210"/>
      <c r="AB1148" s="210"/>
      <c r="AC1148" s="210"/>
      <c r="AT1148" s="425" t="str">
        <f t="shared" si="87"/>
        <v>KP0007182017Q315,3</v>
      </c>
      <c r="AU1148" s="64" t="str">
        <f t="shared" si="88"/>
        <v>08-2017</v>
      </c>
      <c r="BA1148" s="428" t="str">
        <f t="shared" si="89"/>
        <v>WIP - 30 Days</v>
      </c>
    </row>
    <row r="1149" spans="2:53">
      <c r="B1149" s="36" t="str">
        <f>'[6]price list MAN'!B1149</f>
        <v>76W-B241</v>
      </c>
      <c r="C1149" s="10" t="str">
        <f>'[6]price list MAN'!C1149</f>
        <v>TGS-27-4406X4BBS-L-STEEL</v>
      </c>
      <c r="D1149" s="16" t="str">
        <f>IFERROR(VLOOKUP(C1149&amp;"",'[7]Retail Price List'!$A$3:$B$103,2,FALSE),"Special Order")</f>
        <v>KP000718</v>
      </c>
      <c r="E1149" s="494" t="str">
        <f>'[6]price list MAN'!E1149</f>
        <v>CKD</v>
      </c>
      <c r="F1149" s="11" t="str">
        <f>'[6]price list MAN'!F1149</f>
        <v>2018-04-30</v>
      </c>
      <c r="G1149" s="32">
        <f>'[6]price list MAN'!G1149</f>
        <v>15.3</v>
      </c>
      <c r="H1149" s="26">
        <f>'[6]price list MAN'!H1149</f>
        <v>42978</v>
      </c>
      <c r="I1149" s="51" t="str">
        <f t="shared" si="85"/>
        <v>2017Q3</v>
      </c>
      <c r="J1149" s="177">
        <f>'[6]price list MAN'!J1149</f>
        <v>1780000</v>
      </c>
      <c r="K1149" s="177">
        <f>'[6]price list MAN'!P1149</f>
        <v>1370250</v>
      </c>
      <c r="L1149" s="177">
        <f>'[6]price list MAN'!R1149</f>
        <v>1305000</v>
      </c>
      <c r="M1149" s="174">
        <f>'[6]price list MAN'!S1149</f>
        <v>1835000</v>
      </c>
      <c r="N1149" s="174">
        <f>'[6]price list MAN'!Y1149</f>
        <v>1428000</v>
      </c>
      <c r="O1149" s="174">
        <f>'[6]price list MAN'!AA1149</f>
        <v>1360000</v>
      </c>
      <c r="P1149" s="68">
        <f t="shared" si="86"/>
        <v>0.25885558583106266</v>
      </c>
      <c r="Q1149" s="62" t="e">
        <f>O1149-#REF!</f>
        <v>#REF!</v>
      </c>
      <c r="W1149" s="210"/>
      <c r="X1149" s="210"/>
      <c r="Y1149" s="210"/>
      <c r="Z1149" s="210"/>
      <c r="AA1149" s="210"/>
      <c r="AB1149" s="210"/>
      <c r="AC1149" s="210"/>
      <c r="AT1149" s="425" t="str">
        <f t="shared" si="87"/>
        <v>KP0007182017Q315,3</v>
      </c>
      <c r="AU1149" s="64" t="str">
        <f t="shared" si="88"/>
        <v>08-2017</v>
      </c>
      <c r="BA1149" s="428" t="str">
        <f t="shared" si="89"/>
        <v>WIP - 30 Days</v>
      </c>
    </row>
    <row r="1150" spans="2:53">
      <c r="B1150" s="36" t="str">
        <f>'[6]price list MAN'!B1150</f>
        <v>76W-B242</v>
      </c>
      <c r="C1150" s="10" t="str">
        <f>'[6]price list MAN'!C1150</f>
        <v>TGS-27-4406X4BBS-L-STEEL</v>
      </c>
      <c r="D1150" s="16" t="str">
        <f>IFERROR(VLOOKUP(C1150&amp;"",'[7]Retail Price List'!$A$3:$B$103,2,FALSE),"Special Order")</f>
        <v>KP000718</v>
      </c>
      <c r="E1150" s="494" t="str">
        <f>'[6]price list MAN'!E1150</f>
        <v>CKD</v>
      </c>
      <c r="F1150" s="11" t="str">
        <f>'[6]price list MAN'!F1150</f>
        <v>2018-04-30</v>
      </c>
      <c r="G1150" s="32">
        <f>'[6]price list MAN'!G1150</f>
        <v>15.3</v>
      </c>
      <c r="H1150" s="26">
        <f>'[6]price list MAN'!H1150</f>
        <v>42978</v>
      </c>
      <c r="I1150" s="51" t="str">
        <f t="shared" si="85"/>
        <v>2017Q3</v>
      </c>
      <c r="J1150" s="177">
        <f>'[6]price list MAN'!J1150</f>
        <v>1780000</v>
      </c>
      <c r="K1150" s="177">
        <f>'[6]price list MAN'!P1150</f>
        <v>1370250</v>
      </c>
      <c r="L1150" s="177">
        <f>'[6]price list MAN'!R1150</f>
        <v>1305000</v>
      </c>
      <c r="M1150" s="174">
        <f>'[6]price list MAN'!S1150</f>
        <v>1835000</v>
      </c>
      <c r="N1150" s="174">
        <f>'[6]price list MAN'!Y1150</f>
        <v>1428000</v>
      </c>
      <c r="O1150" s="174">
        <f>'[6]price list MAN'!AA1150</f>
        <v>1360000</v>
      </c>
      <c r="P1150" s="68">
        <f t="shared" si="86"/>
        <v>0.25885558583106266</v>
      </c>
      <c r="Q1150" s="62" t="e">
        <f>O1150-#REF!</f>
        <v>#REF!</v>
      </c>
      <c r="W1150" s="210"/>
      <c r="X1150" s="210"/>
      <c r="Y1150" s="210"/>
      <c r="Z1150" s="210"/>
      <c r="AA1150" s="210"/>
      <c r="AB1150" s="210"/>
      <c r="AC1150" s="210"/>
      <c r="AT1150" s="425" t="str">
        <f t="shared" si="87"/>
        <v>KP0007182017Q315,3</v>
      </c>
      <c r="AU1150" s="64" t="str">
        <f t="shared" si="88"/>
        <v>08-2017</v>
      </c>
      <c r="BA1150" s="428" t="str">
        <f t="shared" si="89"/>
        <v>WIP - 30 Days</v>
      </c>
    </row>
    <row r="1151" spans="2:53">
      <c r="B1151" s="36" t="str">
        <f>'[6]price list MAN'!B1151</f>
        <v>76W-B251</v>
      </c>
      <c r="C1151" s="10" t="str">
        <f>'[6]price list MAN'!C1151</f>
        <v>TGS-27-4406X4BBS-L-STEEL</v>
      </c>
      <c r="D1151" s="16" t="str">
        <f>IFERROR(VLOOKUP(C1151&amp;"",'[7]Retail Price List'!$A$3:$B$103,2,FALSE),"Special Order")</f>
        <v>KP000718</v>
      </c>
      <c r="E1151" s="494" t="str">
        <f>'[6]price list MAN'!E1151</f>
        <v>CKD</v>
      </c>
      <c r="F1151" s="11" t="str">
        <f>'[6]price list MAN'!F1151</f>
        <v>2018-04-30</v>
      </c>
      <c r="G1151" s="32">
        <f>'[6]price list MAN'!G1151</f>
        <v>15.3</v>
      </c>
      <c r="H1151" s="26">
        <f>'[6]price list MAN'!H1151</f>
        <v>42978</v>
      </c>
      <c r="I1151" s="51" t="str">
        <f t="shared" si="85"/>
        <v>2017Q3</v>
      </c>
      <c r="J1151" s="177">
        <f>'[6]price list MAN'!J1151</f>
        <v>1780000</v>
      </c>
      <c r="K1151" s="177">
        <f>'[6]price list MAN'!P1151</f>
        <v>1370250</v>
      </c>
      <c r="L1151" s="177">
        <f>'[6]price list MAN'!R1151</f>
        <v>1305000</v>
      </c>
      <c r="M1151" s="174">
        <f>'[6]price list MAN'!S1151</f>
        <v>1835000</v>
      </c>
      <c r="N1151" s="174">
        <f>'[6]price list MAN'!Y1151</f>
        <v>1428000</v>
      </c>
      <c r="O1151" s="174">
        <f>'[6]price list MAN'!AA1151</f>
        <v>1360000</v>
      </c>
      <c r="P1151" s="68">
        <f t="shared" si="86"/>
        <v>0.25885558583106266</v>
      </c>
      <c r="Q1151" s="62" t="e">
        <f>O1151-#REF!</f>
        <v>#REF!</v>
      </c>
      <c r="W1151" s="210"/>
      <c r="X1151" s="210"/>
      <c r="Y1151" s="210"/>
      <c r="Z1151" s="210"/>
      <c r="AA1151" s="210"/>
      <c r="AB1151" s="210"/>
      <c r="AC1151" s="210"/>
      <c r="AT1151" s="425" t="str">
        <f t="shared" si="87"/>
        <v>KP0007182017Q315,3</v>
      </c>
      <c r="AU1151" s="64" t="str">
        <f t="shared" si="88"/>
        <v>08-2017</v>
      </c>
      <c r="BA1151" s="428" t="str">
        <f t="shared" si="89"/>
        <v>WIP - 30 Days</v>
      </c>
    </row>
    <row r="1152" spans="2:53">
      <c r="B1152" s="36" t="str">
        <f>'[6]price list MAN'!B1152</f>
        <v>76W-B252</v>
      </c>
      <c r="C1152" s="10" t="str">
        <f>'[6]price list MAN'!C1152</f>
        <v>TGS-27-4406X4BBS-L-STEEL</v>
      </c>
      <c r="D1152" s="16" t="str">
        <f>IFERROR(VLOOKUP(C1152&amp;"",'[7]Retail Price List'!$A$3:$B$103,2,FALSE),"Special Order")</f>
        <v>KP000718</v>
      </c>
      <c r="E1152" s="494" t="str">
        <f>'[6]price list MAN'!E1152</f>
        <v>CKD</v>
      </c>
      <c r="F1152" s="11" t="str">
        <f>'[6]price list MAN'!F1152</f>
        <v>2018-04-30</v>
      </c>
      <c r="G1152" s="32">
        <f>'[6]price list MAN'!G1152</f>
        <v>15.3</v>
      </c>
      <c r="H1152" s="26">
        <f>'[6]price list MAN'!H1152</f>
        <v>42978</v>
      </c>
      <c r="I1152" s="51" t="str">
        <f t="shared" si="85"/>
        <v>2017Q3</v>
      </c>
      <c r="J1152" s="177">
        <f>'[6]price list MAN'!J1152</f>
        <v>1780000</v>
      </c>
      <c r="K1152" s="177">
        <f>'[6]price list MAN'!P1152</f>
        <v>1370250</v>
      </c>
      <c r="L1152" s="177">
        <f>'[6]price list MAN'!R1152</f>
        <v>1305000</v>
      </c>
      <c r="M1152" s="174">
        <f>'[6]price list MAN'!S1152</f>
        <v>1835000</v>
      </c>
      <c r="N1152" s="174">
        <f>'[6]price list MAN'!Y1152</f>
        <v>1428000</v>
      </c>
      <c r="O1152" s="174">
        <f>'[6]price list MAN'!AA1152</f>
        <v>1360000</v>
      </c>
      <c r="P1152" s="68">
        <f t="shared" si="86"/>
        <v>0.25885558583106266</v>
      </c>
      <c r="Q1152" s="62" t="e">
        <f>O1152-#REF!</f>
        <v>#REF!</v>
      </c>
      <c r="W1152" s="210"/>
      <c r="X1152" s="210"/>
      <c r="Y1152" s="210"/>
      <c r="Z1152" s="210"/>
      <c r="AA1152" s="210"/>
      <c r="AB1152" s="210"/>
      <c r="AC1152" s="210"/>
      <c r="AT1152" s="425" t="str">
        <f t="shared" si="87"/>
        <v>KP0007182017Q315,3</v>
      </c>
      <c r="AU1152" s="64" t="str">
        <f t="shared" si="88"/>
        <v>08-2017</v>
      </c>
      <c r="BA1152" s="428" t="str">
        <f t="shared" si="89"/>
        <v>WIP - 30 Days</v>
      </c>
    </row>
    <row r="1153" spans="2:53">
      <c r="B1153" s="36" t="str">
        <f>'[6]price list MAN'!B1153</f>
        <v>76W-B253</v>
      </c>
      <c r="C1153" s="10" t="str">
        <f>'[6]price list MAN'!C1153</f>
        <v>TGS-27-4406X4BBS-L-STEEL</v>
      </c>
      <c r="D1153" s="16" t="str">
        <f>IFERROR(VLOOKUP(C1153&amp;"",'[7]Retail Price List'!$A$3:$B$103,2,FALSE),"Special Order")</f>
        <v>KP000718</v>
      </c>
      <c r="E1153" s="494" t="str">
        <f>'[6]price list MAN'!E1153</f>
        <v>CKD</v>
      </c>
      <c r="F1153" s="11" t="str">
        <f>'[6]price list MAN'!F1153</f>
        <v>2018-04-30</v>
      </c>
      <c r="G1153" s="32">
        <f>'[6]price list MAN'!G1153</f>
        <v>15.3</v>
      </c>
      <c r="H1153" s="26">
        <f>'[6]price list MAN'!H1153</f>
        <v>42978</v>
      </c>
      <c r="I1153" s="51" t="str">
        <f t="shared" si="85"/>
        <v>2017Q3</v>
      </c>
      <c r="J1153" s="177">
        <f>'[6]price list MAN'!J1153</f>
        <v>1780000</v>
      </c>
      <c r="K1153" s="177">
        <f>'[6]price list MAN'!P1153</f>
        <v>1370250</v>
      </c>
      <c r="L1153" s="177">
        <f>'[6]price list MAN'!R1153</f>
        <v>1305000</v>
      </c>
      <c r="M1153" s="174">
        <f>'[6]price list MAN'!S1153</f>
        <v>1835000</v>
      </c>
      <c r="N1153" s="174">
        <f>'[6]price list MAN'!Y1153</f>
        <v>1428000</v>
      </c>
      <c r="O1153" s="174">
        <f>'[6]price list MAN'!AA1153</f>
        <v>1360000</v>
      </c>
      <c r="P1153" s="68">
        <f t="shared" si="86"/>
        <v>0.25885558583106266</v>
      </c>
      <c r="Q1153" s="62" t="e">
        <f>O1153-#REF!</f>
        <v>#REF!</v>
      </c>
      <c r="W1153" s="210"/>
      <c r="X1153" s="210"/>
      <c r="Y1153" s="210"/>
      <c r="Z1153" s="210"/>
      <c r="AA1153" s="210"/>
      <c r="AB1153" s="210"/>
      <c r="AC1153" s="210"/>
      <c r="AT1153" s="425" t="str">
        <f t="shared" si="87"/>
        <v>KP0007182017Q315,3</v>
      </c>
      <c r="AU1153" s="64" t="str">
        <f t="shared" si="88"/>
        <v>08-2017</v>
      </c>
      <c r="BA1153" s="428" t="str">
        <f t="shared" si="89"/>
        <v>WIP - 30 Days</v>
      </c>
    </row>
    <row r="1154" spans="2:53">
      <c r="B1154" s="36" t="str">
        <f>'[6]price list MAN'!B1154</f>
        <v>76W-B254</v>
      </c>
      <c r="C1154" s="10" t="str">
        <f>'[6]price list MAN'!C1154</f>
        <v>TGS-27-4406X4BBS-L-STEEL</v>
      </c>
      <c r="D1154" s="16" t="str">
        <f>IFERROR(VLOOKUP(C1154&amp;"",'[7]Retail Price List'!$A$3:$B$103,2,FALSE),"Special Order")</f>
        <v>KP000718</v>
      </c>
      <c r="E1154" s="494" t="str">
        <f>'[6]price list MAN'!E1154</f>
        <v>CKD</v>
      </c>
      <c r="F1154" s="11" t="str">
        <f>'[6]price list MAN'!F1154</f>
        <v>2018-04-30</v>
      </c>
      <c r="G1154" s="32">
        <f>'[6]price list MAN'!G1154</f>
        <v>15.3</v>
      </c>
      <c r="H1154" s="26">
        <f>'[6]price list MAN'!H1154</f>
        <v>42978</v>
      </c>
      <c r="I1154" s="51" t="str">
        <f t="shared" si="85"/>
        <v>2017Q3</v>
      </c>
      <c r="J1154" s="177">
        <f>'[6]price list MAN'!J1154</f>
        <v>1780000</v>
      </c>
      <c r="K1154" s="177">
        <f>'[6]price list MAN'!P1154</f>
        <v>1370250</v>
      </c>
      <c r="L1154" s="177">
        <f>'[6]price list MAN'!R1154</f>
        <v>1305000</v>
      </c>
      <c r="M1154" s="174">
        <f>'[6]price list MAN'!S1154</f>
        <v>1835000</v>
      </c>
      <c r="N1154" s="174">
        <f>'[6]price list MAN'!Y1154</f>
        <v>1428000</v>
      </c>
      <c r="O1154" s="174">
        <f>'[6]price list MAN'!AA1154</f>
        <v>1360000</v>
      </c>
      <c r="P1154" s="68">
        <f t="shared" si="86"/>
        <v>0.25885558583106266</v>
      </c>
      <c r="Q1154" s="62" t="e">
        <f>O1154-#REF!</f>
        <v>#REF!</v>
      </c>
      <c r="W1154" s="210"/>
      <c r="X1154" s="210"/>
      <c r="Y1154" s="210"/>
      <c r="Z1154" s="210"/>
      <c r="AA1154" s="210"/>
      <c r="AB1154" s="210"/>
      <c r="AC1154" s="210"/>
      <c r="AT1154" s="425" t="str">
        <f t="shared" si="87"/>
        <v>KP0007182017Q315,3</v>
      </c>
      <c r="AU1154" s="64" t="str">
        <f t="shared" si="88"/>
        <v>08-2017</v>
      </c>
      <c r="BA1154" s="428" t="str">
        <f t="shared" si="89"/>
        <v>WIP - 30 Days</v>
      </c>
    </row>
    <row r="1155" spans="2:53">
      <c r="B1155" s="36" t="str">
        <f>'[6]price list MAN'!B1155</f>
        <v>TBAKP718</v>
      </c>
      <c r="C1155" s="10" t="str">
        <f>'[6]price list MAN'!C1155</f>
        <v>TGS-27-4406X4BBS-L-STEEL</v>
      </c>
      <c r="D1155" s="16" t="str">
        <f>IFERROR(VLOOKUP(C1155&amp;"",'[7]Retail Price List'!$A$3:$B$103,2,FALSE),"Special Order")</f>
        <v>KP000718</v>
      </c>
      <c r="E1155" s="494" t="str">
        <f>'[6]price list MAN'!E1155</f>
        <v>CKD</v>
      </c>
      <c r="F1155" s="11" t="str">
        <f>'[6]price list MAN'!F1155</f>
        <v>2018-08-19</v>
      </c>
      <c r="G1155" s="32">
        <f>'[6]price list MAN'!G1155</f>
        <v>15.8</v>
      </c>
      <c r="H1155" s="26">
        <f>'[6]price list MAN'!H1155</f>
        <v>43159</v>
      </c>
      <c r="I1155" s="51" t="str">
        <f t="shared" si="85"/>
        <v>2018Q1</v>
      </c>
      <c r="J1155" s="177">
        <f>'[6]price list MAN'!J1155</f>
        <v>1780000</v>
      </c>
      <c r="K1155" s="177">
        <f>'[6]price list MAN'!P1155</f>
        <v>1407000</v>
      </c>
      <c r="L1155" s="177">
        <f>'[6]price list MAN'!R1155</f>
        <v>1340000</v>
      </c>
      <c r="M1155" s="174">
        <f>'[6]price list MAN'!S1155</f>
        <v>1835000</v>
      </c>
      <c r="N1155" s="174">
        <f>'[6]price list MAN'!Y1155</f>
        <v>1464750</v>
      </c>
      <c r="O1155" s="174">
        <f>'[6]price list MAN'!AA1155</f>
        <v>1395000</v>
      </c>
      <c r="P1155" s="68">
        <f t="shared" si="86"/>
        <v>0.23978201634877383</v>
      </c>
      <c r="Q1155" s="62" t="e">
        <f>O1155-#REF!</f>
        <v>#REF!</v>
      </c>
      <c r="W1155" s="210"/>
      <c r="X1155" s="210"/>
      <c r="Y1155" s="210"/>
      <c r="Z1155" s="210"/>
      <c r="AA1155" s="210"/>
      <c r="AB1155" s="210"/>
      <c r="AC1155" s="210"/>
      <c r="AT1155" s="425" t="str">
        <f t="shared" si="87"/>
        <v>KP0007182018Q115,8</v>
      </c>
      <c r="AU1155" s="64" t="str">
        <f t="shared" si="88"/>
        <v>02-2018</v>
      </c>
      <c r="BA1155" s="428" t="str">
        <f t="shared" si="89"/>
        <v>WIP - 30 Days</v>
      </c>
    </row>
    <row r="1156" spans="2:53">
      <c r="B1156" s="36" t="str">
        <f>'[6]price list MAN'!B1156</f>
        <v>76W-9356</v>
      </c>
      <c r="C1156" s="10" t="str">
        <f>'[6]price list MAN'!C1156</f>
        <v>TGS-27-4406X4BBS-LX</v>
      </c>
      <c r="D1156" s="16" t="str">
        <f>IFERROR(VLOOKUP(C1156&amp;"",'[7]Retail Price List'!$A$3:$B$103,2,FALSE),"Special Order")</f>
        <v>KP000753</v>
      </c>
      <c r="E1156" s="494" t="str">
        <f>'[6]price list MAN'!E1156</f>
        <v>SOLD</v>
      </c>
      <c r="F1156" s="11">
        <f>'[6]price list MAN'!F1156</f>
        <v>82</v>
      </c>
      <c r="G1156" s="32">
        <f>'[6]price list MAN'!G1156</f>
        <v>14.7</v>
      </c>
      <c r="H1156" s="26">
        <f>'[6]price list MAN'!H1156</f>
        <v>42859</v>
      </c>
      <c r="I1156" s="51" t="str">
        <f t="shared" si="85"/>
        <v>2017Q2</v>
      </c>
      <c r="J1156" s="177">
        <f>'[6]price list MAN'!J1156</f>
        <v>1740000</v>
      </c>
      <c r="K1156" s="177">
        <f>'[6]price list MAN'!P1156</f>
        <v>1386000</v>
      </c>
      <c r="L1156" s="177">
        <f>'[6]price list MAN'!R1156</f>
        <v>1320000</v>
      </c>
      <c r="M1156" s="174">
        <f>'[6]price list MAN'!S1156</f>
        <v>1795000</v>
      </c>
      <c r="N1156" s="174">
        <f>'[6]price list MAN'!Y1156</f>
        <v>1443750</v>
      </c>
      <c r="O1156" s="174">
        <f>'[6]price list MAN'!AA1156</f>
        <v>1375000</v>
      </c>
      <c r="P1156" s="68">
        <f t="shared" si="86"/>
        <v>0.23398328690807799</v>
      </c>
      <c r="Q1156" s="62" t="e">
        <f>O1156-#REF!</f>
        <v>#REF!</v>
      </c>
      <c r="W1156" s="210"/>
      <c r="X1156" s="210"/>
      <c r="Y1156" s="210"/>
      <c r="Z1156" s="210"/>
      <c r="AA1156" s="210"/>
      <c r="AB1156" s="210"/>
      <c r="AC1156" s="210"/>
      <c r="AT1156" s="425" t="str">
        <f t="shared" si="87"/>
        <v>KP0007532017Q214,7</v>
      </c>
      <c r="AU1156" s="64" t="str">
        <f t="shared" si="88"/>
        <v>05-2017</v>
      </c>
      <c r="BA1156" s="428" t="str">
        <f t="shared" si="89"/>
        <v>31-120 Days</v>
      </c>
    </row>
    <row r="1157" spans="2:53">
      <c r="B1157" s="36" t="str">
        <f>'[6]price list MAN'!B1157</f>
        <v>76W-9357</v>
      </c>
      <c r="C1157" s="10" t="str">
        <f>'[6]price list MAN'!C1157</f>
        <v>TGS-27-4406X4BBS-LX</v>
      </c>
      <c r="D1157" s="16" t="str">
        <f>IFERROR(VLOOKUP(C1157&amp;"",'[7]Retail Price List'!$A$3:$B$103,2,FALSE),"Special Order")</f>
        <v>KP000753</v>
      </c>
      <c r="E1157" s="494" t="str">
        <f>'[6]price list MAN'!E1157</f>
        <v>SOLD</v>
      </c>
      <c r="F1157" s="11">
        <f>'[6]price list MAN'!F1157</f>
        <v>78</v>
      </c>
      <c r="G1157" s="32">
        <f>'[6]price list MAN'!G1157</f>
        <v>14.7</v>
      </c>
      <c r="H1157" s="26">
        <f>'[6]price list MAN'!H1157</f>
        <v>42859</v>
      </c>
      <c r="I1157" s="51" t="str">
        <f t="shared" ref="I1157:I1220" si="90">IFERROR(VLOOKUP(AU1157,$AW$5:$AY$40,3,FALSE),"")</f>
        <v>2017Q2</v>
      </c>
      <c r="J1157" s="177">
        <f>'[6]price list MAN'!J1157</f>
        <v>1740000</v>
      </c>
      <c r="K1157" s="177">
        <f>'[6]price list MAN'!P1157</f>
        <v>1386000</v>
      </c>
      <c r="L1157" s="177">
        <f>'[6]price list MAN'!R1157</f>
        <v>1320000</v>
      </c>
      <c r="M1157" s="174">
        <f>'[6]price list MAN'!S1157</f>
        <v>1795000</v>
      </c>
      <c r="N1157" s="174">
        <f>'[6]price list MAN'!Y1157</f>
        <v>1443750</v>
      </c>
      <c r="O1157" s="174">
        <f>'[6]price list MAN'!AA1157</f>
        <v>1375000</v>
      </c>
      <c r="P1157" s="68">
        <f t="shared" ref="P1157:P1220" si="91">(M1157-O1157)/M1157</f>
        <v>0.23398328690807799</v>
      </c>
      <c r="Q1157" s="62" t="e">
        <f>O1157-#REF!</f>
        <v>#REF!</v>
      </c>
      <c r="W1157" s="210"/>
      <c r="X1157" s="210"/>
      <c r="Y1157" s="210"/>
      <c r="Z1157" s="210"/>
      <c r="AA1157" s="210"/>
      <c r="AB1157" s="210"/>
      <c r="AC1157" s="210"/>
      <c r="AT1157" s="425" t="str">
        <f t="shared" ref="AT1157:AT1220" si="92">D1157&amp;I1157&amp;G1157</f>
        <v>KP0007532017Q214,7</v>
      </c>
      <c r="AU1157" s="64" t="str">
        <f t="shared" ref="AU1157:AU1220" si="93">IF(MONTH(H1157)&lt;10,0&amp;MONTH(H1157)&amp;"-"&amp;YEAR(H1157),MONTH(H1157)&amp;"-"&amp;YEAR(H1157))</f>
        <v>05-2017</v>
      </c>
      <c r="BA1157" s="428" t="str">
        <f t="shared" ref="BA1157:BA1220" si="94">IF(B1157=0,"",IF(AND(F1157&gt;=31,F1157&lt;=120),"31-120 Days",IF(AND(F1157&gt;=121,F1157&lt;=365),"121-365 Days",IF(OR(E1157="CKD",F1157&lt;=30),"WIP - 30 Days","&gt;365 Days"))))</f>
        <v>31-120 Days</v>
      </c>
    </row>
    <row r="1158" spans="2:53">
      <c r="B1158" s="36" t="str">
        <f>'[6]price list MAN'!B1158</f>
        <v>76W-9358</v>
      </c>
      <c r="C1158" s="10" t="str">
        <f>'[6]price list MAN'!C1158</f>
        <v>TGS-27-4406X4BBS-LX</v>
      </c>
      <c r="D1158" s="16" t="str">
        <f>IFERROR(VLOOKUP(C1158&amp;"",'[7]Retail Price List'!$A$3:$B$103,2,FALSE),"Special Order")</f>
        <v>KP000753</v>
      </c>
      <c r="E1158" s="494" t="str">
        <f>'[6]price list MAN'!E1158</f>
        <v>SOLD</v>
      </c>
      <c r="F1158" s="11">
        <f>'[6]price list MAN'!F1158</f>
        <v>77</v>
      </c>
      <c r="G1158" s="32">
        <f>'[6]price list MAN'!G1158</f>
        <v>14.7</v>
      </c>
      <c r="H1158" s="26">
        <f>'[6]price list MAN'!H1158</f>
        <v>42859</v>
      </c>
      <c r="I1158" s="51" t="str">
        <f t="shared" si="90"/>
        <v>2017Q2</v>
      </c>
      <c r="J1158" s="177">
        <f>'[6]price list MAN'!J1158</f>
        <v>1740000</v>
      </c>
      <c r="K1158" s="177">
        <f>'[6]price list MAN'!P1158</f>
        <v>1386000</v>
      </c>
      <c r="L1158" s="177">
        <f>'[6]price list MAN'!R1158</f>
        <v>1320000</v>
      </c>
      <c r="M1158" s="174">
        <f>'[6]price list MAN'!S1158</f>
        <v>1795000</v>
      </c>
      <c r="N1158" s="174">
        <f>'[6]price list MAN'!Y1158</f>
        <v>1443750</v>
      </c>
      <c r="O1158" s="174">
        <f>'[6]price list MAN'!AA1158</f>
        <v>1375000</v>
      </c>
      <c r="P1158" s="68">
        <f t="shared" si="91"/>
        <v>0.23398328690807799</v>
      </c>
      <c r="Q1158" s="62" t="e">
        <f>O1158-#REF!</f>
        <v>#REF!</v>
      </c>
      <c r="W1158" s="210"/>
      <c r="X1158" s="210"/>
      <c r="Y1158" s="210"/>
      <c r="Z1158" s="210"/>
      <c r="AA1158" s="210"/>
      <c r="AB1158" s="210"/>
      <c r="AC1158" s="210"/>
      <c r="AT1158" s="425" t="str">
        <f t="shared" si="92"/>
        <v>KP0007532017Q214,7</v>
      </c>
      <c r="AU1158" s="64" t="str">
        <f t="shared" si="93"/>
        <v>05-2017</v>
      </c>
      <c r="BA1158" s="428" t="str">
        <f t="shared" si="94"/>
        <v>31-120 Days</v>
      </c>
    </row>
    <row r="1159" spans="2:53">
      <c r="B1159" s="36" t="str">
        <f>'[6]price list MAN'!B1159</f>
        <v>76W-9359</v>
      </c>
      <c r="C1159" s="10" t="str">
        <f>'[6]price list MAN'!C1159</f>
        <v>TGS-27-4406X4BBS-LX</v>
      </c>
      <c r="D1159" s="16" t="str">
        <f>IFERROR(VLOOKUP(C1159&amp;"",'[7]Retail Price List'!$A$3:$B$103,2,FALSE),"Special Order")</f>
        <v>KP000753</v>
      </c>
      <c r="E1159" s="494" t="str">
        <f>'[6]price list MAN'!E1159</f>
        <v>SOLD</v>
      </c>
      <c r="F1159" s="11">
        <f>'[6]price list MAN'!F1159</f>
        <v>76</v>
      </c>
      <c r="G1159" s="32">
        <f>'[6]price list MAN'!G1159</f>
        <v>14.7</v>
      </c>
      <c r="H1159" s="26">
        <f>'[6]price list MAN'!H1159</f>
        <v>42859</v>
      </c>
      <c r="I1159" s="51" t="str">
        <f t="shared" si="90"/>
        <v>2017Q2</v>
      </c>
      <c r="J1159" s="177">
        <f>'[6]price list MAN'!J1159</f>
        <v>1740000</v>
      </c>
      <c r="K1159" s="177">
        <f>'[6]price list MAN'!P1159</f>
        <v>1386000</v>
      </c>
      <c r="L1159" s="177">
        <f>'[6]price list MAN'!R1159</f>
        <v>1320000</v>
      </c>
      <c r="M1159" s="174">
        <f>'[6]price list MAN'!S1159</f>
        <v>1795000</v>
      </c>
      <c r="N1159" s="174">
        <f>'[6]price list MAN'!Y1159</f>
        <v>1443750</v>
      </c>
      <c r="O1159" s="174">
        <f>'[6]price list MAN'!AA1159</f>
        <v>1375000</v>
      </c>
      <c r="P1159" s="68">
        <f t="shared" si="91"/>
        <v>0.23398328690807799</v>
      </c>
      <c r="Q1159" s="62" t="e">
        <f>O1159-#REF!</f>
        <v>#REF!</v>
      </c>
      <c r="W1159" s="210"/>
      <c r="X1159" s="210"/>
      <c r="Y1159" s="210"/>
      <c r="Z1159" s="210"/>
      <c r="AA1159" s="210"/>
      <c r="AB1159" s="210"/>
      <c r="AC1159" s="210"/>
      <c r="AT1159" s="425" t="str">
        <f t="shared" si="92"/>
        <v>KP0007532017Q214,7</v>
      </c>
      <c r="AU1159" s="64" t="str">
        <f t="shared" si="93"/>
        <v>05-2017</v>
      </c>
      <c r="BA1159" s="428" t="str">
        <f t="shared" si="94"/>
        <v>31-120 Days</v>
      </c>
    </row>
    <row r="1160" spans="2:53">
      <c r="B1160" s="36" t="str">
        <f>'[6]price list MAN'!B1160</f>
        <v>76W-9360</v>
      </c>
      <c r="C1160" s="10" t="str">
        <f>'[6]price list MAN'!C1160</f>
        <v>TGS-27-4406X4BBS-LX</v>
      </c>
      <c r="D1160" s="16" t="str">
        <f>IFERROR(VLOOKUP(C1160&amp;"",'[7]Retail Price List'!$A$3:$B$103,2,FALSE),"Special Order")</f>
        <v>KP000753</v>
      </c>
      <c r="E1160" s="494" t="str">
        <f>'[6]price list MAN'!E1160</f>
        <v>SOLD</v>
      </c>
      <c r="F1160" s="11">
        <f>'[6]price list MAN'!F1160</f>
        <v>76</v>
      </c>
      <c r="G1160" s="32">
        <f>'[6]price list MAN'!G1160</f>
        <v>14.7</v>
      </c>
      <c r="H1160" s="26">
        <f>'[6]price list MAN'!H1160</f>
        <v>42859</v>
      </c>
      <c r="I1160" s="51" t="str">
        <f t="shared" si="90"/>
        <v>2017Q2</v>
      </c>
      <c r="J1160" s="177">
        <f>'[6]price list MAN'!J1160</f>
        <v>1740000</v>
      </c>
      <c r="K1160" s="177">
        <f>'[6]price list MAN'!P1160</f>
        <v>1386000</v>
      </c>
      <c r="L1160" s="177">
        <f>'[6]price list MAN'!R1160</f>
        <v>1320000</v>
      </c>
      <c r="M1160" s="174">
        <f>'[6]price list MAN'!S1160</f>
        <v>1795000</v>
      </c>
      <c r="N1160" s="174">
        <f>'[6]price list MAN'!Y1160</f>
        <v>1443750</v>
      </c>
      <c r="O1160" s="174">
        <f>'[6]price list MAN'!AA1160</f>
        <v>1375000</v>
      </c>
      <c r="P1160" s="68">
        <f t="shared" si="91"/>
        <v>0.23398328690807799</v>
      </c>
      <c r="Q1160" s="62" t="e">
        <f>O1160-#REF!</f>
        <v>#REF!</v>
      </c>
      <c r="W1160" s="210"/>
      <c r="X1160" s="210"/>
      <c r="Y1160" s="210"/>
      <c r="Z1160" s="210"/>
      <c r="AA1160" s="210"/>
      <c r="AB1160" s="210"/>
      <c r="AC1160" s="210"/>
      <c r="AT1160" s="425" t="str">
        <f t="shared" si="92"/>
        <v>KP0007532017Q214,7</v>
      </c>
      <c r="AU1160" s="64" t="str">
        <f t="shared" si="93"/>
        <v>05-2017</v>
      </c>
      <c r="BA1160" s="428" t="str">
        <f t="shared" si="94"/>
        <v>31-120 Days</v>
      </c>
    </row>
    <row r="1161" spans="2:53">
      <c r="B1161" s="36" t="str">
        <f>'[6]price list MAN'!B1161</f>
        <v>76W-9652</v>
      </c>
      <c r="C1161" s="10" t="str">
        <f>'[6]price list MAN'!C1161</f>
        <v>TGS-27-4406X4BBS-LX</v>
      </c>
      <c r="D1161" s="16" t="str">
        <f>IFERROR(VLOOKUP(C1161&amp;"",'[7]Retail Price List'!$A$3:$B$103,2,FALSE),"Special Order")</f>
        <v>KP000753</v>
      </c>
      <c r="E1161" s="494" t="str">
        <f>'[6]price list MAN'!E1161</f>
        <v>SOLD</v>
      </c>
      <c r="F1161" s="11">
        <f>'[6]price list MAN'!F1161</f>
        <v>5</v>
      </c>
      <c r="G1161" s="32">
        <f>'[6]price list MAN'!G1161</f>
        <v>14.7</v>
      </c>
      <c r="H1161" s="26">
        <f>'[6]price list MAN'!H1161</f>
        <v>42947</v>
      </c>
      <c r="I1161" s="51" t="str">
        <f t="shared" si="90"/>
        <v>201707Q3</v>
      </c>
      <c r="J1161" s="177">
        <f>'[6]price list MAN'!J1161</f>
        <v>1740000</v>
      </c>
      <c r="K1161" s="177">
        <f>'[6]price list MAN'!P1161</f>
        <v>1386000</v>
      </c>
      <c r="L1161" s="177">
        <f>'[6]price list MAN'!R1161</f>
        <v>1320000</v>
      </c>
      <c r="M1161" s="174">
        <f>'[6]price list MAN'!S1161</f>
        <v>1795000</v>
      </c>
      <c r="N1161" s="174">
        <f>'[6]price list MAN'!Y1161</f>
        <v>1443750</v>
      </c>
      <c r="O1161" s="174">
        <f>'[6]price list MAN'!AA1161</f>
        <v>1375000</v>
      </c>
      <c r="P1161" s="68">
        <f t="shared" si="91"/>
        <v>0.23398328690807799</v>
      </c>
      <c r="Q1161" s="62" t="e">
        <f>O1161-#REF!</f>
        <v>#REF!</v>
      </c>
      <c r="W1161" s="210"/>
      <c r="X1161" s="210"/>
      <c r="Y1161" s="210"/>
      <c r="Z1161" s="210"/>
      <c r="AA1161" s="210"/>
      <c r="AB1161" s="210"/>
      <c r="AC1161" s="210"/>
      <c r="AT1161" s="425" t="str">
        <f t="shared" si="92"/>
        <v>KP000753201707Q314,7</v>
      </c>
      <c r="AU1161" s="64" t="str">
        <f t="shared" si="93"/>
        <v>07-2017</v>
      </c>
      <c r="BA1161" s="428" t="str">
        <f t="shared" si="94"/>
        <v>WIP - 30 Days</v>
      </c>
    </row>
    <row r="1162" spans="2:53">
      <c r="B1162" s="36" t="str">
        <f>'[6]price list MAN'!B1162</f>
        <v>76W-9653</v>
      </c>
      <c r="C1162" s="10" t="str">
        <f>'[6]price list MAN'!C1162</f>
        <v>TGS-27-4406X4BBS-LX</v>
      </c>
      <c r="D1162" s="16" t="str">
        <f>IFERROR(VLOOKUP(C1162&amp;"",'[7]Retail Price List'!$A$3:$B$103,2,FALSE),"Special Order")</f>
        <v>KP000753</v>
      </c>
      <c r="E1162" s="494" t="str">
        <f>'[6]price list MAN'!E1162</f>
        <v>SOLD</v>
      </c>
      <c r="F1162" s="11">
        <f>'[6]price list MAN'!F1162</f>
        <v>7</v>
      </c>
      <c r="G1162" s="32">
        <f>'[6]price list MAN'!G1162</f>
        <v>14.7</v>
      </c>
      <c r="H1162" s="26">
        <f>'[6]price list MAN'!H1162</f>
        <v>42947</v>
      </c>
      <c r="I1162" s="51" t="str">
        <f t="shared" si="90"/>
        <v>201707Q3</v>
      </c>
      <c r="J1162" s="177">
        <f>'[6]price list MAN'!J1162</f>
        <v>1740000</v>
      </c>
      <c r="K1162" s="177">
        <f>'[6]price list MAN'!P1162</f>
        <v>1386000</v>
      </c>
      <c r="L1162" s="177">
        <f>'[6]price list MAN'!R1162</f>
        <v>1320000</v>
      </c>
      <c r="M1162" s="174">
        <f>'[6]price list MAN'!S1162</f>
        <v>1795000</v>
      </c>
      <c r="N1162" s="174">
        <f>'[6]price list MAN'!Y1162</f>
        <v>1443750</v>
      </c>
      <c r="O1162" s="174">
        <f>'[6]price list MAN'!AA1162</f>
        <v>1375000</v>
      </c>
      <c r="P1162" s="68">
        <f t="shared" si="91"/>
        <v>0.23398328690807799</v>
      </c>
      <c r="Q1162" s="62" t="e">
        <f>O1162-#REF!</f>
        <v>#REF!</v>
      </c>
      <c r="W1162" s="210"/>
      <c r="X1162" s="210"/>
      <c r="Y1162" s="210"/>
      <c r="Z1162" s="210"/>
      <c r="AA1162" s="210"/>
      <c r="AB1162" s="210"/>
      <c r="AC1162" s="210"/>
      <c r="AT1162" s="425" t="str">
        <f t="shared" si="92"/>
        <v>KP000753201707Q314,7</v>
      </c>
      <c r="AU1162" s="64" t="str">
        <f t="shared" si="93"/>
        <v>07-2017</v>
      </c>
      <c r="BA1162" s="428" t="str">
        <f t="shared" si="94"/>
        <v>WIP - 30 Days</v>
      </c>
    </row>
    <row r="1163" spans="2:53">
      <c r="B1163" s="36" t="str">
        <f>'[6]price list MAN'!B1163</f>
        <v>76W-9654</v>
      </c>
      <c r="C1163" s="10" t="str">
        <f>'[6]price list MAN'!C1163</f>
        <v>TGS-27-4406X4BBS-LX</v>
      </c>
      <c r="D1163" s="16" t="str">
        <f>IFERROR(VLOOKUP(C1163&amp;"",'[7]Retail Price List'!$A$3:$B$103,2,FALSE),"Special Order")</f>
        <v>KP000753</v>
      </c>
      <c r="E1163" s="494" t="str">
        <f>'[6]price list MAN'!E1163</f>
        <v>CKD</v>
      </c>
      <c r="F1163" s="11" t="str">
        <f>'[6]price list MAN'!F1163</f>
        <v>2018-02-20</v>
      </c>
      <c r="G1163" s="32">
        <f>'[6]price list MAN'!G1163</f>
        <v>14.7</v>
      </c>
      <c r="H1163" s="26">
        <f>'[6]price list MAN'!H1163</f>
        <v>42947</v>
      </c>
      <c r="I1163" s="51" t="str">
        <f t="shared" si="90"/>
        <v>201707Q3</v>
      </c>
      <c r="J1163" s="177">
        <f>'[6]price list MAN'!J1163</f>
        <v>1740000</v>
      </c>
      <c r="K1163" s="177">
        <f>'[6]price list MAN'!P1163</f>
        <v>1386000</v>
      </c>
      <c r="L1163" s="177">
        <f>'[6]price list MAN'!R1163</f>
        <v>1320000</v>
      </c>
      <c r="M1163" s="174">
        <f>'[6]price list MAN'!S1163</f>
        <v>1795000</v>
      </c>
      <c r="N1163" s="174">
        <f>'[6]price list MAN'!Y1163</f>
        <v>1443750</v>
      </c>
      <c r="O1163" s="174">
        <f>'[6]price list MAN'!AA1163</f>
        <v>1375000</v>
      </c>
      <c r="P1163" s="68">
        <f t="shared" si="91"/>
        <v>0.23398328690807799</v>
      </c>
      <c r="Q1163" s="62" t="e">
        <f>O1163-#REF!</f>
        <v>#REF!</v>
      </c>
      <c r="W1163" s="210"/>
      <c r="X1163" s="210"/>
      <c r="Y1163" s="210"/>
      <c r="Z1163" s="210"/>
      <c r="AA1163" s="210"/>
      <c r="AB1163" s="210"/>
      <c r="AC1163" s="210"/>
      <c r="AT1163" s="425" t="str">
        <f t="shared" si="92"/>
        <v>KP000753201707Q314,7</v>
      </c>
      <c r="AU1163" s="64" t="str">
        <f t="shared" si="93"/>
        <v>07-2017</v>
      </c>
      <c r="BA1163" s="428" t="str">
        <f t="shared" si="94"/>
        <v>WIP - 30 Days</v>
      </c>
    </row>
    <row r="1164" spans="2:53">
      <c r="B1164" s="36" t="str">
        <f>'[6]price list MAN'!B1164</f>
        <v>76W-9655</v>
      </c>
      <c r="C1164" s="10" t="str">
        <f>'[6]price list MAN'!C1164</f>
        <v>TGS-27-4406X4BBS-LX</v>
      </c>
      <c r="D1164" s="16" t="str">
        <f>IFERROR(VLOOKUP(C1164&amp;"",'[7]Retail Price List'!$A$3:$B$103,2,FALSE),"Special Order")</f>
        <v>KP000753</v>
      </c>
      <c r="E1164" s="494" t="str">
        <f>'[6]price list MAN'!E1164</f>
        <v>CKD</v>
      </c>
      <c r="F1164" s="11" t="str">
        <f>'[6]price list MAN'!F1164</f>
        <v>2018-02-28</v>
      </c>
      <c r="G1164" s="32">
        <f>'[6]price list MAN'!G1164</f>
        <v>14.7</v>
      </c>
      <c r="H1164" s="26">
        <f>'[6]price list MAN'!H1164</f>
        <v>42947</v>
      </c>
      <c r="I1164" s="51" t="str">
        <f t="shared" si="90"/>
        <v>201707Q3</v>
      </c>
      <c r="J1164" s="177">
        <f>'[6]price list MAN'!J1164</f>
        <v>1740000</v>
      </c>
      <c r="K1164" s="177">
        <f>'[6]price list MAN'!P1164</f>
        <v>1386000</v>
      </c>
      <c r="L1164" s="177">
        <f>'[6]price list MAN'!R1164</f>
        <v>1320000</v>
      </c>
      <c r="M1164" s="174">
        <f>'[6]price list MAN'!S1164</f>
        <v>1795000</v>
      </c>
      <c r="N1164" s="174">
        <f>'[6]price list MAN'!Y1164</f>
        <v>1443750</v>
      </c>
      <c r="O1164" s="174">
        <f>'[6]price list MAN'!AA1164</f>
        <v>1375000</v>
      </c>
      <c r="P1164" s="68">
        <f t="shared" si="91"/>
        <v>0.23398328690807799</v>
      </c>
      <c r="Q1164" s="62" t="e">
        <f>O1164-#REF!</f>
        <v>#REF!</v>
      </c>
      <c r="W1164" s="210"/>
      <c r="X1164" s="210"/>
      <c r="Y1164" s="210"/>
      <c r="Z1164" s="210"/>
      <c r="AA1164" s="210"/>
      <c r="AB1164" s="210"/>
      <c r="AC1164" s="210"/>
      <c r="AT1164" s="425" t="str">
        <f t="shared" si="92"/>
        <v>KP000753201707Q314,7</v>
      </c>
      <c r="AU1164" s="64" t="str">
        <f t="shared" si="93"/>
        <v>07-2017</v>
      </c>
      <c r="BA1164" s="428" t="str">
        <f t="shared" si="94"/>
        <v>WIP - 30 Days</v>
      </c>
    </row>
    <row r="1165" spans="2:53">
      <c r="B1165" s="36" t="str">
        <f>'[6]price list MAN'!B1165</f>
        <v>76W-9676</v>
      </c>
      <c r="C1165" s="10" t="str">
        <f>'[6]price list MAN'!C1165</f>
        <v>TGS-27-4406X4BBS-LX</v>
      </c>
      <c r="D1165" s="16" t="str">
        <f>IFERROR(VLOOKUP(C1165&amp;"",'[7]Retail Price List'!$A$3:$B$103,2,FALSE),"Special Order")</f>
        <v>KP000753</v>
      </c>
      <c r="E1165" s="494" t="str">
        <f>'[6]price list MAN'!E1165</f>
        <v>CKD</v>
      </c>
      <c r="F1165" s="11" t="str">
        <f>'[6]price list MAN'!F1165</f>
        <v>2018-03-30</v>
      </c>
      <c r="G1165" s="32">
        <f>'[6]price list MAN'!G1165</f>
        <v>14.7</v>
      </c>
      <c r="H1165" s="26">
        <f>'[6]price list MAN'!H1165</f>
        <v>42947</v>
      </c>
      <c r="I1165" s="51" t="str">
        <f t="shared" si="90"/>
        <v>201707Q3</v>
      </c>
      <c r="J1165" s="177">
        <f>'[6]price list MAN'!J1165</f>
        <v>1740000</v>
      </c>
      <c r="K1165" s="177">
        <f>'[6]price list MAN'!P1165</f>
        <v>1386000</v>
      </c>
      <c r="L1165" s="177">
        <f>'[6]price list MAN'!R1165</f>
        <v>1320000</v>
      </c>
      <c r="M1165" s="174">
        <f>'[6]price list MAN'!S1165</f>
        <v>1795000</v>
      </c>
      <c r="N1165" s="174">
        <f>'[6]price list MAN'!Y1165</f>
        <v>1443750</v>
      </c>
      <c r="O1165" s="174">
        <f>'[6]price list MAN'!AA1165</f>
        <v>1375000</v>
      </c>
      <c r="P1165" s="68">
        <f t="shared" si="91"/>
        <v>0.23398328690807799</v>
      </c>
      <c r="Q1165" s="62" t="e">
        <f>O1165-#REF!</f>
        <v>#REF!</v>
      </c>
      <c r="W1165" s="210"/>
      <c r="X1165" s="210"/>
      <c r="Y1165" s="210"/>
      <c r="Z1165" s="210"/>
      <c r="AA1165" s="210"/>
      <c r="AB1165" s="210"/>
      <c r="AC1165" s="210"/>
      <c r="AT1165" s="425" t="str">
        <f t="shared" si="92"/>
        <v>KP000753201707Q314,7</v>
      </c>
      <c r="AU1165" s="64" t="str">
        <f t="shared" si="93"/>
        <v>07-2017</v>
      </c>
      <c r="BA1165" s="428" t="str">
        <f t="shared" si="94"/>
        <v>WIP - 30 Days</v>
      </c>
    </row>
    <row r="1166" spans="2:53">
      <c r="B1166" s="36" t="str">
        <f>'[6]price list MAN'!B1166</f>
        <v>76W-9677</v>
      </c>
      <c r="C1166" s="10" t="str">
        <f>'[6]price list MAN'!C1166</f>
        <v>TGS-27-4406X4BBS-LX</v>
      </c>
      <c r="D1166" s="16" t="str">
        <f>IFERROR(VLOOKUP(C1166&amp;"",'[7]Retail Price List'!$A$3:$B$103,2,FALSE),"Special Order")</f>
        <v>KP000753</v>
      </c>
      <c r="E1166" s="494" t="str">
        <f>'[6]price list MAN'!E1166</f>
        <v>CKD</v>
      </c>
      <c r="F1166" s="11" t="str">
        <f>'[6]price list MAN'!F1166</f>
        <v>2018-03-30</v>
      </c>
      <c r="G1166" s="32">
        <f>'[6]price list MAN'!G1166</f>
        <v>14.7</v>
      </c>
      <c r="H1166" s="26">
        <f>'[6]price list MAN'!H1166</f>
        <v>42947</v>
      </c>
      <c r="I1166" s="51" t="str">
        <f t="shared" si="90"/>
        <v>201707Q3</v>
      </c>
      <c r="J1166" s="177">
        <f>'[6]price list MAN'!J1166</f>
        <v>1740000</v>
      </c>
      <c r="K1166" s="177">
        <f>'[6]price list MAN'!P1166</f>
        <v>1386000</v>
      </c>
      <c r="L1166" s="177">
        <f>'[6]price list MAN'!R1166</f>
        <v>1320000</v>
      </c>
      <c r="M1166" s="174">
        <f>'[6]price list MAN'!S1166</f>
        <v>1795000</v>
      </c>
      <c r="N1166" s="174">
        <f>'[6]price list MAN'!Y1166</f>
        <v>1443750</v>
      </c>
      <c r="O1166" s="174">
        <f>'[6]price list MAN'!AA1166</f>
        <v>1375000</v>
      </c>
      <c r="P1166" s="68">
        <f t="shared" si="91"/>
        <v>0.23398328690807799</v>
      </c>
      <c r="Q1166" s="62" t="e">
        <f>O1166-#REF!</f>
        <v>#REF!</v>
      </c>
      <c r="W1166" s="210"/>
      <c r="X1166" s="210"/>
      <c r="Y1166" s="210"/>
      <c r="Z1166" s="210"/>
      <c r="AA1166" s="210"/>
      <c r="AB1166" s="210"/>
      <c r="AC1166" s="210"/>
      <c r="AT1166" s="425" t="str">
        <f t="shared" si="92"/>
        <v>KP000753201707Q314,7</v>
      </c>
      <c r="AU1166" s="64" t="str">
        <f t="shared" si="93"/>
        <v>07-2017</v>
      </c>
      <c r="BA1166" s="428" t="str">
        <f t="shared" si="94"/>
        <v>WIP - 30 Days</v>
      </c>
    </row>
    <row r="1167" spans="2:53">
      <c r="B1167" s="36" t="str">
        <f>'[6]price list MAN'!B1167</f>
        <v>76W-9678</v>
      </c>
      <c r="C1167" s="10" t="str">
        <f>'[6]price list MAN'!C1167</f>
        <v>TGS-27-4406X4BBS-LX</v>
      </c>
      <c r="D1167" s="16" t="str">
        <f>IFERROR(VLOOKUP(C1167&amp;"",'[7]Retail Price List'!$A$3:$B$103,2,FALSE),"Special Order")</f>
        <v>KP000753</v>
      </c>
      <c r="E1167" s="494" t="str">
        <f>'[6]price list MAN'!E1167</f>
        <v>CKD</v>
      </c>
      <c r="F1167" s="11" t="str">
        <f>'[6]price list MAN'!F1167</f>
        <v>2018-03-30</v>
      </c>
      <c r="G1167" s="32">
        <f>'[6]price list MAN'!G1167</f>
        <v>14.7</v>
      </c>
      <c r="H1167" s="26">
        <f>'[6]price list MAN'!H1167</f>
        <v>42947</v>
      </c>
      <c r="I1167" s="51" t="str">
        <f t="shared" si="90"/>
        <v>201707Q3</v>
      </c>
      <c r="J1167" s="177">
        <f>'[6]price list MAN'!J1167</f>
        <v>1740000</v>
      </c>
      <c r="K1167" s="177">
        <f>'[6]price list MAN'!P1167</f>
        <v>1386000</v>
      </c>
      <c r="L1167" s="177">
        <f>'[6]price list MAN'!R1167</f>
        <v>1320000</v>
      </c>
      <c r="M1167" s="174">
        <f>'[6]price list MAN'!S1167</f>
        <v>1795000</v>
      </c>
      <c r="N1167" s="174">
        <f>'[6]price list MAN'!Y1167</f>
        <v>1443750</v>
      </c>
      <c r="O1167" s="174">
        <f>'[6]price list MAN'!AA1167</f>
        <v>1375000</v>
      </c>
      <c r="P1167" s="68">
        <f t="shared" si="91"/>
        <v>0.23398328690807799</v>
      </c>
      <c r="Q1167" s="62" t="e">
        <f>O1167-#REF!</f>
        <v>#REF!</v>
      </c>
      <c r="W1167" s="210"/>
      <c r="X1167" s="210"/>
      <c r="Y1167" s="210"/>
      <c r="Z1167" s="210"/>
      <c r="AA1167" s="210"/>
      <c r="AB1167" s="210"/>
      <c r="AC1167" s="210"/>
      <c r="AT1167" s="425" t="str">
        <f t="shared" si="92"/>
        <v>KP000753201707Q314,7</v>
      </c>
      <c r="AU1167" s="64" t="str">
        <f t="shared" si="93"/>
        <v>07-2017</v>
      </c>
      <c r="BA1167" s="428" t="str">
        <f t="shared" si="94"/>
        <v>WIP - 30 Days</v>
      </c>
    </row>
    <row r="1168" spans="2:53">
      <c r="B1168" s="36" t="str">
        <f>'[6]price list MAN'!B1168</f>
        <v>76W-9679</v>
      </c>
      <c r="C1168" s="10" t="str">
        <f>'[6]price list MAN'!C1168</f>
        <v>TGS-27-4406X4BBS-LX</v>
      </c>
      <c r="D1168" s="16" t="str">
        <f>IFERROR(VLOOKUP(C1168&amp;"",'[7]Retail Price List'!$A$3:$B$103,2,FALSE),"Special Order")</f>
        <v>KP000753</v>
      </c>
      <c r="E1168" s="494" t="str">
        <f>'[6]price list MAN'!E1168</f>
        <v>CKD</v>
      </c>
      <c r="F1168" s="11" t="str">
        <f>'[6]price list MAN'!F1168</f>
        <v>2018-03-30</v>
      </c>
      <c r="G1168" s="32">
        <f>'[6]price list MAN'!G1168</f>
        <v>14.7</v>
      </c>
      <c r="H1168" s="26">
        <f>'[6]price list MAN'!H1168</f>
        <v>42947</v>
      </c>
      <c r="I1168" s="51" t="str">
        <f t="shared" si="90"/>
        <v>201707Q3</v>
      </c>
      <c r="J1168" s="177">
        <f>'[6]price list MAN'!J1168</f>
        <v>1740000</v>
      </c>
      <c r="K1168" s="177">
        <f>'[6]price list MAN'!P1168</f>
        <v>1359750</v>
      </c>
      <c r="L1168" s="177">
        <f>'[6]price list MAN'!R1168</f>
        <v>1295000</v>
      </c>
      <c r="M1168" s="174">
        <f>'[6]price list MAN'!S1168</f>
        <v>1795000</v>
      </c>
      <c r="N1168" s="174">
        <f>'[6]price list MAN'!Y1168</f>
        <v>1417500</v>
      </c>
      <c r="O1168" s="174">
        <f>'[6]price list MAN'!AA1168</f>
        <v>1350000</v>
      </c>
      <c r="P1168" s="68">
        <f t="shared" si="91"/>
        <v>0.24791086350974931</v>
      </c>
      <c r="Q1168" s="62" t="e">
        <f>O1168-#REF!</f>
        <v>#REF!</v>
      </c>
      <c r="W1168" s="210"/>
      <c r="X1168" s="210"/>
      <c r="Y1168" s="210"/>
      <c r="Z1168" s="210"/>
      <c r="AA1168" s="210"/>
      <c r="AB1168" s="210"/>
      <c r="AC1168" s="210"/>
      <c r="AT1168" s="425" t="str">
        <f t="shared" si="92"/>
        <v>KP000753201707Q314,7</v>
      </c>
      <c r="AU1168" s="64" t="str">
        <f t="shared" si="93"/>
        <v>07-2017</v>
      </c>
      <c r="BA1168" s="428" t="str">
        <f t="shared" si="94"/>
        <v>WIP - 30 Days</v>
      </c>
    </row>
    <row r="1169" spans="2:53">
      <c r="B1169" s="36" t="str">
        <f>'[6]price list MAN'!B1169</f>
        <v>76W-9680</v>
      </c>
      <c r="C1169" s="10" t="str">
        <f>'[6]price list MAN'!C1169</f>
        <v>TGS-27-4406X4BBS-LX</v>
      </c>
      <c r="D1169" s="16" t="str">
        <f>IFERROR(VLOOKUP(C1169&amp;"",'[7]Retail Price List'!$A$3:$B$103,2,FALSE),"Special Order")</f>
        <v>KP000753</v>
      </c>
      <c r="E1169" s="494" t="str">
        <f>'[6]price list MAN'!E1169</f>
        <v>CKD</v>
      </c>
      <c r="F1169" s="11" t="str">
        <f>'[6]price list MAN'!F1169</f>
        <v>2018-03-30</v>
      </c>
      <c r="G1169" s="32">
        <f>'[6]price list MAN'!G1169</f>
        <v>14.7</v>
      </c>
      <c r="H1169" s="26">
        <f>'[6]price list MAN'!H1169</f>
        <v>42947</v>
      </c>
      <c r="I1169" s="51" t="str">
        <f t="shared" si="90"/>
        <v>201707Q3</v>
      </c>
      <c r="J1169" s="177">
        <f>'[6]price list MAN'!J1169</f>
        <v>1740000</v>
      </c>
      <c r="K1169" s="177">
        <f>'[6]price list MAN'!P1169</f>
        <v>1359750</v>
      </c>
      <c r="L1169" s="177">
        <f>'[6]price list MAN'!R1169</f>
        <v>1295000</v>
      </c>
      <c r="M1169" s="174">
        <f>'[6]price list MAN'!S1169</f>
        <v>1795000</v>
      </c>
      <c r="N1169" s="174">
        <f>'[6]price list MAN'!Y1169</f>
        <v>1417500</v>
      </c>
      <c r="O1169" s="174">
        <f>'[6]price list MAN'!AA1169</f>
        <v>1350000</v>
      </c>
      <c r="P1169" s="68">
        <f t="shared" si="91"/>
        <v>0.24791086350974931</v>
      </c>
      <c r="Q1169" s="62" t="e">
        <f>O1169-#REF!</f>
        <v>#REF!</v>
      </c>
      <c r="W1169" s="210"/>
      <c r="X1169" s="210"/>
      <c r="Y1169" s="210"/>
      <c r="Z1169" s="210"/>
      <c r="AA1169" s="210"/>
      <c r="AB1169" s="210"/>
      <c r="AC1169" s="210"/>
      <c r="AT1169" s="425" t="str">
        <f t="shared" si="92"/>
        <v>KP000753201707Q314,7</v>
      </c>
      <c r="AU1169" s="64" t="str">
        <f t="shared" si="93"/>
        <v>07-2017</v>
      </c>
      <c r="BA1169" s="428" t="str">
        <f t="shared" si="94"/>
        <v>WIP - 30 Days</v>
      </c>
    </row>
    <row r="1170" spans="2:53">
      <c r="B1170" s="36" t="str">
        <f>'[6]price list MAN'!B1170</f>
        <v>76W-9681</v>
      </c>
      <c r="C1170" s="10" t="str">
        <f>'[6]price list MAN'!C1170</f>
        <v>TGS-27-4406X4BBS-LX</v>
      </c>
      <c r="D1170" s="16" t="str">
        <f>IFERROR(VLOOKUP(C1170&amp;"",'[7]Retail Price List'!$A$3:$B$103,2,FALSE),"Special Order")</f>
        <v>KP000753</v>
      </c>
      <c r="E1170" s="494" t="str">
        <f>'[6]price list MAN'!E1170</f>
        <v>CKD</v>
      </c>
      <c r="F1170" s="11" t="str">
        <f>'[6]price list MAN'!F1170</f>
        <v>2018-03-30</v>
      </c>
      <c r="G1170" s="32">
        <f>'[6]price list MAN'!G1170</f>
        <v>14.7</v>
      </c>
      <c r="H1170" s="26">
        <f>'[6]price list MAN'!H1170</f>
        <v>42947</v>
      </c>
      <c r="I1170" s="51" t="str">
        <f t="shared" si="90"/>
        <v>201707Q3</v>
      </c>
      <c r="J1170" s="177">
        <f>'[6]price list MAN'!J1170</f>
        <v>1740000</v>
      </c>
      <c r="K1170" s="177">
        <f>'[6]price list MAN'!P1170</f>
        <v>1359750</v>
      </c>
      <c r="L1170" s="177">
        <f>'[6]price list MAN'!R1170</f>
        <v>1295000</v>
      </c>
      <c r="M1170" s="174">
        <f>'[6]price list MAN'!S1170</f>
        <v>1795000</v>
      </c>
      <c r="N1170" s="174">
        <f>'[6]price list MAN'!Y1170</f>
        <v>1417500</v>
      </c>
      <c r="O1170" s="174">
        <f>'[6]price list MAN'!AA1170</f>
        <v>1350000</v>
      </c>
      <c r="P1170" s="68">
        <f t="shared" si="91"/>
        <v>0.24791086350974931</v>
      </c>
      <c r="Q1170" s="62" t="e">
        <f>O1170-#REF!</f>
        <v>#REF!</v>
      </c>
      <c r="W1170" s="210"/>
      <c r="X1170" s="210"/>
      <c r="Y1170" s="210"/>
      <c r="Z1170" s="210"/>
      <c r="AA1170" s="210"/>
      <c r="AB1170" s="210"/>
      <c r="AC1170" s="210"/>
      <c r="AT1170" s="425" t="str">
        <f t="shared" si="92"/>
        <v>KP000753201707Q314,7</v>
      </c>
      <c r="AU1170" s="64" t="str">
        <f t="shared" si="93"/>
        <v>07-2017</v>
      </c>
      <c r="BA1170" s="428" t="str">
        <f t="shared" si="94"/>
        <v>WIP - 30 Days</v>
      </c>
    </row>
    <row r="1171" spans="2:53">
      <c r="B1171" s="36" t="str">
        <f>'[6]price list MAN'!B1171</f>
        <v>76W-9682</v>
      </c>
      <c r="C1171" s="10" t="str">
        <f>'[6]price list MAN'!C1171</f>
        <v>TGS-27-4406X4BBS-LX</v>
      </c>
      <c r="D1171" s="16" t="str">
        <f>IFERROR(VLOOKUP(C1171&amp;"",'[7]Retail Price List'!$A$3:$B$103,2,FALSE),"Special Order")</f>
        <v>KP000753</v>
      </c>
      <c r="E1171" s="494" t="str">
        <f>'[6]price list MAN'!E1171</f>
        <v>CKD</v>
      </c>
      <c r="F1171" s="11" t="str">
        <f>'[6]price list MAN'!F1171</f>
        <v>2018-03-30</v>
      </c>
      <c r="G1171" s="32">
        <f>'[6]price list MAN'!G1171</f>
        <v>14.7</v>
      </c>
      <c r="H1171" s="26">
        <f>'[6]price list MAN'!H1171</f>
        <v>42947</v>
      </c>
      <c r="I1171" s="51" t="str">
        <f t="shared" si="90"/>
        <v>201707Q3</v>
      </c>
      <c r="J1171" s="177">
        <f>'[6]price list MAN'!J1171</f>
        <v>1740000</v>
      </c>
      <c r="K1171" s="177">
        <f>'[6]price list MAN'!P1171</f>
        <v>1359750</v>
      </c>
      <c r="L1171" s="177">
        <f>'[6]price list MAN'!R1171</f>
        <v>1295000</v>
      </c>
      <c r="M1171" s="174">
        <f>'[6]price list MAN'!S1171</f>
        <v>1795000</v>
      </c>
      <c r="N1171" s="174">
        <f>'[6]price list MAN'!Y1171</f>
        <v>1417500</v>
      </c>
      <c r="O1171" s="174">
        <f>'[6]price list MAN'!AA1171</f>
        <v>1350000</v>
      </c>
      <c r="P1171" s="68">
        <f t="shared" si="91"/>
        <v>0.24791086350974931</v>
      </c>
      <c r="Q1171" s="62" t="e">
        <f>O1171-#REF!</f>
        <v>#REF!</v>
      </c>
      <c r="W1171" s="210"/>
      <c r="X1171" s="210"/>
      <c r="Y1171" s="210"/>
      <c r="Z1171" s="210"/>
      <c r="AA1171" s="210"/>
      <c r="AB1171" s="210"/>
      <c r="AC1171" s="210"/>
      <c r="AT1171" s="425" t="str">
        <f t="shared" si="92"/>
        <v>KP000753201707Q314,7</v>
      </c>
      <c r="AU1171" s="64" t="str">
        <f t="shared" si="93"/>
        <v>07-2017</v>
      </c>
      <c r="BA1171" s="428" t="str">
        <f t="shared" si="94"/>
        <v>WIP - 30 Days</v>
      </c>
    </row>
    <row r="1172" spans="2:53">
      <c r="B1172" s="36" t="str">
        <f>'[6]price list MAN'!B1172</f>
        <v>76W-9683</v>
      </c>
      <c r="C1172" s="10" t="str">
        <f>'[6]price list MAN'!C1172</f>
        <v>TGS-27-4406X4BBS-LX</v>
      </c>
      <c r="D1172" s="16" t="str">
        <f>IFERROR(VLOOKUP(C1172&amp;"",'[7]Retail Price List'!$A$3:$B$103,2,FALSE),"Special Order")</f>
        <v>KP000753</v>
      </c>
      <c r="E1172" s="494" t="str">
        <f>'[6]price list MAN'!E1172</f>
        <v>CKD</v>
      </c>
      <c r="F1172" s="11" t="str">
        <f>'[6]price list MAN'!F1172</f>
        <v>2018-03-30</v>
      </c>
      <c r="G1172" s="32">
        <f>'[6]price list MAN'!G1172</f>
        <v>14.7</v>
      </c>
      <c r="H1172" s="26">
        <f>'[6]price list MAN'!H1172</f>
        <v>42947</v>
      </c>
      <c r="I1172" s="51" t="str">
        <f t="shared" si="90"/>
        <v>201707Q3</v>
      </c>
      <c r="J1172" s="177">
        <f>'[6]price list MAN'!J1172</f>
        <v>1740000</v>
      </c>
      <c r="K1172" s="177">
        <f>'[6]price list MAN'!P1172</f>
        <v>1359750</v>
      </c>
      <c r="L1172" s="177">
        <f>'[6]price list MAN'!R1172</f>
        <v>1295000</v>
      </c>
      <c r="M1172" s="174">
        <f>'[6]price list MAN'!S1172</f>
        <v>1795000</v>
      </c>
      <c r="N1172" s="174">
        <f>'[6]price list MAN'!Y1172</f>
        <v>1417500</v>
      </c>
      <c r="O1172" s="174">
        <f>'[6]price list MAN'!AA1172</f>
        <v>1350000</v>
      </c>
      <c r="P1172" s="68">
        <f t="shared" si="91"/>
        <v>0.24791086350974931</v>
      </c>
      <c r="Q1172" s="62" t="e">
        <f>O1172-#REF!</f>
        <v>#REF!</v>
      </c>
      <c r="W1172" s="210"/>
      <c r="X1172" s="210"/>
      <c r="Y1172" s="210"/>
      <c r="Z1172" s="210"/>
      <c r="AA1172" s="210"/>
      <c r="AB1172" s="210"/>
      <c r="AC1172" s="210"/>
      <c r="AT1172" s="425" t="str">
        <f t="shared" si="92"/>
        <v>KP000753201707Q314,7</v>
      </c>
      <c r="AU1172" s="64" t="str">
        <f t="shared" si="93"/>
        <v>07-2017</v>
      </c>
      <c r="BA1172" s="428" t="str">
        <f t="shared" si="94"/>
        <v>WIP - 30 Days</v>
      </c>
    </row>
    <row r="1173" spans="2:53">
      <c r="B1173" s="36" t="str">
        <f>'[6]price list MAN'!B1173</f>
        <v>76W-B111</v>
      </c>
      <c r="C1173" s="10" t="str">
        <f>'[6]price list MAN'!C1173</f>
        <v>TGS-27-4406X4BBS-LX</v>
      </c>
      <c r="D1173" s="16" t="str">
        <f>IFERROR(VLOOKUP(C1173&amp;"",'[7]Retail Price List'!$A$3:$B$103,2,FALSE),"Special Order")</f>
        <v>KP000753</v>
      </c>
      <c r="E1173" s="494" t="str">
        <f>'[6]price list MAN'!E1173</f>
        <v>CKD</v>
      </c>
      <c r="F1173" s="11" t="str">
        <f>'[6]price list MAN'!F1173</f>
        <v>2018-03-30</v>
      </c>
      <c r="G1173" s="32">
        <f>'[6]price list MAN'!G1173</f>
        <v>15.3</v>
      </c>
      <c r="H1173" s="26">
        <f>'[6]price list MAN'!H1173</f>
        <v>42978</v>
      </c>
      <c r="I1173" s="51" t="str">
        <f t="shared" si="90"/>
        <v>2017Q3</v>
      </c>
      <c r="J1173" s="177">
        <f>'[6]price list MAN'!J1173</f>
        <v>1740000</v>
      </c>
      <c r="K1173" s="177">
        <f>'[6]price list MAN'!P1173</f>
        <v>1386000</v>
      </c>
      <c r="L1173" s="177">
        <f>'[6]price list MAN'!R1173</f>
        <v>1320000</v>
      </c>
      <c r="M1173" s="174">
        <f>'[6]price list MAN'!S1173</f>
        <v>1795000</v>
      </c>
      <c r="N1173" s="174">
        <f>'[6]price list MAN'!Y1173</f>
        <v>1443750</v>
      </c>
      <c r="O1173" s="174">
        <f>'[6]price list MAN'!AA1173</f>
        <v>1375000</v>
      </c>
      <c r="P1173" s="68">
        <f t="shared" si="91"/>
        <v>0.23398328690807799</v>
      </c>
      <c r="Q1173" s="62" t="e">
        <f>O1173-#REF!</f>
        <v>#REF!</v>
      </c>
      <c r="W1173" s="210"/>
      <c r="X1173" s="210"/>
      <c r="Y1173" s="210"/>
      <c r="Z1173" s="210"/>
      <c r="AA1173" s="210"/>
      <c r="AB1173" s="210"/>
      <c r="AC1173" s="210"/>
      <c r="AT1173" s="425" t="str">
        <f t="shared" si="92"/>
        <v>KP0007532017Q315,3</v>
      </c>
      <c r="AU1173" s="64" t="str">
        <f t="shared" si="93"/>
        <v>08-2017</v>
      </c>
      <c r="BA1173" s="428" t="str">
        <f t="shared" si="94"/>
        <v>WIP - 30 Days</v>
      </c>
    </row>
    <row r="1174" spans="2:53">
      <c r="B1174" s="36" t="str">
        <f>'[6]price list MAN'!B1174</f>
        <v>76W-B112</v>
      </c>
      <c r="C1174" s="10" t="str">
        <f>'[6]price list MAN'!C1174</f>
        <v>TGS-27-4406X4BBS-LX</v>
      </c>
      <c r="D1174" s="16" t="str">
        <f>IFERROR(VLOOKUP(C1174&amp;"",'[7]Retail Price List'!$A$3:$B$103,2,FALSE),"Special Order")</f>
        <v>KP000753</v>
      </c>
      <c r="E1174" s="494" t="str">
        <f>'[6]price list MAN'!E1174</f>
        <v>CKD</v>
      </c>
      <c r="F1174" s="11" t="str">
        <f>'[6]price list MAN'!F1174</f>
        <v>2018-03-30</v>
      </c>
      <c r="G1174" s="32">
        <f>'[6]price list MAN'!G1174</f>
        <v>15.3</v>
      </c>
      <c r="H1174" s="26">
        <f>'[6]price list MAN'!H1174</f>
        <v>42978</v>
      </c>
      <c r="I1174" s="51" t="str">
        <f t="shared" si="90"/>
        <v>2017Q3</v>
      </c>
      <c r="J1174" s="177">
        <f>'[6]price list MAN'!J1174</f>
        <v>1740000</v>
      </c>
      <c r="K1174" s="177">
        <f>'[6]price list MAN'!P1174</f>
        <v>1386000</v>
      </c>
      <c r="L1174" s="177">
        <f>'[6]price list MAN'!R1174</f>
        <v>1320000</v>
      </c>
      <c r="M1174" s="174">
        <f>'[6]price list MAN'!S1174</f>
        <v>1795000</v>
      </c>
      <c r="N1174" s="174">
        <f>'[6]price list MAN'!Y1174</f>
        <v>1443750</v>
      </c>
      <c r="O1174" s="174">
        <f>'[6]price list MAN'!AA1174</f>
        <v>1375000</v>
      </c>
      <c r="P1174" s="68">
        <f t="shared" si="91"/>
        <v>0.23398328690807799</v>
      </c>
      <c r="Q1174" s="62" t="e">
        <f>O1174-#REF!</f>
        <v>#REF!</v>
      </c>
      <c r="W1174" s="210"/>
      <c r="X1174" s="210"/>
      <c r="Y1174" s="210"/>
      <c r="Z1174" s="210"/>
      <c r="AA1174" s="210"/>
      <c r="AB1174" s="210"/>
      <c r="AC1174" s="210"/>
      <c r="AT1174" s="425" t="str">
        <f t="shared" si="92"/>
        <v>KP0007532017Q315,3</v>
      </c>
      <c r="AU1174" s="64" t="str">
        <f t="shared" si="93"/>
        <v>08-2017</v>
      </c>
      <c r="BA1174" s="428" t="str">
        <f t="shared" si="94"/>
        <v>WIP - 30 Days</v>
      </c>
    </row>
    <row r="1175" spans="2:53">
      <c r="B1175" s="36" t="str">
        <f>'[6]price list MAN'!B1175</f>
        <v>76W-B113</v>
      </c>
      <c r="C1175" s="10" t="str">
        <f>'[6]price list MAN'!C1175</f>
        <v>TGS-27-4406X4BBS-LX</v>
      </c>
      <c r="D1175" s="16" t="str">
        <f>IFERROR(VLOOKUP(C1175&amp;"",'[7]Retail Price List'!$A$3:$B$103,2,FALSE),"Special Order")</f>
        <v>KP000753</v>
      </c>
      <c r="E1175" s="494" t="str">
        <f>'[6]price list MAN'!E1175</f>
        <v>CKD</v>
      </c>
      <c r="F1175" s="11" t="str">
        <f>'[6]price list MAN'!F1175</f>
        <v>2018-03-30</v>
      </c>
      <c r="G1175" s="32">
        <f>'[6]price list MAN'!G1175</f>
        <v>15.3</v>
      </c>
      <c r="H1175" s="26">
        <f>'[6]price list MAN'!H1175</f>
        <v>42978</v>
      </c>
      <c r="I1175" s="51" t="str">
        <f t="shared" si="90"/>
        <v>2017Q3</v>
      </c>
      <c r="J1175" s="177">
        <f>'[6]price list MAN'!J1175</f>
        <v>1740000</v>
      </c>
      <c r="K1175" s="177">
        <f>'[6]price list MAN'!P1175</f>
        <v>1386000</v>
      </c>
      <c r="L1175" s="177">
        <f>'[6]price list MAN'!R1175</f>
        <v>1320000</v>
      </c>
      <c r="M1175" s="174">
        <f>'[6]price list MAN'!S1175</f>
        <v>1795000</v>
      </c>
      <c r="N1175" s="174">
        <f>'[6]price list MAN'!Y1175</f>
        <v>1443750</v>
      </c>
      <c r="O1175" s="174">
        <f>'[6]price list MAN'!AA1175</f>
        <v>1375000</v>
      </c>
      <c r="P1175" s="68">
        <f t="shared" si="91"/>
        <v>0.23398328690807799</v>
      </c>
      <c r="Q1175" s="62" t="e">
        <f>O1175-#REF!</f>
        <v>#REF!</v>
      </c>
      <c r="W1175" s="210"/>
      <c r="X1175" s="210"/>
      <c r="Y1175" s="210"/>
      <c r="Z1175" s="210"/>
      <c r="AA1175" s="210"/>
      <c r="AB1175" s="210"/>
      <c r="AC1175" s="210"/>
      <c r="AT1175" s="425" t="str">
        <f t="shared" si="92"/>
        <v>KP0007532017Q315,3</v>
      </c>
      <c r="AU1175" s="64" t="str">
        <f t="shared" si="93"/>
        <v>08-2017</v>
      </c>
      <c r="BA1175" s="428" t="str">
        <f t="shared" si="94"/>
        <v>WIP - 30 Days</v>
      </c>
    </row>
    <row r="1176" spans="2:53">
      <c r="B1176" s="36" t="str">
        <f>'[6]price list MAN'!B1176</f>
        <v>76W-B114</v>
      </c>
      <c r="C1176" s="10" t="str">
        <f>'[6]price list MAN'!C1176</f>
        <v>TGS-27-4406X4BBS-LX</v>
      </c>
      <c r="D1176" s="16" t="str">
        <f>IFERROR(VLOOKUP(C1176&amp;"",'[7]Retail Price List'!$A$3:$B$103,2,FALSE),"Special Order")</f>
        <v>KP000753</v>
      </c>
      <c r="E1176" s="494" t="str">
        <f>'[6]price list MAN'!E1176</f>
        <v>CKD</v>
      </c>
      <c r="F1176" s="11" t="str">
        <f>'[6]price list MAN'!F1176</f>
        <v>2018-03-30</v>
      </c>
      <c r="G1176" s="32">
        <f>'[6]price list MAN'!G1176</f>
        <v>15.3</v>
      </c>
      <c r="H1176" s="26">
        <f>'[6]price list MAN'!H1176</f>
        <v>42978</v>
      </c>
      <c r="I1176" s="51" t="str">
        <f t="shared" si="90"/>
        <v>2017Q3</v>
      </c>
      <c r="J1176" s="177">
        <f>'[6]price list MAN'!J1176</f>
        <v>1740000</v>
      </c>
      <c r="K1176" s="177">
        <f>'[6]price list MAN'!P1176</f>
        <v>1386000</v>
      </c>
      <c r="L1176" s="177">
        <f>'[6]price list MAN'!R1176</f>
        <v>1320000</v>
      </c>
      <c r="M1176" s="174">
        <f>'[6]price list MAN'!S1176</f>
        <v>1795000</v>
      </c>
      <c r="N1176" s="174">
        <f>'[6]price list MAN'!Y1176</f>
        <v>1443750</v>
      </c>
      <c r="O1176" s="174">
        <f>'[6]price list MAN'!AA1176</f>
        <v>1375000</v>
      </c>
      <c r="P1176" s="68">
        <f t="shared" si="91"/>
        <v>0.23398328690807799</v>
      </c>
      <c r="Q1176" s="62" t="e">
        <f>O1176-#REF!</f>
        <v>#REF!</v>
      </c>
      <c r="W1176" s="210"/>
      <c r="X1176" s="210"/>
      <c r="Y1176" s="210"/>
      <c r="Z1176" s="210"/>
      <c r="AA1176" s="210"/>
      <c r="AB1176" s="210"/>
      <c r="AC1176" s="210"/>
      <c r="AT1176" s="425" t="str">
        <f t="shared" si="92"/>
        <v>KP0007532017Q315,3</v>
      </c>
      <c r="AU1176" s="64" t="str">
        <f t="shared" si="93"/>
        <v>08-2017</v>
      </c>
      <c r="BA1176" s="428" t="str">
        <f t="shared" si="94"/>
        <v>WIP - 30 Days</v>
      </c>
    </row>
    <row r="1177" spans="2:53">
      <c r="B1177" s="36" t="str">
        <f>'[6]price list MAN'!B1177</f>
        <v>76W-B131</v>
      </c>
      <c r="C1177" s="10" t="str">
        <f>'[6]price list MAN'!C1177</f>
        <v>TGS-27-4406X4BBS-LX</v>
      </c>
      <c r="D1177" s="16" t="str">
        <f>IFERROR(VLOOKUP(C1177&amp;"",'[7]Retail Price List'!$A$3:$B$103,2,FALSE),"Special Order")</f>
        <v>KP000753</v>
      </c>
      <c r="E1177" s="494" t="str">
        <f>'[6]price list MAN'!E1177</f>
        <v>CKD</v>
      </c>
      <c r="F1177" s="11" t="str">
        <f>'[6]price list MAN'!F1177</f>
        <v>2018-03-30</v>
      </c>
      <c r="G1177" s="32">
        <f>'[6]price list MAN'!G1177</f>
        <v>15.3</v>
      </c>
      <c r="H1177" s="26">
        <f>'[6]price list MAN'!H1177</f>
        <v>42978</v>
      </c>
      <c r="I1177" s="51" t="str">
        <f t="shared" si="90"/>
        <v>2017Q3</v>
      </c>
      <c r="J1177" s="177">
        <f>'[6]price list MAN'!J1177</f>
        <v>1740000</v>
      </c>
      <c r="K1177" s="177">
        <f>'[6]price list MAN'!P1177</f>
        <v>1359750</v>
      </c>
      <c r="L1177" s="177">
        <f>'[6]price list MAN'!R1177</f>
        <v>1295000</v>
      </c>
      <c r="M1177" s="174">
        <f>'[6]price list MAN'!S1177</f>
        <v>1795000</v>
      </c>
      <c r="N1177" s="174">
        <f>'[6]price list MAN'!Y1177</f>
        <v>1417500</v>
      </c>
      <c r="O1177" s="174">
        <f>'[6]price list MAN'!AA1177</f>
        <v>1350000</v>
      </c>
      <c r="P1177" s="68">
        <f t="shared" si="91"/>
        <v>0.24791086350974931</v>
      </c>
      <c r="Q1177" s="62" t="e">
        <f>O1177-#REF!</f>
        <v>#REF!</v>
      </c>
      <c r="W1177" s="210"/>
      <c r="X1177" s="210"/>
      <c r="Y1177" s="210"/>
      <c r="Z1177" s="210"/>
      <c r="AA1177" s="210"/>
      <c r="AB1177" s="210"/>
      <c r="AC1177" s="210"/>
      <c r="AT1177" s="425" t="str">
        <f t="shared" si="92"/>
        <v>KP0007532017Q315,3</v>
      </c>
      <c r="AU1177" s="64" t="str">
        <f t="shared" si="93"/>
        <v>08-2017</v>
      </c>
      <c r="BA1177" s="428" t="str">
        <f t="shared" si="94"/>
        <v>WIP - 30 Days</v>
      </c>
    </row>
    <row r="1178" spans="2:53">
      <c r="B1178" s="36" t="str">
        <f>'[6]price list MAN'!B1178</f>
        <v>76W-B132</v>
      </c>
      <c r="C1178" s="10" t="str">
        <f>'[6]price list MAN'!C1178</f>
        <v>TGS-27-4406X4BBS-LX</v>
      </c>
      <c r="D1178" s="16" t="str">
        <f>IFERROR(VLOOKUP(C1178&amp;"",'[7]Retail Price List'!$A$3:$B$103,2,FALSE),"Special Order")</f>
        <v>KP000753</v>
      </c>
      <c r="E1178" s="494" t="str">
        <f>'[6]price list MAN'!E1178</f>
        <v>CKD</v>
      </c>
      <c r="F1178" s="11" t="str">
        <f>'[6]price list MAN'!F1178</f>
        <v>2018-04-30</v>
      </c>
      <c r="G1178" s="32">
        <f>'[6]price list MAN'!G1178</f>
        <v>15.3</v>
      </c>
      <c r="H1178" s="26">
        <f>'[6]price list MAN'!H1178</f>
        <v>42978</v>
      </c>
      <c r="I1178" s="51" t="str">
        <f t="shared" si="90"/>
        <v>2017Q3</v>
      </c>
      <c r="J1178" s="177">
        <f>'[6]price list MAN'!J1178</f>
        <v>1740000</v>
      </c>
      <c r="K1178" s="177">
        <f>'[6]price list MAN'!P1178</f>
        <v>1359750</v>
      </c>
      <c r="L1178" s="177">
        <f>'[6]price list MAN'!R1178</f>
        <v>1295000</v>
      </c>
      <c r="M1178" s="174">
        <f>'[6]price list MAN'!S1178</f>
        <v>1795000</v>
      </c>
      <c r="N1178" s="174">
        <f>'[6]price list MAN'!Y1178</f>
        <v>1417500</v>
      </c>
      <c r="O1178" s="174">
        <f>'[6]price list MAN'!AA1178</f>
        <v>1350000</v>
      </c>
      <c r="P1178" s="68">
        <f t="shared" si="91"/>
        <v>0.24791086350974931</v>
      </c>
      <c r="Q1178" s="62" t="e">
        <f>O1178-#REF!</f>
        <v>#REF!</v>
      </c>
      <c r="W1178" s="210"/>
      <c r="X1178" s="210"/>
      <c r="Y1178" s="210"/>
      <c r="Z1178" s="210"/>
      <c r="AA1178" s="210"/>
      <c r="AB1178" s="210"/>
      <c r="AC1178" s="210"/>
      <c r="AT1178" s="425" t="str">
        <f t="shared" si="92"/>
        <v>KP0007532017Q315,3</v>
      </c>
      <c r="AU1178" s="64" t="str">
        <f t="shared" si="93"/>
        <v>08-2017</v>
      </c>
      <c r="BA1178" s="428" t="str">
        <f t="shared" si="94"/>
        <v>WIP - 30 Days</v>
      </c>
    </row>
    <row r="1179" spans="2:53">
      <c r="B1179" s="36" t="str">
        <f>'[6]price list MAN'!B1179</f>
        <v>76W-B133</v>
      </c>
      <c r="C1179" s="10" t="str">
        <f>'[6]price list MAN'!C1179</f>
        <v>TGS-27-4406X4BBS-LX</v>
      </c>
      <c r="D1179" s="16" t="str">
        <f>IFERROR(VLOOKUP(C1179&amp;"",'[7]Retail Price List'!$A$3:$B$103,2,FALSE),"Special Order")</f>
        <v>KP000753</v>
      </c>
      <c r="E1179" s="494" t="str">
        <f>'[6]price list MAN'!E1179</f>
        <v>CKD</v>
      </c>
      <c r="F1179" s="11" t="str">
        <f>'[6]price list MAN'!F1179</f>
        <v>2018-04-30</v>
      </c>
      <c r="G1179" s="32">
        <f>'[6]price list MAN'!G1179</f>
        <v>15.3</v>
      </c>
      <c r="H1179" s="26">
        <f>'[6]price list MAN'!H1179</f>
        <v>42978</v>
      </c>
      <c r="I1179" s="51" t="str">
        <f t="shared" si="90"/>
        <v>2017Q3</v>
      </c>
      <c r="J1179" s="177">
        <f>'[6]price list MAN'!J1179</f>
        <v>1740000</v>
      </c>
      <c r="K1179" s="177">
        <f>'[6]price list MAN'!P1179</f>
        <v>1359750</v>
      </c>
      <c r="L1179" s="177">
        <f>'[6]price list MAN'!R1179</f>
        <v>1295000</v>
      </c>
      <c r="M1179" s="174">
        <f>'[6]price list MAN'!S1179</f>
        <v>1795000</v>
      </c>
      <c r="N1179" s="174">
        <f>'[6]price list MAN'!Y1179</f>
        <v>1417500</v>
      </c>
      <c r="O1179" s="174">
        <f>'[6]price list MAN'!AA1179</f>
        <v>1350000</v>
      </c>
      <c r="P1179" s="68">
        <f t="shared" si="91"/>
        <v>0.24791086350974931</v>
      </c>
      <c r="Q1179" s="62" t="e">
        <f>O1179-#REF!</f>
        <v>#REF!</v>
      </c>
      <c r="W1179" s="210"/>
      <c r="X1179" s="210"/>
      <c r="Y1179" s="210"/>
      <c r="Z1179" s="210"/>
      <c r="AA1179" s="210"/>
      <c r="AB1179" s="210"/>
      <c r="AC1179" s="210"/>
      <c r="AT1179" s="425" t="str">
        <f t="shared" si="92"/>
        <v>KP0007532017Q315,3</v>
      </c>
      <c r="AU1179" s="64" t="str">
        <f t="shared" si="93"/>
        <v>08-2017</v>
      </c>
      <c r="BA1179" s="428" t="str">
        <f t="shared" si="94"/>
        <v>WIP - 30 Days</v>
      </c>
    </row>
    <row r="1180" spans="2:53">
      <c r="B1180" s="36" t="str">
        <f>'[6]price list MAN'!B1180</f>
        <v>76W-B134</v>
      </c>
      <c r="C1180" s="10" t="str">
        <f>'[6]price list MAN'!C1180</f>
        <v>TGS-27-4406X4BBS-LX</v>
      </c>
      <c r="D1180" s="16" t="str">
        <f>IFERROR(VLOOKUP(C1180&amp;"",'[7]Retail Price List'!$A$3:$B$103,2,FALSE),"Special Order")</f>
        <v>KP000753</v>
      </c>
      <c r="E1180" s="494" t="str">
        <f>'[6]price list MAN'!E1180</f>
        <v>CKD</v>
      </c>
      <c r="F1180" s="11" t="str">
        <f>'[6]price list MAN'!F1180</f>
        <v>2018-04-30</v>
      </c>
      <c r="G1180" s="32">
        <f>'[6]price list MAN'!G1180</f>
        <v>15.3</v>
      </c>
      <c r="H1180" s="26">
        <f>'[6]price list MAN'!H1180</f>
        <v>42978</v>
      </c>
      <c r="I1180" s="51" t="str">
        <f t="shared" si="90"/>
        <v>2017Q3</v>
      </c>
      <c r="J1180" s="177">
        <f>'[6]price list MAN'!J1180</f>
        <v>1740000</v>
      </c>
      <c r="K1180" s="177">
        <f>'[6]price list MAN'!P1180</f>
        <v>1359750</v>
      </c>
      <c r="L1180" s="177">
        <f>'[6]price list MAN'!R1180</f>
        <v>1295000</v>
      </c>
      <c r="M1180" s="174">
        <f>'[6]price list MAN'!S1180</f>
        <v>1795000</v>
      </c>
      <c r="N1180" s="174">
        <f>'[6]price list MAN'!Y1180</f>
        <v>1417500</v>
      </c>
      <c r="O1180" s="174">
        <f>'[6]price list MAN'!AA1180</f>
        <v>1350000</v>
      </c>
      <c r="P1180" s="68">
        <f t="shared" si="91"/>
        <v>0.24791086350974931</v>
      </c>
      <c r="Q1180" s="62" t="e">
        <f>O1180-#REF!</f>
        <v>#REF!</v>
      </c>
      <c r="W1180" s="210"/>
      <c r="X1180" s="210"/>
      <c r="Y1180" s="210"/>
      <c r="Z1180" s="210"/>
      <c r="AA1180" s="210"/>
      <c r="AB1180" s="210"/>
      <c r="AC1180" s="210"/>
      <c r="AT1180" s="425" t="str">
        <f t="shared" si="92"/>
        <v>KP0007532017Q315,3</v>
      </c>
      <c r="AU1180" s="64" t="str">
        <f t="shared" si="93"/>
        <v>08-2017</v>
      </c>
      <c r="BA1180" s="428" t="str">
        <f t="shared" si="94"/>
        <v>WIP - 30 Days</v>
      </c>
    </row>
    <row r="1181" spans="2:53">
      <c r="B1181" s="36" t="str">
        <f>'[6]price list MAN'!B1181</f>
        <v>76W-B151</v>
      </c>
      <c r="C1181" s="10" t="str">
        <f>'[6]price list MAN'!C1181</f>
        <v>TGS-27-4406X4BBS-LX</v>
      </c>
      <c r="D1181" s="16" t="str">
        <f>IFERROR(VLOOKUP(C1181&amp;"",'[7]Retail Price List'!$A$3:$B$103,2,FALSE),"Special Order")</f>
        <v>KP000753</v>
      </c>
      <c r="E1181" s="494" t="str">
        <f>'[6]price list MAN'!E1181</f>
        <v>CKD</v>
      </c>
      <c r="F1181" s="11" t="str">
        <f>'[6]price list MAN'!F1181</f>
        <v>2018-04-30</v>
      </c>
      <c r="G1181" s="32">
        <f>'[6]price list MAN'!G1181</f>
        <v>15.3</v>
      </c>
      <c r="H1181" s="26">
        <f>'[6]price list MAN'!H1181</f>
        <v>42978</v>
      </c>
      <c r="I1181" s="51" t="str">
        <f t="shared" si="90"/>
        <v>2017Q3</v>
      </c>
      <c r="J1181" s="177">
        <f>'[6]price list MAN'!J1181</f>
        <v>1740000</v>
      </c>
      <c r="K1181" s="177">
        <f>'[6]price list MAN'!P1181</f>
        <v>1359750</v>
      </c>
      <c r="L1181" s="177">
        <f>'[6]price list MAN'!R1181</f>
        <v>1295000</v>
      </c>
      <c r="M1181" s="174">
        <f>'[6]price list MAN'!S1181</f>
        <v>1795000</v>
      </c>
      <c r="N1181" s="174">
        <f>'[6]price list MAN'!Y1181</f>
        <v>1417500</v>
      </c>
      <c r="O1181" s="174">
        <f>'[6]price list MAN'!AA1181</f>
        <v>1350000</v>
      </c>
      <c r="P1181" s="68">
        <f t="shared" si="91"/>
        <v>0.24791086350974931</v>
      </c>
      <c r="Q1181" s="62" t="e">
        <f>O1181-#REF!</f>
        <v>#REF!</v>
      </c>
      <c r="W1181" s="210"/>
      <c r="X1181" s="210"/>
      <c r="Y1181" s="210"/>
      <c r="Z1181" s="210"/>
      <c r="AA1181" s="210"/>
      <c r="AB1181" s="210"/>
      <c r="AC1181" s="210"/>
      <c r="AT1181" s="425" t="str">
        <f t="shared" si="92"/>
        <v>KP0007532017Q315,3</v>
      </c>
      <c r="AU1181" s="64" t="str">
        <f t="shared" si="93"/>
        <v>08-2017</v>
      </c>
      <c r="BA1181" s="428" t="str">
        <f t="shared" si="94"/>
        <v>WIP - 30 Days</v>
      </c>
    </row>
    <row r="1182" spans="2:53">
      <c r="B1182" s="36" t="str">
        <f>'[6]price list MAN'!B1182</f>
        <v>76W-B152</v>
      </c>
      <c r="C1182" s="10" t="str">
        <f>'[6]price list MAN'!C1182</f>
        <v>TGS-27-4406X4BBS-LX</v>
      </c>
      <c r="D1182" s="16" t="str">
        <f>IFERROR(VLOOKUP(C1182&amp;"",'[7]Retail Price List'!$A$3:$B$103,2,FALSE),"Special Order")</f>
        <v>KP000753</v>
      </c>
      <c r="E1182" s="494" t="str">
        <f>'[6]price list MAN'!E1182</f>
        <v>CKD</v>
      </c>
      <c r="F1182" s="11" t="str">
        <f>'[6]price list MAN'!F1182</f>
        <v>2018-04-30</v>
      </c>
      <c r="G1182" s="32">
        <f>'[6]price list MAN'!G1182</f>
        <v>15.3</v>
      </c>
      <c r="H1182" s="26">
        <f>'[6]price list MAN'!H1182</f>
        <v>42978</v>
      </c>
      <c r="I1182" s="51" t="str">
        <f t="shared" si="90"/>
        <v>2017Q3</v>
      </c>
      <c r="J1182" s="177">
        <f>'[6]price list MAN'!J1182</f>
        <v>1740000</v>
      </c>
      <c r="K1182" s="177">
        <f>'[6]price list MAN'!P1182</f>
        <v>1359750</v>
      </c>
      <c r="L1182" s="177">
        <f>'[6]price list MAN'!R1182</f>
        <v>1295000</v>
      </c>
      <c r="M1182" s="174">
        <f>'[6]price list MAN'!S1182</f>
        <v>1795000</v>
      </c>
      <c r="N1182" s="174">
        <f>'[6]price list MAN'!Y1182</f>
        <v>1417500</v>
      </c>
      <c r="O1182" s="174">
        <f>'[6]price list MAN'!AA1182</f>
        <v>1350000</v>
      </c>
      <c r="P1182" s="68">
        <f t="shared" si="91"/>
        <v>0.24791086350974931</v>
      </c>
      <c r="Q1182" s="62" t="e">
        <f>O1182-#REF!</f>
        <v>#REF!</v>
      </c>
      <c r="W1182" s="210"/>
      <c r="X1182" s="210"/>
      <c r="Y1182" s="210"/>
      <c r="Z1182" s="210"/>
      <c r="AA1182" s="210"/>
      <c r="AB1182" s="210"/>
      <c r="AC1182" s="210"/>
      <c r="AT1182" s="425" t="str">
        <f t="shared" si="92"/>
        <v>KP0007532017Q315,3</v>
      </c>
      <c r="AU1182" s="64" t="str">
        <f t="shared" si="93"/>
        <v>08-2017</v>
      </c>
      <c r="BA1182" s="428" t="str">
        <f t="shared" si="94"/>
        <v>WIP - 30 Days</v>
      </c>
    </row>
    <row r="1183" spans="2:53">
      <c r="B1183" s="36" t="str">
        <f>'[6]price list MAN'!B1183</f>
        <v>76W-B153</v>
      </c>
      <c r="C1183" s="10" t="str">
        <f>'[6]price list MAN'!C1183</f>
        <v>TGS-27-4406X4BBS-LX</v>
      </c>
      <c r="D1183" s="16" t="str">
        <f>IFERROR(VLOOKUP(C1183&amp;"",'[7]Retail Price List'!$A$3:$B$103,2,FALSE),"Special Order")</f>
        <v>KP000753</v>
      </c>
      <c r="E1183" s="494" t="str">
        <f>'[6]price list MAN'!E1183</f>
        <v>CKD</v>
      </c>
      <c r="F1183" s="11" t="str">
        <f>'[6]price list MAN'!F1183</f>
        <v>2018-04-30</v>
      </c>
      <c r="G1183" s="32">
        <f>'[6]price list MAN'!G1183</f>
        <v>15.3</v>
      </c>
      <c r="H1183" s="26">
        <f>'[6]price list MAN'!H1183</f>
        <v>42978</v>
      </c>
      <c r="I1183" s="51" t="str">
        <f t="shared" si="90"/>
        <v>2017Q3</v>
      </c>
      <c r="J1183" s="177">
        <f>'[6]price list MAN'!J1183</f>
        <v>1740000</v>
      </c>
      <c r="K1183" s="177">
        <f>'[6]price list MAN'!P1183</f>
        <v>1359750</v>
      </c>
      <c r="L1183" s="177">
        <f>'[6]price list MAN'!R1183</f>
        <v>1295000</v>
      </c>
      <c r="M1183" s="174">
        <f>'[6]price list MAN'!S1183</f>
        <v>1795000</v>
      </c>
      <c r="N1183" s="174">
        <f>'[6]price list MAN'!Y1183</f>
        <v>1417500</v>
      </c>
      <c r="O1183" s="174">
        <f>'[6]price list MAN'!AA1183</f>
        <v>1350000</v>
      </c>
      <c r="P1183" s="68">
        <f t="shared" si="91"/>
        <v>0.24791086350974931</v>
      </c>
      <c r="Q1183" s="62" t="e">
        <f>O1183-#REF!</f>
        <v>#REF!</v>
      </c>
      <c r="W1183" s="210"/>
      <c r="X1183" s="210"/>
      <c r="Y1183" s="210"/>
      <c r="Z1183" s="210"/>
      <c r="AA1183" s="210"/>
      <c r="AB1183" s="210"/>
      <c r="AC1183" s="210"/>
      <c r="AT1183" s="425" t="str">
        <f t="shared" si="92"/>
        <v>KP0007532017Q315,3</v>
      </c>
      <c r="AU1183" s="64" t="str">
        <f t="shared" si="93"/>
        <v>08-2017</v>
      </c>
      <c r="BA1183" s="428" t="str">
        <f t="shared" si="94"/>
        <v>WIP - 30 Days</v>
      </c>
    </row>
    <row r="1184" spans="2:53">
      <c r="B1184" s="36" t="str">
        <f>'[6]price list MAN'!B1184</f>
        <v>76W-B154</v>
      </c>
      <c r="C1184" s="10" t="str">
        <f>'[6]price list MAN'!C1184</f>
        <v>TGS-27-4406X4BBS-LX</v>
      </c>
      <c r="D1184" s="16" t="str">
        <f>IFERROR(VLOOKUP(C1184&amp;"",'[7]Retail Price List'!$A$3:$B$103,2,FALSE),"Special Order")</f>
        <v>KP000753</v>
      </c>
      <c r="E1184" s="494" t="str">
        <f>'[6]price list MAN'!E1184</f>
        <v>CKD</v>
      </c>
      <c r="F1184" s="11" t="str">
        <f>'[6]price list MAN'!F1184</f>
        <v>2018-04-30</v>
      </c>
      <c r="G1184" s="32">
        <f>'[6]price list MAN'!G1184</f>
        <v>15.3</v>
      </c>
      <c r="H1184" s="26">
        <f>'[6]price list MAN'!H1184</f>
        <v>42978</v>
      </c>
      <c r="I1184" s="51" t="str">
        <f t="shared" si="90"/>
        <v>2017Q3</v>
      </c>
      <c r="J1184" s="177">
        <f>'[6]price list MAN'!J1184</f>
        <v>1740000</v>
      </c>
      <c r="K1184" s="177">
        <f>'[6]price list MAN'!P1184</f>
        <v>1359750</v>
      </c>
      <c r="L1184" s="177">
        <f>'[6]price list MAN'!R1184</f>
        <v>1295000</v>
      </c>
      <c r="M1184" s="174">
        <f>'[6]price list MAN'!S1184</f>
        <v>1795000</v>
      </c>
      <c r="N1184" s="174">
        <f>'[6]price list MAN'!Y1184</f>
        <v>1417500</v>
      </c>
      <c r="O1184" s="174">
        <f>'[6]price list MAN'!AA1184</f>
        <v>1350000</v>
      </c>
      <c r="P1184" s="68">
        <f t="shared" si="91"/>
        <v>0.24791086350974931</v>
      </c>
      <c r="Q1184" s="62" t="e">
        <f>O1184-#REF!</f>
        <v>#REF!</v>
      </c>
      <c r="W1184" s="210"/>
      <c r="X1184" s="210"/>
      <c r="Y1184" s="210"/>
      <c r="Z1184" s="210"/>
      <c r="AA1184" s="210"/>
      <c r="AB1184" s="210"/>
      <c r="AC1184" s="210"/>
      <c r="AT1184" s="425" t="str">
        <f t="shared" si="92"/>
        <v>KP0007532017Q315,3</v>
      </c>
      <c r="AU1184" s="64" t="str">
        <f t="shared" si="93"/>
        <v>08-2017</v>
      </c>
      <c r="BA1184" s="428" t="str">
        <f t="shared" si="94"/>
        <v>WIP - 30 Days</v>
      </c>
    </row>
    <row r="1185" spans="2:53">
      <c r="B1185" s="36" t="str">
        <f>'[6]price list MAN'!B1185</f>
        <v>76W-B159</v>
      </c>
      <c r="C1185" s="10" t="str">
        <f>'[6]price list MAN'!C1185</f>
        <v>TGS-27-4406X4BBS-LX</v>
      </c>
      <c r="D1185" s="16" t="str">
        <f>IFERROR(VLOOKUP(C1185&amp;"",'[7]Retail Price List'!$A$3:$B$103,2,FALSE),"Special Order")</f>
        <v>KP000753</v>
      </c>
      <c r="E1185" s="494" t="str">
        <f>'[6]price list MAN'!E1185</f>
        <v>CKD</v>
      </c>
      <c r="F1185" s="11" t="str">
        <f>'[6]price list MAN'!F1185</f>
        <v>2018-05-30</v>
      </c>
      <c r="G1185" s="32">
        <f>'[6]price list MAN'!G1185</f>
        <v>15.3</v>
      </c>
      <c r="H1185" s="26">
        <f>'[6]price list MAN'!H1185</f>
        <v>42978</v>
      </c>
      <c r="I1185" s="51" t="str">
        <f t="shared" si="90"/>
        <v>2017Q3</v>
      </c>
      <c r="J1185" s="177">
        <f>'[6]price list MAN'!J1185</f>
        <v>1740000</v>
      </c>
      <c r="K1185" s="177">
        <f>'[6]price list MAN'!P1185</f>
        <v>1359750</v>
      </c>
      <c r="L1185" s="177">
        <f>'[6]price list MAN'!R1185</f>
        <v>1295000</v>
      </c>
      <c r="M1185" s="174">
        <f>'[6]price list MAN'!S1185</f>
        <v>1795000</v>
      </c>
      <c r="N1185" s="174">
        <f>'[6]price list MAN'!Y1185</f>
        <v>1417500</v>
      </c>
      <c r="O1185" s="174">
        <f>'[6]price list MAN'!AA1185</f>
        <v>1350000</v>
      </c>
      <c r="P1185" s="68">
        <f t="shared" si="91"/>
        <v>0.24791086350974931</v>
      </c>
      <c r="Q1185" s="62" t="e">
        <f>O1185-#REF!</f>
        <v>#REF!</v>
      </c>
      <c r="W1185" s="210"/>
      <c r="X1185" s="210"/>
      <c r="Y1185" s="210"/>
      <c r="Z1185" s="210"/>
      <c r="AA1185" s="210"/>
      <c r="AB1185" s="210"/>
      <c r="AC1185" s="210"/>
      <c r="AT1185" s="425" t="str">
        <f t="shared" si="92"/>
        <v>KP0007532017Q315,3</v>
      </c>
      <c r="AU1185" s="64" t="str">
        <f t="shared" si="93"/>
        <v>08-2017</v>
      </c>
      <c r="BA1185" s="428" t="str">
        <f t="shared" si="94"/>
        <v>WIP - 30 Days</v>
      </c>
    </row>
    <row r="1186" spans="2:53">
      <c r="B1186" s="36" t="str">
        <f>'[6]price list MAN'!B1186</f>
        <v>76W-B160</v>
      </c>
      <c r="C1186" s="10" t="str">
        <f>'[6]price list MAN'!C1186</f>
        <v>TGS-27-4406X4BBS-LX</v>
      </c>
      <c r="D1186" s="16" t="str">
        <f>IFERROR(VLOOKUP(C1186&amp;"",'[7]Retail Price List'!$A$3:$B$103,2,FALSE),"Special Order")</f>
        <v>KP000753</v>
      </c>
      <c r="E1186" s="494" t="str">
        <f>'[6]price list MAN'!E1186</f>
        <v>CKD</v>
      </c>
      <c r="F1186" s="11" t="str">
        <f>'[6]price list MAN'!F1186</f>
        <v>2018-05-30</v>
      </c>
      <c r="G1186" s="32">
        <f>'[6]price list MAN'!G1186</f>
        <v>15.3</v>
      </c>
      <c r="H1186" s="26">
        <f>'[6]price list MAN'!H1186</f>
        <v>42978</v>
      </c>
      <c r="I1186" s="51" t="str">
        <f t="shared" si="90"/>
        <v>2017Q3</v>
      </c>
      <c r="J1186" s="177">
        <f>'[6]price list MAN'!J1186</f>
        <v>1740000</v>
      </c>
      <c r="K1186" s="177">
        <f>'[6]price list MAN'!P1186</f>
        <v>1359750</v>
      </c>
      <c r="L1186" s="177">
        <f>'[6]price list MAN'!R1186</f>
        <v>1295000</v>
      </c>
      <c r="M1186" s="174">
        <f>'[6]price list MAN'!S1186</f>
        <v>1795000</v>
      </c>
      <c r="N1186" s="174">
        <f>'[6]price list MAN'!Y1186</f>
        <v>1417500</v>
      </c>
      <c r="O1186" s="174">
        <f>'[6]price list MAN'!AA1186</f>
        <v>1350000</v>
      </c>
      <c r="P1186" s="68">
        <f t="shared" si="91"/>
        <v>0.24791086350974931</v>
      </c>
      <c r="Q1186" s="62" t="e">
        <f>O1186-#REF!</f>
        <v>#REF!</v>
      </c>
      <c r="W1186" s="210"/>
      <c r="X1186" s="210"/>
      <c r="Y1186" s="210"/>
      <c r="Z1186" s="210"/>
      <c r="AA1186" s="210"/>
      <c r="AB1186" s="210"/>
      <c r="AC1186" s="210"/>
      <c r="AT1186" s="425" t="str">
        <f t="shared" si="92"/>
        <v>KP0007532017Q315,3</v>
      </c>
      <c r="AU1186" s="64" t="str">
        <f t="shared" si="93"/>
        <v>08-2017</v>
      </c>
      <c r="BA1186" s="428" t="str">
        <f t="shared" si="94"/>
        <v>WIP - 30 Days</v>
      </c>
    </row>
    <row r="1187" spans="2:53">
      <c r="B1187" s="36" t="str">
        <f>'[6]price list MAN'!B1187</f>
        <v>76W-B161</v>
      </c>
      <c r="C1187" s="10" t="str">
        <f>'[6]price list MAN'!C1187</f>
        <v>TGS-27-4406X4BBS-LX</v>
      </c>
      <c r="D1187" s="16" t="str">
        <f>IFERROR(VLOOKUP(C1187&amp;"",'[7]Retail Price List'!$A$3:$B$103,2,FALSE),"Special Order")</f>
        <v>KP000753</v>
      </c>
      <c r="E1187" s="494" t="str">
        <f>'[6]price list MAN'!E1187</f>
        <v>CKD</v>
      </c>
      <c r="F1187" s="11" t="str">
        <f>'[6]price list MAN'!F1187</f>
        <v>2018-05-30</v>
      </c>
      <c r="G1187" s="32">
        <f>'[6]price list MAN'!G1187</f>
        <v>15.3</v>
      </c>
      <c r="H1187" s="26">
        <f>'[6]price list MAN'!H1187</f>
        <v>42978</v>
      </c>
      <c r="I1187" s="51" t="str">
        <f t="shared" si="90"/>
        <v>2017Q3</v>
      </c>
      <c r="J1187" s="177">
        <f>'[6]price list MAN'!J1187</f>
        <v>1740000</v>
      </c>
      <c r="K1187" s="177">
        <f>'[6]price list MAN'!P1187</f>
        <v>1359750</v>
      </c>
      <c r="L1187" s="177">
        <f>'[6]price list MAN'!R1187</f>
        <v>1295000</v>
      </c>
      <c r="M1187" s="174">
        <f>'[6]price list MAN'!S1187</f>
        <v>1795000</v>
      </c>
      <c r="N1187" s="174">
        <f>'[6]price list MAN'!Y1187</f>
        <v>1417500</v>
      </c>
      <c r="O1187" s="174">
        <f>'[6]price list MAN'!AA1187</f>
        <v>1350000</v>
      </c>
      <c r="P1187" s="68">
        <f t="shared" si="91"/>
        <v>0.24791086350974931</v>
      </c>
      <c r="Q1187" s="62" t="e">
        <f>O1187-#REF!</f>
        <v>#REF!</v>
      </c>
      <c r="W1187" s="210"/>
      <c r="X1187" s="210"/>
      <c r="Y1187" s="210"/>
      <c r="Z1187" s="210"/>
      <c r="AA1187" s="210"/>
      <c r="AB1187" s="210"/>
      <c r="AC1187" s="210"/>
      <c r="AT1187" s="425" t="str">
        <f t="shared" si="92"/>
        <v>KP0007532017Q315,3</v>
      </c>
      <c r="AU1187" s="64" t="str">
        <f t="shared" si="93"/>
        <v>08-2017</v>
      </c>
      <c r="BA1187" s="428" t="str">
        <f t="shared" si="94"/>
        <v>WIP - 30 Days</v>
      </c>
    </row>
    <row r="1188" spans="2:53">
      <c r="B1188" s="36" t="str">
        <f>'[6]price list MAN'!B1188</f>
        <v>76W-B162</v>
      </c>
      <c r="C1188" s="10" t="str">
        <f>'[6]price list MAN'!C1188</f>
        <v>TGS-27-4406X4BBS-LX</v>
      </c>
      <c r="D1188" s="16" t="str">
        <f>IFERROR(VLOOKUP(C1188&amp;"",'[7]Retail Price List'!$A$3:$B$103,2,FALSE),"Special Order")</f>
        <v>KP000753</v>
      </c>
      <c r="E1188" s="494" t="str">
        <f>'[6]price list MAN'!E1188</f>
        <v>CKD</v>
      </c>
      <c r="F1188" s="11" t="str">
        <f>'[6]price list MAN'!F1188</f>
        <v>2018-05-30</v>
      </c>
      <c r="G1188" s="32">
        <f>'[6]price list MAN'!G1188</f>
        <v>15.3</v>
      </c>
      <c r="H1188" s="26">
        <f>'[6]price list MAN'!H1188</f>
        <v>42978</v>
      </c>
      <c r="I1188" s="51" t="str">
        <f t="shared" si="90"/>
        <v>2017Q3</v>
      </c>
      <c r="J1188" s="177">
        <f>'[6]price list MAN'!J1188</f>
        <v>1740000</v>
      </c>
      <c r="K1188" s="177">
        <f>'[6]price list MAN'!P1188</f>
        <v>1359750</v>
      </c>
      <c r="L1188" s="177">
        <f>'[6]price list MAN'!R1188</f>
        <v>1295000</v>
      </c>
      <c r="M1188" s="174">
        <f>'[6]price list MAN'!S1188</f>
        <v>1795000</v>
      </c>
      <c r="N1188" s="174">
        <f>'[6]price list MAN'!Y1188</f>
        <v>1417500</v>
      </c>
      <c r="O1188" s="174">
        <f>'[6]price list MAN'!AA1188</f>
        <v>1350000</v>
      </c>
      <c r="P1188" s="68">
        <f t="shared" si="91"/>
        <v>0.24791086350974931</v>
      </c>
      <c r="Q1188" s="62" t="e">
        <f>O1188-#REF!</f>
        <v>#REF!</v>
      </c>
      <c r="W1188" s="210"/>
      <c r="X1188" s="210"/>
      <c r="Y1188" s="210"/>
      <c r="Z1188" s="210"/>
      <c r="AA1188" s="210"/>
      <c r="AB1188" s="210"/>
      <c r="AC1188" s="210"/>
      <c r="AT1188" s="425" t="str">
        <f t="shared" si="92"/>
        <v>KP0007532017Q315,3</v>
      </c>
      <c r="AU1188" s="64" t="str">
        <f t="shared" si="93"/>
        <v>08-2017</v>
      </c>
      <c r="BA1188" s="428" t="str">
        <f t="shared" si="94"/>
        <v>WIP - 30 Days</v>
      </c>
    </row>
    <row r="1189" spans="2:53">
      <c r="B1189" s="36" t="str">
        <f>'[6]price list MAN'!B1189</f>
        <v>76W-B171</v>
      </c>
      <c r="C1189" s="10" t="str">
        <f>'[6]price list MAN'!C1189</f>
        <v>TGS-27-4406X4BBS-LX</v>
      </c>
      <c r="D1189" s="16" t="str">
        <f>IFERROR(VLOOKUP(C1189&amp;"",'[7]Retail Price List'!$A$3:$B$103,2,FALSE),"Special Order")</f>
        <v>KP000753</v>
      </c>
      <c r="E1189" s="494" t="str">
        <f>'[6]price list MAN'!E1189</f>
        <v>CKD</v>
      </c>
      <c r="F1189" s="11" t="str">
        <f>'[6]price list MAN'!F1189</f>
        <v>2018-06-30</v>
      </c>
      <c r="G1189" s="32">
        <f>'[6]price list MAN'!G1189</f>
        <v>15.3</v>
      </c>
      <c r="H1189" s="26">
        <f>'[6]price list MAN'!H1189</f>
        <v>42978</v>
      </c>
      <c r="I1189" s="51" t="str">
        <f t="shared" si="90"/>
        <v>2017Q3</v>
      </c>
      <c r="J1189" s="177">
        <f>'[6]price list MAN'!J1189</f>
        <v>1740000</v>
      </c>
      <c r="K1189" s="177">
        <f>'[6]price list MAN'!P1189</f>
        <v>1359750</v>
      </c>
      <c r="L1189" s="177">
        <f>'[6]price list MAN'!R1189</f>
        <v>1295000</v>
      </c>
      <c r="M1189" s="174">
        <f>'[6]price list MAN'!S1189</f>
        <v>1795000</v>
      </c>
      <c r="N1189" s="174">
        <f>'[6]price list MAN'!Y1189</f>
        <v>1417500</v>
      </c>
      <c r="O1189" s="174">
        <f>'[6]price list MAN'!AA1189</f>
        <v>1350000</v>
      </c>
      <c r="P1189" s="68">
        <f t="shared" si="91"/>
        <v>0.24791086350974931</v>
      </c>
      <c r="Q1189" s="62" t="e">
        <f>O1189-#REF!</f>
        <v>#REF!</v>
      </c>
      <c r="W1189" s="210"/>
      <c r="X1189" s="210"/>
      <c r="Y1189" s="210"/>
      <c r="Z1189" s="210"/>
      <c r="AA1189" s="210"/>
      <c r="AB1189" s="210"/>
      <c r="AC1189" s="210"/>
      <c r="AT1189" s="425" t="str">
        <f t="shared" si="92"/>
        <v>KP0007532017Q315,3</v>
      </c>
      <c r="AU1189" s="64" t="str">
        <f t="shared" si="93"/>
        <v>08-2017</v>
      </c>
      <c r="BA1189" s="428" t="str">
        <f t="shared" si="94"/>
        <v>WIP - 30 Days</v>
      </c>
    </row>
    <row r="1190" spans="2:53">
      <c r="B1190" s="36" t="str">
        <f>'[6]price list MAN'!B1190</f>
        <v>76W-B172</v>
      </c>
      <c r="C1190" s="10" t="str">
        <f>'[6]price list MAN'!C1190</f>
        <v>TGS-27-4406X4BBS-LX</v>
      </c>
      <c r="D1190" s="16" t="str">
        <f>IFERROR(VLOOKUP(C1190&amp;"",'[7]Retail Price List'!$A$3:$B$103,2,FALSE),"Special Order")</f>
        <v>KP000753</v>
      </c>
      <c r="E1190" s="494" t="str">
        <f>'[6]price list MAN'!E1190</f>
        <v>CKD</v>
      </c>
      <c r="F1190" s="11" t="str">
        <f>'[6]price list MAN'!F1190</f>
        <v>2018-06-30</v>
      </c>
      <c r="G1190" s="32">
        <f>'[6]price list MAN'!G1190</f>
        <v>15.3</v>
      </c>
      <c r="H1190" s="26">
        <f>'[6]price list MAN'!H1190</f>
        <v>42978</v>
      </c>
      <c r="I1190" s="51" t="str">
        <f t="shared" si="90"/>
        <v>2017Q3</v>
      </c>
      <c r="J1190" s="177">
        <f>'[6]price list MAN'!J1190</f>
        <v>1740000</v>
      </c>
      <c r="K1190" s="177">
        <f>'[6]price list MAN'!P1190</f>
        <v>1359750</v>
      </c>
      <c r="L1190" s="177">
        <f>'[6]price list MAN'!R1190</f>
        <v>1295000</v>
      </c>
      <c r="M1190" s="174">
        <f>'[6]price list MAN'!S1190</f>
        <v>1795000</v>
      </c>
      <c r="N1190" s="174">
        <f>'[6]price list MAN'!Y1190</f>
        <v>1417500</v>
      </c>
      <c r="O1190" s="174">
        <f>'[6]price list MAN'!AA1190</f>
        <v>1350000</v>
      </c>
      <c r="P1190" s="68">
        <f t="shared" si="91"/>
        <v>0.24791086350974931</v>
      </c>
      <c r="Q1190" s="62" t="e">
        <f>O1190-#REF!</f>
        <v>#REF!</v>
      </c>
      <c r="W1190" s="210"/>
      <c r="X1190" s="210"/>
      <c r="Y1190" s="210"/>
      <c r="Z1190" s="210"/>
      <c r="AA1190" s="210"/>
      <c r="AB1190" s="210"/>
      <c r="AC1190" s="210"/>
      <c r="AT1190" s="425" t="str">
        <f t="shared" si="92"/>
        <v>KP0007532017Q315,3</v>
      </c>
      <c r="AU1190" s="64" t="str">
        <f t="shared" si="93"/>
        <v>08-2017</v>
      </c>
      <c r="BA1190" s="428" t="str">
        <f t="shared" si="94"/>
        <v>WIP - 30 Days</v>
      </c>
    </row>
    <row r="1191" spans="2:53">
      <c r="B1191" s="36" t="str">
        <f>'[6]price list MAN'!B1191</f>
        <v>76W-B173</v>
      </c>
      <c r="C1191" s="10" t="str">
        <f>'[6]price list MAN'!C1191</f>
        <v>TGS-27-4406X4BBS-LX</v>
      </c>
      <c r="D1191" s="16" t="str">
        <f>IFERROR(VLOOKUP(C1191&amp;"",'[7]Retail Price List'!$A$3:$B$103,2,FALSE),"Special Order")</f>
        <v>KP000753</v>
      </c>
      <c r="E1191" s="494" t="str">
        <f>'[6]price list MAN'!E1191</f>
        <v>CKD</v>
      </c>
      <c r="F1191" s="11" t="str">
        <f>'[6]price list MAN'!F1191</f>
        <v>2018-06-30</v>
      </c>
      <c r="G1191" s="32">
        <f>'[6]price list MAN'!G1191</f>
        <v>15.3</v>
      </c>
      <c r="H1191" s="26">
        <f>'[6]price list MAN'!H1191</f>
        <v>42978</v>
      </c>
      <c r="I1191" s="51" t="str">
        <f t="shared" si="90"/>
        <v>2017Q3</v>
      </c>
      <c r="J1191" s="177">
        <f>'[6]price list MAN'!J1191</f>
        <v>1740000</v>
      </c>
      <c r="K1191" s="177">
        <f>'[6]price list MAN'!P1191</f>
        <v>1359750</v>
      </c>
      <c r="L1191" s="177">
        <f>'[6]price list MAN'!R1191</f>
        <v>1295000</v>
      </c>
      <c r="M1191" s="174">
        <f>'[6]price list MAN'!S1191</f>
        <v>1795000</v>
      </c>
      <c r="N1191" s="174">
        <f>'[6]price list MAN'!Y1191</f>
        <v>1417500</v>
      </c>
      <c r="O1191" s="174">
        <f>'[6]price list MAN'!AA1191</f>
        <v>1350000</v>
      </c>
      <c r="P1191" s="68">
        <f t="shared" si="91"/>
        <v>0.24791086350974931</v>
      </c>
      <c r="Q1191" s="62" t="e">
        <f>O1191-#REF!</f>
        <v>#REF!</v>
      </c>
      <c r="W1191" s="210"/>
      <c r="X1191" s="210"/>
      <c r="Y1191" s="210"/>
      <c r="Z1191" s="210"/>
      <c r="AA1191" s="210"/>
      <c r="AB1191" s="210"/>
      <c r="AC1191" s="210"/>
      <c r="AT1191" s="425" t="str">
        <f t="shared" si="92"/>
        <v>KP0007532017Q315,3</v>
      </c>
      <c r="AU1191" s="64" t="str">
        <f t="shared" si="93"/>
        <v>08-2017</v>
      </c>
      <c r="BA1191" s="428" t="str">
        <f t="shared" si="94"/>
        <v>WIP - 30 Days</v>
      </c>
    </row>
    <row r="1192" spans="2:53">
      <c r="B1192" s="36" t="str">
        <f>'[6]price list MAN'!B1192</f>
        <v>76W-B174</v>
      </c>
      <c r="C1192" s="10" t="str">
        <f>'[6]price list MAN'!C1192</f>
        <v>TGS-27-4406X4BBS-LX</v>
      </c>
      <c r="D1192" s="16" t="str">
        <f>IFERROR(VLOOKUP(C1192&amp;"",'[7]Retail Price List'!$A$3:$B$103,2,FALSE),"Special Order")</f>
        <v>KP000753</v>
      </c>
      <c r="E1192" s="494" t="str">
        <f>'[6]price list MAN'!E1192</f>
        <v>CKD</v>
      </c>
      <c r="F1192" s="11" t="str">
        <f>'[6]price list MAN'!F1192</f>
        <v>2018-06-30</v>
      </c>
      <c r="G1192" s="32">
        <f>'[6]price list MAN'!G1192</f>
        <v>15.3</v>
      </c>
      <c r="H1192" s="26">
        <f>'[6]price list MAN'!H1192</f>
        <v>42978</v>
      </c>
      <c r="I1192" s="51" t="str">
        <f t="shared" si="90"/>
        <v>2017Q3</v>
      </c>
      <c r="J1192" s="177">
        <f>'[6]price list MAN'!J1192</f>
        <v>1740000</v>
      </c>
      <c r="K1192" s="177">
        <f>'[6]price list MAN'!P1192</f>
        <v>1359750</v>
      </c>
      <c r="L1192" s="177">
        <f>'[6]price list MAN'!R1192</f>
        <v>1295000</v>
      </c>
      <c r="M1192" s="174">
        <f>'[6]price list MAN'!S1192</f>
        <v>1795000</v>
      </c>
      <c r="N1192" s="174">
        <f>'[6]price list MAN'!Y1192</f>
        <v>1417500</v>
      </c>
      <c r="O1192" s="174">
        <f>'[6]price list MAN'!AA1192</f>
        <v>1350000</v>
      </c>
      <c r="P1192" s="68">
        <f t="shared" si="91"/>
        <v>0.24791086350974931</v>
      </c>
      <c r="Q1192" s="62" t="e">
        <f>O1192-#REF!</f>
        <v>#REF!</v>
      </c>
      <c r="W1192" s="210"/>
      <c r="X1192" s="210"/>
      <c r="Y1192" s="210"/>
      <c r="Z1192" s="210"/>
      <c r="AA1192" s="210"/>
      <c r="AB1192" s="210"/>
      <c r="AC1192" s="210"/>
      <c r="AT1192" s="425" t="str">
        <f t="shared" si="92"/>
        <v>KP0007532017Q315,3</v>
      </c>
      <c r="AU1192" s="64" t="str">
        <f t="shared" si="93"/>
        <v>08-2017</v>
      </c>
      <c r="BA1192" s="428" t="str">
        <f t="shared" si="94"/>
        <v>WIP - 30 Days</v>
      </c>
    </row>
    <row r="1193" spans="2:53">
      <c r="B1193" s="36" t="str">
        <f>'[6]price list MAN'!B1193</f>
        <v>76W-B183</v>
      </c>
      <c r="C1193" s="10" t="str">
        <f>'[6]price list MAN'!C1193</f>
        <v>TGS-27-4406X4BBS-LX</v>
      </c>
      <c r="D1193" s="16" t="str">
        <f>IFERROR(VLOOKUP(C1193&amp;"",'[7]Retail Price List'!$A$3:$B$103,2,FALSE),"Special Order")</f>
        <v>KP000753</v>
      </c>
      <c r="E1193" s="494" t="str">
        <f>'[6]price list MAN'!E1193</f>
        <v>CKD</v>
      </c>
      <c r="F1193" s="11" t="str">
        <f>'[6]price list MAN'!F1193</f>
        <v>2018-06-30</v>
      </c>
      <c r="G1193" s="32">
        <f>'[6]price list MAN'!G1193</f>
        <v>15.3</v>
      </c>
      <c r="H1193" s="26">
        <f>'[6]price list MAN'!H1193</f>
        <v>42978</v>
      </c>
      <c r="I1193" s="51" t="str">
        <f t="shared" si="90"/>
        <v>2017Q3</v>
      </c>
      <c r="J1193" s="177">
        <f>'[6]price list MAN'!J1193</f>
        <v>1740000</v>
      </c>
      <c r="K1193" s="177">
        <f>'[6]price list MAN'!P1193</f>
        <v>1359750</v>
      </c>
      <c r="L1193" s="177">
        <f>'[6]price list MAN'!R1193</f>
        <v>1295000</v>
      </c>
      <c r="M1193" s="174">
        <f>'[6]price list MAN'!S1193</f>
        <v>1795000</v>
      </c>
      <c r="N1193" s="174">
        <f>'[6]price list MAN'!Y1193</f>
        <v>1417500</v>
      </c>
      <c r="O1193" s="174">
        <f>'[6]price list MAN'!AA1193</f>
        <v>1350000</v>
      </c>
      <c r="P1193" s="68">
        <f t="shared" si="91"/>
        <v>0.24791086350974931</v>
      </c>
      <c r="Q1193" s="62" t="e">
        <f>O1193-#REF!</f>
        <v>#REF!</v>
      </c>
      <c r="W1193" s="210"/>
      <c r="X1193" s="210"/>
      <c r="Y1193" s="210"/>
      <c r="Z1193" s="210"/>
      <c r="AA1193" s="210"/>
      <c r="AB1193" s="210"/>
      <c r="AC1193" s="210"/>
      <c r="AT1193" s="425" t="str">
        <f t="shared" si="92"/>
        <v>KP0007532017Q315,3</v>
      </c>
      <c r="AU1193" s="64" t="str">
        <f t="shared" si="93"/>
        <v>08-2017</v>
      </c>
      <c r="BA1193" s="428" t="str">
        <f t="shared" si="94"/>
        <v>WIP - 30 Days</v>
      </c>
    </row>
    <row r="1194" spans="2:53">
      <c r="B1194" s="36" t="str">
        <f>'[6]price list MAN'!B1194</f>
        <v>76W-B184</v>
      </c>
      <c r="C1194" s="10" t="str">
        <f>'[6]price list MAN'!C1194</f>
        <v>TGS-27-4406X4BBS-LX</v>
      </c>
      <c r="D1194" s="16" t="str">
        <f>IFERROR(VLOOKUP(C1194&amp;"",'[7]Retail Price List'!$A$3:$B$103,2,FALSE),"Special Order")</f>
        <v>KP000753</v>
      </c>
      <c r="E1194" s="494" t="str">
        <f>'[6]price list MAN'!E1194</f>
        <v>CKD</v>
      </c>
      <c r="F1194" s="11" t="str">
        <f>'[6]price list MAN'!F1194</f>
        <v>2018-06-30</v>
      </c>
      <c r="G1194" s="32">
        <f>'[6]price list MAN'!G1194</f>
        <v>15.3</v>
      </c>
      <c r="H1194" s="26">
        <f>'[6]price list MAN'!H1194</f>
        <v>42978</v>
      </c>
      <c r="I1194" s="51" t="str">
        <f t="shared" si="90"/>
        <v>2017Q3</v>
      </c>
      <c r="J1194" s="177">
        <f>'[6]price list MAN'!J1194</f>
        <v>1740000</v>
      </c>
      <c r="K1194" s="177">
        <f>'[6]price list MAN'!P1194</f>
        <v>1359750</v>
      </c>
      <c r="L1194" s="177">
        <f>'[6]price list MAN'!R1194</f>
        <v>1295000</v>
      </c>
      <c r="M1194" s="174">
        <f>'[6]price list MAN'!S1194</f>
        <v>1795000</v>
      </c>
      <c r="N1194" s="174">
        <f>'[6]price list MAN'!Y1194</f>
        <v>1417500</v>
      </c>
      <c r="O1194" s="174">
        <f>'[6]price list MAN'!AA1194</f>
        <v>1350000</v>
      </c>
      <c r="P1194" s="68">
        <f t="shared" si="91"/>
        <v>0.24791086350974931</v>
      </c>
      <c r="Q1194" s="62" t="e">
        <f>O1194-#REF!</f>
        <v>#REF!</v>
      </c>
      <c r="W1194" s="210"/>
      <c r="X1194" s="210"/>
      <c r="Y1194" s="210"/>
      <c r="Z1194" s="210"/>
      <c r="AA1194" s="210"/>
      <c r="AB1194" s="210"/>
      <c r="AC1194" s="210"/>
      <c r="AT1194" s="425" t="str">
        <f t="shared" si="92"/>
        <v>KP0007532017Q315,3</v>
      </c>
      <c r="AU1194" s="64" t="str">
        <f t="shared" si="93"/>
        <v>08-2017</v>
      </c>
      <c r="BA1194" s="428" t="str">
        <f t="shared" si="94"/>
        <v>WIP - 30 Days</v>
      </c>
    </row>
    <row r="1195" spans="2:53">
      <c r="B1195" s="36" t="str">
        <f>'[6]price list MAN'!B1195</f>
        <v>76W-B185</v>
      </c>
      <c r="C1195" s="10" t="str">
        <f>'[6]price list MAN'!C1195</f>
        <v>TGS-27-4406X4BBS-LX</v>
      </c>
      <c r="D1195" s="16" t="str">
        <f>IFERROR(VLOOKUP(C1195&amp;"",'[7]Retail Price List'!$A$3:$B$103,2,FALSE),"Special Order")</f>
        <v>KP000753</v>
      </c>
      <c r="E1195" s="494" t="str">
        <f>'[6]price list MAN'!E1195</f>
        <v>CKD</v>
      </c>
      <c r="F1195" s="11" t="str">
        <f>'[6]price list MAN'!F1195</f>
        <v>2018-06-30</v>
      </c>
      <c r="G1195" s="32">
        <f>'[6]price list MAN'!G1195</f>
        <v>15.3</v>
      </c>
      <c r="H1195" s="26">
        <f>'[6]price list MAN'!H1195</f>
        <v>42978</v>
      </c>
      <c r="I1195" s="51" t="str">
        <f t="shared" si="90"/>
        <v>2017Q3</v>
      </c>
      <c r="J1195" s="177">
        <f>'[6]price list MAN'!J1195</f>
        <v>1740000</v>
      </c>
      <c r="K1195" s="177">
        <f>'[6]price list MAN'!P1195</f>
        <v>1359750</v>
      </c>
      <c r="L1195" s="177">
        <f>'[6]price list MAN'!R1195</f>
        <v>1295000</v>
      </c>
      <c r="M1195" s="174">
        <f>'[6]price list MAN'!S1195</f>
        <v>1795000</v>
      </c>
      <c r="N1195" s="174">
        <f>'[6]price list MAN'!Y1195</f>
        <v>1417500</v>
      </c>
      <c r="O1195" s="174">
        <f>'[6]price list MAN'!AA1195</f>
        <v>1350000</v>
      </c>
      <c r="P1195" s="68">
        <f t="shared" si="91"/>
        <v>0.24791086350974931</v>
      </c>
      <c r="Q1195" s="62" t="e">
        <f>O1195-#REF!</f>
        <v>#REF!</v>
      </c>
      <c r="W1195" s="210"/>
      <c r="X1195" s="210"/>
      <c r="Y1195" s="210"/>
      <c r="Z1195" s="210"/>
      <c r="AA1195" s="210"/>
      <c r="AB1195" s="210"/>
      <c r="AC1195" s="210"/>
      <c r="AT1195" s="425" t="str">
        <f t="shared" si="92"/>
        <v>KP0007532017Q315,3</v>
      </c>
      <c r="AU1195" s="64" t="str">
        <f t="shared" si="93"/>
        <v>08-2017</v>
      </c>
      <c r="BA1195" s="428" t="str">
        <f t="shared" si="94"/>
        <v>WIP - 30 Days</v>
      </c>
    </row>
    <row r="1196" spans="2:53">
      <c r="B1196" s="36" t="str">
        <f>'[6]price list MAN'!B1196</f>
        <v>76W-B186</v>
      </c>
      <c r="C1196" s="10" t="str">
        <f>'[6]price list MAN'!C1196</f>
        <v>TGS-27-4406X4BBS-LX</v>
      </c>
      <c r="D1196" s="16" t="str">
        <f>IFERROR(VLOOKUP(C1196&amp;"",'[7]Retail Price List'!$A$3:$B$103,2,FALSE),"Special Order")</f>
        <v>KP000753</v>
      </c>
      <c r="E1196" s="494" t="str">
        <f>'[6]price list MAN'!E1196</f>
        <v>CKD</v>
      </c>
      <c r="F1196" s="11" t="str">
        <f>'[6]price list MAN'!F1196</f>
        <v>2018-06-30</v>
      </c>
      <c r="G1196" s="32">
        <f>'[6]price list MAN'!G1196</f>
        <v>15.3</v>
      </c>
      <c r="H1196" s="26">
        <f>'[6]price list MAN'!H1196</f>
        <v>42978</v>
      </c>
      <c r="I1196" s="51" t="str">
        <f t="shared" si="90"/>
        <v>2017Q3</v>
      </c>
      <c r="J1196" s="177">
        <f>'[6]price list MAN'!J1196</f>
        <v>1740000</v>
      </c>
      <c r="K1196" s="177">
        <f>'[6]price list MAN'!P1196</f>
        <v>1359750</v>
      </c>
      <c r="L1196" s="177">
        <f>'[6]price list MAN'!R1196</f>
        <v>1295000</v>
      </c>
      <c r="M1196" s="174">
        <f>'[6]price list MAN'!S1196</f>
        <v>1795000</v>
      </c>
      <c r="N1196" s="174">
        <f>'[6]price list MAN'!Y1196</f>
        <v>1417500</v>
      </c>
      <c r="O1196" s="174">
        <f>'[6]price list MAN'!AA1196</f>
        <v>1350000</v>
      </c>
      <c r="P1196" s="68">
        <f t="shared" si="91"/>
        <v>0.24791086350974931</v>
      </c>
      <c r="Q1196" s="62" t="e">
        <f>O1196-#REF!</f>
        <v>#REF!</v>
      </c>
      <c r="W1196" s="210"/>
      <c r="X1196" s="210"/>
      <c r="Y1196" s="210"/>
      <c r="Z1196" s="210"/>
      <c r="AA1196" s="210"/>
      <c r="AB1196" s="210"/>
      <c r="AC1196" s="210"/>
      <c r="AT1196" s="425" t="str">
        <f t="shared" si="92"/>
        <v>KP0007532017Q315,3</v>
      </c>
      <c r="AU1196" s="64" t="str">
        <f t="shared" si="93"/>
        <v>08-2017</v>
      </c>
      <c r="BA1196" s="428" t="str">
        <f t="shared" si="94"/>
        <v>WIP - 30 Days</v>
      </c>
    </row>
    <row r="1197" spans="2:53">
      <c r="B1197" s="36" t="str">
        <f>'[6]price list MAN'!B1197</f>
        <v>76W-B187</v>
      </c>
      <c r="C1197" s="10" t="str">
        <f>'[6]price list MAN'!C1197</f>
        <v>TGS-27-4406X4BBS-LX</v>
      </c>
      <c r="D1197" s="16" t="str">
        <f>IFERROR(VLOOKUP(C1197&amp;"",'[7]Retail Price List'!$A$3:$B$103,2,FALSE),"Special Order")</f>
        <v>KP000753</v>
      </c>
      <c r="E1197" s="494" t="str">
        <f>'[6]price list MAN'!E1197</f>
        <v>CKD</v>
      </c>
      <c r="F1197" s="11" t="str">
        <f>'[6]price list MAN'!F1197</f>
        <v>2018-05-30</v>
      </c>
      <c r="G1197" s="32">
        <f>'[6]price list MAN'!G1197</f>
        <v>15.3</v>
      </c>
      <c r="H1197" s="26">
        <f>'[6]price list MAN'!H1197</f>
        <v>42978</v>
      </c>
      <c r="I1197" s="51" t="str">
        <f t="shared" si="90"/>
        <v>2017Q3</v>
      </c>
      <c r="J1197" s="177">
        <f>'[6]price list MAN'!J1197</f>
        <v>1740000</v>
      </c>
      <c r="K1197" s="177">
        <f>'[6]price list MAN'!P1197</f>
        <v>1386000</v>
      </c>
      <c r="L1197" s="177">
        <f>'[6]price list MAN'!R1197</f>
        <v>1320000</v>
      </c>
      <c r="M1197" s="174">
        <f>'[6]price list MAN'!S1197</f>
        <v>1795000</v>
      </c>
      <c r="N1197" s="174">
        <f>'[6]price list MAN'!Y1197</f>
        <v>1443750</v>
      </c>
      <c r="O1197" s="174">
        <f>'[6]price list MAN'!AA1197</f>
        <v>1375000</v>
      </c>
      <c r="P1197" s="68">
        <f t="shared" si="91"/>
        <v>0.23398328690807799</v>
      </c>
      <c r="Q1197" s="62" t="e">
        <f>O1197-#REF!</f>
        <v>#REF!</v>
      </c>
      <c r="W1197" s="210"/>
      <c r="X1197" s="210"/>
      <c r="Y1197" s="210"/>
      <c r="Z1197" s="210"/>
      <c r="AA1197" s="210"/>
      <c r="AB1197" s="210"/>
      <c r="AC1197" s="210"/>
      <c r="AT1197" s="425" t="str">
        <f t="shared" si="92"/>
        <v>KP0007532017Q315,3</v>
      </c>
      <c r="AU1197" s="64" t="str">
        <f t="shared" si="93"/>
        <v>08-2017</v>
      </c>
      <c r="BA1197" s="428" t="str">
        <f t="shared" si="94"/>
        <v>WIP - 30 Days</v>
      </c>
    </row>
    <row r="1198" spans="2:53">
      <c r="B1198" s="36" t="str">
        <f>'[6]price list MAN'!B1198</f>
        <v>76W-B188</v>
      </c>
      <c r="C1198" s="10" t="str">
        <f>'[6]price list MAN'!C1198</f>
        <v>TGS-27-4406X4BBS-LX</v>
      </c>
      <c r="D1198" s="16" t="str">
        <f>IFERROR(VLOOKUP(C1198&amp;"",'[7]Retail Price List'!$A$3:$B$103,2,FALSE),"Special Order")</f>
        <v>KP000753</v>
      </c>
      <c r="E1198" s="494" t="str">
        <f>'[6]price list MAN'!E1198</f>
        <v>CKD</v>
      </c>
      <c r="F1198" s="11" t="str">
        <f>'[6]price list MAN'!F1198</f>
        <v>2018-05-30</v>
      </c>
      <c r="G1198" s="32">
        <f>'[6]price list MAN'!G1198</f>
        <v>15.3</v>
      </c>
      <c r="H1198" s="26">
        <f>'[6]price list MAN'!H1198</f>
        <v>42978</v>
      </c>
      <c r="I1198" s="51" t="str">
        <f t="shared" si="90"/>
        <v>2017Q3</v>
      </c>
      <c r="J1198" s="177">
        <f>'[6]price list MAN'!J1198</f>
        <v>1740000</v>
      </c>
      <c r="K1198" s="177">
        <f>'[6]price list MAN'!P1198</f>
        <v>1386000</v>
      </c>
      <c r="L1198" s="177">
        <f>'[6]price list MAN'!R1198</f>
        <v>1320000</v>
      </c>
      <c r="M1198" s="174">
        <f>'[6]price list MAN'!S1198</f>
        <v>1795000</v>
      </c>
      <c r="N1198" s="174">
        <f>'[6]price list MAN'!Y1198</f>
        <v>1443750</v>
      </c>
      <c r="O1198" s="174">
        <f>'[6]price list MAN'!AA1198</f>
        <v>1375000</v>
      </c>
      <c r="P1198" s="68">
        <f t="shared" si="91"/>
        <v>0.23398328690807799</v>
      </c>
      <c r="Q1198" s="62" t="e">
        <f>O1198-#REF!</f>
        <v>#REF!</v>
      </c>
      <c r="W1198" s="210"/>
      <c r="X1198" s="210"/>
      <c r="Y1198" s="210"/>
      <c r="Z1198" s="210"/>
      <c r="AA1198" s="210"/>
      <c r="AB1198" s="210"/>
      <c r="AC1198" s="210"/>
      <c r="AT1198" s="425" t="str">
        <f t="shared" si="92"/>
        <v>KP0007532017Q315,3</v>
      </c>
      <c r="AU1198" s="64" t="str">
        <f t="shared" si="93"/>
        <v>08-2017</v>
      </c>
      <c r="BA1198" s="428" t="str">
        <f t="shared" si="94"/>
        <v>WIP - 30 Days</v>
      </c>
    </row>
    <row r="1199" spans="2:53">
      <c r="B1199" s="36" t="str">
        <f>'[6]price list MAN'!B1199</f>
        <v>76W-B189</v>
      </c>
      <c r="C1199" s="10" t="str">
        <f>'[6]price list MAN'!C1199</f>
        <v>TGS-27-4406X4BBS-LX</v>
      </c>
      <c r="D1199" s="16" t="str">
        <f>IFERROR(VLOOKUP(C1199&amp;"",'[7]Retail Price List'!$A$3:$B$103,2,FALSE),"Special Order")</f>
        <v>KP000753</v>
      </c>
      <c r="E1199" s="494" t="str">
        <f>'[6]price list MAN'!E1199</f>
        <v>CKD</v>
      </c>
      <c r="F1199" s="11" t="str">
        <f>'[6]price list MAN'!F1199</f>
        <v>2018-05-30</v>
      </c>
      <c r="G1199" s="32">
        <f>'[6]price list MAN'!G1199</f>
        <v>15.3</v>
      </c>
      <c r="H1199" s="26">
        <f>'[6]price list MAN'!H1199</f>
        <v>42978</v>
      </c>
      <c r="I1199" s="51" t="str">
        <f t="shared" si="90"/>
        <v>2017Q3</v>
      </c>
      <c r="J1199" s="177">
        <f>'[6]price list MAN'!J1199</f>
        <v>1740000</v>
      </c>
      <c r="K1199" s="177">
        <f>'[6]price list MAN'!P1199</f>
        <v>1359750</v>
      </c>
      <c r="L1199" s="177">
        <f>'[6]price list MAN'!R1199</f>
        <v>1295000</v>
      </c>
      <c r="M1199" s="174">
        <f>'[6]price list MAN'!S1199</f>
        <v>1795000</v>
      </c>
      <c r="N1199" s="174">
        <f>'[6]price list MAN'!Y1199</f>
        <v>1417500</v>
      </c>
      <c r="O1199" s="174">
        <f>'[6]price list MAN'!AA1199</f>
        <v>1350000</v>
      </c>
      <c r="P1199" s="68">
        <f t="shared" si="91"/>
        <v>0.24791086350974931</v>
      </c>
      <c r="Q1199" s="62" t="e">
        <f>O1199-#REF!</f>
        <v>#REF!</v>
      </c>
      <c r="W1199" s="210"/>
      <c r="X1199" s="210"/>
      <c r="Y1199" s="210"/>
      <c r="Z1199" s="210"/>
      <c r="AA1199" s="210"/>
      <c r="AB1199" s="210"/>
      <c r="AC1199" s="210"/>
      <c r="AT1199" s="425" t="str">
        <f t="shared" si="92"/>
        <v>KP0007532017Q315,3</v>
      </c>
      <c r="AU1199" s="64" t="str">
        <f t="shared" si="93"/>
        <v>08-2017</v>
      </c>
      <c r="BA1199" s="428" t="str">
        <f t="shared" si="94"/>
        <v>WIP - 30 Days</v>
      </c>
    </row>
    <row r="1200" spans="2:53">
      <c r="B1200" s="36" t="str">
        <f>'[6]price list MAN'!B1200</f>
        <v>76W-B190</v>
      </c>
      <c r="C1200" s="10" t="str">
        <f>'[6]price list MAN'!C1200</f>
        <v>TGS-27-4406X4BBS-LX</v>
      </c>
      <c r="D1200" s="16" t="str">
        <f>IFERROR(VLOOKUP(C1200&amp;"",'[7]Retail Price List'!$A$3:$B$103,2,FALSE),"Special Order")</f>
        <v>KP000753</v>
      </c>
      <c r="E1200" s="494" t="str">
        <f>'[6]price list MAN'!E1200</f>
        <v>CKD</v>
      </c>
      <c r="F1200" s="11" t="str">
        <f>'[6]price list MAN'!F1200</f>
        <v>2018-05-30</v>
      </c>
      <c r="G1200" s="32">
        <f>'[6]price list MAN'!G1200</f>
        <v>15.3</v>
      </c>
      <c r="H1200" s="26">
        <f>'[6]price list MAN'!H1200</f>
        <v>42978</v>
      </c>
      <c r="I1200" s="51" t="str">
        <f t="shared" si="90"/>
        <v>2017Q3</v>
      </c>
      <c r="J1200" s="177">
        <f>'[6]price list MAN'!J1200</f>
        <v>1740000</v>
      </c>
      <c r="K1200" s="177">
        <f>'[6]price list MAN'!P1200</f>
        <v>1359750</v>
      </c>
      <c r="L1200" s="177">
        <f>'[6]price list MAN'!R1200</f>
        <v>1295000</v>
      </c>
      <c r="M1200" s="174">
        <f>'[6]price list MAN'!S1200</f>
        <v>1795000</v>
      </c>
      <c r="N1200" s="174">
        <f>'[6]price list MAN'!Y1200</f>
        <v>1417500</v>
      </c>
      <c r="O1200" s="174">
        <f>'[6]price list MAN'!AA1200</f>
        <v>1350000</v>
      </c>
      <c r="P1200" s="68">
        <f t="shared" si="91"/>
        <v>0.24791086350974931</v>
      </c>
      <c r="Q1200" s="62" t="e">
        <f>O1200-#REF!</f>
        <v>#REF!</v>
      </c>
      <c r="W1200" s="210"/>
      <c r="X1200" s="210"/>
      <c r="Y1200" s="210"/>
      <c r="Z1200" s="210"/>
      <c r="AA1200" s="210"/>
      <c r="AB1200" s="210"/>
      <c r="AC1200" s="210"/>
      <c r="AT1200" s="425" t="str">
        <f t="shared" si="92"/>
        <v>KP0007532017Q315,3</v>
      </c>
      <c r="AU1200" s="64" t="str">
        <f t="shared" si="93"/>
        <v>08-2017</v>
      </c>
      <c r="BA1200" s="428" t="str">
        <f t="shared" si="94"/>
        <v>WIP - 30 Days</v>
      </c>
    </row>
    <row r="1201" spans="2:53">
      <c r="B1201" s="36" t="str">
        <f>'[6]price list MAN'!B1201</f>
        <v>76W-B195</v>
      </c>
      <c r="C1201" s="10" t="str">
        <f>'[6]price list MAN'!C1201</f>
        <v>TGS-27-4406X4BBS-LX</v>
      </c>
      <c r="D1201" s="16" t="str">
        <f>IFERROR(VLOOKUP(C1201&amp;"",'[7]Retail Price List'!$A$3:$B$103,2,FALSE),"Special Order")</f>
        <v>KP000753</v>
      </c>
      <c r="E1201" s="494" t="str">
        <f>'[6]price list MAN'!E1201</f>
        <v>CKD</v>
      </c>
      <c r="F1201" s="11" t="str">
        <f>'[6]price list MAN'!F1201</f>
        <v>2018-06-30</v>
      </c>
      <c r="G1201" s="32">
        <f>'[6]price list MAN'!G1201</f>
        <v>15.3</v>
      </c>
      <c r="H1201" s="26">
        <f>'[6]price list MAN'!H1201</f>
        <v>42978</v>
      </c>
      <c r="I1201" s="51" t="str">
        <f t="shared" si="90"/>
        <v>2017Q3</v>
      </c>
      <c r="J1201" s="177">
        <f>'[6]price list MAN'!J1201</f>
        <v>1740000</v>
      </c>
      <c r="K1201" s="177">
        <f>'[6]price list MAN'!P1201</f>
        <v>1359750</v>
      </c>
      <c r="L1201" s="177">
        <f>'[6]price list MAN'!R1201</f>
        <v>1295000</v>
      </c>
      <c r="M1201" s="174">
        <f>'[6]price list MAN'!S1201</f>
        <v>1795000</v>
      </c>
      <c r="N1201" s="174">
        <f>'[6]price list MAN'!Y1201</f>
        <v>1417500</v>
      </c>
      <c r="O1201" s="174">
        <f>'[6]price list MAN'!AA1201</f>
        <v>1350000</v>
      </c>
      <c r="P1201" s="68">
        <f t="shared" si="91"/>
        <v>0.24791086350974931</v>
      </c>
      <c r="Q1201" s="62" t="e">
        <f>O1201-#REF!</f>
        <v>#REF!</v>
      </c>
      <c r="W1201" s="210"/>
      <c r="X1201" s="210"/>
      <c r="Y1201" s="210"/>
      <c r="Z1201" s="210"/>
      <c r="AA1201" s="210"/>
      <c r="AB1201" s="210"/>
      <c r="AC1201" s="210"/>
      <c r="AT1201" s="425" t="str">
        <f t="shared" si="92"/>
        <v>KP0007532017Q315,3</v>
      </c>
      <c r="AU1201" s="64" t="str">
        <f t="shared" si="93"/>
        <v>08-2017</v>
      </c>
      <c r="BA1201" s="428" t="str">
        <f t="shared" si="94"/>
        <v>WIP - 30 Days</v>
      </c>
    </row>
    <row r="1202" spans="2:53">
      <c r="B1202" s="36" t="str">
        <f>'[6]price list MAN'!B1202</f>
        <v>76W-B196</v>
      </c>
      <c r="C1202" s="10" t="str">
        <f>'[6]price list MAN'!C1202</f>
        <v>TGS-27-4406X4BBS-LX</v>
      </c>
      <c r="D1202" s="16" t="str">
        <f>IFERROR(VLOOKUP(C1202&amp;"",'[7]Retail Price List'!$A$3:$B$103,2,FALSE),"Special Order")</f>
        <v>KP000753</v>
      </c>
      <c r="E1202" s="494" t="str">
        <f>'[6]price list MAN'!E1202</f>
        <v>CKD</v>
      </c>
      <c r="F1202" s="11" t="str">
        <f>'[6]price list MAN'!F1202</f>
        <v>2018-06-30</v>
      </c>
      <c r="G1202" s="32">
        <f>'[6]price list MAN'!G1202</f>
        <v>15.3</v>
      </c>
      <c r="H1202" s="26">
        <f>'[6]price list MAN'!H1202</f>
        <v>42978</v>
      </c>
      <c r="I1202" s="51" t="str">
        <f t="shared" si="90"/>
        <v>2017Q3</v>
      </c>
      <c r="J1202" s="177">
        <f>'[6]price list MAN'!J1202</f>
        <v>1740000</v>
      </c>
      <c r="K1202" s="177">
        <f>'[6]price list MAN'!P1202</f>
        <v>1359750</v>
      </c>
      <c r="L1202" s="177">
        <f>'[6]price list MAN'!R1202</f>
        <v>1295000</v>
      </c>
      <c r="M1202" s="174">
        <f>'[6]price list MAN'!S1202</f>
        <v>1795000</v>
      </c>
      <c r="N1202" s="174">
        <f>'[6]price list MAN'!Y1202</f>
        <v>1417500</v>
      </c>
      <c r="O1202" s="174">
        <f>'[6]price list MAN'!AA1202</f>
        <v>1350000</v>
      </c>
      <c r="P1202" s="68">
        <f t="shared" si="91"/>
        <v>0.24791086350974931</v>
      </c>
      <c r="Q1202" s="62" t="e">
        <f>O1202-#REF!</f>
        <v>#REF!</v>
      </c>
      <c r="W1202" s="210"/>
      <c r="X1202" s="210"/>
      <c r="Y1202" s="210"/>
      <c r="Z1202" s="210"/>
      <c r="AA1202" s="210"/>
      <c r="AB1202" s="210"/>
      <c r="AC1202" s="210"/>
      <c r="AT1202" s="425" t="str">
        <f t="shared" si="92"/>
        <v>KP0007532017Q315,3</v>
      </c>
      <c r="AU1202" s="64" t="str">
        <f t="shared" si="93"/>
        <v>08-2017</v>
      </c>
      <c r="BA1202" s="428" t="str">
        <f t="shared" si="94"/>
        <v>WIP - 30 Days</v>
      </c>
    </row>
    <row r="1203" spans="2:53">
      <c r="B1203" s="36" t="str">
        <f>'[6]price list MAN'!B1203</f>
        <v>76W-B197</v>
      </c>
      <c r="C1203" s="10" t="str">
        <f>'[6]price list MAN'!C1203</f>
        <v>TGS-27-4406X4BBS-LX</v>
      </c>
      <c r="D1203" s="16" t="str">
        <f>IFERROR(VLOOKUP(C1203&amp;"",'[7]Retail Price List'!$A$3:$B$103,2,FALSE),"Special Order")</f>
        <v>KP000753</v>
      </c>
      <c r="E1203" s="494" t="str">
        <f>'[6]price list MAN'!E1203</f>
        <v>CKD</v>
      </c>
      <c r="F1203" s="11" t="str">
        <f>'[6]price list MAN'!F1203</f>
        <v>2018-07-30</v>
      </c>
      <c r="G1203" s="32">
        <f>'[6]price list MAN'!G1203</f>
        <v>15.3</v>
      </c>
      <c r="H1203" s="26">
        <f>'[6]price list MAN'!H1203</f>
        <v>42978</v>
      </c>
      <c r="I1203" s="51" t="str">
        <f t="shared" si="90"/>
        <v>2017Q3</v>
      </c>
      <c r="J1203" s="177">
        <f>'[6]price list MAN'!J1203</f>
        <v>1740000</v>
      </c>
      <c r="K1203" s="177">
        <f>'[6]price list MAN'!P1203</f>
        <v>1359750</v>
      </c>
      <c r="L1203" s="177">
        <f>'[6]price list MAN'!R1203</f>
        <v>1295000</v>
      </c>
      <c r="M1203" s="174">
        <f>'[6]price list MAN'!S1203</f>
        <v>1795000</v>
      </c>
      <c r="N1203" s="174">
        <f>'[6]price list MAN'!Y1203</f>
        <v>1417500</v>
      </c>
      <c r="O1203" s="174">
        <f>'[6]price list MAN'!AA1203</f>
        <v>1350000</v>
      </c>
      <c r="P1203" s="68">
        <f t="shared" si="91"/>
        <v>0.24791086350974931</v>
      </c>
      <c r="Q1203" s="62" t="e">
        <f>O1203-#REF!</f>
        <v>#REF!</v>
      </c>
      <c r="W1203" s="210"/>
      <c r="X1203" s="210"/>
      <c r="Y1203" s="210"/>
      <c r="Z1203" s="210"/>
      <c r="AA1203" s="210"/>
      <c r="AB1203" s="210"/>
      <c r="AC1203" s="210"/>
      <c r="AT1203" s="425" t="str">
        <f t="shared" si="92"/>
        <v>KP0007532017Q315,3</v>
      </c>
      <c r="AU1203" s="64" t="str">
        <f t="shared" si="93"/>
        <v>08-2017</v>
      </c>
      <c r="BA1203" s="428" t="str">
        <f t="shared" si="94"/>
        <v>WIP - 30 Days</v>
      </c>
    </row>
    <row r="1204" spans="2:53">
      <c r="B1204" s="36" t="str">
        <f>'[6]price list MAN'!B1204</f>
        <v>76W-B198</v>
      </c>
      <c r="C1204" s="10" t="str">
        <f>'[6]price list MAN'!C1204</f>
        <v>TGS-27-4406X4BBS-LX</v>
      </c>
      <c r="D1204" s="16" t="str">
        <f>IFERROR(VLOOKUP(C1204&amp;"",'[7]Retail Price List'!$A$3:$B$103,2,FALSE),"Special Order")</f>
        <v>KP000753</v>
      </c>
      <c r="E1204" s="494" t="str">
        <f>'[6]price list MAN'!E1204</f>
        <v>CKD</v>
      </c>
      <c r="F1204" s="11" t="str">
        <f>'[6]price list MAN'!F1204</f>
        <v>2018-07-30</v>
      </c>
      <c r="G1204" s="32">
        <f>'[6]price list MAN'!G1204</f>
        <v>15.3</v>
      </c>
      <c r="H1204" s="26">
        <f>'[6]price list MAN'!H1204</f>
        <v>42978</v>
      </c>
      <c r="I1204" s="51" t="str">
        <f t="shared" si="90"/>
        <v>2017Q3</v>
      </c>
      <c r="J1204" s="177">
        <f>'[6]price list MAN'!J1204</f>
        <v>1740000</v>
      </c>
      <c r="K1204" s="177">
        <f>'[6]price list MAN'!P1204</f>
        <v>1359750</v>
      </c>
      <c r="L1204" s="177">
        <f>'[6]price list MAN'!R1204</f>
        <v>1295000</v>
      </c>
      <c r="M1204" s="174">
        <f>'[6]price list MAN'!S1204</f>
        <v>1795000</v>
      </c>
      <c r="N1204" s="174">
        <f>'[6]price list MAN'!Y1204</f>
        <v>1417500</v>
      </c>
      <c r="O1204" s="174">
        <f>'[6]price list MAN'!AA1204</f>
        <v>1350000</v>
      </c>
      <c r="P1204" s="68">
        <f t="shared" si="91"/>
        <v>0.24791086350974931</v>
      </c>
      <c r="Q1204" s="62" t="e">
        <f>O1204-#REF!</f>
        <v>#REF!</v>
      </c>
      <c r="W1204" s="210"/>
      <c r="X1204" s="210"/>
      <c r="Y1204" s="210"/>
      <c r="Z1204" s="210"/>
      <c r="AA1204" s="210"/>
      <c r="AB1204" s="210"/>
      <c r="AC1204" s="210"/>
      <c r="AT1204" s="425" t="str">
        <f t="shared" si="92"/>
        <v>KP0007532017Q315,3</v>
      </c>
      <c r="AU1204" s="64" t="str">
        <f t="shared" si="93"/>
        <v>08-2017</v>
      </c>
      <c r="BA1204" s="428" t="str">
        <f t="shared" si="94"/>
        <v>WIP - 30 Days</v>
      </c>
    </row>
    <row r="1205" spans="2:53">
      <c r="B1205" s="36" t="str">
        <f>'[6]price list MAN'!B1205</f>
        <v>76W-B199</v>
      </c>
      <c r="C1205" s="10" t="str">
        <f>'[6]price list MAN'!C1205</f>
        <v>TGS-27-4406X4BBS-LX</v>
      </c>
      <c r="D1205" s="16" t="str">
        <f>IFERROR(VLOOKUP(C1205&amp;"",'[7]Retail Price List'!$A$3:$B$103,2,FALSE),"Special Order")</f>
        <v>KP000753</v>
      </c>
      <c r="E1205" s="494" t="str">
        <f>'[6]price list MAN'!E1205</f>
        <v>CKD</v>
      </c>
      <c r="F1205" s="11" t="str">
        <f>'[6]price list MAN'!F1205</f>
        <v>2018-07-30</v>
      </c>
      <c r="G1205" s="32">
        <f>'[6]price list MAN'!G1205</f>
        <v>15.3</v>
      </c>
      <c r="H1205" s="26">
        <f>'[6]price list MAN'!H1205</f>
        <v>42978</v>
      </c>
      <c r="I1205" s="51" t="str">
        <f t="shared" si="90"/>
        <v>2017Q3</v>
      </c>
      <c r="J1205" s="177">
        <f>'[6]price list MAN'!J1205</f>
        <v>1740000</v>
      </c>
      <c r="K1205" s="177">
        <f>'[6]price list MAN'!P1205</f>
        <v>1359750</v>
      </c>
      <c r="L1205" s="177">
        <f>'[6]price list MAN'!R1205</f>
        <v>1295000</v>
      </c>
      <c r="M1205" s="174">
        <f>'[6]price list MAN'!S1205</f>
        <v>1795000</v>
      </c>
      <c r="N1205" s="174">
        <f>'[6]price list MAN'!Y1205</f>
        <v>1417500</v>
      </c>
      <c r="O1205" s="174">
        <f>'[6]price list MAN'!AA1205</f>
        <v>1350000</v>
      </c>
      <c r="P1205" s="68">
        <f t="shared" si="91"/>
        <v>0.24791086350974931</v>
      </c>
      <c r="Q1205" s="62" t="e">
        <f>O1205-#REF!</f>
        <v>#REF!</v>
      </c>
      <c r="W1205" s="210"/>
      <c r="X1205" s="210"/>
      <c r="Y1205" s="210"/>
      <c r="Z1205" s="210"/>
      <c r="AA1205" s="210"/>
      <c r="AB1205" s="210"/>
      <c r="AC1205" s="210"/>
      <c r="AT1205" s="425" t="str">
        <f t="shared" si="92"/>
        <v>KP0007532017Q315,3</v>
      </c>
      <c r="AU1205" s="64" t="str">
        <f t="shared" si="93"/>
        <v>08-2017</v>
      </c>
      <c r="BA1205" s="428" t="str">
        <f t="shared" si="94"/>
        <v>WIP - 30 Days</v>
      </c>
    </row>
    <row r="1206" spans="2:53">
      <c r="B1206" s="36" t="str">
        <f>'[6]price list MAN'!B1206</f>
        <v>76W-B200</v>
      </c>
      <c r="C1206" s="10" t="str">
        <f>'[6]price list MAN'!C1206</f>
        <v>TGS-27-4406X4BBS-LX</v>
      </c>
      <c r="D1206" s="16" t="str">
        <f>IFERROR(VLOOKUP(C1206&amp;"",'[7]Retail Price List'!$A$3:$B$103,2,FALSE),"Special Order")</f>
        <v>KP000753</v>
      </c>
      <c r="E1206" s="494" t="str">
        <f>'[6]price list MAN'!E1206</f>
        <v>CKD</v>
      </c>
      <c r="F1206" s="11" t="str">
        <f>'[6]price list MAN'!F1206</f>
        <v>2018-07-30</v>
      </c>
      <c r="G1206" s="32">
        <f>'[6]price list MAN'!G1206</f>
        <v>15.3</v>
      </c>
      <c r="H1206" s="26">
        <f>'[6]price list MAN'!H1206</f>
        <v>42978</v>
      </c>
      <c r="I1206" s="51" t="str">
        <f t="shared" si="90"/>
        <v>2017Q3</v>
      </c>
      <c r="J1206" s="177">
        <f>'[6]price list MAN'!J1206</f>
        <v>1740000</v>
      </c>
      <c r="K1206" s="177">
        <f>'[6]price list MAN'!P1206</f>
        <v>1359750</v>
      </c>
      <c r="L1206" s="177">
        <f>'[6]price list MAN'!R1206</f>
        <v>1295000</v>
      </c>
      <c r="M1206" s="174">
        <f>'[6]price list MAN'!S1206</f>
        <v>1795000</v>
      </c>
      <c r="N1206" s="174">
        <f>'[6]price list MAN'!Y1206</f>
        <v>1417500</v>
      </c>
      <c r="O1206" s="174">
        <f>'[6]price list MAN'!AA1206</f>
        <v>1350000</v>
      </c>
      <c r="P1206" s="68">
        <f t="shared" si="91"/>
        <v>0.24791086350974931</v>
      </c>
      <c r="Q1206" s="62" t="e">
        <f>O1206-#REF!</f>
        <v>#REF!</v>
      </c>
      <c r="W1206" s="210"/>
      <c r="X1206" s="210"/>
      <c r="Y1206" s="210"/>
      <c r="Z1206" s="210"/>
      <c r="AA1206" s="210"/>
      <c r="AB1206" s="210"/>
      <c r="AC1206" s="210"/>
      <c r="AT1206" s="425" t="str">
        <f t="shared" si="92"/>
        <v>KP0007532017Q315,3</v>
      </c>
      <c r="AU1206" s="64" t="str">
        <f t="shared" si="93"/>
        <v>08-2017</v>
      </c>
      <c r="BA1206" s="428" t="str">
        <f t="shared" si="94"/>
        <v>WIP - 30 Days</v>
      </c>
    </row>
    <row r="1207" spans="2:53">
      <c r="B1207" s="36" t="str">
        <f>'[6]price list MAN'!B1207</f>
        <v>76W-B201</v>
      </c>
      <c r="C1207" s="10" t="str">
        <f>'[6]price list MAN'!C1207</f>
        <v>TGS-27-4406X4BBS-LX</v>
      </c>
      <c r="D1207" s="16" t="str">
        <f>IFERROR(VLOOKUP(C1207&amp;"",'[7]Retail Price List'!$A$3:$B$103,2,FALSE),"Special Order")</f>
        <v>KP000753</v>
      </c>
      <c r="E1207" s="494" t="str">
        <f>'[6]price list MAN'!E1207</f>
        <v>CKD</v>
      </c>
      <c r="F1207" s="11" t="str">
        <f>'[6]price list MAN'!F1207</f>
        <v>2018-07-30</v>
      </c>
      <c r="G1207" s="32">
        <f>'[6]price list MAN'!G1207</f>
        <v>15.3</v>
      </c>
      <c r="H1207" s="26">
        <f>'[6]price list MAN'!H1207</f>
        <v>42978</v>
      </c>
      <c r="I1207" s="51" t="str">
        <f t="shared" si="90"/>
        <v>2017Q3</v>
      </c>
      <c r="J1207" s="177">
        <f>'[6]price list MAN'!J1207</f>
        <v>1740000</v>
      </c>
      <c r="K1207" s="177">
        <f>'[6]price list MAN'!P1207</f>
        <v>1359750</v>
      </c>
      <c r="L1207" s="177">
        <f>'[6]price list MAN'!R1207</f>
        <v>1295000</v>
      </c>
      <c r="M1207" s="174">
        <f>'[6]price list MAN'!S1207</f>
        <v>1795000</v>
      </c>
      <c r="N1207" s="174">
        <f>'[6]price list MAN'!Y1207</f>
        <v>1417500</v>
      </c>
      <c r="O1207" s="174">
        <f>'[6]price list MAN'!AA1207</f>
        <v>1350000</v>
      </c>
      <c r="P1207" s="68">
        <f t="shared" si="91"/>
        <v>0.24791086350974931</v>
      </c>
      <c r="Q1207" s="62" t="e">
        <f>O1207-#REF!</f>
        <v>#REF!</v>
      </c>
      <c r="W1207" s="210"/>
      <c r="X1207" s="210"/>
      <c r="Y1207" s="210"/>
      <c r="Z1207" s="210"/>
      <c r="AA1207" s="210"/>
      <c r="AB1207" s="210"/>
      <c r="AC1207" s="210"/>
      <c r="AT1207" s="425" t="str">
        <f t="shared" si="92"/>
        <v>KP0007532017Q315,3</v>
      </c>
      <c r="AU1207" s="64" t="str">
        <f t="shared" si="93"/>
        <v>08-2017</v>
      </c>
      <c r="BA1207" s="428" t="str">
        <f t="shared" si="94"/>
        <v>WIP - 30 Days</v>
      </c>
    </row>
    <row r="1208" spans="2:53">
      <c r="B1208" s="36" t="str">
        <f>'[6]price list MAN'!B1208</f>
        <v>76W-B202</v>
      </c>
      <c r="C1208" s="10" t="str">
        <f>'[6]price list MAN'!C1208</f>
        <v>TGS-27-4406X4BBS-LX</v>
      </c>
      <c r="D1208" s="16" t="str">
        <f>IFERROR(VLOOKUP(C1208&amp;"",'[7]Retail Price List'!$A$3:$B$103,2,FALSE),"Special Order")</f>
        <v>KP000753</v>
      </c>
      <c r="E1208" s="494" t="str">
        <f>'[6]price list MAN'!E1208</f>
        <v>CKD</v>
      </c>
      <c r="F1208" s="11" t="str">
        <f>'[6]price list MAN'!F1208</f>
        <v>2018-07-30</v>
      </c>
      <c r="G1208" s="32">
        <f>'[6]price list MAN'!G1208</f>
        <v>15.3</v>
      </c>
      <c r="H1208" s="26">
        <f>'[6]price list MAN'!H1208</f>
        <v>42978</v>
      </c>
      <c r="I1208" s="51" t="str">
        <f t="shared" si="90"/>
        <v>2017Q3</v>
      </c>
      <c r="J1208" s="177">
        <f>'[6]price list MAN'!J1208</f>
        <v>1740000</v>
      </c>
      <c r="K1208" s="177">
        <f>'[6]price list MAN'!P1208</f>
        <v>1359750</v>
      </c>
      <c r="L1208" s="177">
        <f>'[6]price list MAN'!R1208</f>
        <v>1295000</v>
      </c>
      <c r="M1208" s="174">
        <f>'[6]price list MAN'!S1208</f>
        <v>1795000</v>
      </c>
      <c r="N1208" s="174">
        <f>'[6]price list MAN'!Y1208</f>
        <v>1417500</v>
      </c>
      <c r="O1208" s="174">
        <f>'[6]price list MAN'!AA1208</f>
        <v>1350000</v>
      </c>
      <c r="P1208" s="68">
        <f t="shared" si="91"/>
        <v>0.24791086350974931</v>
      </c>
      <c r="Q1208" s="62" t="e">
        <f>O1208-#REF!</f>
        <v>#REF!</v>
      </c>
      <c r="W1208" s="210"/>
      <c r="X1208" s="210"/>
      <c r="Y1208" s="210"/>
      <c r="Z1208" s="210"/>
      <c r="AA1208" s="210"/>
      <c r="AB1208" s="210"/>
      <c r="AC1208" s="210"/>
      <c r="AT1208" s="425" t="str">
        <f t="shared" si="92"/>
        <v>KP0007532017Q315,3</v>
      </c>
      <c r="AU1208" s="64" t="str">
        <f t="shared" si="93"/>
        <v>08-2017</v>
      </c>
      <c r="BA1208" s="428" t="str">
        <f t="shared" si="94"/>
        <v>WIP - 30 Days</v>
      </c>
    </row>
    <row r="1209" spans="2:53">
      <c r="B1209" s="36" t="str">
        <f>'[6]price list MAN'!B1209</f>
        <v>76W-B211</v>
      </c>
      <c r="C1209" s="10" t="str">
        <f>'[6]price list MAN'!C1209</f>
        <v>TGS-27-4406X4BBS-LX</v>
      </c>
      <c r="D1209" s="16" t="str">
        <f>IFERROR(VLOOKUP(C1209&amp;"",'[7]Retail Price List'!$A$3:$B$103,2,FALSE),"Special Order")</f>
        <v>KP000753</v>
      </c>
      <c r="E1209" s="494" t="str">
        <f>'[6]price list MAN'!E1209</f>
        <v>CKD</v>
      </c>
      <c r="F1209" s="11" t="str">
        <f>'[6]price list MAN'!F1209</f>
        <v>2018-07-30</v>
      </c>
      <c r="G1209" s="32">
        <f>'[6]price list MAN'!G1209</f>
        <v>15.3</v>
      </c>
      <c r="H1209" s="26">
        <f>'[6]price list MAN'!H1209</f>
        <v>42978</v>
      </c>
      <c r="I1209" s="51" t="str">
        <f t="shared" si="90"/>
        <v>2017Q3</v>
      </c>
      <c r="J1209" s="177">
        <f>'[6]price list MAN'!J1209</f>
        <v>1740000</v>
      </c>
      <c r="K1209" s="177">
        <f>'[6]price list MAN'!P1209</f>
        <v>1359750</v>
      </c>
      <c r="L1209" s="177">
        <f>'[6]price list MAN'!R1209</f>
        <v>1295000</v>
      </c>
      <c r="M1209" s="174">
        <f>'[6]price list MAN'!S1209</f>
        <v>1795000</v>
      </c>
      <c r="N1209" s="174">
        <f>'[6]price list MAN'!Y1209</f>
        <v>1417500</v>
      </c>
      <c r="O1209" s="174">
        <f>'[6]price list MAN'!AA1209</f>
        <v>1350000</v>
      </c>
      <c r="P1209" s="68">
        <f t="shared" si="91"/>
        <v>0.24791086350974931</v>
      </c>
      <c r="Q1209" s="62" t="e">
        <f>O1209-#REF!</f>
        <v>#REF!</v>
      </c>
      <c r="W1209" s="210"/>
      <c r="X1209" s="210"/>
      <c r="Y1209" s="210"/>
      <c r="Z1209" s="210"/>
      <c r="AA1209" s="210"/>
      <c r="AB1209" s="210"/>
      <c r="AC1209" s="210"/>
      <c r="AT1209" s="425" t="str">
        <f t="shared" si="92"/>
        <v>KP0007532017Q315,3</v>
      </c>
      <c r="AU1209" s="64" t="str">
        <f t="shared" si="93"/>
        <v>08-2017</v>
      </c>
      <c r="BA1209" s="428" t="str">
        <f t="shared" si="94"/>
        <v>WIP - 30 Days</v>
      </c>
    </row>
    <row r="1210" spans="2:53">
      <c r="B1210" s="36" t="str">
        <f>'[6]price list MAN'!B1210</f>
        <v>76W-B212</v>
      </c>
      <c r="C1210" s="10" t="str">
        <f>'[6]price list MAN'!C1210</f>
        <v>TGS-27-4406X4BBS-LX</v>
      </c>
      <c r="D1210" s="16" t="str">
        <f>IFERROR(VLOOKUP(C1210&amp;"",'[7]Retail Price List'!$A$3:$B$103,2,FALSE),"Special Order")</f>
        <v>KP000753</v>
      </c>
      <c r="E1210" s="494" t="str">
        <f>'[6]price list MAN'!E1210</f>
        <v>CKD</v>
      </c>
      <c r="F1210" s="11" t="str">
        <f>'[6]price list MAN'!F1210</f>
        <v>2018-07-30</v>
      </c>
      <c r="G1210" s="32">
        <f>'[6]price list MAN'!G1210</f>
        <v>15.3</v>
      </c>
      <c r="H1210" s="26">
        <f>'[6]price list MAN'!H1210</f>
        <v>42978</v>
      </c>
      <c r="I1210" s="51" t="str">
        <f t="shared" si="90"/>
        <v>2017Q3</v>
      </c>
      <c r="J1210" s="177">
        <f>'[6]price list MAN'!J1210</f>
        <v>1740000</v>
      </c>
      <c r="K1210" s="177">
        <f>'[6]price list MAN'!P1210</f>
        <v>1359750</v>
      </c>
      <c r="L1210" s="177">
        <f>'[6]price list MAN'!R1210</f>
        <v>1295000</v>
      </c>
      <c r="M1210" s="174">
        <f>'[6]price list MAN'!S1210</f>
        <v>1795000</v>
      </c>
      <c r="N1210" s="174">
        <f>'[6]price list MAN'!Y1210</f>
        <v>1417500</v>
      </c>
      <c r="O1210" s="174">
        <f>'[6]price list MAN'!AA1210</f>
        <v>1350000</v>
      </c>
      <c r="P1210" s="68">
        <f t="shared" si="91"/>
        <v>0.24791086350974931</v>
      </c>
      <c r="Q1210" s="62" t="e">
        <f>O1210-#REF!</f>
        <v>#REF!</v>
      </c>
      <c r="W1210" s="210"/>
      <c r="X1210" s="210"/>
      <c r="Y1210" s="210"/>
      <c r="Z1210" s="210"/>
      <c r="AA1210" s="210"/>
      <c r="AB1210" s="210"/>
      <c r="AC1210" s="210"/>
      <c r="AT1210" s="425" t="str">
        <f t="shared" si="92"/>
        <v>KP0007532017Q315,3</v>
      </c>
      <c r="AU1210" s="64" t="str">
        <f t="shared" si="93"/>
        <v>08-2017</v>
      </c>
      <c r="BA1210" s="428" t="str">
        <f t="shared" si="94"/>
        <v>WIP - 30 Days</v>
      </c>
    </row>
    <row r="1211" spans="2:53">
      <c r="B1211" s="36" t="str">
        <f>'[6]price list MAN'!B1211</f>
        <v>76W-B213</v>
      </c>
      <c r="C1211" s="10" t="str">
        <f>'[6]price list MAN'!C1211</f>
        <v>TGS-27-4406X4BBS-LX</v>
      </c>
      <c r="D1211" s="16" t="str">
        <f>IFERROR(VLOOKUP(C1211&amp;"",'[7]Retail Price List'!$A$3:$B$103,2,FALSE),"Special Order")</f>
        <v>KP000753</v>
      </c>
      <c r="E1211" s="494" t="str">
        <f>'[6]price list MAN'!E1211</f>
        <v>CKD</v>
      </c>
      <c r="F1211" s="11" t="str">
        <f>'[6]price list MAN'!F1211</f>
        <v>2018-07-30</v>
      </c>
      <c r="G1211" s="32">
        <f>'[6]price list MAN'!G1211</f>
        <v>15.3</v>
      </c>
      <c r="H1211" s="26">
        <f>'[6]price list MAN'!H1211</f>
        <v>42978</v>
      </c>
      <c r="I1211" s="51" t="str">
        <f t="shared" si="90"/>
        <v>2017Q3</v>
      </c>
      <c r="J1211" s="177">
        <f>'[6]price list MAN'!J1211</f>
        <v>1740000</v>
      </c>
      <c r="K1211" s="177">
        <f>'[6]price list MAN'!P1211</f>
        <v>1359750</v>
      </c>
      <c r="L1211" s="177">
        <f>'[6]price list MAN'!R1211</f>
        <v>1295000</v>
      </c>
      <c r="M1211" s="174">
        <f>'[6]price list MAN'!S1211</f>
        <v>1795000</v>
      </c>
      <c r="N1211" s="174">
        <f>'[6]price list MAN'!Y1211</f>
        <v>1417500</v>
      </c>
      <c r="O1211" s="174">
        <f>'[6]price list MAN'!AA1211</f>
        <v>1350000</v>
      </c>
      <c r="P1211" s="68">
        <f t="shared" si="91"/>
        <v>0.24791086350974931</v>
      </c>
      <c r="Q1211" s="62" t="e">
        <f>O1211-#REF!</f>
        <v>#REF!</v>
      </c>
      <c r="W1211" s="210"/>
      <c r="X1211" s="210"/>
      <c r="Y1211" s="210"/>
      <c r="Z1211" s="210"/>
      <c r="AA1211" s="210"/>
      <c r="AB1211" s="210"/>
      <c r="AC1211" s="210"/>
      <c r="AT1211" s="425" t="str">
        <f t="shared" si="92"/>
        <v>KP0007532017Q315,3</v>
      </c>
      <c r="AU1211" s="64" t="str">
        <f t="shared" si="93"/>
        <v>08-2017</v>
      </c>
      <c r="BA1211" s="428" t="str">
        <f t="shared" si="94"/>
        <v>WIP - 30 Days</v>
      </c>
    </row>
    <row r="1212" spans="2:53">
      <c r="B1212" s="36" t="str">
        <f>'[6]price list MAN'!B1212</f>
        <v>76W-B214</v>
      </c>
      <c r="C1212" s="10" t="str">
        <f>'[6]price list MAN'!C1212</f>
        <v>TGS-27-4406X4BBS-LX</v>
      </c>
      <c r="D1212" s="16" t="str">
        <f>IFERROR(VLOOKUP(C1212&amp;"",'[7]Retail Price List'!$A$3:$B$103,2,FALSE),"Special Order")</f>
        <v>KP000753</v>
      </c>
      <c r="E1212" s="494" t="str">
        <f>'[6]price list MAN'!E1212</f>
        <v>CKD</v>
      </c>
      <c r="F1212" s="11" t="str">
        <f>'[6]price list MAN'!F1212</f>
        <v>2018-07-30</v>
      </c>
      <c r="G1212" s="32">
        <f>'[6]price list MAN'!G1212</f>
        <v>15.3</v>
      </c>
      <c r="H1212" s="26">
        <f>'[6]price list MAN'!H1212</f>
        <v>42978</v>
      </c>
      <c r="I1212" s="51" t="str">
        <f t="shared" si="90"/>
        <v>2017Q3</v>
      </c>
      <c r="J1212" s="177">
        <f>'[6]price list MAN'!J1212</f>
        <v>1740000</v>
      </c>
      <c r="K1212" s="177">
        <f>'[6]price list MAN'!P1212</f>
        <v>1359750</v>
      </c>
      <c r="L1212" s="177">
        <f>'[6]price list MAN'!R1212</f>
        <v>1295000</v>
      </c>
      <c r="M1212" s="174">
        <f>'[6]price list MAN'!S1212</f>
        <v>1795000</v>
      </c>
      <c r="N1212" s="174">
        <f>'[6]price list MAN'!Y1212</f>
        <v>1417500</v>
      </c>
      <c r="O1212" s="174">
        <f>'[6]price list MAN'!AA1212</f>
        <v>1350000</v>
      </c>
      <c r="P1212" s="68">
        <f t="shared" si="91"/>
        <v>0.24791086350974931</v>
      </c>
      <c r="Q1212" s="62" t="e">
        <f>O1212-#REF!</f>
        <v>#REF!</v>
      </c>
      <c r="W1212" s="210"/>
      <c r="X1212" s="210"/>
      <c r="Y1212" s="210"/>
      <c r="Z1212" s="210"/>
      <c r="AA1212" s="210"/>
      <c r="AB1212" s="210"/>
      <c r="AC1212" s="210"/>
      <c r="AT1212" s="425" t="str">
        <f t="shared" si="92"/>
        <v>KP0007532017Q315,3</v>
      </c>
      <c r="AU1212" s="64" t="str">
        <f t="shared" si="93"/>
        <v>08-2017</v>
      </c>
      <c r="BA1212" s="428" t="str">
        <f t="shared" si="94"/>
        <v>WIP - 30 Days</v>
      </c>
    </row>
    <row r="1213" spans="2:53">
      <c r="B1213" s="36" t="str">
        <f>'[6]price list MAN'!B1213</f>
        <v>76W-B223</v>
      </c>
      <c r="C1213" s="10" t="str">
        <f>'[6]price list MAN'!C1213</f>
        <v>TGS-27-4406X4BBS-LX</v>
      </c>
      <c r="D1213" s="16" t="str">
        <f>IFERROR(VLOOKUP(C1213&amp;"",'[7]Retail Price List'!$A$3:$B$103,2,FALSE),"Special Order")</f>
        <v>KP000753</v>
      </c>
      <c r="E1213" s="494" t="str">
        <f>'[6]price list MAN'!E1213</f>
        <v>CKD</v>
      </c>
      <c r="F1213" s="11" t="str">
        <f>'[6]price list MAN'!F1213</f>
        <v>2018-08-30</v>
      </c>
      <c r="G1213" s="32">
        <f>'[6]price list MAN'!G1213</f>
        <v>15.3</v>
      </c>
      <c r="H1213" s="26">
        <f>'[6]price list MAN'!H1213</f>
        <v>42978</v>
      </c>
      <c r="I1213" s="51" t="str">
        <f t="shared" si="90"/>
        <v>2017Q3</v>
      </c>
      <c r="J1213" s="177">
        <f>'[6]price list MAN'!J1213</f>
        <v>1740000</v>
      </c>
      <c r="K1213" s="177">
        <f>'[6]price list MAN'!P1213</f>
        <v>1359750</v>
      </c>
      <c r="L1213" s="177">
        <f>'[6]price list MAN'!R1213</f>
        <v>1295000</v>
      </c>
      <c r="M1213" s="174">
        <f>'[6]price list MAN'!S1213</f>
        <v>1795000</v>
      </c>
      <c r="N1213" s="174">
        <f>'[6]price list MAN'!Y1213</f>
        <v>1417500</v>
      </c>
      <c r="O1213" s="174">
        <f>'[6]price list MAN'!AA1213</f>
        <v>1350000</v>
      </c>
      <c r="P1213" s="68">
        <f t="shared" si="91"/>
        <v>0.24791086350974931</v>
      </c>
      <c r="Q1213" s="62" t="e">
        <f>O1213-#REF!</f>
        <v>#REF!</v>
      </c>
      <c r="W1213" s="210"/>
      <c r="X1213" s="210"/>
      <c r="Y1213" s="210"/>
      <c r="Z1213" s="210"/>
      <c r="AA1213" s="210"/>
      <c r="AB1213" s="210"/>
      <c r="AC1213" s="210"/>
      <c r="AT1213" s="425" t="str">
        <f t="shared" si="92"/>
        <v>KP0007532017Q315,3</v>
      </c>
      <c r="AU1213" s="64" t="str">
        <f t="shared" si="93"/>
        <v>08-2017</v>
      </c>
      <c r="BA1213" s="428" t="str">
        <f t="shared" si="94"/>
        <v>WIP - 30 Days</v>
      </c>
    </row>
    <row r="1214" spans="2:53">
      <c r="B1214" s="36" t="str">
        <f>'[6]price list MAN'!B1214</f>
        <v>76W-B224</v>
      </c>
      <c r="C1214" s="10" t="str">
        <f>'[6]price list MAN'!C1214</f>
        <v>TGS-27-4406X4BBS-LX</v>
      </c>
      <c r="D1214" s="16" t="str">
        <f>IFERROR(VLOOKUP(C1214&amp;"",'[7]Retail Price List'!$A$3:$B$103,2,FALSE),"Special Order")</f>
        <v>KP000753</v>
      </c>
      <c r="E1214" s="494" t="str">
        <f>'[6]price list MAN'!E1214</f>
        <v>CKD</v>
      </c>
      <c r="F1214" s="11" t="str">
        <f>'[6]price list MAN'!F1214</f>
        <v>2018-08-30</v>
      </c>
      <c r="G1214" s="32">
        <f>'[6]price list MAN'!G1214</f>
        <v>15.3</v>
      </c>
      <c r="H1214" s="26">
        <f>'[6]price list MAN'!H1214</f>
        <v>42978</v>
      </c>
      <c r="I1214" s="51" t="str">
        <f t="shared" si="90"/>
        <v>2017Q3</v>
      </c>
      <c r="J1214" s="177">
        <f>'[6]price list MAN'!J1214</f>
        <v>1740000</v>
      </c>
      <c r="K1214" s="177">
        <f>'[6]price list MAN'!P1214</f>
        <v>1359750</v>
      </c>
      <c r="L1214" s="177">
        <f>'[6]price list MAN'!R1214</f>
        <v>1295000</v>
      </c>
      <c r="M1214" s="174">
        <f>'[6]price list MAN'!S1214</f>
        <v>1795000</v>
      </c>
      <c r="N1214" s="174">
        <f>'[6]price list MAN'!Y1214</f>
        <v>1417500</v>
      </c>
      <c r="O1214" s="174">
        <f>'[6]price list MAN'!AA1214</f>
        <v>1350000</v>
      </c>
      <c r="P1214" s="68">
        <f t="shared" si="91"/>
        <v>0.24791086350974931</v>
      </c>
      <c r="Q1214" s="62" t="e">
        <f>O1214-#REF!</f>
        <v>#REF!</v>
      </c>
      <c r="W1214" s="210"/>
      <c r="X1214" s="210"/>
      <c r="Y1214" s="210"/>
      <c r="Z1214" s="210"/>
      <c r="AA1214" s="210"/>
      <c r="AB1214" s="210"/>
      <c r="AC1214" s="210"/>
      <c r="AT1214" s="425" t="str">
        <f t="shared" si="92"/>
        <v>KP0007532017Q315,3</v>
      </c>
      <c r="AU1214" s="64" t="str">
        <f t="shared" si="93"/>
        <v>08-2017</v>
      </c>
      <c r="BA1214" s="428" t="str">
        <f t="shared" si="94"/>
        <v>WIP - 30 Days</v>
      </c>
    </row>
    <row r="1215" spans="2:53">
      <c r="B1215" s="36" t="str">
        <f>'[6]price list MAN'!B1215</f>
        <v>76W-B225</v>
      </c>
      <c r="C1215" s="10" t="str">
        <f>'[6]price list MAN'!C1215</f>
        <v>TGS-27-4406X4BBS-LX</v>
      </c>
      <c r="D1215" s="16" t="str">
        <f>IFERROR(VLOOKUP(C1215&amp;"",'[7]Retail Price List'!$A$3:$B$103,2,FALSE),"Special Order")</f>
        <v>KP000753</v>
      </c>
      <c r="E1215" s="494" t="str">
        <f>'[6]price list MAN'!E1215</f>
        <v>CKD</v>
      </c>
      <c r="F1215" s="11" t="str">
        <f>'[6]price list MAN'!F1215</f>
        <v>2018-08-30</v>
      </c>
      <c r="G1215" s="32">
        <f>'[6]price list MAN'!G1215</f>
        <v>15.3</v>
      </c>
      <c r="H1215" s="26">
        <f>'[6]price list MAN'!H1215</f>
        <v>42978</v>
      </c>
      <c r="I1215" s="51" t="str">
        <f t="shared" si="90"/>
        <v>2017Q3</v>
      </c>
      <c r="J1215" s="177">
        <f>'[6]price list MAN'!J1215</f>
        <v>1740000</v>
      </c>
      <c r="K1215" s="177">
        <f>'[6]price list MAN'!P1215</f>
        <v>1359750</v>
      </c>
      <c r="L1215" s="177">
        <f>'[6]price list MAN'!R1215</f>
        <v>1295000</v>
      </c>
      <c r="M1215" s="174">
        <f>'[6]price list MAN'!S1215</f>
        <v>1795000</v>
      </c>
      <c r="N1215" s="174">
        <f>'[6]price list MAN'!Y1215</f>
        <v>1417500</v>
      </c>
      <c r="O1215" s="174">
        <f>'[6]price list MAN'!AA1215</f>
        <v>1350000</v>
      </c>
      <c r="P1215" s="68">
        <f t="shared" si="91"/>
        <v>0.24791086350974931</v>
      </c>
      <c r="Q1215" s="62" t="e">
        <f>O1215-#REF!</f>
        <v>#REF!</v>
      </c>
      <c r="W1215" s="210"/>
      <c r="X1215" s="210"/>
      <c r="Y1215" s="210"/>
      <c r="Z1215" s="210"/>
      <c r="AA1215" s="210"/>
      <c r="AB1215" s="210"/>
      <c r="AC1215" s="210"/>
      <c r="AT1215" s="425" t="str">
        <f t="shared" si="92"/>
        <v>KP0007532017Q315,3</v>
      </c>
      <c r="AU1215" s="64" t="str">
        <f t="shared" si="93"/>
        <v>08-2017</v>
      </c>
      <c r="BA1215" s="428" t="str">
        <f t="shared" si="94"/>
        <v>WIP - 30 Days</v>
      </c>
    </row>
    <row r="1216" spans="2:53">
      <c r="B1216" s="36" t="str">
        <f>'[6]price list MAN'!B1216</f>
        <v>76W-B226</v>
      </c>
      <c r="C1216" s="10" t="str">
        <f>'[6]price list MAN'!C1216</f>
        <v>TGS-27-4406X4BBS-LX</v>
      </c>
      <c r="D1216" s="16" t="str">
        <f>IFERROR(VLOOKUP(C1216&amp;"",'[7]Retail Price List'!$A$3:$B$103,2,FALSE),"Special Order")</f>
        <v>KP000753</v>
      </c>
      <c r="E1216" s="494" t="str">
        <f>'[6]price list MAN'!E1216</f>
        <v>CKD</v>
      </c>
      <c r="F1216" s="11" t="str">
        <f>'[6]price list MAN'!F1216</f>
        <v>2018-08-30</v>
      </c>
      <c r="G1216" s="32">
        <f>'[6]price list MAN'!G1216</f>
        <v>15.3</v>
      </c>
      <c r="H1216" s="26">
        <f>'[6]price list MAN'!H1216</f>
        <v>42978</v>
      </c>
      <c r="I1216" s="51" t="str">
        <f t="shared" si="90"/>
        <v>2017Q3</v>
      </c>
      <c r="J1216" s="177">
        <f>'[6]price list MAN'!J1216</f>
        <v>1740000</v>
      </c>
      <c r="K1216" s="177">
        <f>'[6]price list MAN'!P1216</f>
        <v>1359750</v>
      </c>
      <c r="L1216" s="177">
        <f>'[6]price list MAN'!R1216</f>
        <v>1295000</v>
      </c>
      <c r="M1216" s="174">
        <f>'[6]price list MAN'!S1216</f>
        <v>1795000</v>
      </c>
      <c r="N1216" s="174">
        <f>'[6]price list MAN'!Y1216</f>
        <v>1417500</v>
      </c>
      <c r="O1216" s="174">
        <f>'[6]price list MAN'!AA1216</f>
        <v>1350000</v>
      </c>
      <c r="P1216" s="68">
        <f t="shared" si="91"/>
        <v>0.24791086350974931</v>
      </c>
      <c r="Q1216" s="62" t="e">
        <f>O1216-#REF!</f>
        <v>#REF!</v>
      </c>
      <c r="W1216" s="210"/>
      <c r="X1216" s="210"/>
      <c r="Y1216" s="210"/>
      <c r="Z1216" s="210"/>
      <c r="AA1216" s="210"/>
      <c r="AB1216" s="210"/>
      <c r="AC1216" s="210"/>
      <c r="AT1216" s="425" t="str">
        <f t="shared" si="92"/>
        <v>KP0007532017Q315,3</v>
      </c>
      <c r="AU1216" s="64" t="str">
        <f t="shared" si="93"/>
        <v>08-2017</v>
      </c>
      <c r="BA1216" s="428" t="str">
        <f t="shared" si="94"/>
        <v>WIP - 30 Days</v>
      </c>
    </row>
    <row r="1217" spans="2:53">
      <c r="B1217" s="36" t="str">
        <f>'[6]price list MAN'!B1217</f>
        <v>76W-B231</v>
      </c>
      <c r="C1217" s="10" t="str">
        <f>'[6]price list MAN'!C1217</f>
        <v>TGS-27-4406X4BBS-LX</v>
      </c>
      <c r="D1217" s="16" t="str">
        <f>IFERROR(VLOOKUP(C1217&amp;"",'[7]Retail Price List'!$A$3:$B$103,2,FALSE),"Special Order")</f>
        <v>KP000753</v>
      </c>
      <c r="E1217" s="494" t="str">
        <f>'[6]price list MAN'!E1217</f>
        <v>CKD</v>
      </c>
      <c r="F1217" s="11" t="str">
        <f>'[6]price list MAN'!F1217</f>
        <v>2018-03-30</v>
      </c>
      <c r="G1217" s="32">
        <f>'[6]price list MAN'!G1217</f>
        <v>15.3</v>
      </c>
      <c r="H1217" s="26">
        <f>'[6]price list MAN'!H1217</f>
        <v>42978</v>
      </c>
      <c r="I1217" s="51" t="str">
        <f t="shared" si="90"/>
        <v>2017Q3</v>
      </c>
      <c r="J1217" s="177">
        <f>'[6]price list MAN'!J1217</f>
        <v>1740000</v>
      </c>
      <c r="K1217" s="177">
        <f>'[6]price list MAN'!P1217</f>
        <v>1359750</v>
      </c>
      <c r="L1217" s="177">
        <f>'[6]price list MAN'!R1217</f>
        <v>1295000</v>
      </c>
      <c r="M1217" s="174">
        <f>'[6]price list MAN'!S1217</f>
        <v>1795000</v>
      </c>
      <c r="N1217" s="174">
        <f>'[6]price list MAN'!Y1217</f>
        <v>1417500</v>
      </c>
      <c r="O1217" s="174">
        <f>'[6]price list MAN'!AA1217</f>
        <v>1350000</v>
      </c>
      <c r="P1217" s="68">
        <f t="shared" si="91"/>
        <v>0.24791086350974931</v>
      </c>
      <c r="Q1217" s="62" t="e">
        <f>O1217-#REF!</f>
        <v>#REF!</v>
      </c>
      <c r="W1217" s="210"/>
      <c r="X1217" s="210"/>
      <c r="Y1217" s="210"/>
      <c r="Z1217" s="210"/>
      <c r="AA1217" s="210"/>
      <c r="AB1217" s="210"/>
      <c r="AC1217" s="210"/>
      <c r="AT1217" s="425" t="str">
        <f t="shared" si="92"/>
        <v>KP0007532017Q315,3</v>
      </c>
      <c r="AU1217" s="64" t="str">
        <f t="shared" si="93"/>
        <v>08-2017</v>
      </c>
      <c r="BA1217" s="428" t="str">
        <f t="shared" si="94"/>
        <v>WIP - 30 Days</v>
      </c>
    </row>
    <row r="1218" spans="2:53">
      <c r="B1218" s="36" t="str">
        <f>'[6]price list MAN'!B1218</f>
        <v>76W-B232</v>
      </c>
      <c r="C1218" s="10" t="str">
        <f>'[6]price list MAN'!C1218</f>
        <v>TGS-27-4406X4BBS-LX</v>
      </c>
      <c r="D1218" s="16" t="str">
        <f>IFERROR(VLOOKUP(C1218&amp;"",'[7]Retail Price List'!$A$3:$B$103,2,FALSE),"Special Order")</f>
        <v>KP000753</v>
      </c>
      <c r="E1218" s="494" t="str">
        <f>'[6]price list MAN'!E1218</f>
        <v>CKD</v>
      </c>
      <c r="F1218" s="11" t="str">
        <f>'[6]price list MAN'!F1218</f>
        <v>2018-03-30</v>
      </c>
      <c r="G1218" s="32">
        <f>'[6]price list MAN'!G1218</f>
        <v>15.3</v>
      </c>
      <c r="H1218" s="26">
        <f>'[6]price list MAN'!H1218</f>
        <v>42978</v>
      </c>
      <c r="I1218" s="51" t="str">
        <f t="shared" si="90"/>
        <v>2017Q3</v>
      </c>
      <c r="J1218" s="177">
        <f>'[6]price list MAN'!J1218</f>
        <v>1740000</v>
      </c>
      <c r="K1218" s="177">
        <f>'[6]price list MAN'!P1218</f>
        <v>1359750</v>
      </c>
      <c r="L1218" s="177">
        <f>'[6]price list MAN'!R1218</f>
        <v>1295000</v>
      </c>
      <c r="M1218" s="174">
        <f>'[6]price list MAN'!S1218</f>
        <v>1795000</v>
      </c>
      <c r="N1218" s="174">
        <f>'[6]price list MAN'!Y1218</f>
        <v>1417500</v>
      </c>
      <c r="O1218" s="174">
        <f>'[6]price list MAN'!AA1218</f>
        <v>1350000</v>
      </c>
      <c r="P1218" s="68">
        <f t="shared" si="91"/>
        <v>0.24791086350974931</v>
      </c>
      <c r="Q1218" s="62" t="e">
        <f>O1218-#REF!</f>
        <v>#REF!</v>
      </c>
      <c r="W1218" s="210"/>
      <c r="X1218" s="210"/>
      <c r="Y1218" s="210"/>
      <c r="Z1218" s="210"/>
      <c r="AA1218" s="210"/>
      <c r="AB1218" s="210"/>
      <c r="AC1218" s="210"/>
      <c r="AT1218" s="425" t="str">
        <f t="shared" si="92"/>
        <v>KP0007532017Q315,3</v>
      </c>
      <c r="AU1218" s="64" t="str">
        <f t="shared" si="93"/>
        <v>08-2017</v>
      </c>
      <c r="BA1218" s="428" t="str">
        <f t="shared" si="94"/>
        <v>WIP - 30 Days</v>
      </c>
    </row>
    <row r="1219" spans="2:53">
      <c r="B1219" s="36" t="str">
        <f>'[6]price list MAN'!B1219</f>
        <v>76W-B233</v>
      </c>
      <c r="C1219" s="10" t="str">
        <f>'[6]price list MAN'!C1219</f>
        <v>TGS-27-4406X4BBS-LX</v>
      </c>
      <c r="D1219" s="16" t="str">
        <f>IFERROR(VLOOKUP(C1219&amp;"",'[7]Retail Price List'!$A$3:$B$103,2,FALSE),"Special Order")</f>
        <v>KP000753</v>
      </c>
      <c r="E1219" s="494" t="str">
        <f>'[6]price list MAN'!E1219</f>
        <v>CKD</v>
      </c>
      <c r="F1219" s="11" t="str">
        <f>'[6]price list MAN'!F1219</f>
        <v>2018-04-30</v>
      </c>
      <c r="G1219" s="32">
        <f>'[6]price list MAN'!G1219</f>
        <v>15.3</v>
      </c>
      <c r="H1219" s="26">
        <f>'[6]price list MAN'!H1219</f>
        <v>42978</v>
      </c>
      <c r="I1219" s="51" t="str">
        <f t="shared" si="90"/>
        <v>2017Q3</v>
      </c>
      <c r="J1219" s="177">
        <f>'[6]price list MAN'!J1219</f>
        <v>1740000</v>
      </c>
      <c r="K1219" s="177">
        <f>'[6]price list MAN'!P1219</f>
        <v>1359750</v>
      </c>
      <c r="L1219" s="177">
        <f>'[6]price list MAN'!R1219</f>
        <v>1295000</v>
      </c>
      <c r="M1219" s="174">
        <f>'[6]price list MAN'!S1219</f>
        <v>1795000</v>
      </c>
      <c r="N1219" s="174">
        <f>'[6]price list MAN'!Y1219</f>
        <v>1417500</v>
      </c>
      <c r="O1219" s="174">
        <f>'[6]price list MAN'!AA1219</f>
        <v>1350000</v>
      </c>
      <c r="P1219" s="68">
        <f t="shared" si="91"/>
        <v>0.24791086350974931</v>
      </c>
      <c r="Q1219" s="62" t="e">
        <f>O1219-#REF!</f>
        <v>#REF!</v>
      </c>
      <c r="W1219" s="210"/>
      <c r="X1219" s="210"/>
      <c r="Y1219" s="210"/>
      <c r="Z1219" s="210"/>
      <c r="AA1219" s="210"/>
      <c r="AB1219" s="210"/>
      <c r="AC1219" s="210"/>
      <c r="AT1219" s="425" t="str">
        <f t="shared" si="92"/>
        <v>KP0007532017Q315,3</v>
      </c>
      <c r="AU1219" s="64" t="str">
        <f t="shared" si="93"/>
        <v>08-2017</v>
      </c>
      <c r="BA1219" s="428" t="str">
        <f t="shared" si="94"/>
        <v>WIP - 30 Days</v>
      </c>
    </row>
    <row r="1220" spans="2:53">
      <c r="B1220" s="36" t="str">
        <f>'[6]price list MAN'!B1220</f>
        <v>76W-B234</v>
      </c>
      <c r="C1220" s="10" t="str">
        <f>'[6]price list MAN'!C1220</f>
        <v>TGS-27-4406X4BBS-LX</v>
      </c>
      <c r="D1220" s="16" t="str">
        <f>IFERROR(VLOOKUP(C1220&amp;"",'[7]Retail Price List'!$A$3:$B$103,2,FALSE),"Special Order")</f>
        <v>KP000753</v>
      </c>
      <c r="E1220" s="494" t="str">
        <f>'[6]price list MAN'!E1220</f>
        <v>CKD</v>
      </c>
      <c r="F1220" s="11" t="str">
        <f>'[6]price list MAN'!F1220</f>
        <v>2018-03-30</v>
      </c>
      <c r="G1220" s="32">
        <f>'[6]price list MAN'!G1220</f>
        <v>15.3</v>
      </c>
      <c r="H1220" s="26">
        <f>'[6]price list MAN'!H1220</f>
        <v>42978</v>
      </c>
      <c r="I1220" s="51" t="str">
        <f t="shared" si="90"/>
        <v>2017Q3</v>
      </c>
      <c r="J1220" s="177">
        <f>'[6]price list MAN'!J1220</f>
        <v>1740000</v>
      </c>
      <c r="K1220" s="177">
        <f>'[6]price list MAN'!P1220</f>
        <v>1359750</v>
      </c>
      <c r="L1220" s="177">
        <f>'[6]price list MAN'!R1220</f>
        <v>1295000</v>
      </c>
      <c r="M1220" s="174">
        <f>'[6]price list MAN'!S1220</f>
        <v>1795000</v>
      </c>
      <c r="N1220" s="174">
        <f>'[6]price list MAN'!Y1220</f>
        <v>1417500</v>
      </c>
      <c r="O1220" s="174">
        <f>'[6]price list MAN'!AA1220</f>
        <v>1350000</v>
      </c>
      <c r="P1220" s="68">
        <f t="shared" si="91"/>
        <v>0.24791086350974931</v>
      </c>
      <c r="Q1220" s="62" t="e">
        <f>O1220-#REF!</f>
        <v>#REF!</v>
      </c>
      <c r="W1220" s="210"/>
      <c r="X1220" s="210"/>
      <c r="Y1220" s="210"/>
      <c r="Z1220" s="210"/>
      <c r="AA1220" s="210"/>
      <c r="AB1220" s="210"/>
      <c r="AC1220" s="210"/>
      <c r="AT1220" s="425" t="str">
        <f t="shared" si="92"/>
        <v>KP0007532017Q315,3</v>
      </c>
      <c r="AU1220" s="64" t="str">
        <f t="shared" si="93"/>
        <v>08-2017</v>
      </c>
      <c r="BA1220" s="428" t="str">
        <f t="shared" si="94"/>
        <v>WIP - 30 Days</v>
      </c>
    </row>
    <row r="1221" spans="2:53">
      <c r="B1221" s="36" t="str">
        <f>'[6]price list MAN'!B1221</f>
        <v>76W-B243</v>
      </c>
      <c r="C1221" s="10" t="str">
        <f>'[6]price list MAN'!C1221</f>
        <v>TGS-27-4406X4BBS-LX</v>
      </c>
      <c r="D1221" s="16" t="str">
        <f>IFERROR(VLOOKUP(C1221&amp;"",'[7]Retail Price List'!$A$3:$B$103,2,FALSE),"Special Order")</f>
        <v>KP000753</v>
      </c>
      <c r="E1221" s="494" t="str">
        <f>'[6]price list MAN'!E1221</f>
        <v>CKD</v>
      </c>
      <c r="F1221" s="11" t="str">
        <f>'[6]price list MAN'!F1221</f>
        <v>2018-08-30</v>
      </c>
      <c r="G1221" s="32">
        <f>'[6]price list MAN'!G1221</f>
        <v>15.3</v>
      </c>
      <c r="H1221" s="26">
        <f>'[6]price list MAN'!H1221</f>
        <v>42978</v>
      </c>
      <c r="I1221" s="51" t="str">
        <f t="shared" ref="I1221:I1284" si="95">IFERROR(VLOOKUP(AU1221,$AW$5:$AY$40,3,FALSE),"")</f>
        <v>2017Q3</v>
      </c>
      <c r="J1221" s="177">
        <f>'[6]price list MAN'!J1221</f>
        <v>1740000</v>
      </c>
      <c r="K1221" s="177">
        <f>'[6]price list MAN'!P1221</f>
        <v>1359750</v>
      </c>
      <c r="L1221" s="177">
        <f>'[6]price list MAN'!R1221</f>
        <v>1295000</v>
      </c>
      <c r="M1221" s="174">
        <f>'[6]price list MAN'!S1221</f>
        <v>1795000</v>
      </c>
      <c r="N1221" s="174">
        <f>'[6]price list MAN'!Y1221</f>
        <v>1417500</v>
      </c>
      <c r="O1221" s="174">
        <f>'[6]price list MAN'!AA1221</f>
        <v>1350000</v>
      </c>
      <c r="P1221" s="68">
        <f t="shared" ref="P1221:P1284" si="96">(M1221-O1221)/M1221</f>
        <v>0.24791086350974931</v>
      </c>
      <c r="Q1221" s="62" t="e">
        <f>O1221-#REF!</f>
        <v>#REF!</v>
      </c>
      <c r="W1221" s="210"/>
      <c r="X1221" s="210"/>
      <c r="Y1221" s="210"/>
      <c r="Z1221" s="210"/>
      <c r="AA1221" s="210"/>
      <c r="AB1221" s="210"/>
      <c r="AC1221" s="210"/>
      <c r="AT1221" s="425" t="str">
        <f t="shared" ref="AT1221:AT1284" si="97">D1221&amp;I1221&amp;G1221</f>
        <v>KP0007532017Q315,3</v>
      </c>
      <c r="AU1221" s="64" t="str">
        <f t="shared" ref="AU1221:AU1284" si="98">IF(MONTH(H1221)&lt;10,0&amp;MONTH(H1221)&amp;"-"&amp;YEAR(H1221),MONTH(H1221)&amp;"-"&amp;YEAR(H1221))</f>
        <v>08-2017</v>
      </c>
      <c r="BA1221" s="428" t="str">
        <f t="shared" ref="BA1221:BA1284" si="99">IF(B1221=0,"",IF(AND(F1221&gt;=31,F1221&lt;=120),"31-120 Days",IF(AND(F1221&gt;=121,F1221&lt;=365),"121-365 Days",IF(OR(E1221="CKD",F1221&lt;=30),"WIP - 30 Days","&gt;365 Days"))))</f>
        <v>WIP - 30 Days</v>
      </c>
    </row>
    <row r="1222" spans="2:53">
      <c r="B1222" s="36" t="str">
        <f>'[6]price list MAN'!B1222</f>
        <v>76W-B244</v>
      </c>
      <c r="C1222" s="10" t="str">
        <f>'[6]price list MAN'!C1222</f>
        <v>TGS-27-4406X4BBS-LX</v>
      </c>
      <c r="D1222" s="16" t="str">
        <f>IFERROR(VLOOKUP(C1222&amp;"",'[7]Retail Price List'!$A$3:$B$103,2,FALSE),"Special Order")</f>
        <v>KP000753</v>
      </c>
      <c r="E1222" s="494" t="str">
        <f>'[6]price list MAN'!E1222</f>
        <v>CKD</v>
      </c>
      <c r="F1222" s="11" t="str">
        <f>'[6]price list MAN'!F1222</f>
        <v>2018-08-30</v>
      </c>
      <c r="G1222" s="32">
        <f>'[6]price list MAN'!G1222</f>
        <v>15.3</v>
      </c>
      <c r="H1222" s="26">
        <f>'[6]price list MAN'!H1222</f>
        <v>42978</v>
      </c>
      <c r="I1222" s="51" t="str">
        <f t="shared" si="95"/>
        <v>2017Q3</v>
      </c>
      <c r="J1222" s="177">
        <f>'[6]price list MAN'!J1222</f>
        <v>1740000</v>
      </c>
      <c r="K1222" s="177">
        <f>'[6]price list MAN'!P1222</f>
        <v>1359750</v>
      </c>
      <c r="L1222" s="177">
        <f>'[6]price list MAN'!R1222</f>
        <v>1295000</v>
      </c>
      <c r="M1222" s="174">
        <f>'[6]price list MAN'!S1222</f>
        <v>1795000</v>
      </c>
      <c r="N1222" s="174">
        <f>'[6]price list MAN'!Y1222</f>
        <v>1417500</v>
      </c>
      <c r="O1222" s="174">
        <f>'[6]price list MAN'!AA1222</f>
        <v>1350000</v>
      </c>
      <c r="P1222" s="68">
        <f t="shared" si="96"/>
        <v>0.24791086350974931</v>
      </c>
      <c r="Q1222" s="62" t="e">
        <f>O1222-#REF!</f>
        <v>#REF!</v>
      </c>
      <c r="W1222" s="210"/>
      <c r="X1222" s="210"/>
      <c r="Y1222" s="210"/>
      <c r="Z1222" s="210"/>
      <c r="AA1222" s="210"/>
      <c r="AB1222" s="210"/>
      <c r="AC1222" s="210"/>
      <c r="AT1222" s="425" t="str">
        <f t="shared" si="97"/>
        <v>KP0007532017Q315,3</v>
      </c>
      <c r="AU1222" s="64" t="str">
        <f t="shared" si="98"/>
        <v>08-2017</v>
      </c>
      <c r="BA1222" s="428" t="str">
        <f t="shared" si="99"/>
        <v>WIP - 30 Days</v>
      </c>
    </row>
    <row r="1223" spans="2:53">
      <c r="B1223" s="36" t="str">
        <f>'[6]price list MAN'!B1223</f>
        <v>76W-B245</v>
      </c>
      <c r="C1223" s="10" t="str">
        <f>'[6]price list MAN'!C1223</f>
        <v>TGS-27-4406X4BBS-LX</v>
      </c>
      <c r="D1223" s="16" t="str">
        <f>IFERROR(VLOOKUP(C1223&amp;"",'[7]Retail Price List'!$A$3:$B$103,2,FALSE),"Special Order")</f>
        <v>KP000753</v>
      </c>
      <c r="E1223" s="494" t="str">
        <f>'[6]price list MAN'!E1223</f>
        <v>CKD</v>
      </c>
      <c r="F1223" s="11" t="str">
        <f>'[6]price list MAN'!F1223</f>
        <v>2018-08-30</v>
      </c>
      <c r="G1223" s="32">
        <f>'[6]price list MAN'!G1223</f>
        <v>15.3</v>
      </c>
      <c r="H1223" s="26">
        <f>'[6]price list MAN'!H1223</f>
        <v>42978</v>
      </c>
      <c r="I1223" s="51" t="str">
        <f t="shared" si="95"/>
        <v>2017Q3</v>
      </c>
      <c r="J1223" s="177">
        <f>'[6]price list MAN'!J1223</f>
        <v>1740000</v>
      </c>
      <c r="K1223" s="177">
        <f>'[6]price list MAN'!P1223</f>
        <v>1359750</v>
      </c>
      <c r="L1223" s="177">
        <f>'[6]price list MAN'!R1223</f>
        <v>1295000</v>
      </c>
      <c r="M1223" s="174">
        <f>'[6]price list MAN'!S1223</f>
        <v>1795000</v>
      </c>
      <c r="N1223" s="174">
        <f>'[6]price list MAN'!Y1223</f>
        <v>1417500</v>
      </c>
      <c r="O1223" s="174">
        <f>'[6]price list MAN'!AA1223</f>
        <v>1350000</v>
      </c>
      <c r="P1223" s="68">
        <f t="shared" si="96"/>
        <v>0.24791086350974931</v>
      </c>
      <c r="Q1223" s="62" t="e">
        <f>O1223-#REF!</f>
        <v>#REF!</v>
      </c>
      <c r="W1223" s="210"/>
      <c r="X1223" s="210"/>
      <c r="Y1223" s="210"/>
      <c r="Z1223" s="210"/>
      <c r="AA1223" s="210"/>
      <c r="AB1223" s="210"/>
      <c r="AC1223" s="210"/>
      <c r="AT1223" s="425" t="str">
        <f t="shared" si="97"/>
        <v>KP0007532017Q315,3</v>
      </c>
      <c r="AU1223" s="64" t="str">
        <f t="shared" si="98"/>
        <v>08-2017</v>
      </c>
      <c r="BA1223" s="428" t="str">
        <f t="shared" si="99"/>
        <v>WIP - 30 Days</v>
      </c>
    </row>
    <row r="1224" spans="2:53">
      <c r="B1224" s="36" t="str">
        <f>'[6]price list MAN'!B1224</f>
        <v>76W-B246</v>
      </c>
      <c r="C1224" s="10" t="str">
        <f>'[6]price list MAN'!C1224</f>
        <v>TGS-27-4406X4BBS-LX</v>
      </c>
      <c r="D1224" s="16" t="str">
        <f>IFERROR(VLOOKUP(C1224&amp;"",'[7]Retail Price List'!$A$3:$B$103,2,FALSE),"Special Order")</f>
        <v>KP000753</v>
      </c>
      <c r="E1224" s="494" t="str">
        <f>'[6]price list MAN'!E1224</f>
        <v>CKD</v>
      </c>
      <c r="F1224" s="11" t="str">
        <f>'[6]price list MAN'!F1224</f>
        <v>2018-08-30</v>
      </c>
      <c r="G1224" s="32">
        <f>'[6]price list MAN'!G1224</f>
        <v>15.3</v>
      </c>
      <c r="H1224" s="26">
        <f>'[6]price list MAN'!H1224</f>
        <v>42978</v>
      </c>
      <c r="I1224" s="51" t="str">
        <f t="shared" si="95"/>
        <v>2017Q3</v>
      </c>
      <c r="J1224" s="177">
        <f>'[6]price list MAN'!J1224</f>
        <v>1740000</v>
      </c>
      <c r="K1224" s="177">
        <f>'[6]price list MAN'!P1224</f>
        <v>1359750</v>
      </c>
      <c r="L1224" s="177">
        <f>'[6]price list MAN'!R1224</f>
        <v>1295000</v>
      </c>
      <c r="M1224" s="174">
        <f>'[6]price list MAN'!S1224</f>
        <v>1795000</v>
      </c>
      <c r="N1224" s="174">
        <f>'[6]price list MAN'!Y1224</f>
        <v>1417500</v>
      </c>
      <c r="O1224" s="174">
        <f>'[6]price list MAN'!AA1224</f>
        <v>1350000</v>
      </c>
      <c r="P1224" s="68">
        <f t="shared" si="96"/>
        <v>0.24791086350974931</v>
      </c>
      <c r="Q1224" s="62" t="e">
        <f>O1224-#REF!</f>
        <v>#REF!</v>
      </c>
      <c r="W1224" s="210"/>
      <c r="X1224" s="210"/>
      <c r="Y1224" s="210"/>
      <c r="Z1224" s="210"/>
      <c r="AA1224" s="210"/>
      <c r="AB1224" s="210"/>
      <c r="AC1224" s="210"/>
      <c r="AT1224" s="425" t="str">
        <f t="shared" si="97"/>
        <v>KP0007532017Q315,3</v>
      </c>
      <c r="AU1224" s="64" t="str">
        <f t="shared" si="98"/>
        <v>08-2017</v>
      </c>
      <c r="BA1224" s="428" t="str">
        <f t="shared" si="99"/>
        <v>WIP - 30 Days</v>
      </c>
    </row>
    <row r="1225" spans="2:53">
      <c r="B1225" s="36" t="str">
        <f>'[6]price list MAN'!B1225</f>
        <v>76W-B255</v>
      </c>
      <c r="C1225" s="10" t="str">
        <f>'[6]price list MAN'!C1225</f>
        <v>TGS-27-4406X4BBS-LX</v>
      </c>
      <c r="D1225" s="16" t="str">
        <f>IFERROR(VLOOKUP(C1225&amp;"",'[7]Retail Price List'!$A$3:$B$103,2,FALSE),"Special Order")</f>
        <v>KP000753</v>
      </c>
      <c r="E1225" s="494" t="str">
        <f>'[6]price list MAN'!E1225</f>
        <v>CKD</v>
      </c>
      <c r="F1225" s="11" t="str">
        <f>'[6]price list MAN'!F1225</f>
        <v>2018-09-30</v>
      </c>
      <c r="G1225" s="32">
        <f>'[6]price list MAN'!G1225</f>
        <v>15.3</v>
      </c>
      <c r="H1225" s="26">
        <f>'[6]price list MAN'!H1225</f>
        <v>42978</v>
      </c>
      <c r="I1225" s="51" t="str">
        <f t="shared" si="95"/>
        <v>2017Q3</v>
      </c>
      <c r="J1225" s="177">
        <f>'[6]price list MAN'!J1225</f>
        <v>1740000</v>
      </c>
      <c r="K1225" s="177">
        <f>'[6]price list MAN'!P1225</f>
        <v>1359750</v>
      </c>
      <c r="L1225" s="177">
        <f>'[6]price list MAN'!R1225</f>
        <v>1295000</v>
      </c>
      <c r="M1225" s="174">
        <f>'[6]price list MAN'!S1225</f>
        <v>1795000</v>
      </c>
      <c r="N1225" s="174">
        <f>'[6]price list MAN'!Y1225</f>
        <v>1417500</v>
      </c>
      <c r="O1225" s="174">
        <f>'[6]price list MAN'!AA1225</f>
        <v>1350000</v>
      </c>
      <c r="P1225" s="68">
        <f t="shared" si="96"/>
        <v>0.24791086350974931</v>
      </c>
      <c r="Q1225" s="62" t="e">
        <f>O1225-#REF!</f>
        <v>#REF!</v>
      </c>
      <c r="W1225" s="210"/>
      <c r="X1225" s="210"/>
      <c r="Y1225" s="210"/>
      <c r="Z1225" s="210"/>
      <c r="AA1225" s="210"/>
      <c r="AB1225" s="210"/>
      <c r="AC1225" s="210"/>
      <c r="AT1225" s="425" t="str">
        <f t="shared" si="97"/>
        <v>KP0007532017Q315,3</v>
      </c>
      <c r="AU1225" s="64" t="str">
        <f t="shared" si="98"/>
        <v>08-2017</v>
      </c>
      <c r="BA1225" s="428" t="str">
        <f t="shared" si="99"/>
        <v>WIP - 30 Days</v>
      </c>
    </row>
    <row r="1226" spans="2:53">
      <c r="B1226" s="36" t="str">
        <f>'[6]price list MAN'!B1226</f>
        <v>76W-B256</v>
      </c>
      <c r="C1226" s="10" t="str">
        <f>'[6]price list MAN'!C1226</f>
        <v>TGS-27-4406X4BBS-LX</v>
      </c>
      <c r="D1226" s="16" t="str">
        <f>IFERROR(VLOOKUP(C1226&amp;"",'[7]Retail Price List'!$A$3:$B$103,2,FALSE),"Special Order")</f>
        <v>KP000753</v>
      </c>
      <c r="E1226" s="494" t="str">
        <f>'[6]price list MAN'!E1226</f>
        <v>CKD</v>
      </c>
      <c r="F1226" s="11" t="str">
        <f>'[6]price list MAN'!F1226</f>
        <v>2018-09-30</v>
      </c>
      <c r="G1226" s="32">
        <f>'[6]price list MAN'!G1226</f>
        <v>15.3</v>
      </c>
      <c r="H1226" s="26">
        <f>'[6]price list MAN'!H1226</f>
        <v>42978</v>
      </c>
      <c r="I1226" s="51" t="str">
        <f t="shared" si="95"/>
        <v>2017Q3</v>
      </c>
      <c r="J1226" s="177">
        <f>'[6]price list MAN'!J1226</f>
        <v>1740000</v>
      </c>
      <c r="K1226" s="177">
        <f>'[6]price list MAN'!P1226</f>
        <v>1359750</v>
      </c>
      <c r="L1226" s="177">
        <f>'[6]price list MAN'!R1226</f>
        <v>1295000</v>
      </c>
      <c r="M1226" s="174">
        <f>'[6]price list MAN'!S1226</f>
        <v>1795000</v>
      </c>
      <c r="N1226" s="174">
        <f>'[6]price list MAN'!Y1226</f>
        <v>1417500</v>
      </c>
      <c r="O1226" s="174">
        <f>'[6]price list MAN'!AA1226</f>
        <v>1350000</v>
      </c>
      <c r="P1226" s="68">
        <f t="shared" si="96"/>
        <v>0.24791086350974931</v>
      </c>
      <c r="Q1226" s="62" t="e">
        <f>O1226-#REF!</f>
        <v>#REF!</v>
      </c>
      <c r="W1226" s="210"/>
      <c r="X1226" s="210"/>
      <c r="Y1226" s="210"/>
      <c r="Z1226" s="210"/>
      <c r="AA1226" s="210"/>
      <c r="AB1226" s="210"/>
      <c r="AC1226" s="210"/>
      <c r="AT1226" s="425" t="str">
        <f t="shared" si="97"/>
        <v>KP0007532017Q315,3</v>
      </c>
      <c r="AU1226" s="64" t="str">
        <f t="shared" si="98"/>
        <v>08-2017</v>
      </c>
      <c r="BA1226" s="428" t="str">
        <f t="shared" si="99"/>
        <v>WIP - 30 Days</v>
      </c>
    </row>
    <row r="1227" spans="2:53">
      <c r="B1227" s="36" t="str">
        <f>'[6]price list MAN'!B1227</f>
        <v>76W-B257</v>
      </c>
      <c r="C1227" s="10" t="str">
        <f>'[6]price list MAN'!C1227</f>
        <v>TGS-27-4406X4BBS-LX</v>
      </c>
      <c r="D1227" s="16" t="str">
        <f>IFERROR(VLOOKUP(C1227&amp;"",'[7]Retail Price List'!$A$3:$B$103,2,FALSE),"Special Order")</f>
        <v>KP000753</v>
      </c>
      <c r="E1227" s="494" t="str">
        <f>'[6]price list MAN'!E1227</f>
        <v>CKD</v>
      </c>
      <c r="F1227" s="11" t="str">
        <f>'[6]price list MAN'!F1227</f>
        <v>2018-09-30</v>
      </c>
      <c r="G1227" s="32">
        <f>'[6]price list MAN'!G1227</f>
        <v>15.3</v>
      </c>
      <c r="H1227" s="26">
        <f>'[6]price list MAN'!H1227</f>
        <v>42978</v>
      </c>
      <c r="I1227" s="51" t="str">
        <f t="shared" si="95"/>
        <v>2017Q3</v>
      </c>
      <c r="J1227" s="177">
        <f>'[6]price list MAN'!J1227</f>
        <v>1740000</v>
      </c>
      <c r="K1227" s="177">
        <f>'[6]price list MAN'!P1227</f>
        <v>1359750</v>
      </c>
      <c r="L1227" s="177">
        <f>'[6]price list MAN'!R1227</f>
        <v>1295000</v>
      </c>
      <c r="M1227" s="174">
        <f>'[6]price list MAN'!S1227</f>
        <v>1795000</v>
      </c>
      <c r="N1227" s="174">
        <f>'[6]price list MAN'!Y1227</f>
        <v>1417500</v>
      </c>
      <c r="O1227" s="174">
        <f>'[6]price list MAN'!AA1227</f>
        <v>1350000</v>
      </c>
      <c r="P1227" s="68">
        <f t="shared" si="96"/>
        <v>0.24791086350974931</v>
      </c>
      <c r="Q1227" s="62" t="e">
        <f>O1227-#REF!</f>
        <v>#REF!</v>
      </c>
      <c r="W1227" s="210"/>
      <c r="X1227" s="210"/>
      <c r="Y1227" s="210"/>
      <c r="Z1227" s="210"/>
      <c r="AA1227" s="210"/>
      <c r="AB1227" s="210"/>
      <c r="AC1227" s="210"/>
      <c r="AT1227" s="425" t="str">
        <f t="shared" si="97"/>
        <v>KP0007532017Q315,3</v>
      </c>
      <c r="AU1227" s="64" t="str">
        <f t="shared" si="98"/>
        <v>08-2017</v>
      </c>
      <c r="BA1227" s="428" t="str">
        <f t="shared" si="99"/>
        <v>WIP - 30 Days</v>
      </c>
    </row>
    <row r="1228" spans="2:53">
      <c r="B1228" s="36" t="str">
        <f>'[6]price list MAN'!B1228</f>
        <v>76W-B258</v>
      </c>
      <c r="C1228" s="10" t="str">
        <f>'[6]price list MAN'!C1228</f>
        <v>TGS-27-4406X4BBS-LX</v>
      </c>
      <c r="D1228" s="16" t="str">
        <f>IFERROR(VLOOKUP(C1228&amp;"",'[7]Retail Price List'!$A$3:$B$103,2,FALSE),"Special Order")</f>
        <v>KP000753</v>
      </c>
      <c r="E1228" s="494" t="str">
        <f>'[6]price list MAN'!E1228</f>
        <v>CKD</v>
      </c>
      <c r="F1228" s="11" t="str">
        <f>'[6]price list MAN'!F1228</f>
        <v>2018-09-30</v>
      </c>
      <c r="G1228" s="32">
        <f>'[6]price list MAN'!G1228</f>
        <v>15.3</v>
      </c>
      <c r="H1228" s="26">
        <f>'[6]price list MAN'!H1228</f>
        <v>42978</v>
      </c>
      <c r="I1228" s="51" t="str">
        <f t="shared" si="95"/>
        <v>2017Q3</v>
      </c>
      <c r="J1228" s="177">
        <f>'[6]price list MAN'!J1228</f>
        <v>1740000</v>
      </c>
      <c r="K1228" s="177">
        <f>'[6]price list MAN'!P1228</f>
        <v>1359750</v>
      </c>
      <c r="L1228" s="177">
        <f>'[6]price list MAN'!R1228</f>
        <v>1295000</v>
      </c>
      <c r="M1228" s="174">
        <f>'[6]price list MAN'!S1228</f>
        <v>1795000</v>
      </c>
      <c r="N1228" s="174">
        <f>'[6]price list MAN'!Y1228</f>
        <v>1417500</v>
      </c>
      <c r="O1228" s="174">
        <f>'[6]price list MAN'!AA1228</f>
        <v>1350000</v>
      </c>
      <c r="P1228" s="68">
        <f t="shared" si="96"/>
        <v>0.24791086350974931</v>
      </c>
      <c r="Q1228" s="62" t="e">
        <f>O1228-#REF!</f>
        <v>#REF!</v>
      </c>
      <c r="W1228" s="210"/>
      <c r="X1228" s="210"/>
      <c r="Y1228" s="210"/>
      <c r="Z1228" s="210"/>
      <c r="AA1228" s="210"/>
      <c r="AB1228" s="210"/>
      <c r="AC1228" s="210"/>
      <c r="AT1228" s="425" t="str">
        <f t="shared" si="97"/>
        <v>KP0007532017Q315,3</v>
      </c>
      <c r="AU1228" s="64" t="str">
        <f t="shared" si="98"/>
        <v>08-2017</v>
      </c>
      <c r="BA1228" s="428" t="str">
        <f t="shared" si="99"/>
        <v>WIP - 30 Days</v>
      </c>
    </row>
    <row r="1229" spans="2:53">
      <c r="B1229" s="36" t="str">
        <f>'[6]price list MAN'!B1229</f>
        <v>76W-B259</v>
      </c>
      <c r="C1229" s="10" t="str">
        <f>'[6]price list MAN'!C1229</f>
        <v>TGS-27-4406X4BBS-LX</v>
      </c>
      <c r="D1229" s="16" t="str">
        <f>IFERROR(VLOOKUP(C1229&amp;"",'[7]Retail Price List'!$A$3:$B$103,2,FALSE),"Special Order")</f>
        <v>KP000753</v>
      </c>
      <c r="E1229" s="494" t="str">
        <f>'[6]price list MAN'!E1229</f>
        <v>CKD</v>
      </c>
      <c r="F1229" s="11" t="str">
        <f>'[6]price list MAN'!F1229</f>
        <v>2018-09-30</v>
      </c>
      <c r="G1229" s="32">
        <f>'[6]price list MAN'!G1229</f>
        <v>15.3</v>
      </c>
      <c r="H1229" s="26">
        <f>'[6]price list MAN'!H1229</f>
        <v>42978</v>
      </c>
      <c r="I1229" s="51" t="str">
        <f t="shared" si="95"/>
        <v>2017Q3</v>
      </c>
      <c r="J1229" s="177">
        <f>'[6]price list MAN'!J1229</f>
        <v>1740000</v>
      </c>
      <c r="K1229" s="177">
        <f>'[6]price list MAN'!P1229</f>
        <v>1359750</v>
      </c>
      <c r="L1229" s="177">
        <f>'[6]price list MAN'!R1229</f>
        <v>1295000</v>
      </c>
      <c r="M1229" s="174">
        <f>'[6]price list MAN'!S1229</f>
        <v>1795000</v>
      </c>
      <c r="N1229" s="174">
        <f>'[6]price list MAN'!Y1229</f>
        <v>1417500</v>
      </c>
      <c r="O1229" s="174">
        <f>'[6]price list MAN'!AA1229</f>
        <v>1350000</v>
      </c>
      <c r="P1229" s="68">
        <f t="shared" si="96"/>
        <v>0.24791086350974931</v>
      </c>
      <c r="Q1229" s="62" t="e">
        <f>O1229-#REF!</f>
        <v>#REF!</v>
      </c>
      <c r="W1229" s="210"/>
      <c r="X1229" s="210"/>
      <c r="Y1229" s="210"/>
      <c r="Z1229" s="210"/>
      <c r="AA1229" s="210"/>
      <c r="AB1229" s="210"/>
      <c r="AC1229" s="210"/>
      <c r="AT1229" s="425" t="str">
        <f t="shared" si="97"/>
        <v>KP0007532017Q315,3</v>
      </c>
      <c r="AU1229" s="64" t="str">
        <f t="shared" si="98"/>
        <v>08-2017</v>
      </c>
      <c r="BA1229" s="428" t="str">
        <f t="shared" si="99"/>
        <v>WIP - 30 Days</v>
      </c>
    </row>
    <row r="1230" spans="2:53">
      <c r="B1230" s="36" t="str">
        <f>'[6]price list MAN'!B1230</f>
        <v>76W-B260</v>
      </c>
      <c r="C1230" s="10" t="str">
        <f>'[6]price list MAN'!C1230</f>
        <v>TGS-27-4406X4BBS-LX</v>
      </c>
      <c r="D1230" s="16" t="str">
        <f>IFERROR(VLOOKUP(C1230&amp;"",'[7]Retail Price List'!$A$3:$B$103,2,FALSE),"Special Order")</f>
        <v>KP000753</v>
      </c>
      <c r="E1230" s="494" t="str">
        <f>'[6]price list MAN'!E1230</f>
        <v>CKD</v>
      </c>
      <c r="F1230" s="11" t="str">
        <f>'[6]price list MAN'!F1230</f>
        <v>2018-09-30</v>
      </c>
      <c r="G1230" s="32">
        <f>'[6]price list MAN'!G1230</f>
        <v>15.3</v>
      </c>
      <c r="H1230" s="26">
        <f>'[6]price list MAN'!H1230</f>
        <v>42978</v>
      </c>
      <c r="I1230" s="51" t="str">
        <f t="shared" si="95"/>
        <v>2017Q3</v>
      </c>
      <c r="J1230" s="177">
        <f>'[6]price list MAN'!J1230</f>
        <v>1740000</v>
      </c>
      <c r="K1230" s="177">
        <f>'[6]price list MAN'!P1230</f>
        <v>1359750</v>
      </c>
      <c r="L1230" s="177">
        <f>'[6]price list MAN'!R1230</f>
        <v>1295000</v>
      </c>
      <c r="M1230" s="174">
        <f>'[6]price list MAN'!S1230</f>
        <v>1795000</v>
      </c>
      <c r="N1230" s="174">
        <f>'[6]price list MAN'!Y1230</f>
        <v>1417500</v>
      </c>
      <c r="O1230" s="174">
        <f>'[6]price list MAN'!AA1230</f>
        <v>1350000</v>
      </c>
      <c r="P1230" s="68">
        <f t="shared" si="96"/>
        <v>0.24791086350974931</v>
      </c>
      <c r="Q1230" s="62" t="e">
        <f>O1230-#REF!</f>
        <v>#REF!</v>
      </c>
      <c r="W1230" s="210"/>
      <c r="X1230" s="210"/>
      <c r="Y1230" s="210"/>
      <c r="Z1230" s="210"/>
      <c r="AA1230" s="210"/>
      <c r="AB1230" s="210"/>
      <c r="AC1230" s="210"/>
      <c r="AT1230" s="425" t="str">
        <f t="shared" si="97"/>
        <v>KP0007532017Q315,3</v>
      </c>
      <c r="AU1230" s="64" t="str">
        <f t="shared" si="98"/>
        <v>08-2017</v>
      </c>
      <c r="BA1230" s="428" t="str">
        <f t="shared" si="99"/>
        <v>WIP - 30 Days</v>
      </c>
    </row>
    <row r="1231" spans="2:53">
      <c r="B1231" s="36" t="str">
        <f>'[6]price list MAN'!B1231</f>
        <v>76W-B261</v>
      </c>
      <c r="C1231" s="10" t="str">
        <f>'[6]price list MAN'!C1231</f>
        <v>TGS-27-4406X4BBS-LX</v>
      </c>
      <c r="D1231" s="16" t="str">
        <f>IFERROR(VLOOKUP(C1231&amp;"",'[7]Retail Price List'!$A$3:$B$103,2,FALSE),"Special Order")</f>
        <v>KP000753</v>
      </c>
      <c r="E1231" s="494" t="str">
        <f>'[6]price list MAN'!E1231</f>
        <v>CKD</v>
      </c>
      <c r="F1231" s="11" t="str">
        <f>'[6]price list MAN'!F1231</f>
        <v>2018-09-30</v>
      </c>
      <c r="G1231" s="32">
        <f>'[6]price list MAN'!G1231</f>
        <v>15.3</v>
      </c>
      <c r="H1231" s="26">
        <f>'[6]price list MAN'!H1231</f>
        <v>42978</v>
      </c>
      <c r="I1231" s="51" t="str">
        <f t="shared" si="95"/>
        <v>2017Q3</v>
      </c>
      <c r="J1231" s="177">
        <f>'[6]price list MAN'!J1231</f>
        <v>1740000</v>
      </c>
      <c r="K1231" s="177">
        <f>'[6]price list MAN'!P1231</f>
        <v>1359750</v>
      </c>
      <c r="L1231" s="177">
        <f>'[6]price list MAN'!R1231</f>
        <v>1295000</v>
      </c>
      <c r="M1231" s="174">
        <f>'[6]price list MAN'!S1231</f>
        <v>1795000</v>
      </c>
      <c r="N1231" s="174">
        <f>'[6]price list MAN'!Y1231</f>
        <v>1417500</v>
      </c>
      <c r="O1231" s="174">
        <f>'[6]price list MAN'!AA1231</f>
        <v>1350000</v>
      </c>
      <c r="P1231" s="68">
        <f t="shared" si="96"/>
        <v>0.24791086350974931</v>
      </c>
      <c r="Q1231" s="62" t="e">
        <f>O1231-#REF!</f>
        <v>#REF!</v>
      </c>
      <c r="W1231" s="210"/>
      <c r="X1231" s="210"/>
      <c r="Y1231" s="210"/>
      <c r="Z1231" s="210"/>
      <c r="AA1231" s="210"/>
      <c r="AB1231" s="210"/>
      <c r="AC1231" s="210"/>
      <c r="AT1231" s="425" t="str">
        <f t="shared" si="97"/>
        <v>KP0007532017Q315,3</v>
      </c>
      <c r="AU1231" s="64" t="str">
        <f t="shared" si="98"/>
        <v>08-2017</v>
      </c>
      <c r="BA1231" s="428" t="str">
        <f t="shared" si="99"/>
        <v>WIP - 30 Days</v>
      </c>
    </row>
    <row r="1232" spans="2:53">
      <c r="B1232" s="36" t="str">
        <f>'[6]price list MAN'!B1232</f>
        <v>76W-B262</v>
      </c>
      <c r="C1232" s="10" t="str">
        <f>'[6]price list MAN'!C1232</f>
        <v>TGS-27-4406X4BBS-LX</v>
      </c>
      <c r="D1232" s="16" t="str">
        <f>IFERROR(VLOOKUP(C1232&amp;"",'[7]Retail Price List'!$A$3:$B$103,2,FALSE),"Special Order")</f>
        <v>KP000753</v>
      </c>
      <c r="E1232" s="494" t="str">
        <f>'[6]price list MAN'!E1232</f>
        <v>CKD</v>
      </c>
      <c r="F1232" s="11" t="str">
        <f>'[6]price list MAN'!F1232</f>
        <v>2018-09-30</v>
      </c>
      <c r="G1232" s="32">
        <f>'[6]price list MAN'!G1232</f>
        <v>15.3</v>
      </c>
      <c r="H1232" s="26">
        <f>'[6]price list MAN'!H1232</f>
        <v>42978</v>
      </c>
      <c r="I1232" s="51" t="str">
        <f t="shared" si="95"/>
        <v>2017Q3</v>
      </c>
      <c r="J1232" s="177">
        <f>'[6]price list MAN'!J1232</f>
        <v>1740000</v>
      </c>
      <c r="K1232" s="177">
        <f>'[6]price list MAN'!P1232</f>
        <v>1359750</v>
      </c>
      <c r="L1232" s="177">
        <f>'[6]price list MAN'!R1232</f>
        <v>1295000</v>
      </c>
      <c r="M1232" s="174">
        <f>'[6]price list MAN'!S1232</f>
        <v>1795000</v>
      </c>
      <c r="N1232" s="174">
        <f>'[6]price list MAN'!Y1232</f>
        <v>1417500</v>
      </c>
      <c r="O1232" s="174">
        <f>'[6]price list MAN'!AA1232</f>
        <v>1350000</v>
      </c>
      <c r="P1232" s="68">
        <f t="shared" si="96"/>
        <v>0.24791086350974931</v>
      </c>
      <c r="Q1232" s="62" t="e">
        <f>O1232-#REF!</f>
        <v>#REF!</v>
      </c>
      <c r="W1232" s="210"/>
      <c r="X1232" s="210"/>
      <c r="Y1232" s="210"/>
      <c r="Z1232" s="210"/>
      <c r="AA1232" s="210"/>
      <c r="AB1232" s="210"/>
      <c r="AC1232" s="210"/>
      <c r="AT1232" s="425" t="str">
        <f t="shared" si="97"/>
        <v>KP0007532017Q315,3</v>
      </c>
      <c r="AU1232" s="64" t="str">
        <f t="shared" si="98"/>
        <v>08-2017</v>
      </c>
      <c r="BA1232" s="428" t="str">
        <f t="shared" si="99"/>
        <v>WIP - 30 Days</v>
      </c>
    </row>
    <row r="1233" spans="2:53">
      <c r="B1233" s="36" t="str">
        <f>'[6]price list MAN'!B1233</f>
        <v>TBAKP753</v>
      </c>
      <c r="C1233" s="10" t="str">
        <f>'[6]price list MAN'!C1233</f>
        <v>TGS-27-4406X4BBS-LX</v>
      </c>
      <c r="D1233" s="16" t="str">
        <f>IFERROR(VLOOKUP(C1233&amp;"",'[7]Retail Price List'!$A$3:$B$103,2,FALSE),"Special Order")</f>
        <v>KP000753</v>
      </c>
      <c r="E1233" s="494" t="str">
        <f>'[6]price list MAN'!E1233</f>
        <v>CKD</v>
      </c>
      <c r="F1233" s="11" t="str">
        <f>'[6]price list MAN'!F1233</f>
        <v>2018-08-19</v>
      </c>
      <c r="G1233" s="32">
        <f>'[6]price list MAN'!G1233</f>
        <v>15.8</v>
      </c>
      <c r="H1233" s="26">
        <f>'[6]price list MAN'!H1233</f>
        <v>43159</v>
      </c>
      <c r="I1233" s="51" t="str">
        <f t="shared" si="95"/>
        <v>2018Q1</v>
      </c>
      <c r="J1233" s="177">
        <f>'[6]price list MAN'!J1233</f>
        <v>1740000</v>
      </c>
      <c r="K1233" s="177">
        <f>'[6]price list MAN'!P1233</f>
        <v>1386000</v>
      </c>
      <c r="L1233" s="177">
        <f>'[6]price list MAN'!R1233</f>
        <v>1320000</v>
      </c>
      <c r="M1233" s="174">
        <f>'[6]price list MAN'!S1233</f>
        <v>1795000</v>
      </c>
      <c r="N1233" s="174">
        <f>'[6]price list MAN'!Y1233</f>
        <v>1443750</v>
      </c>
      <c r="O1233" s="174">
        <f>'[6]price list MAN'!AA1233</f>
        <v>1375000</v>
      </c>
      <c r="P1233" s="68">
        <f t="shared" si="96"/>
        <v>0.23398328690807799</v>
      </c>
      <c r="Q1233" s="62" t="e">
        <f>O1233-#REF!</f>
        <v>#REF!</v>
      </c>
      <c r="W1233" s="210"/>
      <c r="X1233" s="210"/>
      <c r="Y1233" s="210"/>
      <c r="Z1233" s="210"/>
      <c r="AA1233" s="210"/>
      <c r="AB1233" s="210"/>
      <c r="AC1233" s="210"/>
      <c r="AT1233" s="425" t="str">
        <f t="shared" si="97"/>
        <v>KP0007532018Q115,8</v>
      </c>
      <c r="AU1233" s="64" t="str">
        <f t="shared" si="98"/>
        <v>02-2018</v>
      </c>
      <c r="BA1233" s="428" t="str">
        <f t="shared" si="99"/>
        <v>WIP - 30 Days</v>
      </c>
    </row>
    <row r="1234" spans="2:53">
      <c r="B1234" s="36" t="str">
        <f>'[6]price list MAN'!B1234</f>
        <v>76W-2270</v>
      </c>
      <c r="C1234" s="10" t="str">
        <f>'[6]price list MAN'!C1234</f>
        <v>TGS-27-4806X4BBS-LX</v>
      </c>
      <c r="D1234" s="16" t="str">
        <f>IFERROR(VLOOKUP(C1234&amp;"",'[7]Retail Price List'!$A$3:$B$103,2,FALSE),"Special Order")</f>
        <v>KP000659</v>
      </c>
      <c r="E1234" s="494" t="str">
        <f>'[6]price list MAN'!E1234</f>
        <v>BOOKED: 1900-01-00</v>
      </c>
      <c r="F1234" s="11">
        <f>'[6]price list MAN'!F1234</f>
        <v>120</v>
      </c>
      <c r="G1234" s="32">
        <f>'[6]price list MAN'!G1234</f>
        <v>14.7</v>
      </c>
      <c r="H1234" s="26">
        <f>'[6]price list MAN'!H1234</f>
        <v>42838</v>
      </c>
      <c r="I1234" s="51" t="str">
        <f t="shared" si="95"/>
        <v>2017Q2</v>
      </c>
      <c r="J1234" s="177">
        <f>'[6]price list MAN'!J1234</f>
        <v>1820000</v>
      </c>
      <c r="K1234" s="177">
        <f>'[6]price list MAN'!P1234</f>
        <v>1370250</v>
      </c>
      <c r="L1234" s="177">
        <f>'[6]price list MAN'!R1234</f>
        <v>1305000</v>
      </c>
      <c r="M1234" s="174">
        <f>'[6]price list MAN'!S1234</f>
        <v>1875000</v>
      </c>
      <c r="N1234" s="174">
        <f>'[6]price list MAN'!Y1234</f>
        <v>1428000</v>
      </c>
      <c r="O1234" s="174">
        <f>'[6]price list MAN'!AA1234</f>
        <v>1360000</v>
      </c>
      <c r="P1234" s="68">
        <f t="shared" si="96"/>
        <v>0.27466666666666667</v>
      </c>
      <c r="Q1234" s="62" t="e">
        <f>O1234-#REF!</f>
        <v>#REF!</v>
      </c>
      <c r="W1234" s="210"/>
      <c r="X1234" s="210"/>
      <c r="Y1234" s="210"/>
      <c r="Z1234" s="210"/>
      <c r="AA1234" s="210"/>
      <c r="AB1234" s="210"/>
      <c r="AC1234" s="210"/>
      <c r="AT1234" s="425" t="str">
        <f t="shared" si="97"/>
        <v>KP0006592017Q214,7</v>
      </c>
      <c r="AU1234" s="64" t="str">
        <f t="shared" si="98"/>
        <v>04-2017</v>
      </c>
      <c r="BA1234" s="428" t="str">
        <f t="shared" si="99"/>
        <v>31-120 Days</v>
      </c>
    </row>
    <row r="1235" spans="2:53">
      <c r="B1235" s="36" t="str">
        <f>'[6]price list MAN'!B1235</f>
        <v>76W-9376</v>
      </c>
      <c r="C1235" s="10" t="str">
        <f>'[6]price list MAN'!C1235</f>
        <v>TGS-27-4806X4BBS-LX</v>
      </c>
      <c r="D1235" s="16" t="str">
        <f>IFERROR(VLOOKUP(C1235&amp;"",'[7]Retail Price List'!$A$3:$B$103,2,FALSE),"Special Order")</f>
        <v>KP000659</v>
      </c>
      <c r="E1235" s="494" t="str">
        <f>'[6]price list MAN'!E1235</f>
        <v>SOLD</v>
      </c>
      <c r="F1235" s="11">
        <f>'[6]price list MAN'!F1235</f>
        <v>123</v>
      </c>
      <c r="G1235" s="32">
        <f>'[6]price list MAN'!G1235</f>
        <v>14.7</v>
      </c>
      <c r="H1235" s="26">
        <f>'[6]price list MAN'!H1235</f>
        <v>42859</v>
      </c>
      <c r="I1235" s="51" t="str">
        <f t="shared" si="95"/>
        <v>2017Q2</v>
      </c>
      <c r="J1235" s="177">
        <f>'[6]price list MAN'!J1235</f>
        <v>1820000</v>
      </c>
      <c r="K1235" s="177">
        <f>'[6]price list MAN'!P1235</f>
        <v>1370250</v>
      </c>
      <c r="L1235" s="177">
        <f>'[6]price list MAN'!R1235</f>
        <v>1305000</v>
      </c>
      <c r="M1235" s="174">
        <f>'[6]price list MAN'!S1235</f>
        <v>1875000</v>
      </c>
      <c r="N1235" s="174">
        <f>'[6]price list MAN'!Y1235</f>
        <v>1428000</v>
      </c>
      <c r="O1235" s="174">
        <f>'[6]price list MAN'!AA1235</f>
        <v>1360000</v>
      </c>
      <c r="P1235" s="68">
        <f t="shared" si="96"/>
        <v>0.27466666666666667</v>
      </c>
      <c r="Q1235" s="62" t="e">
        <f>O1235-#REF!</f>
        <v>#REF!</v>
      </c>
      <c r="W1235" s="210"/>
      <c r="X1235" s="210"/>
      <c r="Y1235" s="210"/>
      <c r="Z1235" s="210"/>
      <c r="AA1235" s="210"/>
      <c r="AB1235" s="210"/>
      <c r="AC1235" s="210"/>
      <c r="AT1235" s="425" t="str">
        <f t="shared" si="97"/>
        <v>KP0006592017Q214,7</v>
      </c>
      <c r="AU1235" s="64" t="str">
        <f t="shared" si="98"/>
        <v>05-2017</v>
      </c>
      <c r="BA1235" s="428" t="str">
        <f t="shared" si="99"/>
        <v>121-365 Days</v>
      </c>
    </row>
    <row r="1236" spans="2:53">
      <c r="B1236" s="36" t="str">
        <f>'[6]price list MAN'!B1236</f>
        <v>76W-9377</v>
      </c>
      <c r="C1236" s="10" t="str">
        <f>'[6]price list MAN'!C1236</f>
        <v>TGS-27-4806X4BBS-LX</v>
      </c>
      <c r="D1236" s="16" t="str">
        <f>IFERROR(VLOOKUP(C1236&amp;"",'[7]Retail Price List'!$A$3:$B$103,2,FALSE),"Special Order")</f>
        <v>KP000659</v>
      </c>
      <c r="E1236" s="494" t="str">
        <f>'[6]price list MAN'!E1236</f>
        <v>SOLD</v>
      </c>
      <c r="F1236" s="11">
        <f>'[6]price list MAN'!F1236</f>
        <v>120</v>
      </c>
      <c r="G1236" s="32">
        <f>'[6]price list MAN'!G1236</f>
        <v>14.7</v>
      </c>
      <c r="H1236" s="26">
        <f>'[6]price list MAN'!H1236</f>
        <v>42859</v>
      </c>
      <c r="I1236" s="51" t="str">
        <f t="shared" si="95"/>
        <v>2017Q2</v>
      </c>
      <c r="J1236" s="177">
        <f>'[6]price list MAN'!J1236</f>
        <v>1820000</v>
      </c>
      <c r="K1236" s="177">
        <f>'[6]price list MAN'!P1236</f>
        <v>1370250</v>
      </c>
      <c r="L1236" s="177">
        <f>'[6]price list MAN'!R1236</f>
        <v>1305000</v>
      </c>
      <c r="M1236" s="174">
        <f>'[6]price list MAN'!S1236</f>
        <v>1875000</v>
      </c>
      <c r="N1236" s="174">
        <f>'[6]price list MAN'!Y1236</f>
        <v>1428000</v>
      </c>
      <c r="O1236" s="174">
        <f>'[6]price list MAN'!AA1236</f>
        <v>1360000</v>
      </c>
      <c r="P1236" s="68">
        <f t="shared" si="96"/>
        <v>0.27466666666666667</v>
      </c>
      <c r="Q1236" s="62" t="e">
        <f>O1236-#REF!</f>
        <v>#REF!</v>
      </c>
      <c r="W1236" s="210"/>
      <c r="X1236" s="210"/>
      <c r="Y1236" s="210"/>
      <c r="Z1236" s="210"/>
      <c r="AA1236" s="210"/>
      <c r="AB1236" s="210"/>
      <c r="AC1236" s="210"/>
      <c r="AT1236" s="425" t="str">
        <f t="shared" si="97"/>
        <v>KP0006592017Q214,7</v>
      </c>
      <c r="AU1236" s="64" t="str">
        <f t="shared" si="98"/>
        <v>05-2017</v>
      </c>
      <c r="BA1236" s="428" t="str">
        <f t="shared" si="99"/>
        <v>31-120 Days</v>
      </c>
    </row>
    <row r="1237" spans="2:53">
      <c r="B1237" s="36" t="str">
        <f>'[6]price list MAN'!B1237</f>
        <v>76W-9398</v>
      </c>
      <c r="C1237" s="10" t="str">
        <f>'[6]price list MAN'!C1237</f>
        <v>TGS-27-4806X4BBS-LX</v>
      </c>
      <c r="D1237" s="16" t="str">
        <f>IFERROR(VLOOKUP(C1237&amp;"",'[7]Retail Price List'!$A$3:$B$103,2,FALSE),"Special Order")</f>
        <v>KP000659</v>
      </c>
      <c r="E1237" s="494" t="str">
        <f>'[6]price list MAN'!E1237</f>
        <v>SOLD</v>
      </c>
      <c r="F1237" s="11">
        <f>'[6]price list MAN'!F1237</f>
        <v>92</v>
      </c>
      <c r="G1237" s="32">
        <f>'[6]price list MAN'!G1237</f>
        <v>14.7</v>
      </c>
      <c r="H1237" s="26">
        <f>'[6]price list MAN'!H1237</f>
        <v>42859</v>
      </c>
      <c r="I1237" s="51" t="str">
        <f t="shared" si="95"/>
        <v>2017Q2</v>
      </c>
      <c r="J1237" s="177">
        <f>'[6]price list MAN'!J1237</f>
        <v>1820000</v>
      </c>
      <c r="K1237" s="177">
        <f>'[6]price list MAN'!P1237</f>
        <v>1370250</v>
      </c>
      <c r="L1237" s="177">
        <f>'[6]price list MAN'!R1237</f>
        <v>1305000</v>
      </c>
      <c r="M1237" s="174">
        <f>'[6]price list MAN'!S1237</f>
        <v>1875000</v>
      </c>
      <c r="N1237" s="174">
        <f>'[6]price list MAN'!Y1237</f>
        <v>1428000</v>
      </c>
      <c r="O1237" s="174">
        <f>'[6]price list MAN'!AA1237</f>
        <v>1360000</v>
      </c>
      <c r="P1237" s="68">
        <f t="shared" si="96"/>
        <v>0.27466666666666667</v>
      </c>
      <c r="Q1237" s="62" t="e">
        <f>O1237-#REF!</f>
        <v>#REF!</v>
      </c>
      <c r="W1237" s="210"/>
      <c r="X1237" s="210"/>
      <c r="Y1237" s="210"/>
      <c r="Z1237" s="210"/>
      <c r="AA1237" s="210"/>
      <c r="AB1237" s="210"/>
      <c r="AC1237" s="210"/>
      <c r="AT1237" s="425" t="str">
        <f t="shared" si="97"/>
        <v>KP0006592017Q214,7</v>
      </c>
      <c r="AU1237" s="64" t="str">
        <f t="shared" si="98"/>
        <v>05-2017</v>
      </c>
      <c r="BA1237" s="428" t="str">
        <f t="shared" si="99"/>
        <v>31-120 Days</v>
      </c>
    </row>
    <row r="1238" spans="2:53">
      <c r="B1238" s="36" t="str">
        <f>'[6]price list MAN'!B1238</f>
        <v>76W-9459</v>
      </c>
      <c r="C1238" s="10" t="str">
        <f>'[6]price list MAN'!C1238</f>
        <v>TGS-27-4806X4BBS-LX</v>
      </c>
      <c r="D1238" s="16" t="str">
        <f>IFERROR(VLOOKUP(C1238&amp;"",'[7]Retail Price List'!$A$3:$B$103,2,FALSE),"Special Order")</f>
        <v>KP000659</v>
      </c>
      <c r="E1238" s="494" t="str">
        <f>'[6]price list MAN'!E1238</f>
        <v>SOLD</v>
      </c>
      <c r="F1238" s="11">
        <f>'[6]price list MAN'!F1238</f>
        <v>82</v>
      </c>
      <c r="G1238" s="32">
        <f>'[6]price list MAN'!G1238</f>
        <v>14.7</v>
      </c>
      <c r="H1238" s="26">
        <f>'[6]price list MAN'!H1238</f>
        <v>42937</v>
      </c>
      <c r="I1238" s="51" t="str">
        <f t="shared" si="95"/>
        <v>201707Q3</v>
      </c>
      <c r="J1238" s="177">
        <f>'[6]price list MAN'!J1238</f>
        <v>1820000</v>
      </c>
      <c r="K1238" s="177">
        <f>'[6]price list MAN'!P1238</f>
        <v>1370250</v>
      </c>
      <c r="L1238" s="177">
        <f>'[6]price list MAN'!R1238</f>
        <v>1305000</v>
      </c>
      <c r="M1238" s="174">
        <f>'[6]price list MAN'!S1238</f>
        <v>1875000</v>
      </c>
      <c r="N1238" s="174">
        <f>'[6]price list MAN'!Y1238</f>
        <v>1428000</v>
      </c>
      <c r="O1238" s="174">
        <f>'[6]price list MAN'!AA1238</f>
        <v>1360000</v>
      </c>
      <c r="P1238" s="68">
        <f t="shared" si="96"/>
        <v>0.27466666666666667</v>
      </c>
      <c r="Q1238" s="62" t="e">
        <f>O1238-#REF!</f>
        <v>#REF!</v>
      </c>
      <c r="W1238" s="210"/>
      <c r="X1238" s="210"/>
      <c r="Y1238" s="210"/>
      <c r="Z1238" s="210"/>
      <c r="AA1238" s="210"/>
      <c r="AB1238" s="210"/>
      <c r="AC1238" s="210"/>
      <c r="AT1238" s="425" t="str">
        <f t="shared" si="97"/>
        <v>KP000659201707Q314,7</v>
      </c>
      <c r="AU1238" s="64" t="str">
        <f t="shared" si="98"/>
        <v>07-2017</v>
      </c>
      <c r="BA1238" s="428" t="str">
        <f t="shared" si="99"/>
        <v>31-120 Days</v>
      </c>
    </row>
    <row r="1239" spans="2:53">
      <c r="B1239" s="36" t="str">
        <f>'[6]price list MAN'!B1239</f>
        <v>76W-9460</v>
      </c>
      <c r="C1239" s="10" t="str">
        <f>'[6]price list MAN'!C1239</f>
        <v>TGS-27-4806X4BBS-LX</v>
      </c>
      <c r="D1239" s="16" t="str">
        <f>IFERROR(VLOOKUP(C1239&amp;"",'[7]Retail Price List'!$A$3:$B$103,2,FALSE),"Special Order")</f>
        <v>KP000659</v>
      </c>
      <c r="E1239" s="494" t="str">
        <f>'[6]price list MAN'!E1239</f>
        <v>DEMO</v>
      </c>
      <c r="F1239" s="11">
        <f>'[6]price list MAN'!F1239</f>
        <v>78</v>
      </c>
      <c r="G1239" s="32">
        <f>'[6]price list MAN'!G1239</f>
        <v>14.7</v>
      </c>
      <c r="H1239" s="26">
        <f>'[6]price list MAN'!H1239</f>
        <v>42937</v>
      </c>
      <c r="I1239" s="51" t="str">
        <f t="shared" si="95"/>
        <v>201707Q3</v>
      </c>
      <c r="J1239" s="177">
        <f>'[6]price list MAN'!J1239</f>
        <v>1820000</v>
      </c>
      <c r="K1239" s="177">
        <f>'[6]price list MAN'!P1239</f>
        <v>1359750</v>
      </c>
      <c r="L1239" s="177">
        <f>'[6]price list MAN'!R1239</f>
        <v>1295000</v>
      </c>
      <c r="M1239" s="174">
        <f>'[6]price list MAN'!S1239</f>
        <v>1820000</v>
      </c>
      <c r="N1239" s="174">
        <f>'[6]price list MAN'!Y1239</f>
        <v>1359750</v>
      </c>
      <c r="O1239" s="174">
        <f>'[6]price list MAN'!AA1239</f>
        <v>1295000</v>
      </c>
      <c r="P1239" s="68">
        <f t="shared" si="96"/>
        <v>0.28846153846153844</v>
      </c>
      <c r="Q1239" s="62" t="e">
        <f>O1239-#REF!</f>
        <v>#REF!</v>
      </c>
      <c r="W1239" s="210"/>
      <c r="X1239" s="210"/>
      <c r="Y1239" s="210"/>
      <c r="Z1239" s="210"/>
      <c r="AA1239" s="210"/>
      <c r="AB1239" s="210"/>
      <c r="AC1239" s="210"/>
      <c r="AT1239" s="425" t="str">
        <f t="shared" si="97"/>
        <v>KP000659201707Q314,7</v>
      </c>
      <c r="AU1239" s="64" t="str">
        <f t="shared" si="98"/>
        <v>07-2017</v>
      </c>
      <c r="BA1239" s="428" t="str">
        <f t="shared" si="99"/>
        <v>31-120 Days</v>
      </c>
    </row>
    <row r="1240" spans="2:53">
      <c r="B1240" s="36" t="str">
        <f>'[6]price list MAN'!B1240</f>
        <v>76W-9461</v>
      </c>
      <c r="C1240" s="10" t="str">
        <f>'[6]price list MAN'!C1240</f>
        <v>TGS-27-4806X4BBS-LX</v>
      </c>
      <c r="D1240" s="16" t="str">
        <f>IFERROR(VLOOKUP(C1240&amp;"",'[7]Retail Price List'!$A$3:$B$103,2,FALSE),"Special Order")</f>
        <v>KP000659</v>
      </c>
      <c r="E1240" s="494" t="str">
        <f>'[6]price list MAN'!E1240</f>
        <v>DEMO</v>
      </c>
      <c r="F1240" s="11">
        <f>'[6]price list MAN'!F1240</f>
        <v>78</v>
      </c>
      <c r="G1240" s="32">
        <f>'[6]price list MAN'!G1240</f>
        <v>14.7</v>
      </c>
      <c r="H1240" s="26">
        <f>'[6]price list MAN'!H1240</f>
        <v>42937</v>
      </c>
      <c r="I1240" s="51" t="str">
        <f t="shared" si="95"/>
        <v>201707Q3</v>
      </c>
      <c r="J1240" s="177">
        <f>'[6]price list MAN'!J1240</f>
        <v>1820000</v>
      </c>
      <c r="K1240" s="177">
        <f>'[6]price list MAN'!P1240</f>
        <v>1359750</v>
      </c>
      <c r="L1240" s="177">
        <f>'[6]price list MAN'!R1240</f>
        <v>1295000</v>
      </c>
      <c r="M1240" s="174">
        <f>'[6]price list MAN'!S1240</f>
        <v>1820000</v>
      </c>
      <c r="N1240" s="174">
        <f>'[6]price list MAN'!Y1240</f>
        <v>1359750</v>
      </c>
      <c r="O1240" s="174">
        <f>'[6]price list MAN'!AA1240</f>
        <v>1295000</v>
      </c>
      <c r="P1240" s="68">
        <f t="shared" si="96"/>
        <v>0.28846153846153844</v>
      </c>
      <c r="Q1240" s="62" t="e">
        <f>O1240-#REF!</f>
        <v>#REF!</v>
      </c>
      <c r="W1240" s="210"/>
      <c r="X1240" s="210"/>
      <c r="Y1240" s="210"/>
      <c r="Z1240" s="210"/>
      <c r="AA1240" s="210"/>
      <c r="AB1240" s="210"/>
      <c r="AC1240" s="210"/>
      <c r="AT1240" s="425" t="str">
        <f t="shared" si="97"/>
        <v>KP000659201707Q314,7</v>
      </c>
      <c r="AU1240" s="64" t="str">
        <f t="shared" si="98"/>
        <v>07-2017</v>
      </c>
      <c r="BA1240" s="428" t="str">
        <f t="shared" si="99"/>
        <v>31-120 Days</v>
      </c>
    </row>
    <row r="1241" spans="2:53">
      <c r="B1241" s="36" t="str">
        <f>'[6]price list MAN'!B1241</f>
        <v>76W-9462</v>
      </c>
      <c r="C1241" s="10" t="str">
        <f>'[6]price list MAN'!C1241</f>
        <v>TGS-27-4806X4BBS-LX</v>
      </c>
      <c r="D1241" s="16" t="str">
        <f>IFERROR(VLOOKUP(C1241&amp;"",'[7]Retail Price List'!$A$3:$B$103,2,FALSE),"Special Order")</f>
        <v>KP000659</v>
      </c>
      <c r="E1241" s="494" t="str">
        <f>'[6]price list MAN'!E1241</f>
        <v>SOLD</v>
      </c>
      <c r="F1241" s="11">
        <f>'[6]price list MAN'!F1241</f>
        <v>82</v>
      </c>
      <c r="G1241" s="32">
        <f>'[6]price list MAN'!G1241</f>
        <v>14.7</v>
      </c>
      <c r="H1241" s="26">
        <f>'[6]price list MAN'!H1241</f>
        <v>42937</v>
      </c>
      <c r="I1241" s="51" t="str">
        <f t="shared" si="95"/>
        <v>201707Q3</v>
      </c>
      <c r="J1241" s="177">
        <f>'[6]price list MAN'!J1241</f>
        <v>1820000</v>
      </c>
      <c r="K1241" s="177">
        <f>'[6]price list MAN'!P1241</f>
        <v>1370250</v>
      </c>
      <c r="L1241" s="177">
        <f>'[6]price list MAN'!R1241</f>
        <v>1305000</v>
      </c>
      <c r="M1241" s="174">
        <f>'[6]price list MAN'!S1241</f>
        <v>1875000</v>
      </c>
      <c r="N1241" s="174">
        <f>'[6]price list MAN'!Y1241</f>
        <v>1428000</v>
      </c>
      <c r="O1241" s="174">
        <f>'[6]price list MAN'!AA1241</f>
        <v>1360000</v>
      </c>
      <c r="P1241" s="68">
        <f t="shared" si="96"/>
        <v>0.27466666666666667</v>
      </c>
      <c r="Q1241" s="62" t="e">
        <f>O1241-#REF!</f>
        <v>#REF!</v>
      </c>
      <c r="W1241" s="210"/>
      <c r="X1241" s="210"/>
      <c r="Y1241" s="210"/>
      <c r="Z1241" s="210"/>
      <c r="AA1241" s="210"/>
      <c r="AB1241" s="210"/>
      <c r="AC1241" s="210"/>
      <c r="AT1241" s="425" t="str">
        <f t="shared" si="97"/>
        <v>KP000659201707Q314,7</v>
      </c>
      <c r="AU1241" s="64" t="str">
        <f t="shared" si="98"/>
        <v>07-2017</v>
      </c>
      <c r="BA1241" s="428" t="str">
        <f t="shared" si="99"/>
        <v>31-120 Days</v>
      </c>
    </row>
    <row r="1242" spans="2:53">
      <c r="B1242" s="36" t="str">
        <f>'[6]price list MAN'!B1242</f>
        <v>76W-9463</v>
      </c>
      <c r="C1242" s="10" t="str">
        <f>'[6]price list MAN'!C1242</f>
        <v>TGS-27-4806X4BBS-LX</v>
      </c>
      <c r="D1242" s="16" t="str">
        <f>IFERROR(VLOOKUP(C1242&amp;"",'[7]Retail Price List'!$A$3:$B$103,2,FALSE),"Special Order")</f>
        <v>KP000659</v>
      </c>
      <c r="E1242" s="494" t="str">
        <f>'[6]price list MAN'!E1242</f>
        <v>SOLD</v>
      </c>
      <c r="F1242" s="11">
        <f>'[6]price list MAN'!F1242</f>
        <v>90</v>
      </c>
      <c r="G1242" s="32">
        <f>'[6]price list MAN'!G1242</f>
        <v>14.7</v>
      </c>
      <c r="H1242" s="26">
        <f>'[6]price list MAN'!H1242</f>
        <v>42937</v>
      </c>
      <c r="I1242" s="51" t="str">
        <f t="shared" si="95"/>
        <v>201707Q3</v>
      </c>
      <c r="J1242" s="177">
        <f>'[6]price list MAN'!J1242</f>
        <v>1820000</v>
      </c>
      <c r="K1242" s="177">
        <f>'[6]price list MAN'!P1242</f>
        <v>1396500</v>
      </c>
      <c r="L1242" s="177">
        <f>'[6]price list MAN'!R1242</f>
        <v>1330000</v>
      </c>
      <c r="M1242" s="174">
        <f>'[6]price list MAN'!S1242</f>
        <v>1875000</v>
      </c>
      <c r="N1242" s="174">
        <f>'[6]price list MAN'!Y1242</f>
        <v>1454250</v>
      </c>
      <c r="O1242" s="174">
        <f>'[6]price list MAN'!AA1242</f>
        <v>1385000</v>
      </c>
      <c r="P1242" s="68">
        <f t="shared" si="96"/>
        <v>0.26133333333333331</v>
      </c>
      <c r="Q1242" s="62" t="e">
        <f>O1242-#REF!</f>
        <v>#REF!</v>
      </c>
      <c r="W1242" s="210"/>
      <c r="X1242" s="210"/>
      <c r="Y1242" s="210"/>
      <c r="Z1242" s="210"/>
      <c r="AA1242" s="210"/>
      <c r="AB1242" s="210"/>
      <c r="AC1242" s="210"/>
      <c r="AT1242" s="425" t="str">
        <f t="shared" si="97"/>
        <v>KP000659201707Q314,7</v>
      </c>
      <c r="AU1242" s="64" t="str">
        <f t="shared" si="98"/>
        <v>07-2017</v>
      </c>
      <c r="BA1242" s="428" t="str">
        <f t="shared" si="99"/>
        <v>31-120 Days</v>
      </c>
    </row>
    <row r="1243" spans="2:53">
      <c r="B1243" s="36" t="str">
        <f>'[6]price list MAN'!B1243</f>
        <v>76W-9464</v>
      </c>
      <c r="C1243" s="10" t="str">
        <f>'[6]price list MAN'!C1243</f>
        <v>TGS-27-4806X4BBS-LX</v>
      </c>
      <c r="D1243" s="16" t="str">
        <f>IFERROR(VLOOKUP(C1243&amp;"",'[7]Retail Price List'!$A$3:$B$103,2,FALSE),"Special Order")</f>
        <v>KP000659</v>
      </c>
      <c r="E1243" s="494" t="str">
        <f>'[6]price list MAN'!E1243</f>
        <v>SOLD</v>
      </c>
      <c r="F1243" s="11">
        <f>'[6]price list MAN'!F1243</f>
        <v>90</v>
      </c>
      <c r="G1243" s="32">
        <f>'[6]price list MAN'!G1243</f>
        <v>14.7</v>
      </c>
      <c r="H1243" s="26">
        <f>'[6]price list MAN'!H1243</f>
        <v>42937</v>
      </c>
      <c r="I1243" s="51" t="str">
        <f t="shared" si="95"/>
        <v>201707Q3</v>
      </c>
      <c r="J1243" s="177">
        <f>'[6]price list MAN'!J1243</f>
        <v>1820000</v>
      </c>
      <c r="K1243" s="177">
        <f>'[6]price list MAN'!P1243</f>
        <v>1396500</v>
      </c>
      <c r="L1243" s="177">
        <f>'[6]price list MAN'!R1243</f>
        <v>1330000</v>
      </c>
      <c r="M1243" s="174">
        <f>'[6]price list MAN'!S1243</f>
        <v>1875000</v>
      </c>
      <c r="N1243" s="174">
        <f>'[6]price list MAN'!Y1243</f>
        <v>1454250</v>
      </c>
      <c r="O1243" s="174">
        <f>'[6]price list MAN'!AA1243</f>
        <v>1385000</v>
      </c>
      <c r="P1243" s="68">
        <f t="shared" si="96"/>
        <v>0.26133333333333331</v>
      </c>
      <c r="Q1243" s="62" t="e">
        <f>O1243-#REF!</f>
        <v>#REF!</v>
      </c>
      <c r="W1243" s="210"/>
      <c r="X1243" s="210"/>
      <c r="Y1243" s="210"/>
      <c r="Z1243" s="210"/>
      <c r="AA1243" s="210"/>
      <c r="AB1243" s="210"/>
      <c r="AC1243" s="210"/>
      <c r="AT1243" s="425" t="str">
        <f t="shared" si="97"/>
        <v>KP000659201707Q314,7</v>
      </c>
      <c r="AU1243" s="64" t="str">
        <f t="shared" si="98"/>
        <v>07-2017</v>
      </c>
      <c r="BA1243" s="428" t="str">
        <f t="shared" si="99"/>
        <v>31-120 Days</v>
      </c>
    </row>
    <row r="1244" spans="2:53">
      <c r="B1244" s="36" t="str">
        <f>'[6]price list MAN'!B1244</f>
        <v>76W-9466</v>
      </c>
      <c r="C1244" s="10" t="str">
        <f>'[6]price list MAN'!C1244</f>
        <v>TGS-27-4806X4BBS-LX</v>
      </c>
      <c r="D1244" s="16" t="str">
        <f>IFERROR(VLOOKUP(C1244&amp;"",'[7]Retail Price List'!$A$3:$B$103,2,FALSE),"Special Order")</f>
        <v>KP000659</v>
      </c>
      <c r="E1244" s="494" t="str">
        <f>'[6]price list MAN'!E1244</f>
        <v>SOLD</v>
      </c>
      <c r="F1244" s="11">
        <f>'[6]price list MAN'!F1244</f>
        <v>92</v>
      </c>
      <c r="G1244" s="32">
        <f>'[6]price list MAN'!G1244</f>
        <v>14.7</v>
      </c>
      <c r="H1244" s="26">
        <f>'[6]price list MAN'!H1244</f>
        <v>42937</v>
      </c>
      <c r="I1244" s="51" t="str">
        <f t="shared" si="95"/>
        <v>201707Q3</v>
      </c>
      <c r="J1244" s="177">
        <f>'[6]price list MAN'!J1244</f>
        <v>1820000</v>
      </c>
      <c r="K1244" s="177">
        <f>'[6]price list MAN'!P1244</f>
        <v>1396500</v>
      </c>
      <c r="L1244" s="177">
        <f>'[6]price list MAN'!R1244</f>
        <v>1330000</v>
      </c>
      <c r="M1244" s="174">
        <f>'[6]price list MAN'!S1244</f>
        <v>1875000</v>
      </c>
      <c r="N1244" s="174">
        <f>'[6]price list MAN'!Y1244</f>
        <v>1454250</v>
      </c>
      <c r="O1244" s="174">
        <f>'[6]price list MAN'!AA1244</f>
        <v>1385000</v>
      </c>
      <c r="P1244" s="68">
        <f t="shared" si="96"/>
        <v>0.26133333333333331</v>
      </c>
      <c r="Q1244" s="62" t="e">
        <f>O1244-#REF!</f>
        <v>#REF!</v>
      </c>
      <c r="W1244" s="210"/>
      <c r="X1244" s="210"/>
      <c r="Y1244" s="210"/>
      <c r="Z1244" s="210"/>
      <c r="AA1244" s="210"/>
      <c r="AB1244" s="210"/>
      <c r="AC1244" s="210"/>
      <c r="AT1244" s="425" t="str">
        <f t="shared" si="97"/>
        <v>KP000659201707Q314,7</v>
      </c>
      <c r="AU1244" s="64" t="str">
        <f t="shared" si="98"/>
        <v>07-2017</v>
      </c>
      <c r="BA1244" s="428" t="str">
        <f t="shared" si="99"/>
        <v>31-120 Days</v>
      </c>
    </row>
    <row r="1245" spans="2:53">
      <c r="B1245" s="36" t="str">
        <f>'[6]price list MAN'!B1245</f>
        <v>76W-9479</v>
      </c>
      <c r="C1245" s="10" t="str">
        <f>'[6]price list MAN'!C1245</f>
        <v>TGS-27-4806X4BBS-LX</v>
      </c>
      <c r="D1245" s="16" t="str">
        <f>IFERROR(VLOOKUP(C1245&amp;"",'[7]Retail Price List'!$A$3:$B$103,2,FALSE),"Special Order")</f>
        <v>KP000659</v>
      </c>
      <c r="E1245" s="494" t="str">
        <f>'[6]price list MAN'!E1245</f>
        <v>SOLD</v>
      </c>
      <c r="F1245" s="11">
        <f>'[6]price list MAN'!F1245</f>
        <v>85</v>
      </c>
      <c r="G1245" s="32">
        <f>'[6]price list MAN'!G1245</f>
        <v>14.7</v>
      </c>
      <c r="H1245" s="26">
        <f>'[6]price list MAN'!H1245</f>
        <v>42937</v>
      </c>
      <c r="I1245" s="51" t="str">
        <f t="shared" si="95"/>
        <v>201707Q3</v>
      </c>
      <c r="J1245" s="177">
        <f>'[6]price list MAN'!J1245</f>
        <v>1820000</v>
      </c>
      <c r="K1245" s="177">
        <f>'[6]price list MAN'!P1245</f>
        <v>1370250</v>
      </c>
      <c r="L1245" s="177">
        <f>'[6]price list MAN'!R1245</f>
        <v>1305000</v>
      </c>
      <c r="M1245" s="174">
        <f>'[6]price list MAN'!S1245</f>
        <v>1875000</v>
      </c>
      <c r="N1245" s="174">
        <f>'[6]price list MAN'!Y1245</f>
        <v>1428000</v>
      </c>
      <c r="O1245" s="174">
        <f>'[6]price list MAN'!AA1245</f>
        <v>1360000</v>
      </c>
      <c r="P1245" s="68">
        <f t="shared" si="96"/>
        <v>0.27466666666666667</v>
      </c>
      <c r="Q1245" s="62" t="e">
        <f>O1245-#REF!</f>
        <v>#REF!</v>
      </c>
      <c r="W1245" s="210"/>
      <c r="X1245" s="210"/>
      <c r="Y1245" s="210"/>
      <c r="Z1245" s="210"/>
      <c r="AA1245" s="210"/>
      <c r="AB1245" s="210"/>
      <c r="AC1245" s="210"/>
      <c r="AT1245" s="425" t="str">
        <f t="shared" si="97"/>
        <v>KP000659201707Q314,7</v>
      </c>
      <c r="AU1245" s="64" t="str">
        <f t="shared" si="98"/>
        <v>07-2017</v>
      </c>
      <c r="BA1245" s="428" t="str">
        <f t="shared" si="99"/>
        <v>31-120 Days</v>
      </c>
    </row>
    <row r="1246" spans="2:53">
      <c r="B1246" s="36" t="str">
        <f>'[6]price list MAN'!B1246</f>
        <v>76W-9480</v>
      </c>
      <c r="C1246" s="10" t="str">
        <f>'[6]price list MAN'!C1246</f>
        <v>TGS-27-4806X4BBS-LX</v>
      </c>
      <c r="D1246" s="16" t="str">
        <f>IFERROR(VLOOKUP(C1246&amp;"",'[7]Retail Price List'!$A$3:$B$103,2,FALSE),"Special Order")</f>
        <v>KP000659</v>
      </c>
      <c r="E1246" s="494" t="str">
        <f>'[6]price list MAN'!E1246</f>
        <v>SOLD</v>
      </c>
      <c r="F1246" s="11">
        <f>'[6]price list MAN'!F1246</f>
        <v>85</v>
      </c>
      <c r="G1246" s="32">
        <f>'[6]price list MAN'!G1246</f>
        <v>14.7</v>
      </c>
      <c r="H1246" s="26">
        <f>'[6]price list MAN'!H1246</f>
        <v>42937</v>
      </c>
      <c r="I1246" s="51" t="str">
        <f t="shared" si="95"/>
        <v>201707Q3</v>
      </c>
      <c r="J1246" s="177">
        <f>'[6]price list MAN'!J1246</f>
        <v>1820000</v>
      </c>
      <c r="K1246" s="177">
        <f>'[6]price list MAN'!P1246</f>
        <v>1370250</v>
      </c>
      <c r="L1246" s="177">
        <f>'[6]price list MAN'!R1246</f>
        <v>1305000</v>
      </c>
      <c r="M1246" s="174">
        <f>'[6]price list MAN'!S1246</f>
        <v>1875000</v>
      </c>
      <c r="N1246" s="174">
        <f>'[6]price list MAN'!Y1246</f>
        <v>1428000</v>
      </c>
      <c r="O1246" s="174">
        <f>'[6]price list MAN'!AA1246</f>
        <v>1360000</v>
      </c>
      <c r="P1246" s="68">
        <f t="shared" si="96"/>
        <v>0.27466666666666667</v>
      </c>
      <c r="Q1246" s="62" t="e">
        <f>O1246-#REF!</f>
        <v>#REF!</v>
      </c>
      <c r="W1246" s="210"/>
      <c r="X1246" s="210"/>
      <c r="Y1246" s="210"/>
      <c r="Z1246" s="210"/>
      <c r="AA1246" s="210"/>
      <c r="AB1246" s="210"/>
      <c r="AC1246" s="210"/>
      <c r="AT1246" s="425" t="str">
        <f t="shared" si="97"/>
        <v>KP000659201707Q314,7</v>
      </c>
      <c r="AU1246" s="64" t="str">
        <f t="shared" si="98"/>
        <v>07-2017</v>
      </c>
      <c r="BA1246" s="428" t="str">
        <f t="shared" si="99"/>
        <v>31-120 Days</v>
      </c>
    </row>
    <row r="1247" spans="2:53">
      <c r="B1247" s="36" t="str">
        <f>'[6]price list MAN'!B1247</f>
        <v>76W-9481</v>
      </c>
      <c r="C1247" s="10" t="str">
        <f>'[6]price list MAN'!C1247</f>
        <v>TGS-27-4806X4BBS-LX</v>
      </c>
      <c r="D1247" s="16" t="str">
        <f>IFERROR(VLOOKUP(C1247&amp;"",'[7]Retail Price List'!$A$3:$B$103,2,FALSE),"Special Order")</f>
        <v>KP000659</v>
      </c>
      <c r="E1247" s="494" t="str">
        <f>'[6]price list MAN'!E1247</f>
        <v>SOLD</v>
      </c>
      <c r="F1247" s="11">
        <f>'[6]price list MAN'!F1247</f>
        <v>85</v>
      </c>
      <c r="G1247" s="32">
        <f>'[6]price list MAN'!G1247</f>
        <v>14.7</v>
      </c>
      <c r="H1247" s="26">
        <f>'[6]price list MAN'!H1247</f>
        <v>42937</v>
      </c>
      <c r="I1247" s="51" t="str">
        <f t="shared" si="95"/>
        <v>201707Q3</v>
      </c>
      <c r="J1247" s="177">
        <f>'[6]price list MAN'!J1247</f>
        <v>1820000</v>
      </c>
      <c r="K1247" s="177">
        <f>'[6]price list MAN'!P1247</f>
        <v>1370250</v>
      </c>
      <c r="L1247" s="177">
        <f>'[6]price list MAN'!R1247</f>
        <v>1305000</v>
      </c>
      <c r="M1247" s="174">
        <f>'[6]price list MAN'!S1247</f>
        <v>1875000</v>
      </c>
      <c r="N1247" s="174">
        <f>'[6]price list MAN'!Y1247</f>
        <v>1428000</v>
      </c>
      <c r="O1247" s="174">
        <f>'[6]price list MAN'!AA1247</f>
        <v>1360000</v>
      </c>
      <c r="P1247" s="68">
        <f t="shared" si="96"/>
        <v>0.27466666666666667</v>
      </c>
      <c r="Q1247" s="62" t="e">
        <f>O1247-#REF!</f>
        <v>#REF!</v>
      </c>
      <c r="W1247" s="210"/>
      <c r="X1247" s="210"/>
      <c r="Y1247" s="210"/>
      <c r="Z1247" s="210"/>
      <c r="AA1247" s="210"/>
      <c r="AB1247" s="210"/>
      <c r="AC1247" s="210"/>
      <c r="AT1247" s="425" t="str">
        <f t="shared" si="97"/>
        <v>KP000659201707Q314,7</v>
      </c>
      <c r="AU1247" s="64" t="str">
        <f t="shared" si="98"/>
        <v>07-2017</v>
      </c>
      <c r="BA1247" s="428" t="str">
        <f t="shared" si="99"/>
        <v>31-120 Days</v>
      </c>
    </row>
    <row r="1248" spans="2:53">
      <c r="B1248" s="36" t="str">
        <f>'[6]price list MAN'!B1248</f>
        <v>76W-9483</v>
      </c>
      <c r="C1248" s="10" t="str">
        <f>'[6]price list MAN'!C1248</f>
        <v>TGS-27-4806X4BBS-LX</v>
      </c>
      <c r="D1248" s="16" t="str">
        <f>IFERROR(VLOOKUP(C1248&amp;"",'[7]Retail Price List'!$A$3:$B$103,2,FALSE),"Special Order")</f>
        <v>KP000659</v>
      </c>
      <c r="E1248" s="494" t="str">
        <f>'[6]price list MAN'!E1248</f>
        <v>SOLD</v>
      </c>
      <c r="F1248" s="11">
        <f>'[6]price list MAN'!F1248</f>
        <v>78</v>
      </c>
      <c r="G1248" s="32">
        <f>'[6]price list MAN'!G1248</f>
        <v>14.7</v>
      </c>
      <c r="H1248" s="26">
        <f>'[6]price list MAN'!H1248</f>
        <v>42937</v>
      </c>
      <c r="I1248" s="51" t="str">
        <f t="shared" si="95"/>
        <v>201707Q3</v>
      </c>
      <c r="J1248" s="177">
        <f>'[6]price list MAN'!J1248</f>
        <v>1820000</v>
      </c>
      <c r="K1248" s="177">
        <f>'[6]price list MAN'!P1248</f>
        <v>1370250</v>
      </c>
      <c r="L1248" s="177">
        <f>'[6]price list MAN'!R1248</f>
        <v>1305000</v>
      </c>
      <c r="M1248" s="174">
        <f>'[6]price list MAN'!S1248</f>
        <v>1875000</v>
      </c>
      <c r="N1248" s="174">
        <f>'[6]price list MAN'!Y1248</f>
        <v>1428000</v>
      </c>
      <c r="O1248" s="174">
        <f>'[6]price list MAN'!AA1248</f>
        <v>1360000</v>
      </c>
      <c r="P1248" s="68">
        <f t="shared" si="96"/>
        <v>0.27466666666666667</v>
      </c>
      <c r="Q1248" s="62" t="e">
        <f>O1248-#REF!</f>
        <v>#REF!</v>
      </c>
      <c r="W1248" s="210"/>
      <c r="X1248" s="210"/>
      <c r="Y1248" s="210"/>
      <c r="Z1248" s="210"/>
      <c r="AA1248" s="210"/>
      <c r="AB1248" s="210"/>
      <c r="AC1248" s="210"/>
      <c r="AT1248" s="425" t="str">
        <f t="shared" si="97"/>
        <v>KP000659201707Q314,7</v>
      </c>
      <c r="AU1248" s="64" t="str">
        <f t="shared" si="98"/>
        <v>07-2017</v>
      </c>
      <c r="BA1248" s="428" t="str">
        <f t="shared" si="99"/>
        <v>31-120 Days</v>
      </c>
    </row>
    <row r="1249" spans="2:53">
      <c r="B1249" s="36" t="str">
        <f>'[6]price list MAN'!B1249</f>
        <v>76W-9484</v>
      </c>
      <c r="C1249" s="10" t="str">
        <f>'[6]price list MAN'!C1249</f>
        <v>TGS-27-4806X4BBS-LX</v>
      </c>
      <c r="D1249" s="16" t="str">
        <f>IFERROR(VLOOKUP(C1249&amp;"",'[7]Retail Price List'!$A$3:$B$103,2,FALSE),"Special Order")</f>
        <v>KP000659</v>
      </c>
      <c r="E1249" s="494" t="str">
        <f>'[6]price list MAN'!E1249</f>
        <v>SOLD</v>
      </c>
      <c r="F1249" s="11">
        <f>'[6]price list MAN'!F1249</f>
        <v>85</v>
      </c>
      <c r="G1249" s="32">
        <f>'[6]price list MAN'!G1249</f>
        <v>14.7</v>
      </c>
      <c r="H1249" s="26">
        <f>'[6]price list MAN'!H1249</f>
        <v>42937</v>
      </c>
      <c r="I1249" s="51" t="str">
        <f t="shared" si="95"/>
        <v>201707Q3</v>
      </c>
      <c r="J1249" s="177">
        <f>'[6]price list MAN'!J1249</f>
        <v>1820000</v>
      </c>
      <c r="K1249" s="177">
        <f>'[6]price list MAN'!P1249</f>
        <v>1396500</v>
      </c>
      <c r="L1249" s="177">
        <f>'[6]price list MAN'!R1249</f>
        <v>1330000</v>
      </c>
      <c r="M1249" s="174">
        <f>'[6]price list MAN'!S1249</f>
        <v>1875000</v>
      </c>
      <c r="N1249" s="174">
        <f>'[6]price list MAN'!Y1249</f>
        <v>1454250</v>
      </c>
      <c r="O1249" s="174">
        <f>'[6]price list MAN'!AA1249</f>
        <v>1385000</v>
      </c>
      <c r="P1249" s="68">
        <f t="shared" si="96"/>
        <v>0.26133333333333331</v>
      </c>
      <c r="Q1249" s="62" t="e">
        <f>O1249-#REF!</f>
        <v>#REF!</v>
      </c>
      <c r="W1249" s="210"/>
      <c r="X1249" s="210"/>
      <c r="Y1249" s="210"/>
      <c r="Z1249" s="210"/>
      <c r="AA1249" s="210"/>
      <c r="AB1249" s="210"/>
      <c r="AC1249" s="210"/>
      <c r="AT1249" s="425" t="str">
        <f t="shared" si="97"/>
        <v>KP000659201707Q314,7</v>
      </c>
      <c r="AU1249" s="64" t="str">
        <f t="shared" si="98"/>
        <v>07-2017</v>
      </c>
      <c r="BA1249" s="428" t="str">
        <f t="shared" si="99"/>
        <v>31-120 Days</v>
      </c>
    </row>
    <row r="1250" spans="2:53">
      <c r="B1250" s="36" t="str">
        <f>'[6]price list MAN'!B1250</f>
        <v>76W-9485</v>
      </c>
      <c r="C1250" s="10" t="str">
        <f>'[6]price list MAN'!C1250</f>
        <v>TGS-27-4806X4BBS-LX</v>
      </c>
      <c r="D1250" s="16" t="str">
        <f>IFERROR(VLOOKUP(C1250&amp;"",'[7]Retail Price List'!$A$3:$B$103,2,FALSE),"Special Order")</f>
        <v>KP000659</v>
      </c>
      <c r="E1250" s="494" t="str">
        <f>'[6]price list MAN'!E1250</f>
        <v>SOLD</v>
      </c>
      <c r="F1250" s="11">
        <f>'[6]price list MAN'!F1250</f>
        <v>85</v>
      </c>
      <c r="G1250" s="32">
        <f>'[6]price list MAN'!G1250</f>
        <v>14.7</v>
      </c>
      <c r="H1250" s="26">
        <f>'[6]price list MAN'!H1250</f>
        <v>42937</v>
      </c>
      <c r="I1250" s="51" t="str">
        <f t="shared" si="95"/>
        <v>201707Q3</v>
      </c>
      <c r="J1250" s="177">
        <f>'[6]price list MAN'!J1250</f>
        <v>1820000</v>
      </c>
      <c r="K1250" s="177">
        <f>'[6]price list MAN'!P1250</f>
        <v>1396500</v>
      </c>
      <c r="L1250" s="177">
        <f>'[6]price list MAN'!R1250</f>
        <v>1330000</v>
      </c>
      <c r="M1250" s="174">
        <f>'[6]price list MAN'!S1250</f>
        <v>1875000</v>
      </c>
      <c r="N1250" s="174">
        <f>'[6]price list MAN'!Y1250</f>
        <v>1454250</v>
      </c>
      <c r="O1250" s="174">
        <f>'[6]price list MAN'!AA1250</f>
        <v>1385000</v>
      </c>
      <c r="P1250" s="68">
        <f t="shared" si="96"/>
        <v>0.26133333333333331</v>
      </c>
      <c r="Q1250" s="62" t="e">
        <f>O1250-#REF!</f>
        <v>#REF!</v>
      </c>
      <c r="W1250" s="210"/>
      <c r="X1250" s="210"/>
      <c r="Y1250" s="210"/>
      <c r="Z1250" s="210"/>
      <c r="AA1250" s="210"/>
      <c r="AB1250" s="210"/>
      <c r="AC1250" s="210"/>
      <c r="AT1250" s="425" t="str">
        <f t="shared" si="97"/>
        <v>KP000659201707Q314,7</v>
      </c>
      <c r="AU1250" s="64" t="str">
        <f t="shared" si="98"/>
        <v>07-2017</v>
      </c>
      <c r="BA1250" s="428" t="str">
        <f t="shared" si="99"/>
        <v>31-120 Days</v>
      </c>
    </row>
    <row r="1251" spans="2:53">
      <c r="B1251" s="36" t="str">
        <f>'[6]price list MAN'!B1251</f>
        <v>76W-9486</v>
      </c>
      <c r="C1251" s="10" t="str">
        <f>'[6]price list MAN'!C1251</f>
        <v>TGS-27-4806X4BBS-LX</v>
      </c>
      <c r="D1251" s="16" t="str">
        <f>IFERROR(VLOOKUP(C1251&amp;"",'[7]Retail Price List'!$A$3:$B$103,2,FALSE),"Special Order")</f>
        <v>KP000659</v>
      </c>
      <c r="E1251" s="494" t="str">
        <f>'[6]price list MAN'!E1251</f>
        <v>SOLD</v>
      </c>
      <c r="F1251" s="11">
        <f>'[6]price list MAN'!F1251</f>
        <v>82</v>
      </c>
      <c r="G1251" s="32">
        <f>'[6]price list MAN'!G1251</f>
        <v>14.7</v>
      </c>
      <c r="H1251" s="26">
        <f>'[6]price list MAN'!H1251</f>
        <v>42937</v>
      </c>
      <c r="I1251" s="51" t="str">
        <f t="shared" si="95"/>
        <v>201707Q3</v>
      </c>
      <c r="J1251" s="177">
        <f>'[6]price list MAN'!J1251</f>
        <v>1820000</v>
      </c>
      <c r="K1251" s="177">
        <f>'[6]price list MAN'!P1251</f>
        <v>1370250</v>
      </c>
      <c r="L1251" s="177">
        <f>'[6]price list MAN'!R1251</f>
        <v>1305000</v>
      </c>
      <c r="M1251" s="174">
        <f>'[6]price list MAN'!S1251</f>
        <v>1875000</v>
      </c>
      <c r="N1251" s="174">
        <f>'[6]price list MAN'!Y1251</f>
        <v>1428000</v>
      </c>
      <c r="O1251" s="174">
        <f>'[6]price list MAN'!AA1251</f>
        <v>1360000</v>
      </c>
      <c r="P1251" s="68">
        <f t="shared" si="96"/>
        <v>0.27466666666666667</v>
      </c>
      <c r="Q1251" s="62" t="e">
        <f>O1251-#REF!</f>
        <v>#REF!</v>
      </c>
      <c r="W1251" s="210"/>
      <c r="X1251" s="210"/>
      <c r="Y1251" s="210"/>
      <c r="Z1251" s="210"/>
      <c r="AA1251" s="210"/>
      <c r="AB1251" s="210"/>
      <c r="AC1251" s="210"/>
      <c r="AT1251" s="425" t="str">
        <f t="shared" si="97"/>
        <v>KP000659201707Q314,7</v>
      </c>
      <c r="AU1251" s="64" t="str">
        <f t="shared" si="98"/>
        <v>07-2017</v>
      </c>
      <c r="BA1251" s="428" t="str">
        <f t="shared" si="99"/>
        <v>31-120 Days</v>
      </c>
    </row>
    <row r="1252" spans="2:53">
      <c r="B1252" s="36" t="str">
        <f>'[6]price list MAN'!B1252</f>
        <v>76W-9656</v>
      </c>
      <c r="C1252" s="10" t="str">
        <f>'[6]price list MAN'!C1252</f>
        <v>TGS-27-4806X4BBS-LX</v>
      </c>
      <c r="D1252" s="16" t="str">
        <f>IFERROR(VLOOKUP(C1252&amp;"",'[7]Retail Price List'!$A$3:$B$103,2,FALSE),"Special Order")</f>
        <v>KP000659</v>
      </c>
      <c r="E1252" s="494" t="str">
        <f>'[6]price list MAN'!E1252</f>
        <v>CKD</v>
      </c>
      <c r="F1252" s="11" t="str">
        <f>'[6]price list MAN'!F1252</f>
        <v>2018-04-30</v>
      </c>
      <c r="G1252" s="32">
        <f>'[6]price list MAN'!G1252</f>
        <v>14.7</v>
      </c>
      <c r="H1252" s="26">
        <f>'[6]price list MAN'!H1252</f>
        <v>42947</v>
      </c>
      <c r="I1252" s="51" t="str">
        <f t="shared" si="95"/>
        <v>201707Q3</v>
      </c>
      <c r="J1252" s="177">
        <f>'[6]price list MAN'!J1252</f>
        <v>1820000</v>
      </c>
      <c r="K1252" s="177">
        <f>'[6]price list MAN'!P1252</f>
        <v>1370250</v>
      </c>
      <c r="L1252" s="177">
        <f>'[6]price list MAN'!R1252</f>
        <v>1305000</v>
      </c>
      <c r="M1252" s="174">
        <f>'[6]price list MAN'!S1252</f>
        <v>1875000</v>
      </c>
      <c r="N1252" s="174">
        <f>'[6]price list MAN'!Y1252</f>
        <v>1428000</v>
      </c>
      <c r="O1252" s="174">
        <f>'[6]price list MAN'!AA1252</f>
        <v>1360000</v>
      </c>
      <c r="P1252" s="68">
        <f t="shared" si="96"/>
        <v>0.27466666666666667</v>
      </c>
      <c r="Q1252" s="62" t="e">
        <f>O1252-#REF!</f>
        <v>#REF!</v>
      </c>
      <c r="W1252" s="210"/>
      <c r="X1252" s="210"/>
      <c r="Y1252" s="210"/>
      <c r="Z1252" s="210"/>
      <c r="AA1252" s="210"/>
      <c r="AB1252" s="210"/>
      <c r="AC1252" s="210"/>
      <c r="AT1252" s="425" t="str">
        <f t="shared" si="97"/>
        <v>KP000659201707Q314,7</v>
      </c>
      <c r="AU1252" s="64" t="str">
        <f t="shared" si="98"/>
        <v>07-2017</v>
      </c>
      <c r="BA1252" s="428" t="str">
        <f t="shared" si="99"/>
        <v>WIP - 30 Days</v>
      </c>
    </row>
    <row r="1253" spans="2:53">
      <c r="B1253" s="36" t="str">
        <f>'[6]price list MAN'!B1253</f>
        <v>76W-9657</v>
      </c>
      <c r="C1253" s="10" t="str">
        <f>'[6]price list MAN'!C1253</f>
        <v>TGS-27-4806X4BBS-LX</v>
      </c>
      <c r="D1253" s="16" t="str">
        <f>IFERROR(VLOOKUP(C1253&amp;"",'[7]Retail Price List'!$A$3:$B$103,2,FALSE),"Special Order")</f>
        <v>KP000659</v>
      </c>
      <c r="E1253" s="494" t="str">
        <f>'[6]price list MAN'!E1253</f>
        <v>CKD</v>
      </c>
      <c r="F1253" s="11" t="str">
        <f>'[6]price list MAN'!F1253</f>
        <v>2018-04-30</v>
      </c>
      <c r="G1253" s="32">
        <f>'[6]price list MAN'!G1253</f>
        <v>14.7</v>
      </c>
      <c r="H1253" s="26">
        <f>'[6]price list MAN'!H1253</f>
        <v>42947</v>
      </c>
      <c r="I1253" s="51" t="str">
        <f t="shared" si="95"/>
        <v>201707Q3</v>
      </c>
      <c r="J1253" s="177">
        <f>'[6]price list MAN'!J1253</f>
        <v>1820000</v>
      </c>
      <c r="K1253" s="177">
        <f>'[6]price list MAN'!P1253</f>
        <v>1370250</v>
      </c>
      <c r="L1253" s="177">
        <f>'[6]price list MAN'!R1253</f>
        <v>1305000</v>
      </c>
      <c r="M1253" s="174">
        <f>'[6]price list MAN'!S1253</f>
        <v>1875000</v>
      </c>
      <c r="N1253" s="174">
        <f>'[6]price list MAN'!Y1253</f>
        <v>1428000</v>
      </c>
      <c r="O1253" s="174">
        <f>'[6]price list MAN'!AA1253</f>
        <v>1360000</v>
      </c>
      <c r="P1253" s="68">
        <f t="shared" si="96"/>
        <v>0.27466666666666667</v>
      </c>
      <c r="Q1253" s="62" t="e">
        <f>O1253-#REF!</f>
        <v>#REF!</v>
      </c>
      <c r="W1253" s="210"/>
      <c r="X1253" s="210"/>
      <c r="Y1253" s="210"/>
      <c r="Z1253" s="210"/>
      <c r="AA1253" s="210"/>
      <c r="AB1253" s="210"/>
      <c r="AC1253" s="210"/>
      <c r="AT1253" s="425" t="str">
        <f t="shared" si="97"/>
        <v>KP000659201707Q314,7</v>
      </c>
      <c r="AU1253" s="64" t="str">
        <f t="shared" si="98"/>
        <v>07-2017</v>
      </c>
      <c r="BA1253" s="428" t="str">
        <f t="shared" si="99"/>
        <v>WIP - 30 Days</v>
      </c>
    </row>
    <row r="1254" spans="2:53">
      <c r="B1254" s="36" t="str">
        <f>'[6]price list MAN'!B1254</f>
        <v>76W-9658</v>
      </c>
      <c r="C1254" s="10" t="str">
        <f>'[6]price list MAN'!C1254</f>
        <v>TGS-27-4806X4BBS-LX</v>
      </c>
      <c r="D1254" s="16" t="str">
        <f>IFERROR(VLOOKUP(C1254&amp;"",'[7]Retail Price List'!$A$3:$B$103,2,FALSE),"Special Order")</f>
        <v>KP000659</v>
      </c>
      <c r="E1254" s="494" t="str">
        <f>'[6]price list MAN'!E1254</f>
        <v>CKD</v>
      </c>
      <c r="F1254" s="11" t="str">
        <f>'[6]price list MAN'!F1254</f>
        <v>2018-04-30</v>
      </c>
      <c r="G1254" s="32">
        <f>'[6]price list MAN'!G1254</f>
        <v>14.7</v>
      </c>
      <c r="H1254" s="26">
        <f>'[6]price list MAN'!H1254</f>
        <v>42947</v>
      </c>
      <c r="I1254" s="51" t="str">
        <f t="shared" si="95"/>
        <v>201707Q3</v>
      </c>
      <c r="J1254" s="177">
        <f>'[6]price list MAN'!J1254</f>
        <v>1820000</v>
      </c>
      <c r="K1254" s="177">
        <f>'[6]price list MAN'!P1254</f>
        <v>1370250</v>
      </c>
      <c r="L1254" s="177">
        <f>'[6]price list MAN'!R1254</f>
        <v>1305000</v>
      </c>
      <c r="M1254" s="174">
        <f>'[6]price list MAN'!S1254</f>
        <v>1875000</v>
      </c>
      <c r="N1254" s="174">
        <f>'[6]price list MAN'!Y1254</f>
        <v>1428000</v>
      </c>
      <c r="O1254" s="174">
        <f>'[6]price list MAN'!AA1254</f>
        <v>1360000</v>
      </c>
      <c r="P1254" s="68">
        <f t="shared" si="96"/>
        <v>0.27466666666666667</v>
      </c>
      <c r="Q1254" s="62" t="e">
        <f>O1254-#REF!</f>
        <v>#REF!</v>
      </c>
      <c r="W1254" s="209"/>
      <c r="X1254" s="209"/>
      <c r="Y1254" s="209"/>
      <c r="Z1254" s="209"/>
      <c r="AA1254" s="209"/>
      <c r="AB1254" s="209"/>
      <c r="AC1254" s="209"/>
      <c r="AT1254" s="425" t="str">
        <f t="shared" si="97"/>
        <v>KP000659201707Q314,7</v>
      </c>
      <c r="AU1254" s="64" t="str">
        <f t="shared" si="98"/>
        <v>07-2017</v>
      </c>
      <c r="BA1254" s="428" t="str">
        <f t="shared" si="99"/>
        <v>WIP - 30 Days</v>
      </c>
    </row>
    <row r="1255" spans="2:53">
      <c r="B1255" s="36" t="str">
        <f>'[6]price list MAN'!B1255</f>
        <v>76W-9659</v>
      </c>
      <c r="C1255" s="10" t="str">
        <f>'[6]price list MAN'!C1255</f>
        <v>TGS-27-4806X4BBS-LX</v>
      </c>
      <c r="D1255" s="16" t="str">
        <f>IFERROR(VLOOKUP(C1255&amp;"",'[7]Retail Price List'!$A$3:$B$103,2,FALSE),"Special Order")</f>
        <v>KP000659</v>
      </c>
      <c r="E1255" s="494" t="str">
        <f>'[6]price list MAN'!E1255</f>
        <v>CKD</v>
      </c>
      <c r="F1255" s="11" t="str">
        <f>'[6]price list MAN'!F1255</f>
        <v>2018-04-30</v>
      </c>
      <c r="G1255" s="32">
        <f>'[6]price list MAN'!G1255</f>
        <v>14.7</v>
      </c>
      <c r="H1255" s="26">
        <f>'[6]price list MAN'!H1255</f>
        <v>42947</v>
      </c>
      <c r="I1255" s="51" t="str">
        <f t="shared" si="95"/>
        <v>201707Q3</v>
      </c>
      <c r="J1255" s="177">
        <f>'[6]price list MAN'!J1255</f>
        <v>1820000</v>
      </c>
      <c r="K1255" s="177">
        <f>'[6]price list MAN'!P1255</f>
        <v>1370250</v>
      </c>
      <c r="L1255" s="177">
        <f>'[6]price list MAN'!R1255</f>
        <v>1305000</v>
      </c>
      <c r="M1255" s="174">
        <f>'[6]price list MAN'!S1255</f>
        <v>1875000</v>
      </c>
      <c r="N1255" s="174">
        <f>'[6]price list MAN'!Y1255</f>
        <v>1428000</v>
      </c>
      <c r="O1255" s="174">
        <f>'[6]price list MAN'!AA1255</f>
        <v>1360000</v>
      </c>
      <c r="P1255" s="68">
        <f t="shared" si="96"/>
        <v>0.27466666666666667</v>
      </c>
      <c r="Q1255" s="62" t="e">
        <f>O1255-#REF!</f>
        <v>#REF!</v>
      </c>
      <c r="W1255" s="209"/>
      <c r="X1255" s="209"/>
      <c r="Y1255" s="209"/>
      <c r="Z1255" s="209"/>
      <c r="AA1255" s="209"/>
      <c r="AB1255" s="209"/>
      <c r="AC1255" s="209"/>
      <c r="AT1255" s="425" t="str">
        <f t="shared" si="97"/>
        <v>KP000659201707Q314,7</v>
      </c>
      <c r="AU1255" s="64" t="str">
        <f t="shared" si="98"/>
        <v>07-2017</v>
      </c>
      <c r="BA1255" s="428" t="str">
        <f t="shared" si="99"/>
        <v>WIP - 30 Days</v>
      </c>
    </row>
    <row r="1256" spans="2:53">
      <c r="B1256" s="36" t="str">
        <f>'[6]price list MAN'!B1256</f>
        <v>76W-9684</v>
      </c>
      <c r="C1256" s="10" t="str">
        <f>'[6]price list MAN'!C1256</f>
        <v>TGS-27-4806X4BBS-LX</v>
      </c>
      <c r="D1256" s="16" t="str">
        <f>IFERROR(VLOOKUP(C1256&amp;"",'[7]Retail Price List'!$A$3:$B$103,2,FALSE),"Special Order")</f>
        <v>KP000659</v>
      </c>
      <c r="E1256" s="494" t="str">
        <f>'[6]price list MAN'!E1256</f>
        <v>CKD</v>
      </c>
      <c r="F1256" s="11" t="str">
        <f>'[6]price list MAN'!F1256</f>
        <v>2018-04-30</v>
      </c>
      <c r="G1256" s="32">
        <f>'[6]price list MAN'!G1256</f>
        <v>14.7</v>
      </c>
      <c r="H1256" s="26">
        <f>'[6]price list MAN'!H1256</f>
        <v>42947</v>
      </c>
      <c r="I1256" s="51" t="str">
        <f t="shared" si="95"/>
        <v>201707Q3</v>
      </c>
      <c r="J1256" s="177">
        <f>'[6]price list MAN'!J1256</f>
        <v>1820000</v>
      </c>
      <c r="K1256" s="177">
        <f>'[6]price list MAN'!P1256</f>
        <v>1370250</v>
      </c>
      <c r="L1256" s="177">
        <f>'[6]price list MAN'!R1256</f>
        <v>1305000</v>
      </c>
      <c r="M1256" s="174">
        <f>'[6]price list MAN'!S1256</f>
        <v>1875000</v>
      </c>
      <c r="N1256" s="174">
        <f>'[6]price list MAN'!Y1256</f>
        <v>1428000</v>
      </c>
      <c r="O1256" s="174">
        <f>'[6]price list MAN'!AA1256</f>
        <v>1360000</v>
      </c>
      <c r="P1256" s="68">
        <f t="shared" si="96"/>
        <v>0.27466666666666667</v>
      </c>
      <c r="Q1256" s="62" t="e">
        <f>O1256-#REF!</f>
        <v>#REF!</v>
      </c>
      <c r="W1256" s="209"/>
      <c r="X1256" s="209"/>
      <c r="Y1256" s="209"/>
      <c r="Z1256" s="209"/>
      <c r="AA1256" s="209"/>
      <c r="AB1256" s="209"/>
      <c r="AC1256" s="209"/>
      <c r="AT1256" s="425" t="str">
        <f t="shared" si="97"/>
        <v>KP000659201707Q314,7</v>
      </c>
      <c r="AU1256" s="64" t="str">
        <f t="shared" si="98"/>
        <v>07-2017</v>
      </c>
      <c r="BA1256" s="428" t="str">
        <f t="shared" si="99"/>
        <v>WIP - 30 Days</v>
      </c>
    </row>
    <row r="1257" spans="2:53">
      <c r="B1257" s="36" t="str">
        <f>'[6]price list MAN'!B1257</f>
        <v>76W-9685</v>
      </c>
      <c r="C1257" s="10" t="str">
        <f>'[6]price list MAN'!C1257</f>
        <v>TGS-27-4806X4BBS-LX</v>
      </c>
      <c r="D1257" s="16" t="str">
        <f>IFERROR(VLOOKUP(C1257&amp;"",'[7]Retail Price List'!$A$3:$B$103,2,FALSE),"Special Order")</f>
        <v>KP000659</v>
      </c>
      <c r="E1257" s="494" t="str">
        <f>'[6]price list MAN'!E1257</f>
        <v>CKD</v>
      </c>
      <c r="F1257" s="11" t="str">
        <f>'[6]price list MAN'!F1257</f>
        <v>2018-04-30</v>
      </c>
      <c r="G1257" s="32">
        <f>'[6]price list MAN'!G1257</f>
        <v>14.7</v>
      </c>
      <c r="H1257" s="26">
        <f>'[6]price list MAN'!H1257</f>
        <v>42947</v>
      </c>
      <c r="I1257" s="51" t="str">
        <f t="shared" si="95"/>
        <v>201707Q3</v>
      </c>
      <c r="J1257" s="177">
        <f>'[6]price list MAN'!J1257</f>
        <v>1820000</v>
      </c>
      <c r="K1257" s="177">
        <f>'[6]price list MAN'!P1257</f>
        <v>1370250</v>
      </c>
      <c r="L1257" s="177">
        <f>'[6]price list MAN'!R1257</f>
        <v>1305000</v>
      </c>
      <c r="M1257" s="174">
        <f>'[6]price list MAN'!S1257</f>
        <v>1875000</v>
      </c>
      <c r="N1257" s="174">
        <f>'[6]price list MAN'!Y1257</f>
        <v>1428000</v>
      </c>
      <c r="O1257" s="174">
        <f>'[6]price list MAN'!AA1257</f>
        <v>1360000</v>
      </c>
      <c r="P1257" s="68">
        <f t="shared" si="96"/>
        <v>0.27466666666666667</v>
      </c>
      <c r="Q1257" s="62" t="e">
        <f>O1257-#REF!</f>
        <v>#REF!</v>
      </c>
      <c r="W1257" s="209"/>
      <c r="X1257" s="209"/>
      <c r="Y1257" s="209"/>
      <c r="Z1257" s="209"/>
      <c r="AA1257" s="209"/>
      <c r="AB1257" s="209"/>
      <c r="AC1257" s="209"/>
      <c r="AT1257" s="425" t="str">
        <f t="shared" si="97"/>
        <v>KP000659201707Q314,7</v>
      </c>
      <c r="AU1257" s="64" t="str">
        <f t="shared" si="98"/>
        <v>07-2017</v>
      </c>
      <c r="BA1257" s="428" t="str">
        <f t="shared" si="99"/>
        <v>WIP - 30 Days</v>
      </c>
    </row>
    <row r="1258" spans="2:53">
      <c r="B1258" s="36" t="str">
        <f>'[6]price list MAN'!B1258</f>
        <v>76W-9686</v>
      </c>
      <c r="C1258" s="10" t="str">
        <f>'[6]price list MAN'!C1258</f>
        <v>TGS-27-4806X4BBS-LX</v>
      </c>
      <c r="D1258" s="16" t="str">
        <f>IFERROR(VLOOKUP(C1258&amp;"",'[7]Retail Price List'!$A$3:$B$103,2,FALSE),"Special Order")</f>
        <v>KP000659</v>
      </c>
      <c r="E1258" s="494" t="str">
        <f>'[6]price list MAN'!E1258</f>
        <v>CKD</v>
      </c>
      <c r="F1258" s="11" t="str">
        <f>'[6]price list MAN'!F1258</f>
        <v>2018-04-30</v>
      </c>
      <c r="G1258" s="32">
        <f>'[6]price list MAN'!G1258</f>
        <v>14.7</v>
      </c>
      <c r="H1258" s="26">
        <f>'[6]price list MAN'!H1258</f>
        <v>42947</v>
      </c>
      <c r="I1258" s="51" t="str">
        <f t="shared" si="95"/>
        <v>201707Q3</v>
      </c>
      <c r="J1258" s="177">
        <f>'[6]price list MAN'!J1258</f>
        <v>1820000</v>
      </c>
      <c r="K1258" s="177">
        <f>'[6]price list MAN'!P1258</f>
        <v>1370250</v>
      </c>
      <c r="L1258" s="177">
        <f>'[6]price list MAN'!R1258</f>
        <v>1305000</v>
      </c>
      <c r="M1258" s="174">
        <f>'[6]price list MAN'!S1258</f>
        <v>1875000</v>
      </c>
      <c r="N1258" s="174">
        <f>'[6]price list MAN'!Y1258</f>
        <v>1428000</v>
      </c>
      <c r="O1258" s="174">
        <f>'[6]price list MAN'!AA1258</f>
        <v>1360000</v>
      </c>
      <c r="P1258" s="68">
        <f t="shared" si="96"/>
        <v>0.27466666666666667</v>
      </c>
      <c r="Q1258" s="62" t="e">
        <f>O1258-#REF!</f>
        <v>#REF!</v>
      </c>
      <c r="W1258" s="209"/>
      <c r="X1258" s="209"/>
      <c r="Y1258" s="209"/>
      <c r="Z1258" s="209"/>
      <c r="AA1258" s="209"/>
      <c r="AB1258" s="209"/>
      <c r="AC1258" s="209"/>
      <c r="AT1258" s="425" t="str">
        <f t="shared" si="97"/>
        <v>KP000659201707Q314,7</v>
      </c>
      <c r="AU1258" s="64" t="str">
        <f t="shared" si="98"/>
        <v>07-2017</v>
      </c>
      <c r="BA1258" s="428" t="str">
        <f t="shared" si="99"/>
        <v>WIP - 30 Days</v>
      </c>
    </row>
    <row r="1259" spans="2:53">
      <c r="B1259" s="36" t="str">
        <f>'[6]price list MAN'!B1259</f>
        <v>76W-9687</v>
      </c>
      <c r="C1259" s="10" t="str">
        <f>'[6]price list MAN'!C1259</f>
        <v>TGS-27-4806X4BBS-LX</v>
      </c>
      <c r="D1259" s="16" t="str">
        <f>IFERROR(VLOOKUP(C1259&amp;"",'[7]Retail Price List'!$A$3:$B$103,2,FALSE),"Special Order")</f>
        <v>KP000659</v>
      </c>
      <c r="E1259" s="494" t="str">
        <f>'[6]price list MAN'!E1259</f>
        <v>CKD</v>
      </c>
      <c r="F1259" s="11" t="str">
        <f>'[6]price list MAN'!F1259</f>
        <v>2018-04-30</v>
      </c>
      <c r="G1259" s="32">
        <f>'[6]price list MAN'!G1259</f>
        <v>14.7</v>
      </c>
      <c r="H1259" s="26">
        <f>'[6]price list MAN'!H1259</f>
        <v>42947</v>
      </c>
      <c r="I1259" s="51" t="str">
        <f t="shared" si="95"/>
        <v>201707Q3</v>
      </c>
      <c r="J1259" s="177">
        <f>'[6]price list MAN'!J1259</f>
        <v>1820000</v>
      </c>
      <c r="K1259" s="177">
        <f>'[6]price list MAN'!P1259</f>
        <v>1370250</v>
      </c>
      <c r="L1259" s="177">
        <f>'[6]price list MAN'!R1259</f>
        <v>1305000</v>
      </c>
      <c r="M1259" s="174">
        <f>'[6]price list MAN'!S1259</f>
        <v>1875000</v>
      </c>
      <c r="N1259" s="174">
        <f>'[6]price list MAN'!Y1259</f>
        <v>1428000</v>
      </c>
      <c r="O1259" s="174">
        <f>'[6]price list MAN'!AA1259</f>
        <v>1360000</v>
      </c>
      <c r="P1259" s="68">
        <f t="shared" si="96"/>
        <v>0.27466666666666667</v>
      </c>
      <c r="Q1259" s="62" t="e">
        <f>O1259-#REF!</f>
        <v>#REF!</v>
      </c>
      <c r="W1259" s="209"/>
      <c r="X1259" s="209"/>
      <c r="Y1259" s="209"/>
      <c r="Z1259" s="209"/>
      <c r="AA1259" s="209"/>
      <c r="AB1259" s="209"/>
      <c r="AC1259" s="209"/>
      <c r="AT1259" s="425" t="str">
        <f t="shared" si="97"/>
        <v>KP000659201707Q314,7</v>
      </c>
      <c r="AU1259" s="64" t="str">
        <f t="shared" si="98"/>
        <v>07-2017</v>
      </c>
      <c r="BA1259" s="428" t="str">
        <f t="shared" si="99"/>
        <v>WIP - 30 Days</v>
      </c>
    </row>
    <row r="1260" spans="2:53">
      <c r="B1260" s="36" t="str">
        <f>'[6]price list MAN'!B1260</f>
        <v>76W-B135</v>
      </c>
      <c r="C1260" s="10" t="str">
        <f>'[6]price list MAN'!C1260</f>
        <v>TGS-27-4806X4BBS-LX</v>
      </c>
      <c r="D1260" s="16" t="str">
        <f>IFERROR(VLOOKUP(C1260&amp;"",'[7]Retail Price List'!$A$3:$B$103,2,FALSE),"Special Order")</f>
        <v>KP000659</v>
      </c>
      <c r="E1260" s="494" t="str">
        <f>'[6]price list MAN'!E1260</f>
        <v>CKD</v>
      </c>
      <c r="F1260" s="11" t="str">
        <f>'[6]price list MAN'!F1260</f>
        <v>2018-04-30</v>
      </c>
      <c r="G1260" s="32">
        <f>'[6]price list MAN'!G1260</f>
        <v>15.3</v>
      </c>
      <c r="H1260" s="26">
        <f>'[6]price list MAN'!H1260</f>
        <v>42978</v>
      </c>
      <c r="I1260" s="51" t="str">
        <f t="shared" si="95"/>
        <v>2017Q3</v>
      </c>
      <c r="J1260" s="177">
        <f>'[6]price list MAN'!J1260</f>
        <v>1820000</v>
      </c>
      <c r="K1260" s="177">
        <f>'[6]price list MAN'!P1260</f>
        <v>1370250</v>
      </c>
      <c r="L1260" s="177">
        <f>'[6]price list MAN'!R1260</f>
        <v>1305000</v>
      </c>
      <c r="M1260" s="174">
        <f>'[6]price list MAN'!S1260</f>
        <v>1875000</v>
      </c>
      <c r="N1260" s="174">
        <f>'[6]price list MAN'!Y1260</f>
        <v>1428000</v>
      </c>
      <c r="O1260" s="174">
        <f>'[6]price list MAN'!AA1260</f>
        <v>1360000</v>
      </c>
      <c r="P1260" s="68">
        <f t="shared" si="96"/>
        <v>0.27466666666666667</v>
      </c>
      <c r="Q1260" s="62" t="e">
        <f>O1260-#REF!</f>
        <v>#REF!</v>
      </c>
      <c r="W1260" s="209"/>
      <c r="X1260" s="209"/>
      <c r="Y1260" s="209"/>
      <c r="Z1260" s="209"/>
      <c r="AA1260" s="209"/>
      <c r="AB1260" s="209"/>
      <c r="AC1260" s="209"/>
      <c r="AT1260" s="425" t="str">
        <f t="shared" si="97"/>
        <v>KP0006592017Q315,3</v>
      </c>
      <c r="AU1260" s="64" t="str">
        <f t="shared" si="98"/>
        <v>08-2017</v>
      </c>
      <c r="BA1260" s="428" t="str">
        <f t="shared" si="99"/>
        <v>WIP - 30 Days</v>
      </c>
    </row>
    <row r="1261" spans="2:53">
      <c r="B1261" s="36" t="str">
        <f>'[6]price list MAN'!B1261</f>
        <v>76W-B136</v>
      </c>
      <c r="C1261" s="10" t="str">
        <f>'[6]price list MAN'!C1261</f>
        <v>TGS-27-4806X4BBS-LX</v>
      </c>
      <c r="D1261" s="16" t="str">
        <f>IFERROR(VLOOKUP(C1261&amp;"",'[7]Retail Price List'!$A$3:$B$103,2,FALSE),"Special Order")</f>
        <v>KP000659</v>
      </c>
      <c r="E1261" s="494" t="str">
        <f>'[6]price list MAN'!E1261</f>
        <v>CKD</v>
      </c>
      <c r="F1261" s="11" t="str">
        <f>'[6]price list MAN'!F1261</f>
        <v>2018-04-30</v>
      </c>
      <c r="G1261" s="32">
        <f>'[6]price list MAN'!G1261</f>
        <v>15.3</v>
      </c>
      <c r="H1261" s="26">
        <f>'[6]price list MAN'!H1261</f>
        <v>42978</v>
      </c>
      <c r="I1261" s="51" t="str">
        <f t="shared" si="95"/>
        <v>2017Q3</v>
      </c>
      <c r="J1261" s="177">
        <f>'[6]price list MAN'!J1261</f>
        <v>1820000</v>
      </c>
      <c r="K1261" s="177">
        <f>'[6]price list MAN'!P1261</f>
        <v>1370250</v>
      </c>
      <c r="L1261" s="177">
        <f>'[6]price list MAN'!R1261</f>
        <v>1305000</v>
      </c>
      <c r="M1261" s="174">
        <f>'[6]price list MAN'!S1261</f>
        <v>1875000</v>
      </c>
      <c r="N1261" s="174">
        <f>'[6]price list MAN'!Y1261</f>
        <v>1428000</v>
      </c>
      <c r="O1261" s="174">
        <f>'[6]price list MAN'!AA1261</f>
        <v>1360000</v>
      </c>
      <c r="P1261" s="68">
        <f t="shared" si="96"/>
        <v>0.27466666666666667</v>
      </c>
      <c r="Q1261" s="62" t="e">
        <f>O1261-#REF!</f>
        <v>#REF!</v>
      </c>
      <c r="W1261" s="209"/>
      <c r="X1261" s="209"/>
      <c r="Y1261" s="209"/>
      <c r="Z1261" s="209"/>
      <c r="AA1261" s="209"/>
      <c r="AB1261" s="209"/>
      <c r="AC1261" s="209"/>
      <c r="AT1261" s="425" t="str">
        <f t="shared" si="97"/>
        <v>KP0006592017Q315,3</v>
      </c>
      <c r="AU1261" s="64" t="str">
        <f t="shared" si="98"/>
        <v>08-2017</v>
      </c>
      <c r="BA1261" s="428" t="str">
        <f t="shared" si="99"/>
        <v>WIP - 30 Days</v>
      </c>
    </row>
    <row r="1262" spans="2:53">
      <c r="B1262" s="36" t="str">
        <f>'[6]price list MAN'!B1262</f>
        <v>76W-B137</v>
      </c>
      <c r="C1262" s="10" t="str">
        <f>'[6]price list MAN'!C1262</f>
        <v>TGS-27-4806X4BBS-LX</v>
      </c>
      <c r="D1262" s="16" t="str">
        <f>IFERROR(VLOOKUP(C1262&amp;"",'[7]Retail Price List'!$A$3:$B$103,2,FALSE),"Special Order")</f>
        <v>KP000659</v>
      </c>
      <c r="E1262" s="494" t="str">
        <f>'[6]price list MAN'!E1262</f>
        <v>CKD</v>
      </c>
      <c r="F1262" s="11" t="str">
        <f>'[6]price list MAN'!F1262</f>
        <v>2018-04-30</v>
      </c>
      <c r="G1262" s="32">
        <f>'[6]price list MAN'!G1262</f>
        <v>15.3</v>
      </c>
      <c r="H1262" s="26">
        <f>'[6]price list MAN'!H1262</f>
        <v>42978</v>
      </c>
      <c r="I1262" s="51" t="str">
        <f t="shared" si="95"/>
        <v>2017Q3</v>
      </c>
      <c r="J1262" s="177">
        <f>'[6]price list MAN'!J1262</f>
        <v>1820000</v>
      </c>
      <c r="K1262" s="177">
        <f>'[6]price list MAN'!P1262</f>
        <v>1370250</v>
      </c>
      <c r="L1262" s="177">
        <f>'[6]price list MAN'!R1262</f>
        <v>1305000</v>
      </c>
      <c r="M1262" s="174">
        <f>'[6]price list MAN'!S1262</f>
        <v>1875000</v>
      </c>
      <c r="N1262" s="174">
        <f>'[6]price list MAN'!Y1262</f>
        <v>1428000</v>
      </c>
      <c r="O1262" s="174">
        <f>'[6]price list MAN'!AA1262</f>
        <v>1360000</v>
      </c>
      <c r="P1262" s="68">
        <f t="shared" si="96"/>
        <v>0.27466666666666667</v>
      </c>
      <c r="Q1262" s="62" t="e">
        <f>O1262-#REF!</f>
        <v>#REF!</v>
      </c>
      <c r="W1262" s="209"/>
      <c r="X1262" s="209"/>
      <c r="Y1262" s="209"/>
      <c r="Z1262" s="209"/>
      <c r="AA1262" s="209"/>
      <c r="AB1262" s="209"/>
      <c r="AC1262" s="209"/>
      <c r="AT1262" s="425" t="str">
        <f t="shared" si="97"/>
        <v>KP0006592017Q315,3</v>
      </c>
      <c r="AU1262" s="64" t="str">
        <f t="shared" si="98"/>
        <v>08-2017</v>
      </c>
      <c r="BA1262" s="428" t="str">
        <f t="shared" si="99"/>
        <v>WIP - 30 Days</v>
      </c>
    </row>
    <row r="1263" spans="2:53">
      <c r="B1263" s="36" t="str">
        <f>'[6]price list MAN'!B1263</f>
        <v>76W-B138</v>
      </c>
      <c r="C1263" s="10" t="str">
        <f>'[6]price list MAN'!C1263</f>
        <v>TGS-27-4806X4BBS-LX</v>
      </c>
      <c r="D1263" s="16" t="str">
        <f>IFERROR(VLOOKUP(C1263&amp;"",'[7]Retail Price List'!$A$3:$B$103,2,FALSE),"Special Order")</f>
        <v>KP000659</v>
      </c>
      <c r="E1263" s="494" t="str">
        <f>'[6]price list MAN'!E1263</f>
        <v>CKD</v>
      </c>
      <c r="F1263" s="11" t="str">
        <f>'[6]price list MAN'!F1263</f>
        <v>2018-04-30</v>
      </c>
      <c r="G1263" s="32">
        <f>'[6]price list MAN'!G1263</f>
        <v>15.3</v>
      </c>
      <c r="H1263" s="26">
        <f>'[6]price list MAN'!H1263</f>
        <v>42978</v>
      </c>
      <c r="I1263" s="51" t="str">
        <f t="shared" si="95"/>
        <v>2017Q3</v>
      </c>
      <c r="J1263" s="177">
        <f>'[6]price list MAN'!J1263</f>
        <v>1820000</v>
      </c>
      <c r="K1263" s="177">
        <f>'[6]price list MAN'!P1263</f>
        <v>1370250</v>
      </c>
      <c r="L1263" s="177">
        <f>'[6]price list MAN'!R1263</f>
        <v>1305000</v>
      </c>
      <c r="M1263" s="174">
        <f>'[6]price list MAN'!S1263</f>
        <v>1875000</v>
      </c>
      <c r="N1263" s="174">
        <f>'[6]price list MAN'!Y1263</f>
        <v>1428000</v>
      </c>
      <c r="O1263" s="174">
        <f>'[6]price list MAN'!AA1263</f>
        <v>1360000</v>
      </c>
      <c r="P1263" s="68">
        <f t="shared" si="96"/>
        <v>0.27466666666666667</v>
      </c>
      <c r="Q1263" s="62" t="e">
        <f>O1263-#REF!</f>
        <v>#REF!</v>
      </c>
      <c r="W1263" s="209"/>
      <c r="X1263" s="209"/>
      <c r="Y1263" s="209"/>
      <c r="Z1263" s="209"/>
      <c r="AA1263" s="209"/>
      <c r="AB1263" s="209"/>
      <c r="AC1263" s="209"/>
      <c r="AT1263" s="425" t="str">
        <f t="shared" si="97"/>
        <v>KP0006592017Q315,3</v>
      </c>
      <c r="AU1263" s="64" t="str">
        <f t="shared" si="98"/>
        <v>08-2017</v>
      </c>
      <c r="BA1263" s="428" t="str">
        <f t="shared" si="99"/>
        <v>WIP - 30 Days</v>
      </c>
    </row>
    <row r="1264" spans="2:53">
      <c r="B1264" s="36" t="str">
        <f>'[6]price list MAN'!B1264</f>
        <v>76W-B139</v>
      </c>
      <c r="C1264" s="10" t="str">
        <f>'[6]price list MAN'!C1264</f>
        <v>TGS-27-4806X4BBS-LX</v>
      </c>
      <c r="D1264" s="16" t="str">
        <f>IFERROR(VLOOKUP(C1264&amp;"",'[7]Retail Price List'!$A$3:$B$103,2,FALSE),"Special Order")</f>
        <v>KP000659</v>
      </c>
      <c r="E1264" s="494" t="str">
        <f>'[6]price list MAN'!E1264</f>
        <v>CKD</v>
      </c>
      <c r="F1264" s="11" t="str">
        <f>'[6]price list MAN'!F1264</f>
        <v>2018-04-30</v>
      </c>
      <c r="G1264" s="32">
        <f>'[6]price list MAN'!G1264</f>
        <v>15.3</v>
      </c>
      <c r="H1264" s="26">
        <f>'[6]price list MAN'!H1264</f>
        <v>42978</v>
      </c>
      <c r="I1264" s="51" t="str">
        <f t="shared" si="95"/>
        <v>2017Q3</v>
      </c>
      <c r="J1264" s="177">
        <f>'[6]price list MAN'!J1264</f>
        <v>1820000</v>
      </c>
      <c r="K1264" s="177">
        <f>'[6]price list MAN'!P1264</f>
        <v>1370250</v>
      </c>
      <c r="L1264" s="177">
        <f>'[6]price list MAN'!R1264</f>
        <v>1305000</v>
      </c>
      <c r="M1264" s="174">
        <f>'[6]price list MAN'!S1264</f>
        <v>1875000</v>
      </c>
      <c r="N1264" s="174">
        <f>'[6]price list MAN'!Y1264</f>
        <v>1428000</v>
      </c>
      <c r="O1264" s="174">
        <f>'[6]price list MAN'!AA1264</f>
        <v>1360000</v>
      </c>
      <c r="P1264" s="68">
        <f t="shared" si="96"/>
        <v>0.27466666666666667</v>
      </c>
      <c r="Q1264" s="62" t="e">
        <f>O1264-#REF!</f>
        <v>#REF!</v>
      </c>
      <c r="W1264" s="209"/>
      <c r="X1264" s="209"/>
      <c r="Y1264" s="209"/>
      <c r="Z1264" s="209"/>
      <c r="AA1264" s="209"/>
      <c r="AB1264" s="209"/>
      <c r="AC1264" s="209"/>
      <c r="AT1264" s="425" t="str">
        <f t="shared" si="97"/>
        <v>KP0006592017Q315,3</v>
      </c>
      <c r="AU1264" s="64" t="str">
        <f t="shared" si="98"/>
        <v>08-2017</v>
      </c>
      <c r="BA1264" s="428" t="str">
        <f t="shared" si="99"/>
        <v>WIP - 30 Days</v>
      </c>
    </row>
    <row r="1265" spans="2:53">
      <c r="B1265" s="36" t="str">
        <f>'[6]price list MAN'!B1265</f>
        <v>76W-B140</v>
      </c>
      <c r="C1265" s="10" t="str">
        <f>'[6]price list MAN'!C1265</f>
        <v>TGS-27-4806X4BBS-LX</v>
      </c>
      <c r="D1265" s="16" t="str">
        <f>IFERROR(VLOOKUP(C1265&amp;"",'[7]Retail Price List'!$A$3:$B$103,2,FALSE),"Special Order")</f>
        <v>KP000659</v>
      </c>
      <c r="E1265" s="494" t="str">
        <f>'[6]price list MAN'!E1265</f>
        <v>CKD</v>
      </c>
      <c r="F1265" s="11" t="str">
        <f>'[6]price list MAN'!F1265</f>
        <v>2018-04-30</v>
      </c>
      <c r="G1265" s="32">
        <f>'[6]price list MAN'!G1265</f>
        <v>15.3</v>
      </c>
      <c r="H1265" s="26">
        <f>'[6]price list MAN'!H1265</f>
        <v>42978</v>
      </c>
      <c r="I1265" s="51" t="str">
        <f t="shared" si="95"/>
        <v>2017Q3</v>
      </c>
      <c r="J1265" s="177">
        <f>'[6]price list MAN'!J1265</f>
        <v>1820000</v>
      </c>
      <c r="K1265" s="177">
        <f>'[6]price list MAN'!P1265</f>
        <v>1370250</v>
      </c>
      <c r="L1265" s="177">
        <f>'[6]price list MAN'!R1265</f>
        <v>1305000</v>
      </c>
      <c r="M1265" s="174">
        <f>'[6]price list MAN'!S1265</f>
        <v>1875000</v>
      </c>
      <c r="N1265" s="174">
        <f>'[6]price list MAN'!Y1265</f>
        <v>1428000</v>
      </c>
      <c r="O1265" s="174">
        <f>'[6]price list MAN'!AA1265</f>
        <v>1360000</v>
      </c>
      <c r="P1265" s="68">
        <f t="shared" si="96"/>
        <v>0.27466666666666667</v>
      </c>
      <c r="Q1265" s="62" t="e">
        <f>O1265-#REF!</f>
        <v>#REF!</v>
      </c>
      <c r="W1265" s="209"/>
      <c r="X1265" s="209"/>
      <c r="Y1265" s="209"/>
      <c r="Z1265" s="209"/>
      <c r="AA1265" s="209"/>
      <c r="AB1265" s="209"/>
      <c r="AC1265" s="209"/>
      <c r="AT1265" s="425" t="str">
        <f t="shared" si="97"/>
        <v>KP0006592017Q315,3</v>
      </c>
      <c r="AU1265" s="64" t="str">
        <f t="shared" si="98"/>
        <v>08-2017</v>
      </c>
      <c r="BA1265" s="428" t="str">
        <f t="shared" si="99"/>
        <v>WIP - 30 Days</v>
      </c>
    </row>
    <row r="1266" spans="2:53">
      <c r="B1266" s="36" t="str">
        <f>'[6]price list MAN'!B1266</f>
        <v>76W-B141</v>
      </c>
      <c r="C1266" s="10" t="str">
        <f>'[6]price list MAN'!C1266</f>
        <v>TGS-27-4806X4BBS-LX</v>
      </c>
      <c r="D1266" s="16" t="str">
        <f>IFERROR(VLOOKUP(C1266&amp;"",'[7]Retail Price List'!$A$3:$B$103,2,FALSE),"Special Order")</f>
        <v>KP000659</v>
      </c>
      <c r="E1266" s="494" t="str">
        <f>'[6]price list MAN'!E1266</f>
        <v>CKD</v>
      </c>
      <c r="F1266" s="11" t="str">
        <f>'[6]price list MAN'!F1266</f>
        <v>2018-04-30</v>
      </c>
      <c r="G1266" s="32">
        <f>'[6]price list MAN'!G1266</f>
        <v>15.3</v>
      </c>
      <c r="H1266" s="26">
        <f>'[6]price list MAN'!H1266</f>
        <v>42978</v>
      </c>
      <c r="I1266" s="51" t="str">
        <f t="shared" si="95"/>
        <v>2017Q3</v>
      </c>
      <c r="J1266" s="177">
        <f>'[6]price list MAN'!J1266</f>
        <v>1820000</v>
      </c>
      <c r="K1266" s="177">
        <f>'[6]price list MAN'!P1266</f>
        <v>1370250</v>
      </c>
      <c r="L1266" s="177">
        <f>'[6]price list MAN'!R1266</f>
        <v>1305000</v>
      </c>
      <c r="M1266" s="174">
        <f>'[6]price list MAN'!S1266</f>
        <v>1875000</v>
      </c>
      <c r="N1266" s="174">
        <f>'[6]price list MAN'!Y1266</f>
        <v>1428000</v>
      </c>
      <c r="O1266" s="174">
        <f>'[6]price list MAN'!AA1266</f>
        <v>1360000</v>
      </c>
      <c r="P1266" s="68">
        <f t="shared" si="96"/>
        <v>0.27466666666666667</v>
      </c>
      <c r="Q1266" s="62" t="e">
        <f>O1266-#REF!</f>
        <v>#REF!</v>
      </c>
      <c r="W1266" s="209"/>
      <c r="X1266" s="209"/>
      <c r="Y1266" s="209"/>
      <c r="Z1266" s="209"/>
      <c r="AA1266" s="209"/>
      <c r="AB1266" s="209"/>
      <c r="AC1266" s="209"/>
      <c r="AT1266" s="425" t="str">
        <f t="shared" si="97"/>
        <v>KP0006592017Q315,3</v>
      </c>
      <c r="AU1266" s="64" t="str">
        <f t="shared" si="98"/>
        <v>08-2017</v>
      </c>
      <c r="BA1266" s="428" t="str">
        <f t="shared" si="99"/>
        <v>WIP - 30 Days</v>
      </c>
    </row>
    <row r="1267" spans="2:53">
      <c r="B1267" s="36" t="str">
        <f>'[6]price list MAN'!B1267</f>
        <v>76W-B142</v>
      </c>
      <c r="C1267" s="10" t="str">
        <f>'[6]price list MAN'!C1267</f>
        <v>TGS-27-4806X4BBS-LX</v>
      </c>
      <c r="D1267" s="16" t="str">
        <f>IFERROR(VLOOKUP(C1267&amp;"",'[7]Retail Price List'!$A$3:$B$103,2,FALSE),"Special Order")</f>
        <v>KP000659</v>
      </c>
      <c r="E1267" s="494" t="str">
        <f>'[6]price list MAN'!E1267</f>
        <v>CKD</v>
      </c>
      <c r="F1267" s="11" t="str">
        <f>'[6]price list MAN'!F1267</f>
        <v>2018-04-30</v>
      </c>
      <c r="G1267" s="32">
        <f>'[6]price list MAN'!G1267</f>
        <v>15.3</v>
      </c>
      <c r="H1267" s="26">
        <f>'[6]price list MAN'!H1267</f>
        <v>42978</v>
      </c>
      <c r="I1267" s="51" t="str">
        <f t="shared" si="95"/>
        <v>2017Q3</v>
      </c>
      <c r="J1267" s="177">
        <f>'[6]price list MAN'!J1267</f>
        <v>1820000</v>
      </c>
      <c r="K1267" s="177">
        <f>'[6]price list MAN'!P1267</f>
        <v>1370250</v>
      </c>
      <c r="L1267" s="177">
        <f>'[6]price list MAN'!R1267</f>
        <v>1305000</v>
      </c>
      <c r="M1267" s="174">
        <f>'[6]price list MAN'!S1267</f>
        <v>1875000</v>
      </c>
      <c r="N1267" s="174">
        <f>'[6]price list MAN'!Y1267</f>
        <v>1428000</v>
      </c>
      <c r="O1267" s="174">
        <f>'[6]price list MAN'!AA1267</f>
        <v>1360000</v>
      </c>
      <c r="P1267" s="68">
        <f t="shared" si="96"/>
        <v>0.27466666666666667</v>
      </c>
      <c r="Q1267" s="62" t="e">
        <f>O1267-#REF!</f>
        <v>#REF!</v>
      </c>
      <c r="W1267" s="209"/>
      <c r="X1267" s="209"/>
      <c r="Y1267" s="209"/>
      <c r="Z1267" s="209"/>
      <c r="AA1267" s="209"/>
      <c r="AB1267" s="209"/>
      <c r="AC1267" s="209"/>
      <c r="AT1267" s="425" t="str">
        <f t="shared" si="97"/>
        <v>KP0006592017Q315,3</v>
      </c>
      <c r="AU1267" s="64" t="str">
        <f t="shared" si="98"/>
        <v>08-2017</v>
      </c>
      <c r="BA1267" s="428" t="str">
        <f t="shared" si="99"/>
        <v>WIP - 30 Days</v>
      </c>
    </row>
    <row r="1268" spans="2:53">
      <c r="B1268" s="36" t="str">
        <f>'[6]price list MAN'!B1268</f>
        <v>76W-B155</v>
      </c>
      <c r="C1268" s="10" t="str">
        <f>'[6]price list MAN'!C1268</f>
        <v>TGS-27-4806X4BBS-LX</v>
      </c>
      <c r="D1268" s="16" t="str">
        <f>IFERROR(VLOOKUP(C1268&amp;"",'[7]Retail Price List'!$A$3:$B$103,2,FALSE),"Special Order")</f>
        <v>KP000659</v>
      </c>
      <c r="E1268" s="494" t="str">
        <f>'[6]price list MAN'!E1268</f>
        <v>CKD</v>
      </c>
      <c r="F1268" s="11" t="str">
        <f>'[6]price list MAN'!F1268</f>
        <v>2018-04-30</v>
      </c>
      <c r="G1268" s="32">
        <f>'[6]price list MAN'!G1268</f>
        <v>15.3</v>
      </c>
      <c r="H1268" s="26">
        <f>'[6]price list MAN'!H1268</f>
        <v>42978</v>
      </c>
      <c r="I1268" s="51" t="str">
        <f t="shared" si="95"/>
        <v>2017Q3</v>
      </c>
      <c r="J1268" s="177">
        <f>'[6]price list MAN'!J1268</f>
        <v>1820000</v>
      </c>
      <c r="K1268" s="177">
        <f>'[6]price list MAN'!P1268</f>
        <v>1370250</v>
      </c>
      <c r="L1268" s="177">
        <f>'[6]price list MAN'!R1268</f>
        <v>1305000</v>
      </c>
      <c r="M1268" s="174">
        <f>'[6]price list MAN'!S1268</f>
        <v>1875000</v>
      </c>
      <c r="N1268" s="174">
        <f>'[6]price list MAN'!Y1268</f>
        <v>1428000</v>
      </c>
      <c r="O1268" s="174">
        <f>'[6]price list MAN'!AA1268</f>
        <v>1360000</v>
      </c>
      <c r="P1268" s="68">
        <f t="shared" si="96"/>
        <v>0.27466666666666667</v>
      </c>
      <c r="Q1268" s="62" t="e">
        <f>O1268-#REF!</f>
        <v>#REF!</v>
      </c>
      <c r="W1268" s="209"/>
      <c r="X1268" s="209"/>
      <c r="Y1268" s="209"/>
      <c r="Z1268" s="209"/>
      <c r="AA1268" s="209"/>
      <c r="AB1268" s="209"/>
      <c r="AC1268" s="209"/>
      <c r="AT1268" s="425" t="str">
        <f t="shared" si="97"/>
        <v>KP0006592017Q315,3</v>
      </c>
      <c r="AU1268" s="64" t="str">
        <f t="shared" si="98"/>
        <v>08-2017</v>
      </c>
      <c r="BA1268" s="428" t="str">
        <f t="shared" si="99"/>
        <v>WIP - 30 Days</v>
      </c>
    </row>
    <row r="1269" spans="2:53">
      <c r="B1269" s="36" t="str">
        <f>'[6]price list MAN'!B1269</f>
        <v>76W-B156</v>
      </c>
      <c r="C1269" s="10" t="str">
        <f>'[6]price list MAN'!C1269</f>
        <v>TGS-27-4806X4BBS-LX</v>
      </c>
      <c r="D1269" s="16" t="str">
        <f>IFERROR(VLOOKUP(C1269&amp;"",'[7]Retail Price List'!$A$3:$B$103,2,FALSE),"Special Order")</f>
        <v>KP000659</v>
      </c>
      <c r="E1269" s="494" t="str">
        <f>'[6]price list MAN'!E1269</f>
        <v>CKD</v>
      </c>
      <c r="F1269" s="11" t="str">
        <f>'[6]price list MAN'!F1269</f>
        <v>2018-04-30</v>
      </c>
      <c r="G1269" s="32">
        <f>'[6]price list MAN'!G1269</f>
        <v>15.3</v>
      </c>
      <c r="H1269" s="26">
        <f>'[6]price list MAN'!H1269</f>
        <v>42978</v>
      </c>
      <c r="I1269" s="51" t="str">
        <f t="shared" si="95"/>
        <v>2017Q3</v>
      </c>
      <c r="J1269" s="177">
        <f>'[6]price list MAN'!J1269</f>
        <v>1820000</v>
      </c>
      <c r="K1269" s="177">
        <f>'[6]price list MAN'!P1269</f>
        <v>1370250</v>
      </c>
      <c r="L1269" s="177">
        <f>'[6]price list MAN'!R1269</f>
        <v>1305000</v>
      </c>
      <c r="M1269" s="174">
        <f>'[6]price list MAN'!S1269</f>
        <v>1875000</v>
      </c>
      <c r="N1269" s="174">
        <f>'[6]price list MAN'!Y1269</f>
        <v>1428000</v>
      </c>
      <c r="O1269" s="174">
        <f>'[6]price list MAN'!AA1269</f>
        <v>1360000</v>
      </c>
      <c r="P1269" s="68">
        <f t="shared" si="96"/>
        <v>0.27466666666666667</v>
      </c>
      <c r="Q1269" s="62" t="e">
        <f>O1269-#REF!</f>
        <v>#REF!</v>
      </c>
      <c r="W1269" s="209"/>
      <c r="X1269" s="209"/>
      <c r="Y1269" s="209"/>
      <c r="Z1269" s="209"/>
      <c r="AA1269" s="209"/>
      <c r="AB1269" s="209"/>
      <c r="AC1269" s="209"/>
      <c r="AT1269" s="425" t="str">
        <f t="shared" si="97"/>
        <v>KP0006592017Q315,3</v>
      </c>
      <c r="AU1269" s="64" t="str">
        <f t="shared" si="98"/>
        <v>08-2017</v>
      </c>
      <c r="BA1269" s="428" t="str">
        <f t="shared" si="99"/>
        <v>WIP - 30 Days</v>
      </c>
    </row>
    <row r="1270" spans="2:53">
      <c r="B1270" s="36" t="str">
        <f>'[6]price list MAN'!B1270</f>
        <v>76W-B157</v>
      </c>
      <c r="C1270" s="10" t="str">
        <f>'[6]price list MAN'!C1270</f>
        <v>TGS-27-4806X4BBS-LX</v>
      </c>
      <c r="D1270" s="16" t="str">
        <f>IFERROR(VLOOKUP(C1270&amp;"",'[7]Retail Price List'!$A$3:$B$103,2,FALSE),"Special Order")</f>
        <v>KP000659</v>
      </c>
      <c r="E1270" s="494" t="str">
        <f>'[6]price list MAN'!E1270</f>
        <v>CKD</v>
      </c>
      <c r="F1270" s="11" t="str">
        <f>'[6]price list MAN'!F1270</f>
        <v>2018-04-30</v>
      </c>
      <c r="G1270" s="32">
        <f>'[6]price list MAN'!G1270</f>
        <v>15.3</v>
      </c>
      <c r="H1270" s="26">
        <f>'[6]price list MAN'!H1270</f>
        <v>42978</v>
      </c>
      <c r="I1270" s="51" t="str">
        <f t="shared" si="95"/>
        <v>2017Q3</v>
      </c>
      <c r="J1270" s="177">
        <f>'[6]price list MAN'!J1270</f>
        <v>1820000</v>
      </c>
      <c r="K1270" s="177">
        <f>'[6]price list MAN'!P1270</f>
        <v>1370250</v>
      </c>
      <c r="L1270" s="177">
        <f>'[6]price list MAN'!R1270</f>
        <v>1305000</v>
      </c>
      <c r="M1270" s="174">
        <f>'[6]price list MAN'!S1270</f>
        <v>1875000</v>
      </c>
      <c r="N1270" s="174">
        <f>'[6]price list MAN'!Y1270</f>
        <v>1428000</v>
      </c>
      <c r="O1270" s="174">
        <f>'[6]price list MAN'!AA1270</f>
        <v>1360000</v>
      </c>
      <c r="P1270" s="68">
        <f t="shared" si="96"/>
        <v>0.27466666666666667</v>
      </c>
      <c r="Q1270" s="62" t="e">
        <f>O1270-#REF!</f>
        <v>#REF!</v>
      </c>
      <c r="W1270" s="209"/>
      <c r="X1270" s="209"/>
      <c r="Y1270" s="209"/>
      <c r="Z1270" s="209"/>
      <c r="AA1270" s="209"/>
      <c r="AB1270" s="209"/>
      <c r="AC1270" s="209"/>
      <c r="AT1270" s="425" t="str">
        <f t="shared" si="97"/>
        <v>KP0006592017Q315,3</v>
      </c>
      <c r="AU1270" s="64" t="str">
        <f t="shared" si="98"/>
        <v>08-2017</v>
      </c>
      <c r="BA1270" s="428" t="str">
        <f t="shared" si="99"/>
        <v>WIP - 30 Days</v>
      </c>
    </row>
    <row r="1271" spans="2:53">
      <c r="B1271" s="36" t="str">
        <f>'[6]price list MAN'!B1271</f>
        <v>76W-B158</v>
      </c>
      <c r="C1271" s="10" t="str">
        <f>'[6]price list MAN'!C1271</f>
        <v>TGS-27-4806X4BBS-LX</v>
      </c>
      <c r="D1271" s="16" t="str">
        <f>IFERROR(VLOOKUP(C1271&amp;"",'[7]Retail Price List'!$A$3:$B$103,2,FALSE),"Special Order")</f>
        <v>KP000659</v>
      </c>
      <c r="E1271" s="494" t="str">
        <f>'[6]price list MAN'!E1271</f>
        <v>CKD</v>
      </c>
      <c r="F1271" s="11" t="str">
        <f>'[6]price list MAN'!F1271</f>
        <v>2018-04-30</v>
      </c>
      <c r="G1271" s="32">
        <f>'[6]price list MAN'!G1271</f>
        <v>15.3</v>
      </c>
      <c r="H1271" s="26">
        <f>'[6]price list MAN'!H1271</f>
        <v>42978</v>
      </c>
      <c r="I1271" s="51" t="str">
        <f t="shared" si="95"/>
        <v>2017Q3</v>
      </c>
      <c r="J1271" s="177">
        <f>'[6]price list MAN'!J1271</f>
        <v>1820000</v>
      </c>
      <c r="K1271" s="177">
        <f>'[6]price list MAN'!P1271</f>
        <v>1370250</v>
      </c>
      <c r="L1271" s="177">
        <f>'[6]price list MAN'!R1271</f>
        <v>1305000</v>
      </c>
      <c r="M1271" s="174">
        <f>'[6]price list MAN'!S1271</f>
        <v>1875000</v>
      </c>
      <c r="N1271" s="174">
        <f>'[6]price list MAN'!Y1271</f>
        <v>1428000</v>
      </c>
      <c r="O1271" s="174">
        <f>'[6]price list MAN'!AA1271</f>
        <v>1360000</v>
      </c>
      <c r="P1271" s="68">
        <f t="shared" si="96"/>
        <v>0.27466666666666667</v>
      </c>
      <c r="Q1271" s="62" t="e">
        <f>O1271-#REF!</f>
        <v>#REF!</v>
      </c>
      <c r="W1271" s="209"/>
      <c r="X1271" s="209"/>
      <c r="Y1271" s="209"/>
      <c r="Z1271" s="209"/>
      <c r="AA1271" s="209"/>
      <c r="AB1271" s="209"/>
      <c r="AC1271" s="209"/>
      <c r="AT1271" s="425" t="str">
        <f t="shared" si="97"/>
        <v>KP0006592017Q315,3</v>
      </c>
      <c r="AU1271" s="64" t="str">
        <f t="shared" si="98"/>
        <v>08-2017</v>
      </c>
      <c r="BA1271" s="428" t="str">
        <f t="shared" si="99"/>
        <v>WIP - 30 Days</v>
      </c>
    </row>
    <row r="1272" spans="2:53">
      <c r="B1272" s="36" t="str">
        <f>'[6]price list MAN'!B1272</f>
        <v>76W-B235</v>
      </c>
      <c r="C1272" s="10" t="str">
        <f>'[6]price list MAN'!C1272</f>
        <v>TGS-27-4806X4BBS-LX</v>
      </c>
      <c r="D1272" s="16" t="str">
        <f>IFERROR(VLOOKUP(C1272&amp;"",'[7]Retail Price List'!$A$3:$B$103,2,FALSE),"Special Order")</f>
        <v>KP000659</v>
      </c>
      <c r="E1272" s="494" t="str">
        <f>'[6]price list MAN'!E1272</f>
        <v>CKD</v>
      </c>
      <c r="F1272" s="11" t="str">
        <f>'[6]price list MAN'!F1272</f>
        <v>2018-04-30</v>
      </c>
      <c r="G1272" s="32">
        <f>'[6]price list MAN'!G1272</f>
        <v>15.3</v>
      </c>
      <c r="H1272" s="26">
        <f>'[6]price list MAN'!H1272</f>
        <v>42978</v>
      </c>
      <c r="I1272" s="51" t="str">
        <f t="shared" si="95"/>
        <v>2017Q3</v>
      </c>
      <c r="J1272" s="177">
        <f>'[6]price list MAN'!J1272</f>
        <v>1820000</v>
      </c>
      <c r="K1272" s="177">
        <f>'[6]price list MAN'!P1272</f>
        <v>1370250</v>
      </c>
      <c r="L1272" s="177">
        <f>'[6]price list MAN'!R1272</f>
        <v>1305000</v>
      </c>
      <c r="M1272" s="174">
        <f>'[6]price list MAN'!S1272</f>
        <v>1875000</v>
      </c>
      <c r="N1272" s="174">
        <f>'[6]price list MAN'!Y1272</f>
        <v>1428000</v>
      </c>
      <c r="O1272" s="174">
        <f>'[6]price list MAN'!AA1272</f>
        <v>1360000</v>
      </c>
      <c r="P1272" s="68">
        <f t="shared" si="96"/>
        <v>0.27466666666666667</v>
      </c>
      <c r="Q1272" s="62" t="e">
        <f>O1272-#REF!</f>
        <v>#REF!</v>
      </c>
      <c r="W1272" s="209"/>
      <c r="X1272" s="209"/>
      <c r="Y1272" s="209"/>
      <c r="Z1272" s="209"/>
      <c r="AA1272" s="209"/>
      <c r="AB1272" s="209"/>
      <c r="AC1272" s="209"/>
      <c r="AT1272" s="425" t="str">
        <f t="shared" si="97"/>
        <v>KP0006592017Q315,3</v>
      </c>
      <c r="AU1272" s="64" t="str">
        <f t="shared" si="98"/>
        <v>08-2017</v>
      </c>
      <c r="BA1272" s="428" t="str">
        <f t="shared" si="99"/>
        <v>WIP - 30 Days</v>
      </c>
    </row>
    <row r="1273" spans="2:53">
      <c r="B1273" s="36" t="str">
        <f>'[6]price list MAN'!B1273</f>
        <v>76W-B236</v>
      </c>
      <c r="C1273" s="10" t="str">
        <f>'[6]price list MAN'!C1273</f>
        <v>TGS-27-4806X4BBS-LX</v>
      </c>
      <c r="D1273" s="16" t="str">
        <f>IFERROR(VLOOKUP(C1273&amp;"",'[7]Retail Price List'!$A$3:$B$103,2,FALSE),"Special Order")</f>
        <v>KP000659</v>
      </c>
      <c r="E1273" s="494" t="str">
        <f>'[6]price list MAN'!E1273</f>
        <v>CKD</v>
      </c>
      <c r="F1273" s="11" t="str">
        <f>'[6]price list MAN'!F1273</f>
        <v>2018-04-30</v>
      </c>
      <c r="G1273" s="32">
        <f>'[6]price list MAN'!G1273</f>
        <v>15.3</v>
      </c>
      <c r="H1273" s="26">
        <f>'[6]price list MAN'!H1273</f>
        <v>42978</v>
      </c>
      <c r="I1273" s="51" t="str">
        <f t="shared" si="95"/>
        <v>2017Q3</v>
      </c>
      <c r="J1273" s="177">
        <f>'[6]price list MAN'!J1273</f>
        <v>1820000</v>
      </c>
      <c r="K1273" s="177">
        <f>'[6]price list MAN'!P1273</f>
        <v>1370250</v>
      </c>
      <c r="L1273" s="177">
        <f>'[6]price list MAN'!R1273</f>
        <v>1305000</v>
      </c>
      <c r="M1273" s="174">
        <f>'[6]price list MAN'!S1273</f>
        <v>1875000</v>
      </c>
      <c r="N1273" s="174">
        <f>'[6]price list MAN'!Y1273</f>
        <v>1428000</v>
      </c>
      <c r="O1273" s="174">
        <f>'[6]price list MAN'!AA1273</f>
        <v>1360000</v>
      </c>
      <c r="P1273" s="68">
        <f t="shared" si="96"/>
        <v>0.27466666666666667</v>
      </c>
      <c r="Q1273" s="62" t="e">
        <f>O1273-#REF!</f>
        <v>#REF!</v>
      </c>
      <c r="W1273" s="209"/>
      <c r="X1273" s="209"/>
      <c r="Y1273" s="209"/>
      <c r="Z1273" s="209"/>
      <c r="AA1273" s="209"/>
      <c r="AB1273" s="209"/>
      <c r="AC1273" s="209"/>
      <c r="AT1273" s="425" t="str">
        <f t="shared" si="97"/>
        <v>KP0006592017Q315,3</v>
      </c>
      <c r="AU1273" s="64" t="str">
        <f t="shared" si="98"/>
        <v>08-2017</v>
      </c>
      <c r="BA1273" s="428" t="str">
        <f t="shared" si="99"/>
        <v>WIP - 30 Days</v>
      </c>
    </row>
    <row r="1274" spans="2:53">
      <c r="B1274" s="36" t="str">
        <f>'[6]price list MAN'!B1274</f>
        <v>76W-B237</v>
      </c>
      <c r="C1274" s="10" t="str">
        <f>'[6]price list MAN'!C1274</f>
        <v>TGS-27-4806X4BBS-LX</v>
      </c>
      <c r="D1274" s="16" t="str">
        <f>IFERROR(VLOOKUP(C1274&amp;"",'[7]Retail Price List'!$A$3:$B$103,2,FALSE),"Special Order")</f>
        <v>KP000659</v>
      </c>
      <c r="E1274" s="494" t="str">
        <f>'[6]price list MAN'!E1274</f>
        <v>CKD</v>
      </c>
      <c r="F1274" s="11" t="str">
        <f>'[6]price list MAN'!F1274</f>
        <v>2018-04-30</v>
      </c>
      <c r="G1274" s="32">
        <f>'[6]price list MAN'!G1274</f>
        <v>15.3</v>
      </c>
      <c r="H1274" s="26">
        <f>'[6]price list MAN'!H1274</f>
        <v>42978</v>
      </c>
      <c r="I1274" s="51" t="str">
        <f t="shared" si="95"/>
        <v>2017Q3</v>
      </c>
      <c r="J1274" s="177">
        <f>'[6]price list MAN'!J1274</f>
        <v>1820000</v>
      </c>
      <c r="K1274" s="177">
        <f>'[6]price list MAN'!P1274</f>
        <v>1370250</v>
      </c>
      <c r="L1274" s="177">
        <f>'[6]price list MAN'!R1274</f>
        <v>1305000</v>
      </c>
      <c r="M1274" s="174">
        <f>'[6]price list MAN'!S1274</f>
        <v>1875000</v>
      </c>
      <c r="N1274" s="174">
        <f>'[6]price list MAN'!Y1274</f>
        <v>1428000</v>
      </c>
      <c r="O1274" s="174">
        <f>'[6]price list MAN'!AA1274</f>
        <v>1360000</v>
      </c>
      <c r="P1274" s="68">
        <f t="shared" si="96"/>
        <v>0.27466666666666667</v>
      </c>
      <c r="Q1274" s="62" t="e">
        <f>O1274-#REF!</f>
        <v>#REF!</v>
      </c>
      <c r="W1274" s="209"/>
      <c r="X1274" s="209"/>
      <c r="Y1274" s="209"/>
      <c r="Z1274" s="209"/>
      <c r="AA1274" s="209"/>
      <c r="AB1274" s="209"/>
      <c r="AC1274" s="209"/>
      <c r="AT1274" s="425" t="str">
        <f t="shared" si="97"/>
        <v>KP0006592017Q315,3</v>
      </c>
      <c r="AU1274" s="64" t="str">
        <f t="shared" si="98"/>
        <v>08-2017</v>
      </c>
      <c r="BA1274" s="428" t="str">
        <f t="shared" si="99"/>
        <v>WIP - 30 Days</v>
      </c>
    </row>
    <row r="1275" spans="2:53">
      <c r="B1275" s="36" t="str">
        <f>'[6]price list MAN'!B1275</f>
        <v>76W-B238</v>
      </c>
      <c r="C1275" s="10" t="str">
        <f>'[6]price list MAN'!C1275</f>
        <v>TGS-27-4806X4BBS-LX</v>
      </c>
      <c r="D1275" s="16" t="str">
        <f>IFERROR(VLOOKUP(C1275&amp;"",'[7]Retail Price List'!$A$3:$B$103,2,FALSE),"Special Order")</f>
        <v>KP000659</v>
      </c>
      <c r="E1275" s="494" t="str">
        <f>'[6]price list MAN'!E1275</f>
        <v>CKD</v>
      </c>
      <c r="F1275" s="11" t="str">
        <f>'[6]price list MAN'!F1275</f>
        <v>2018-04-30</v>
      </c>
      <c r="G1275" s="32">
        <f>'[6]price list MAN'!G1275</f>
        <v>15.3</v>
      </c>
      <c r="H1275" s="26">
        <f>'[6]price list MAN'!H1275</f>
        <v>42978</v>
      </c>
      <c r="I1275" s="51" t="str">
        <f t="shared" si="95"/>
        <v>2017Q3</v>
      </c>
      <c r="J1275" s="177">
        <f>'[6]price list MAN'!J1275</f>
        <v>1820000</v>
      </c>
      <c r="K1275" s="177">
        <f>'[6]price list MAN'!P1275</f>
        <v>1370250</v>
      </c>
      <c r="L1275" s="177">
        <f>'[6]price list MAN'!R1275</f>
        <v>1305000</v>
      </c>
      <c r="M1275" s="174">
        <f>'[6]price list MAN'!S1275</f>
        <v>1875000</v>
      </c>
      <c r="N1275" s="174">
        <f>'[6]price list MAN'!Y1275</f>
        <v>1428000</v>
      </c>
      <c r="O1275" s="174">
        <f>'[6]price list MAN'!AA1275</f>
        <v>1360000</v>
      </c>
      <c r="P1275" s="68">
        <f t="shared" si="96"/>
        <v>0.27466666666666667</v>
      </c>
      <c r="Q1275" s="62" t="e">
        <f>O1275-#REF!</f>
        <v>#REF!</v>
      </c>
      <c r="W1275" s="209"/>
      <c r="X1275" s="209"/>
      <c r="Y1275" s="209"/>
      <c r="Z1275" s="209"/>
      <c r="AA1275" s="209"/>
      <c r="AB1275" s="209"/>
      <c r="AC1275" s="209"/>
      <c r="AT1275" s="425" t="str">
        <f t="shared" si="97"/>
        <v>KP0006592017Q315,3</v>
      </c>
      <c r="AU1275" s="64" t="str">
        <f t="shared" si="98"/>
        <v>08-2017</v>
      </c>
      <c r="BA1275" s="428" t="str">
        <f t="shared" si="99"/>
        <v>WIP - 30 Days</v>
      </c>
    </row>
    <row r="1276" spans="2:53">
      <c r="B1276" s="36" t="str">
        <f>'[6]price list MAN'!B1276</f>
        <v>76W-B247</v>
      </c>
      <c r="C1276" s="10" t="str">
        <f>'[6]price list MAN'!C1276</f>
        <v>TGS-27-4806X4BBS-LX</v>
      </c>
      <c r="D1276" s="16" t="str">
        <f>IFERROR(VLOOKUP(C1276&amp;"",'[7]Retail Price List'!$A$3:$B$103,2,FALSE),"Special Order")</f>
        <v>KP000659</v>
      </c>
      <c r="E1276" s="494" t="str">
        <f>'[6]price list MAN'!E1276</f>
        <v>CKD</v>
      </c>
      <c r="F1276" s="11" t="str">
        <f>'[6]price list MAN'!F1276</f>
        <v>2018-05-30</v>
      </c>
      <c r="G1276" s="32">
        <f>'[6]price list MAN'!G1276</f>
        <v>15.3</v>
      </c>
      <c r="H1276" s="26">
        <f>'[6]price list MAN'!H1276</f>
        <v>42978</v>
      </c>
      <c r="I1276" s="51" t="str">
        <f t="shared" si="95"/>
        <v>2017Q3</v>
      </c>
      <c r="J1276" s="177">
        <f>'[6]price list MAN'!J1276</f>
        <v>1820000</v>
      </c>
      <c r="K1276" s="177">
        <f>'[6]price list MAN'!P1276</f>
        <v>1370250</v>
      </c>
      <c r="L1276" s="177">
        <f>'[6]price list MAN'!R1276</f>
        <v>1305000</v>
      </c>
      <c r="M1276" s="174">
        <f>'[6]price list MAN'!S1276</f>
        <v>1875000</v>
      </c>
      <c r="N1276" s="174">
        <f>'[6]price list MAN'!Y1276</f>
        <v>1428000</v>
      </c>
      <c r="O1276" s="174">
        <f>'[6]price list MAN'!AA1276</f>
        <v>1360000</v>
      </c>
      <c r="P1276" s="68">
        <f t="shared" si="96"/>
        <v>0.27466666666666667</v>
      </c>
      <c r="Q1276" s="62" t="e">
        <f>O1276-#REF!</f>
        <v>#REF!</v>
      </c>
      <c r="W1276" s="209"/>
      <c r="X1276" s="209"/>
      <c r="Y1276" s="209"/>
      <c r="Z1276" s="209"/>
      <c r="AA1276" s="209"/>
      <c r="AB1276" s="209"/>
      <c r="AC1276" s="209"/>
      <c r="AT1276" s="425" t="str">
        <f t="shared" si="97"/>
        <v>KP0006592017Q315,3</v>
      </c>
      <c r="AU1276" s="64" t="str">
        <f t="shared" si="98"/>
        <v>08-2017</v>
      </c>
      <c r="BA1276" s="428" t="str">
        <f t="shared" si="99"/>
        <v>WIP - 30 Days</v>
      </c>
    </row>
    <row r="1277" spans="2:53">
      <c r="B1277" s="36" t="str">
        <f>'[6]price list MAN'!B1277</f>
        <v>76W-B248</v>
      </c>
      <c r="C1277" s="10" t="str">
        <f>'[6]price list MAN'!C1277</f>
        <v>TGS-27-4806X4BBS-LX</v>
      </c>
      <c r="D1277" s="16" t="str">
        <f>IFERROR(VLOOKUP(C1277&amp;"",'[7]Retail Price List'!$A$3:$B$103,2,FALSE),"Special Order")</f>
        <v>KP000659</v>
      </c>
      <c r="E1277" s="494" t="str">
        <f>'[6]price list MAN'!E1277</f>
        <v>CKD</v>
      </c>
      <c r="F1277" s="11" t="str">
        <f>'[6]price list MAN'!F1277</f>
        <v>2018-05-30</v>
      </c>
      <c r="G1277" s="32">
        <f>'[6]price list MAN'!G1277</f>
        <v>15.3</v>
      </c>
      <c r="H1277" s="26">
        <f>'[6]price list MAN'!H1277</f>
        <v>42978</v>
      </c>
      <c r="I1277" s="51" t="str">
        <f t="shared" si="95"/>
        <v>2017Q3</v>
      </c>
      <c r="J1277" s="177">
        <f>'[6]price list MAN'!J1277</f>
        <v>1820000</v>
      </c>
      <c r="K1277" s="177">
        <f>'[6]price list MAN'!P1277</f>
        <v>1370250</v>
      </c>
      <c r="L1277" s="177">
        <f>'[6]price list MAN'!R1277</f>
        <v>1305000</v>
      </c>
      <c r="M1277" s="174">
        <f>'[6]price list MAN'!S1277</f>
        <v>1875000</v>
      </c>
      <c r="N1277" s="174">
        <f>'[6]price list MAN'!Y1277</f>
        <v>1428000</v>
      </c>
      <c r="O1277" s="174">
        <f>'[6]price list MAN'!AA1277</f>
        <v>1360000</v>
      </c>
      <c r="P1277" s="68">
        <f t="shared" si="96"/>
        <v>0.27466666666666667</v>
      </c>
      <c r="Q1277" s="62" t="e">
        <f>O1277-#REF!</f>
        <v>#REF!</v>
      </c>
      <c r="W1277" s="209"/>
      <c r="X1277" s="209"/>
      <c r="Y1277" s="209"/>
      <c r="Z1277" s="209"/>
      <c r="AA1277" s="209"/>
      <c r="AB1277" s="209"/>
      <c r="AC1277" s="209"/>
      <c r="AT1277" s="425" t="str">
        <f t="shared" si="97"/>
        <v>KP0006592017Q315,3</v>
      </c>
      <c r="AU1277" s="64" t="str">
        <f t="shared" si="98"/>
        <v>08-2017</v>
      </c>
      <c r="BA1277" s="428" t="str">
        <f t="shared" si="99"/>
        <v>WIP - 30 Days</v>
      </c>
    </row>
    <row r="1278" spans="2:53">
      <c r="B1278" s="36" t="str">
        <f>'[6]price list MAN'!B1278</f>
        <v>76W-B249</v>
      </c>
      <c r="C1278" s="10" t="str">
        <f>'[6]price list MAN'!C1278</f>
        <v>TGS-27-4806X4BBS-LX</v>
      </c>
      <c r="D1278" s="16" t="str">
        <f>IFERROR(VLOOKUP(C1278&amp;"",'[7]Retail Price List'!$A$3:$B$103,2,FALSE),"Special Order")</f>
        <v>KP000659</v>
      </c>
      <c r="E1278" s="494" t="str">
        <f>'[6]price list MAN'!E1278</f>
        <v>CKD</v>
      </c>
      <c r="F1278" s="11" t="str">
        <f>'[6]price list MAN'!F1278</f>
        <v>2018-05-30</v>
      </c>
      <c r="G1278" s="32">
        <f>'[6]price list MAN'!G1278</f>
        <v>15.3</v>
      </c>
      <c r="H1278" s="26">
        <f>'[6]price list MAN'!H1278</f>
        <v>42978</v>
      </c>
      <c r="I1278" s="51" t="str">
        <f t="shared" si="95"/>
        <v>2017Q3</v>
      </c>
      <c r="J1278" s="177">
        <f>'[6]price list MAN'!J1278</f>
        <v>1820000</v>
      </c>
      <c r="K1278" s="177">
        <f>'[6]price list MAN'!P1278</f>
        <v>1370250</v>
      </c>
      <c r="L1278" s="177">
        <f>'[6]price list MAN'!R1278</f>
        <v>1305000</v>
      </c>
      <c r="M1278" s="174">
        <f>'[6]price list MAN'!S1278</f>
        <v>1875000</v>
      </c>
      <c r="N1278" s="174">
        <f>'[6]price list MAN'!Y1278</f>
        <v>1428000</v>
      </c>
      <c r="O1278" s="174">
        <f>'[6]price list MAN'!AA1278</f>
        <v>1360000</v>
      </c>
      <c r="P1278" s="68">
        <f t="shared" si="96"/>
        <v>0.27466666666666667</v>
      </c>
      <c r="Q1278" s="62" t="e">
        <f>O1278-#REF!</f>
        <v>#REF!</v>
      </c>
      <c r="W1278" s="209"/>
      <c r="X1278" s="209"/>
      <c r="Y1278" s="209"/>
      <c r="Z1278" s="209"/>
      <c r="AA1278" s="209"/>
      <c r="AB1278" s="209"/>
      <c r="AC1278" s="209"/>
      <c r="AT1278" s="425" t="str">
        <f t="shared" si="97"/>
        <v>KP0006592017Q315,3</v>
      </c>
      <c r="AU1278" s="64" t="str">
        <f t="shared" si="98"/>
        <v>08-2017</v>
      </c>
      <c r="BA1278" s="428" t="str">
        <f t="shared" si="99"/>
        <v>WIP - 30 Days</v>
      </c>
    </row>
    <row r="1279" spans="2:53">
      <c r="B1279" s="36" t="str">
        <f>'[6]price list MAN'!B1279</f>
        <v>76W-B250</v>
      </c>
      <c r="C1279" s="10" t="str">
        <f>'[6]price list MAN'!C1279</f>
        <v>TGS-27-4806X4BBS-LX</v>
      </c>
      <c r="D1279" s="16" t="str">
        <f>IFERROR(VLOOKUP(C1279&amp;"",'[7]Retail Price List'!$A$3:$B$103,2,FALSE),"Special Order")</f>
        <v>KP000659</v>
      </c>
      <c r="E1279" s="494" t="str">
        <f>'[6]price list MAN'!E1279</f>
        <v>CKD</v>
      </c>
      <c r="F1279" s="11" t="str">
        <f>'[6]price list MAN'!F1279</f>
        <v>2018-05-30</v>
      </c>
      <c r="G1279" s="32">
        <f>'[6]price list MAN'!G1279</f>
        <v>15.3</v>
      </c>
      <c r="H1279" s="26">
        <f>'[6]price list MAN'!H1279</f>
        <v>42978</v>
      </c>
      <c r="I1279" s="51" t="str">
        <f t="shared" si="95"/>
        <v>2017Q3</v>
      </c>
      <c r="J1279" s="177">
        <f>'[6]price list MAN'!J1279</f>
        <v>1820000</v>
      </c>
      <c r="K1279" s="177">
        <f>'[6]price list MAN'!P1279</f>
        <v>1370250</v>
      </c>
      <c r="L1279" s="177">
        <f>'[6]price list MAN'!R1279</f>
        <v>1305000</v>
      </c>
      <c r="M1279" s="174">
        <f>'[6]price list MAN'!S1279</f>
        <v>1875000</v>
      </c>
      <c r="N1279" s="174">
        <f>'[6]price list MAN'!Y1279</f>
        <v>1428000</v>
      </c>
      <c r="O1279" s="174">
        <f>'[6]price list MAN'!AA1279</f>
        <v>1360000</v>
      </c>
      <c r="P1279" s="68">
        <f t="shared" si="96"/>
        <v>0.27466666666666667</v>
      </c>
      <c r="Q1279" s="62" t="e">
        <f>O1279-#REF!</f>
        <v>#REF!</v>
      </c>
      <c r="W1279" s="209"/>
      <c r="X1279" s="209"/>
      <c r="Y1279" s="209"/>
      <c r="Z1279" s="209"/>
      <c r="AA1279" s="209"/>
      <c r="AB1279" s="209"/>
      <c r="AC1279" s="209"/>
      <c r="AT1279" s="425" t="str">
        <f t="shared" si="97"/>
        <v>KP0006592017Q315,3</v>
      </c>
      <c r="AU1279" s="64" t="str">
        <f t="shared" si="98"/>
        <v>08-2017</v>
      </c>
      <c r="BA1279" s="428" t="str">
        <f t="shared" si="99"/>
        <v>WIP - 30 Days</v>
      </c>
    </row>
    <row r="1280" spans="2:53">
      <c r="B1280" s="36" t="str">
        <f>'[6]price list MAN'!B1280</f>
        <v>TBAKP659</v>
      </c>
      <c r="C1280" s="10" t="str">
        <f>'[6]price list MAN'!C1280</f>
        <v>TGS-27-4806X4BBS-LX</v>
      </c>
      <c r="D1280" s="16" t="str">
        <f>IFERROR(VLOOKUP(C1280&amp;"",'[7]Retail Price List'!$A$3:$B$103,2,FALSE),"Special Order")</f>
        <v>KP000659</v>
      </c>
      <c r="E1280" s="494" t="str">
        <f>'[6]price list MAN'!E1280</f>
        <v>CKD</v>
      </c>
      <c r="F1280" s="11" t="str">
        <f>'[6]price list MAN'!F1280</f>
        <v>2018-08-19</v>
      </c>
      <c r="G1280" s="32">
        <f>'[6]price list MAN'!G1280</f>
        <v>15.8</v>
      </c>
      <c r="H1280" s="26">
        <f>'[6]price list MAN'!H1280</f>
        <v>43159</v>
      </c>
      <c r="I1280" s="51" t="str">
        <f t="shared" si="95"/>
        <v>2018Q1</v>
      </c>
      <c r="J1280" s="177">
        <f>'[6]price list MAN'!J1280</f>
        <v>1820000</v>
      </c>
      <c r="K1280" s="177">
        <f>'[6]price list MAN'!P1280</f>
        <v>1396500</v>
      </c>
      <c r="L1280" s="177">
        <f>'[6]price list MAN'!R1280</f>
        <v>1330000</v>
      </c>
      <c r="M1280" s="174">
        <f>'[6]price list MAN'!S1280</f>
        <v>1875000</v>
      </c>
      <c r="N1280" s="174">
        <f>'[6]price list MAN'!Y1280</f>
        <v>1454250</v>
      </c>
      <c r="O1280" s="174">
        <f>'[6]price list MAN'!AA1280</f>
        <v>1385000</v>
      </c>
      <c r="P1280" s="68">
        <f t="shared" si="96"/>
        <v>0.26133333333333331</v>
      </c>
      <c r="Q1280" s="62" t="e">
        <f>O1280-#REF!</f>
        <v>#REF!</v>
      </c>
      <c r="W1280" s="209"/>
      <c r="X1280" s="209"/>
      <c r="Y1280" s="209"/>
      <c r="Z1280" s="209"/>
      <c r="AA1280" s="209"/>
      <c r="AB1280" s="209"/>
      <c r="AC1280" s="209"/>
      <c r="AT1280" s="425" t="str">
        <f t="shared" si="97"/>
        <v>KP0006592018Q115,8</v>
      </c>
      <c r="AU1280" s="64" t="str">
        <f t="shared" si="98"/>
        <v>02-2018</v>
      </c>
      <c r="BA1280" s="428" t="str">
        <f t="shared" si="99"/>
        <v>WIP - 30 Days</v>
      </c>
    </row>
    <row r="1281" spans="2:53">
      <c r="B1281" s="36" t="str">
        <f>'[6]price list MAN'!B1281</f>
        <v>76W-9053</v>
      </c>
      <c r="C1281" s="10" t="str">
        <f>'[6]price list MAN'!C1281</f>
        <v>TGS-27-4806X4BBS-LX-PBS</v>
      </c>
      <c r="D1281" s="16" t="str">
        <f>IFERROR(VLOOKUP(C1281&amp;"",'[7]Retail Price List'!$A$3:$B$103,2,FALSE),"Special Order")</f>
        <v>TGS00003</v>
      </c>
      <c r="E1281" s="494" t="str">
        <f>'[6]price list MAN'!E1281</f>
        <v>DEMO</v>
      </c>
      <c r="F1281" s="11">
        <f>'[6]price list MAN'!F1281</f>
        <v>217</v>
      </c>
      <c r="G1281" s="32">
        <f>'[6]price list MAN'!G1281</f>
        <v>15.4</v>
      </c>
      <c r="H1281" s="26">
        <f>'[6]price list MAN'!H1281</f>
        <v>42758</v>
      </c>
      <c r="I1281" s="51" t="str">
        <f t="shared" si="95"/>
        <v>2017Q1</v>
      </c>
      <c r="J1281" s="177">
        <f>'[6]price list MAN'!J1281</f>
        <v>1780000</v>
      </c>
      <c r="K1281" s="177">
        <f>'[6]price list MAN'!P1281</f>
        <v>1407000</v>
      </c>
      <c r="L1281" s="177">
        <f>'[6]price list MAN'!R1281</f>
        <v>1340000</v>
      </c>
      <c r="M1281" s="174">
        <f>'[6]price list MAN'!S1281</f>
        <v>1835000</v>
      </c>
      <c r="N1281" s="174">
        <f>'[6]price list MAN'!Y1281</f>
        <v>1464750</v>
      </c>
      <c r="O1281" s="174">
        <f>'[6]price list MAN'!AA1281</f>
        <v>1395000</v>
      </c>
      <c r="P1281" s="68">
        <f t="shared" si="96"/>
        <v>0.23978201634877383</v>
      </c>
      <c r="Q1281" s="62" t="e">
        <f>O1281-#REF!</f>
        <v>#REF!</v>
      </c>
      <c r="W1281" s="209"/>
      <c r="X1281" s="209"/>
      <c r="Y1281" s="209"/>
      <c r="Z1281" s="209"/>
      <c r="AA1281" s="209"/>
      <c r="AB1281" s="209"/>
      <c r="AC1281" s="209"/>
      <c r="AT1281" s="425" t="str">
        <f t="shared" si="97"/>
        <v>TGS000032017Q115,4</v>
      </c>
      <c r="AU1281" s="64" t="str">
        <f t="shared" si="98"/>
        <v>01-2017</v>
      </c>
      <c r="BA1281" s="428" t="str">
        <f t="shared" si="99"/>
        <v>121-365 Days</v>
      </c>
    </row>
    <row r="1282" spans="2:53">
      <c r="B1282" s="36" t="str">
        <f>'[6]price list MAN'!B1282</f>
        <v>76W-9054</v>
      </c>
      <c r="C1282" s="10" t="str">
        <f>'[6]price list MAN'!C1282</f>
        <v>TGS-27-4806X4BBS-LX-PBS</v>
      </c>
      <c r="D1282" s="16" t="str">
        <f>IFERROR(VLOOKUP(C1282&amp;"",'[7]Retail Price List'!$A$3:$B$103,2,FALSE),"Special Order")</f>
        <v>TGS00003</v>
      </c>
      <c r="E1282" s="494" t="str">
        <f>'[6]price list MAN'!E1282</f>
        <v>SOLD</v>
      </c>
      <c r="F1282" s="11">
        <f>'[6]price list MAN'!F1282</f>
        <v>216</v>
      </c>
      <c r="G1282" s="32">
        <f>'[6]price list MAN'!G1282</f>
        <v>15.4</v>
      </c>
      <c r="H1282" s="26">
        <f>'[6]price list MAN'!H1282</f>
        <v>42758</v>
      </c>
      <c r="I1282" s="51" t="str">
        <f t="shared" si="95"/>
        <v>2017Q1</v>
      </c>
      <c r="J1282" s="177">
        <f>'[6]price list MAN'!J1282</f>
        <v>1780000</v>
      </c>
      <c r="K1282" s="177">
        <f>'[6]price list MAN'!P1282</f>
        <v>1407000</v>
      </c>
      <c r="L1282" s="177">
        <f>'[6]price list MAN'!R1282</f>
        <v>1340000</v>
      </c>
      <c r="M1282" s="174">
        <f>'[6]price list MAN'!S1282</f>
        <v>1835000</v>
      </c>
      <c r="N1282" s="174">
        <f>'[6]price list MAN'!Y1282</f>
        <v>1464750</v>
      </c>
      <c r="O1282" s="174">
        <f>'[6]price list MAN'!AA1282</f>
        <v>1395000</v>
      </c>
      <c r="P1282" s="68">
        <f t="shared" si="96"/>
        <v>0.23978201634877383</v>
      </c>
      <c r="Q1282" s="62" t="e">
        <f>O1282-#REF!</f>
        <v>#REF!</v>
      </c>
      <c r="W1282" s="209"/>
      <c r="X1282" s="209"/>
      <c r="Y1282" s="209"/>
      <c r="Z1282" s="209"/>
      <c r="AA1282" s="209"/>
      <c r="AB1282" s="209"/>
      <c r="AC1282" s="209"/>
      <c r="AT1282" s="425" t="str">
        <f t="shared" si="97"/>
        <v>TGS000032017Q115,4</v>
      </c>
      <c r="AU1282" s="64" t="str">
        <f t="shared" si="98"/>
        <v>01-2017</v>
      </c>
      <c r="BA1282" s="428" t="str">
        <f t="shared" si="99"/>
        <v>121-365 Days</v>
      </c>
    </row>
    <row r="1283" spans="2:53">
      <c r="B1283" s="36" t="str">
        <f>'[6]price list MAN'!B1283</f>
        <v>TBATG015</v>
      </c>
      <c r="C1283" s="10" t="str">
        <f>'[6]price list MAN'!C1283</f>
        <v>TGS-27-4806X4BBS-LX-PBS</v>
      </c>
      <c r="D1283" s="16" t="str">
        <f>IFERROR(VLOOKUP(C1283&amp;"",'[7]Retail Price List'!$A$3:$B$103,2,FALSE),"Special Order")</f>
        <v>TGS00003</v>
      </c>
      <c r="E1283" s="494" t="str">
        <f>'[6]price list MAN'!E1283</f>
        <v>CKD</v>
      </c>
      <c r="F1283" s="11" t="str">
        <f>'[6]price list MAN'!F1283</f>
        <v>2018-06-18</v>
      </c>
      <c r="G1283" s="32">
        <f>'[6]price list MAN'!G1283</f>
        <v>15.8</v>
      </c>
      <c r="H1283" s="26">
        <f>'[6]price list MAN'!H1283</f>
        <v>43159</v>
      </c>
      <c r="I1283" s="51" t="str">
        <f t="shared" si="95"/>
        <v>2018Q1</v>
      </c>
      <c r="J1283" s="177">
        <f>'[6]price list MAN'!J1283</f>
        <v>1780000</v>
      </c>
      <c r="K1283" s="177">
        <f>'[6]price list MAN'!P1283</f>
        <v>1449000</v>
      </c>
      <c r="L1283" s="177">
        <f>'[6]price list MAN'!R1283</f>
        <v>1380000</v>
      </c>
      <c r="M1283" s="174">
        <f>'[6]price list MAN'!S1283</f>
        <v>1835000</v>
      </c>
      <c r="N1283" s="174">
        <f>'[6]price list MAN'!Y1283</f>
        <v>1506750</v>
      </c>
      <c r="O1283" s="174">
        <f>'[6]price list MAN'!AA1283</f>
        <v>1435000</v>
      </c>
      <c r="P1283" s="68">
        <f t="shared" si="96"/>
        <v>0.21798365122615804</v>
      </c>
      <c r="Q1283" s="62" t="e">
        <f>O1283-#REF!</f>
        <v>#REF!</v>
      </c>
      <c r="W1283" s="209"/>
      <c r="X1283" s="209"/>
      <c r="Y1283" s="209"/>
      <c r="Z1283" s="209"/>
      <c r="AA1283" s="209"/>
      <c r="AB1283" s="209"/>
      <c r="AC1283" s="209"/>
      <c r="AT1283" s="425" t="str">
        <f t="shared" si="97"/>
        <v>TGS000032018Q115,8</v>
      </c>
      <c r="AU1283" s="64" t="str">
        <f t="shared" si="98"/>
        <v>02-2018</v>
      </c>
      <c r="BA1283" s="428" t="str">
        <f t="shared" si="99"/>
        <v>WIP - 30 Days</v>
      </c>
    </row>
    <row r="1284" spans="2:53">
      <c r="B1284" s="36" t="str">
        <f>'[6]price list MAN'!B1284</f>
        <v>76W-9399</v>
      </c>
      <c r="C1284" s="10" t="str">
        <f>'[6]price list MAN'!C1284</f>
        <v>TGS-33-3606X4BB-M</v>
      </c>
      <c r="D1284" s="16" t="str">
        <f>IFERROR(VLOOKUP(C1284&amp;"",'[7]Retail Price List'!$A$3:$B$103,2,FALSE),"Special Order")</f>
        <v>KP000682</v>
      </c>
      <c r="E1284" s="494" t="str">
        <f>'[6]price list MAN'!E1284</f>
        <v>BOOKED: 2017-11-29</v>
      </c>
      <c r="F1284" s="11">
        <f>'[6]price list MAN'!F1284</f>
        <v>112</v>
      </c>
      <c r="G1284" s="32">
        <f>'[6]price list MAN'!G1284</f>
        <v>14.7</v>
      </c>
      <c r="H1284" s="26">
        <f>'[6]price list MAN'!H1284</f>
        <v>42859</v>
      </c>
      <c r="I1284" s="51" t="str">
        <f t="shared" si="95"/>
        <v>2017Q2</v>
      </c>
      <c r="J1284" s="177">
        <f>'[6]price list MAN'!J1284</f>
        <v>1490000</v>
      </c>
      <c r="K1284" s="177">
        <f>'[6]price list MAN'!P1284</f>
        <v>1291500</v>
      </c>
      <c r="L1284" s="177">
        <f>'[6]price list MAN'!R1284</f>
        <v>1230000</v>
      </c>
      <c r="M1284" s="174">
        <f>'[6]price list MAN'!S1284</f>
        <v>1545000</v>
      </c>
      <c r="N1284" s="174">
        <f>'[6]price list MAN'!Y1284</f>
        <v>1349250</v>
      </c>
      <c r="O1284" s="174">
        <f>'[6]price list MAN'!AA1284</f>
        <v>1285000</v>
      </c>
      <c r="P1284" s="68">
        <f t="shared" si="96"/>
        <v>0.16828478964401294</v>
      </c>
      <c r="Q1284" s="62" t="e">
        <f>O1284-#REF!</f>
        <v>#REF!</v>
      </c>
      <c r="W1284" s="209"/>
      <c r="X1284" s="209"/>
      <c r="Y1284" s="209"/>
      <c r="Z1284" s="209"/>
      <c r="AA1284" s="209"/>
      <c r="AB1284" s="209"/>
      <c r="AC1284" s="209"/>
      <c r="AT1284" s="425" t="str">
        <f t="shared" si="97"/>
        <v>KP0006822017Q214,7</v>
      </c>
      <c r="AU1284" s="64" t="str">
        <f t="shared" si="98"/>
        <v>05-2017</v>
      </c>
      <c r="BA1284" s="428" t="str">
        <f t="shared" si="99"/>
        <v>31-120 Days</v>
      </c>
    </row>
    <row r="1285" spans="2:53">
      <c r="B1285" s="36" t="str">
        <f>'[6]price list MAN'!B1285</f>
        <v>76W-9491</v>
      </c>
      <c r="C1285" s="10" t="str">
        <f>'[6]price list MAN'!C1285</f>
        <v>TGS-33-3606X4BB-M</v>
      </c>
      <c r="D1285" s="16" t="str">
        <f>IFERROR(VLOOKUP(C1285&amp;"",'[7]Retail Price List'!$A$3:$B$103,2,FALSE),"Special Order")</f>
        <v>KP000682</v>
      </c>
      <c r="E1285" s="494" t="str">
        <f>'[6]price list MAN'!E1285</f>
        <v>SOLD</v>
      </c>
      <c r="F1285" s="11">
        <f>'[6]price list MAN'!F1285</f>
        <v>75</v>
      </c>
      <c r="G1285" s="32">
        <f>'[6]price list MAN'!G1285</f>
        <v>14.7</v>
      </c>
      <c r="H1285" s="26">
        <f>'[6]price list MAN'!H1285</f>
        <v>42937</v>
      </c>
      <c r="I1285" s="51" t="str">
        <f t="shared" ref="I1285:I1348" si="100">IFERROR(VLOOKUP(AU1285,$AW$5:$AY$40,3,FALSE),"")</f>
        <v>201707Q3</v>
      </c>
      <c r="J1285" s="177">
        <f>'[6]price list MAN'!J1285</f>
        <v>1490000</v>
      </c>
      <c r="K1285" s="177">
        <f>'[6]price list MAN'!P1285</f>
        <v>1291500</v>
      </c>
      <c r="L1285" s="177">
        <f>'[6]price list MAN'!R1285</f>
        <v>1230000</v>
      </c>
      <c r="M1285" s="174">
        <f>'[6]price list MAN'!S1285</f>
        <v>1545000</v>
      </c>
      <c r="N1285" s="174">
        <f>'[6]price list MAN'!Y1285</f>
        <v>1349250</v>
      </c>
      <c r="O1285" s="174">
        <f>'[6]price list MAN'!AA1285</f>
        <v>1285000</v>
      </c>
      <c r="P1285" s="68">
        <f t="shared" ref="P1285:P1348" si="101">(M1285-O1285)/M1285</f>
        <v>0.16828478964401294</v>
      </c>
      <c r="Q1285" s="62" t="e">
        <f>O1285-#REF!</f>
        <v>#REF!</v>
      </c>
      <c r="W1285" s="209"/>
      <c r="X1285" s="209"/>
      <c r="Y1285" s="209"/>
      <c r="Z1285" s="209"/>
      <c r="AA1285" s="209"/>
      <c r="AB1285" s="209"/>
      <c r="AC1285" s="209"/>
      <c r="AT1285" s="425" t="str">
        <f t="shared" ref="AT1285:AT1348" si="102">D1285&amp;I1285&amp;G1285</f>
        <v>KP000682201707Q314,7</v>
      </c>
      <c r="AU1285" s="64" t="str">
        <f t="shared" ref="AU1285:AU1348" si="103">IF(MONTH(H1285)&lt;10,0&amp;MONTH(H1285)&amp;"-"&amp;YEAR(H1285),MONTH(H1285)&amp;"-"&amp;YEAR(H1285))</f>
        <v>07-2017</v>
      </c>
      <c r="BA1285" s="428" t="str">
        <f t="shared" ref="BA1285:BA1348" si="104">IF(B1285=0,"",IF(AND(F1285&gt;=31,F1285&lt;=120),"31-120 Days",IF(AND(F1285&gt;=121,F1285&lt;=365),"121-365 Days",IF(OR(E1285="CKD",F1285&lt;=30),"WIP - 30 Days","&gt;365 Days"))))</f>
        <v>31-120 Days</v>
      </c>
    </row>
    <row r="1286" spans="2:53">
      <c r="B1286" s="36" t="str">
        <f>'[6]price list MAN'!B1286</f>
        <v>76W-9492</v>
      </c>
      <c r="C1286" s="10" t="str">
        <f>'[6]price list MAN'!C1286</f>
        <v>TGS-33-3606X4BB-M</v>
      </c>
      <c r="D1286" s="16" t="str">
        <f>IFERROR(VLOOKUP(C1286&amp;"",'[7]Retail Price List'!$A$3:$B$103,2,FALSE),"Special Order")</f>
        <v>KP000682</v>
      </c>
      <c r="E1286" s="494" t="str">
        <f>'[6]price list MAN'!E1286</f>
        <v>SOLD</v>
      </c>
      <c r="F1286" s="11">
        <f>'[6]price list MAN'!F1286</f>
        <v>71</v>
      </c>
      <c r="G1286" s="32">
        <f>'[6]price list MAN'!G1286</f>
        <v>14.7</v>
      </c>
      <c r="H1286" s="26">
        <f>'[6]price list MAN'!H1286</f>
        <v>42937</v>
      </c>
      <c r="I1286" s="51" t="str">
        <f t="shared" si="100"/>
        <v>201707Q3</v>
      </c>
      <c r="J1286" s="177">
        <f>'[6]price list MAN'!J1286</f>
        <v>1490000</v>
      </c>
      <c r="K1286" s="177">
        <f>'[6]price list MAN'!P1286</f>
        <v>1291500</v>
      </c>
      <c r="L1286" s="177">
        <f>'[6]price list MAN'!R1286</f>
        <v>1230000</v>
      </c>
      <c r="M1286" s="174">
        <f>'[6]price list MAN'!S1286</f>
        <v>1545000</v>
      </c>
      <c r="N1286" s="174">
        <f>'[6]price list MAN'!Y1286</f>
        <v>1349250</v>
      </c>
      <c r="O1286" s="174">
        <f>'[6]price list MAN'!AA1286</f>
        <v>1285000</v>
      </c>
      <c r="P1286" s="68">
        <f t="shared" si="101"/>
        <v>0.16828478964401294</v>
      </c>
      <c r="Q1286" s="62" t="e">
        <f>O1286-#REF!</f>
        <v>#REF!</v>
      </c>
      <c r="W1286" s="209"/>
      <c r="X1286" s="209"/>
      <c r="Y1286" s="209"/>
      <c r="Z1286" s="209"/>
      <c r="AA1286" s="209"/>
      <c r="AB1286" s="209"/>
      <c r="AC1286" s="209"/>
      <c r="AT1286" s="425" t="str">
        <f t="shared" si="102"/>
        <v>KP000682201707Q314,7</v>
      </c>
      <c r="AU1286" s="64" t="str">
        <f t="shared" si="103"/>
        <v>07-2017</v>
      </c>
      <c r="BA1286" s="428" t="str">
        <f t="shared" si="104"/>
        <v>31-120 Days</v>
      </c>
    </row>
    <row r="1287" spans="2:53">
      <c r="B1287" s="36" t="str">
        <f>'[6]price list MAN'!B1287</f>
        <v>76W-9494</v>
      </c>
      <c r="C1287" s="10" t="str">
        <f>'[6]price list MAN'!C1287</f>
        <v>TGS-33-3606X4BB-M</v>
      </c>
      <c r="D1287" s="16" t="str">
        <f>IFERROR(VLOOKUP(C1287&amp;"",'[7]Retail Price List'!$A$3:$B$103,2,FALSE),"Special Order")</f>
        <v>KP000682</v>
      </c>
      <c r="E1287" s="494" t="str">
        <f>'[6]price list MAN'!E1287</f>
        <v>SOLD</v>
      </c>
      <c r="F1287" s="11">
        <f>'[6]price list MAN'!F1287</f>
        <v>69</v>
      </c>
      <c r="G1287" s="32">
        <f>'[6]price list MAN'!G1287</f>
        <v>14.7</v>
      </c>
      <c r="H1287" s="26">
        <f>'[6]price list MAN'!H1287</f>
        <v>42937</v>
      </c>
      <c r="I1287" s="51" t="str">
        <f t="shared" si="100"/>
        <v>201707Q3</v>
      </c>
      <c r="J1287" s="177">
        <f>'[6]price list MAN'!J1287</f>
        <v>1490000</v>
      </c>
      <c r="K1287" s="177">
        <f>'[6]price list MAN'!P1287</f>
        <v>1291500</v>
      </c>
      <c r="L1287" s="177">
        <f>'[6]price list MAN'!R1287</f>
        <v>1230000</v>
      </c>
      <c r="M1287" s="174">
        <f>'[6]price list MAN'!S1287</f>
        <v>1545000</v>
      </c>
      <c r="N1287" s="174">
        <f>'[6]price list MAN'!Y1287</f>
        <v>1349250</v>
      </c>
      <c r="O1287" s="174">
        <f>'[6]price list MAN'!AA1287</f>
        <v>1285000</v>
      </c>
      <c r="P1287" s="68">
        <f t="shared" si="101"/>
        <v>0.16828478964401294</v>
      </c>
      <c r="Q1287" s="62" t="e">
        <f>O1287-#REF!</f>
        <v>#REF!</v>
      </c>
      <c r="W1287" s="209"/>
      <c r="X1287" s="209"/>
      <c r="Y1287" s="209"/>
      <c r="Z1287" s="209"/>
      <c r="AA1287" s="209"/>
      <c r="AB1287" s="209"/>
      <c r="AC1287" s="209"/>
      <c r="AT1287" s="425" t="str">
        <f t="shared" si="102"/>
        <v>KP000682201707Q314,7</v>
      </c>
      <c r="AU1287" s="64" t="str">
        <f t="shared" si="103"/>
        <v>07-2017</v>
      </c>
      <c r="BA1287" s="428" t="str">
        <f t="shared" si="104"/>
        <v>31-120 Days</v>
      </c>
    </row>
    <row r="1288" spans="2:53">
      <c r="B1288" s="36" t="str">
        <f>'[6]price list MAN'!B1288</f>
        <v>76W-9688</v>
      </c>
      <c r="C1288" s="10" t="str">
        <f>'[6]price list MAN'!C1288</f>
        <v>TGS-33-3606X4BB-M</v>
      </c>
      <c r="D1288" s="16" t="str">
        <f>IFERROR(VLOOKUP(C1288&amp;"",'[7]Retail Price List'!$A$3:$B$103,2,FALSE),"Special Order")</f>
        <v>KP000682</v>
      </c>
      <c r="E1288" s="494" t="str">
        <f>'[6]price list MAN'!E1288</f>
        <v>CKD</v>
      </c>
      <c r="F1288" s="11" t="str">
        <f>'[6]price list MAN'!F1288</f>
        <v>2018-03-28</v>
      </c>
      <c r="G1288" s="32">
        <f>'[6]price list MAN'!G1288</f>
        <v>14.7</v>
      </c>
      <c r="H1288" s="26">
        <f>'[6]price list MAN'!H1288</f>
        <v>42947</v>
      </c>
      <c r="I1288" s="51" t="str">
        <f t="shared" si="100"/>
        <v>201707Q3</v>
      </c>
      <c r="J1288" s="177">
        <f>'[6]price list MAN'!J1288</f>
        <v>1490000</v>
      </c>
      <c r="K1288" s="177">
        <f>'[6]price list MAN'!P1288</f>
        <v>1291500</v>
      </c>
      <c r="L1288" s="177">
        <f>'[6]price list MAN'!R1288</f>
        <v>1230000</v>
      </c>
      <c r="M1288" s="174">
        <f>'[6]price list MAN'!S1288</f>
        <v>1545000</v>
      </c>
      <c r="N1288" s="174">
        <f>'[6]price list MAN'!Y1288</f>
        <v>1349250</v>
      </c>
      <c r="O1288" s="174">
        <f>'[6]price list MAN'!AA1288</f>
        <v>1285000</v>
      </c>
      <c r="P1288" s="68">
        <f t="shared" si="101"/>
        <v>0.16828478964401294</v>
      </c>
      <c r="Q1288" s="62" t="e">
        <f>O1288-#REF!</f>
        <v>#REF!</v>
      </c>
      <c r="W1288" s="209"/>
      <c r="X1288" s="209"/>
      <c r="Y1288" s="209"/>
      <c r="Z1288" s="209"/>
      <c r="AA1288" s="209"/>
      <c r="AB1288" s="209"/>
      <c r="AC1288" s="209"/>
      <c r="AT1288" s="425" t="str">
        <f t="shared" si="102"/>
        <v>KP000682201707Q314,7</v>
      </c>
      <c r="AU1288" s="64" t="str">
        <f t="shared" si="103"/>
        <v>07-2017</v>
      </c>
      <c r="BA1288" s="428" t="str">
        <f t="shared" si="104"/>
        <v>WIP - 30 Days</v>
      </c>
    </row>
    <row r="1289" spans="2:53">
      <c r="B1289" s="36" t="str">
        <f>'[6]price list MAN'!B1289</f>
        <v>76W-9689</v>
      </c>
      <c r="C1289" s="10" t="str">
        <f>'[6]price list MAN'!C1289</f>
        <v>TGS-33-3606X4BB-M</v>
      </c>
      <c r="D1289" s="16" t="str">
        <f>IFERROR(VLOOKUP(C1289&amp;"",'[7]Retail Price List'!$A$3:$B$103,2,FALSE),"Special Order")</f>
        <v>KP000682</v>
      </c>
      <c r="E1289" s="494" t="str">
        <f>'[6]price list MAN'!E1289</f>
        <v>CKD</v>
      </c>
      <c r="F1289" s="11" t="str">
        <f>'[6]price list MAN'!F1289</f>
        <v>2018-03-28</v>
      </c>
      <c r="G1289" s="32">
        <f>'[6]price list MAN'!G1289</f>
        <v>14.7</v>
      </c>
      <c r="H1289" s="26">
        <f>'[6]price list MAN'!H1289</f>
        <v>42947</v>
      </c>
      <c r="I1289" s="51" t="str">
        <f t="shared" si="100"/>
        <v>201707Q3</v>
      </c>
      <c r="J1289" s="177">
        <f>'[6]price list MAN'!J1289</f>
        <v>1490000</v>
      </c>
      <c r="K1289" s="177">
        <f>'[6]price list MAN'!P1289</f>
        <v>1291500</v>
      </c>
      <c r="L1289" s="177">
        <f>'[6]price list MAN'!R1289</f>
        <v>1230000</v>
      </c>
      <c r="M1289" s="174">
        <f>'[6]price list MAN'!S1289</f>
        <v>1545000</v>
      </c>
      <c r="N1289" s="174">
        <f>'[6]price list MAN'!Y1289</f>
        <v>1349250</v>
      </c>
      <c r="O1289" s="174">
        <f>'[6]price list MAN'!AA1289</f>
        <v>1285000</v>
      </c>
      <c r="P1289" s="68">
        <f t="shared" si="101"/>
        <v>0.16828478964401294</v>
      </c>
      <c r="Q1289" s="62" t="e">
        <f>O1289-#REF!</f>
        <v>#REF!</v>
      </c>
      <c r="W1289" s="209"/>
      <c r="X1289" s="209"/>
      <c r="Y1289" s="209"/>
      <c r="Z1289" s="209"/>
      <c r="AA1289" s="209"/>
      <c r="AB1289" s="209"/>
      <c r="AC1289" s="209"/>
      <c r="AT1289" s="425" t="str">
        <f t="shared" si="102"/>
        <v>KP000682201707Q314,7</v>
      </c>
      <c r="AU1289" s="64" t="str">
        <f t="shared" si="103"/>
        <v>07-2017</v>
      </c>
      <c r="BA1289" s="428" t="str">
        <f t="shared" si="104"/>
        <v>WIP - 30 Days</v>
      </c>
    </row>
    <row r="1290" spans="2:53">
      <c r="B1290" s="36" t="str">
        <f>'[6]price list MAN'!B1290</f>
        <v>76W-9690</v>
      </c>
      <c r="C1290" s="10" t="str">
        <f>'[6]price list MAN'!C1290</f>
        <v>TGS-33-3606X4BB-M</v>
      </c>
      <c r="D1290" s="16" t="str">
        <f>IFERROR(VLOOKUP(C1290&amp;"",'[7]Retail Price List'!$A$3:$B$103,2,FALSE),"Special Order")</f>
        <v>KP000682</v>
      </c>
      <c r="E1290" s="494" t="str">
        <f>'[6]price list MAN'!E1290</f>
        <v>CKD</v>
      </c>
      <c r="F1290" s="11" t="str">
        <f>'[6]price list MAN'!F1290</f>
        <v>2018-03-28</v>
      </c>
      <c r="G1290" s="32">
        <f>'[6]price list MAN'!G1290</f>
        <v>14.7</v>
      </c>
      <c r="H1290" s="26">
        <f>'[6]price list MAN'!H1290</f>
        <v>42947</v>
      </c>
      <c r="I1290" s="51" t="str">
        <f t="shared" si="100"/>
        <v>201707Q3</v>
      </c>
      <c r="J1290" s="177">
        <f>'[6]price list MAN'!J1290</f>
        <v>1490000</v>
      </c>
      <c r="K1290" s="177">
        <f>'[6]price list MAN'!P1290</f>
        <v>1291500</v>
      </c>
      <c r="L1290" s="177">
        <f>'[6]price list MAN'!R1290</f>
        <v>1230000</v>
      </c>
      <c r="M1290" s="174">
        <f>'[6]price list MAN'!S1290</f>
        <v>1545000</v>
      </c>
      <c r="N1290" s="174">
        <f>'[6]price list MAN'!Y1290</f>
        <v>1349250</v>
      </c>
      <c r="O1290" s="174">
        <f>'[6]price list MAN'!AA1290</f>
        <v>1285000</v>
      </c>
      <c r="P1290" s="68">
        <f t="shared" si="101"/>
        <v>0.16828478964401294</v>
      </c>
      <c r="Q1290" s="62" t="e">
        <f>O1290-#REF!</f>
        <v>#REF!</v>
      </c>
      <c r="W1290" s="209"/>
      <c r="X1290" s="209"/>
      <c r="Y1290" s="209"/>
      <c r="Z1290" s="209"/>
      <c r="AA1290" s="209"/>
      <c r="AB1290" s="209"/>
      <c r="AC1290" s="209"/>
      <c r="AT1290" s="425" t="str">
        <f t="shared" si="102"/>
        <v>KP000682201707Q314,7</v>
      </c>
      <c r="AU1290" s="64" t="str">
        <f t="shared" si="103"/>
        <v>07-2017</v>
      </c>
      <c r="BA1290" s="428" t="str">
        <f t="shared" si="104"/>
        <v>WIP - 30 Days</v>
      </c>
    </row>
    <row r="1291" spans="2:53">
      <c r="B1291" s="36" t="str">
        <f>'[6]price list MAN'!B1291</f>
        <v>76W-9691</v>
      </c>
      <c r="C1291" s="10" t="str">
        <f>'[6]price list MAN'!C1291</f>
        <v>TGS-33-3606X4BB-M</v>
      </c>
      <c r="D1291" s="16" t="str">
        <f>IFERROR(VLOOKUP(C1291&amp;"",'[7]Retail Price List'!$A$3:$B$103,2,FALSE),"Special Order")</f>
        <v>KP000682</v>
      </c>
      <c r="E1291" s="494" t="str">
        <f>'[6]price list MAN'!E1291</f>
        <v>CKD</v>
      </c>
      <c r="F1291" s="11" t="str">
        <f>'[6]price list MAN'!F1291</f>
        <v>2018-03-28</v>
      </c>
      <c r="G1291" s="32">
        <f>'[6]price list MAN'!G1291</f>
        <v>14.7</v>
      </c>
      <c r="H1291" s="26">
        <f>'[6]price list MAN'!H1291</f>
        <v>42947</v>
      </c>
      <c r="I1291" s="51" t="str">
        <f t="shared" si="100"/>
        <v>201707Q3</v>
      </c>
      <c r="J1291" s="177">
        <f>'[6]price list MAN'!J1291</f>
        <v>1490000</v>
      </c>
      <c r="K1291" s="177">
        <f>'[6]price list MAN'!P1291</f>
        <v>1291500</v>
      </c>
      <c r="L1291" s="177">
        <f>'[6]price list MAN'!R1291</f>
        <v>1230000</v>
      </c>
      <c r="M1291" s="174">
        <f>'[6]price list MAN'!S1291</f>
        <v>1545000</v>
      </c>
      <c r="N1291" s="174">
        <f>'[6]price list MAN'!Y1291</f>
        <v>1349250</v>
      </c>
      <c r="O1291" s="174">
        <f>'[6]price list MAN'!AA1291</f>
        <v>1285000</v>
      </c>
      <c r="P1291" s="68">
        <f t="shared" si="101"/>
        <v>0.16828478964401294</v>
      </c>
      <c r="Q1291" s="62" t="e">
        <f>O1291-#REF!</f>
        <v>#REF!</v>
      </c>
      <c r="W1291" s="209"/>
      <c r="X1291" s="209"/>
      <c r="Y1291" s="209"/>
      <c r="Z1291" s="209"/>
      <c r="AA1291" s="209"/>
      <c r="AB1291" s="209"/>
      <c r="AC1291" s="209"/>
      <c r="AT1291" s="425" t="str">
        <f t="shared" si="102"/>
        <v>KP000682201707Q314,7</v>
      </c>
      <c r="AU1291" s="64" t="str">
        <f t="shared" si="103"/>
        <v>07-2017</v>
      </c>
      <c r="BA1291" s="428" t="str">
        <f t="shared" si="104"/>
        <v>WIP - 30 Days</v>
      </c>
    </row>
    <row r="1292" spans="2:53">
      <c r="B1292" s="36" t="str">
        <f>'[6]price list MAN'!B1292</f>
        <v>TBAKP682</v>
      </c>
      <c r="C1292" s="10" t="str">
        <f>'[6]price list MAN'!C1292</f>
        <v>TGS-33-3606X4BB-M</v>
      </c>
      <c r="D1292" s="16" t="str">
        <f>IFERROR(VLOOKUP(C1292&amp;"",'[7]Retail Price List'!$A$3:$B$103,2,FALSE),"Special Order")</f>
        <v>KP000682</v>
      </c>
      <c r="E1292" s="494" t="str">
        <f>'[6]price list MAN'!E1292</f>
        <v>CKD</v>
      </c>
      <c r="F1292" s="11" t="str">
        <f>'[6]price list MAN'!F1292</f>
        <v>2018-08-19</v>
      </c>
      <c r="G1292" s="32">
        <f>'[6]price list MAN'!G1292</f>
        <v>15.8</v>
      </c>
      <c r="H1292" s="26">
        <f>'[6]price list MAN'!H1292</f>
        <v>43159</v>
      </c>
      <c r="I1292" s="51" t="str">
        <f t="shared" si="100"/>
        <v>2018Q1</v>
      </c>
      <c r="J1292" s="177">
        <f>'[6]price list MAN'!J1292</f>
        <v>1490000</v>
      </c>
      <c r="K1292" s="177">
        <f>'[6]price list MAN'!P1292</f>
        <v>1291500</v>
      </c>
      <c r="L1292" s="177">
        <f>'[6]price list MAN'!R1292</f>
        <v>1230000</v>
      </c>
      <c r="M1292" s="174">
        <f>'[6]price list MAN'!S1292</f>
        <v>1545000</v>
      </c>
      <c r="N1292" s="174">
        <f>'[6]price list MAN'!Y1292</f>
        <v>1349250</v>
      </c>
      <c r="O1292" s="174">
        <f>'[6]price list MAN'!AA1292</f>
        <v>1285000</v>
      </c>
      <c r="P1292" s="68">
        <f t="shared" si="101"/>
        <v>0.16828478964401294</v>
      </c>
      <c r="Q1292" s="62" t="e">
        <f>O1292-#REF!</f>
        <v>#REF!</v>
      </c>
      <c r="W1292" s="209"/>
      <c r="X1292" s="209"/>
      <c r="Y1292" s="209"/>
      <c r="Z1292" s="209"/>
      <c r="AA1292" s="209"/>
      <c r="AB1292" s="209"/>
      <c r="AC1292" s="209"/>
      <c r="AT1292" s="425" t="str">
        <f t="shared" si="102"/>
        <v>KP0006822018Q115,8</v>
      </c>
      <c r="AU1292" s="64" t="str">
        <f t="shared" si="103"/>
        <v>02-2018</v>
      </c>
      <c r="BA1292" s="428" t="str">
        <f t="shared" si="104"/>
        <v>WIP - 30 Days</v>
      </c>
    </row>
    <row r="1293" spans="2:53">
      <c r="B1293" s="36" t="str">
        <f>'[6]price list MAN'!B1293</f>
        <v>TBAKP681</v>
      </c>
      <c r="C1293" s="10" t="str">
        <f>'[6]price list MAN'!C1293</f>
        <v>TGS-33-3606X4BB-M-K</v>
      </c>
      <c r="D1293" s="16" t="str">
        <f>IFERROR(VLOOKUP(C1293&amp;"",'[7]Retail Price List'!$A$3:$B$103,2,FALSE),"Special Order")</f>
        <v>KP000681</v>
      </c>
      <c r="E1293" s="494" t="str">
        <f>'[6]price list MAN'!E1293</f>
        <v>CKD</v>
      </c>
      <c r="F1293" s="11" t="str">
        <f>'[6]price list MAN'!F1293</f>
        <v>2018-08-19</v>
      </c>
      <c r="G1293" s="32">
        <f>'[6]price list MAN'!G1293</f>
        <v>15.8</v>
      </c>
      <c r="H1293" s="26">
        <f>'[6]price list MAN'!H1293</f>
        <v>43159</v>
      </c>
      <c r="I1293" s="51" t="str">
        <f t="shared" si="100"/>
        <v>2018Q1</v>
      </c>
      <c r="J1293" s="177">
        <f>'[6]price list MAN'!J1293</f>
        <v>1450000</v>
      </c>
      <c r="K1293" s="177">
        <f>'[6]price list MAN'!P1293</f>
        <v>1365000</v>
      </c>
      <c r="L1293" s="177">
        <f>'[6]price list MAN'!R1293</f>
        <v>1300000</v>
      </c>
      <c r="M1293" s="174">
        <f>'[6]price list MAN'!S1293</f>
        <v>1505000</v>
      </c>
      <c r="N1293" s="174">
        <f>'[6]price list MAN'!Y1293</f>
        <v>1422750</v>
      </c>
      <c r="O1293" s="174">
        <f>'[6]price list MAN'!AA1293</f>
        <v>1355000</v>
      </c>
      <c r="P1293" s="68">
        <f t="shared" si="101"/>
        <v>9.9667774086378738E-2</v>
      </c>
      <c r="Q1293" s="62" t="e">
        <f>O1293-#REF!</f>
        <v>#REF!</v>
      </c>
      <c r="W1293" s="209"/>
      <c r="X1293" s="209"/>
      <c r="Y1293" s="209"/>
      <c r="Z1293" s="209"/>
      <c r="AA1293" s="209"/>
      <c r="AB1293" s="209"/>
      <c r="AC1293" s="209"/>
      <c r="AT1293" s="425" t="str">
        <f t="shared" si="102"/>
        <v>KP0006812018Q115,8</v>
      </c>
      <c r="AU1293" s="64" t="str">
        <f t="shared" si="103"/>
        <v>02-2018</v>
      </c>
      <c r="BA1293" s="428" t="str">
        <f t="shared" si="104"/>
        <v>WIP - 30 Days</v>
      </c>
    </row>
    <row r="1294" spans="2:53">
      <c r="B1294" s="36" t="str">
        <f>'[6]price list MAN'!B1294</f>
        <v>56W-2560</v>
      </c>
      <c r="C1294" s="10" t="str">
        <f>'[6]price list MAN'!C1294</f>
        <v>TGS-33-3606X6BB-M-DWA</v>
      </c>
      <c r="D1294" s="16" t="str">
        <f>IFERROR(VLOOKUP(C1294&amp;"",'[7]Retail Price List'!$A$3:$B$103,2,FALSE),"Special Order")</f>
        <v>Special Order</v>
      </c>
      <c r="E1294" s="494" t="str">
        <f>'[6]price list MAN'!E1294</f>
        <v>SOLD</v>
      </c>
      <c r="F1294" s="11">
        <f>'[6]price list MAN'!F1294</f>
        <v>62</v>
      </c>
      <c r="G1294" s="32">
        <f>'[6]price list MAN'!G1294</f>
        <v>14.7</v>
      </c>
      <c r="H1294" s="26">
        <f>'[6]price list MAN'!H1294</f>
        <v>42874</v>
      </c>
      <c r="I1294" s="51" t="str">
        <f t="shared" si="100"/>
        <v>2017Q2</v>
      </c>
      <c r="J1294" s="177" t="e">
        <f>'[6]price list MAN'!J1294</f>
        <v>#N/A</v>
      </c>
      <c r="K1294" s="177" t="e">
        <f>'[6]price list MAN'!P1294</f>
        <v>#N/A</v>
      </c>
      <c r="L1294" s="177" t="e">
        <f>'[6]price list MAN'!R1294</f>
        <v>#N/A</v>
      </c>
      <c r="M1294" s="174" t="e">
        <f>'[6]price list MAN'!S1294</f>
        <v>#N/A</v>
      </c>
      <c r="N1294" s="174" t="e">
        <f>'[6]price list MAN'!Y1294</f>
        <v>#N/A</v>
      </c>
      <c r="O1294" s="174" t="e">
        <f>'[6]price list MAN'!AA1294</f>
        <v>#N/A</v>
      </c>
      <c r="P1294" s="68" t="e">
        <f t="shared" si="101"/>
        <v>#N/A</v>
      </c>
      <c r="Q1294" s="62" t="e">
        <f>O1294-#REF!</f>
        <v>#N/A</v>
      </c>
      <c r="W1294" s="209"/>
      <c r="X1294" s="209"/>
      <c r="Y1294" s="209"/>
      <c r="Z1294" s="209"/>
      <c r="AA1294" s="209"/>
      <c r="AB1294" s="209"/>
      <c r="AC1294" s="209"/>
      <c r="AT1294" s="425" t="str">
        <f t="shared" si="102"/>
        <v>Special Order2017Q214,7</v>
      </c>
      <c r="AU1294" s="64" t="str">
        <f t="shared" si="103"/>
        <v>05-2017</v>
      </c>
      <c r="BA1294" s="428" t="str">
        <f t="shared" si="104"/>
        <v>31-120 Days</v>
      </c>
    </row>
    <row r="1295" spans="2:53">
      <c r="B1295" s="36">
        <f>'[6]price list MAN'!B1295</f>
        <v>48895</v>
      </c>
      <c r="C1295" s="10" t="str">
        <f>'[6]price list MAN'!C1295</f>
        <v>TGS-33-4406X4BBS-L</v>
      </c>
      <c r="D1295" s="16" t="str">
        <f>IFERROR(VLOOKUP(C1295&amp;"",'[7]Retail Price List'!$A$3:$B$103,2,FALSE),"Special Order")</f>
        <v>KP000673</v>
      </c>
      <c r="E1295" s="494" t="str">
        <f>'[6]price list MAN'!E1295</f>
        <v>CKD</v>
      </c>
      <c r="F1295" s="11" t="str">
        <f>'[6]price list MAN'!F1295</f>
        <v>2018-07-30</v>
      </c>
      <c r="G1295" s="32">
        <f>'[6]price list MAN'!G1295</f>
        <v>15.9</v>
      </c>
      <c r="H1295" s="26">
        <f>'[6]price list MAN'!H1295</f>
        <v>43069</v>
      </c>
      <c r="I1295" s="51" t="str">
        <f t="shared" si="100"/>
        <v>2017Q4</v>
      </c>
      <c r="J1295" s="177">
        <f>'[6]price list MAN'!J1295</f>
        <v>1770000</v>
      </c>
      <c r="K1295" s="177">
        <f>'[6]price list MAN'!P1295</f>
        <v>1354500</v>
      </c>
      <c r="L1295" s="177">
        <f>'[6]price list MAN'!R1295</f>
        <v>1290000</v>
      </c>
      <c r="M1295" s="174">
        <f>'[6]price list MAN'!S1295</f>
        <v>1825000</v>
      </c>
      <c r="N1295" s="174">
        <f>'[6]price list MAN'!Y1295</f>
        <v>1412250</v>
      </c>
      <c r="O1295" s="174">
        <f>'[6]price list MAN'!AA1295</f>
        <v>1345000</v>
      </c>
      <c r="P1295" s="68">
        <f t="shared" si="101"/>
        <v>0.26301369863013696</v>
      </c>
      <c r="Q1295" s="62" t="e">
        <f>O1295-#REF!</f>
        <v>#REF!</v>
      </c>
      <c r="W1295" s="209"/>
      <c r="X1295" s="209"/>
      <c r="Y1295" s="209"/>
      <c r="Z1295" s="209"/>
      <c r="AA1295" s="209"/>
      <c r="AB1295" s="209"/>
      <c r="AC1295" s="209"/>
      <c r="AT1295" s="425" t="str">
        <f t="shared" si="102"/>
        <v>KP0006732017Q415,9</v>
      </c>
      <c r="AU1295" s="64" t="str">
        <f t="shared" si="103"/>
        <v>11-2017</v>
      </c>
      <c r="BA1295" s="428" t="str">
        <f t="shared" si="104"/>
        <v>WIP - 30 Days</v>
      </c>
    </row>
    <row r="1296" spans="2:53">
      <c r="B1296" s="36">
        <f>'[6]price list MAN'!B1296</f>
        <v>48896</v>
      </c>
      <c r="C1296" s="10" t="str">
        <f>'[6]price list MAN'!C1296</f>
        <v>TGS-33-4406X4BBS-L</v>
      </c>
      <c r="D1296" s="16" t="str">
        <f>IFERROR(VLOOKUP(C1296&amp;"",'[7]Retail Price List'!$A$3:$B$103,2,FALSE),"Special Order")</f>
        <v>KP000673</v>
      </c>
      <c r="E1296" s="494" t="str">
        <f>'[6]price list MAN'!E1296</f>
        <v>CKD</v>
      </c>
      <c r="F1296" s="11" t="str">
        <f>'[6]price list MAN'!F1296</f>
        <v>2018-07-30</v>
      </c>
      <c r="G1296" s="32">
        <f>'[6]price list MAN'!G1296</f>
        <v>15.9</v>
      </c>
      <c r="H1296" s="26">
        <f>'[6]price list MAN'!H1296</f>
        <v>43069</v>
      </c>
      <c r="I1296" s="51" t="str">
        <f t="shared" si="100"/>
        <v>2017Q4</v>
      </c>
      <c r="J1296" s="177">
        <f>'[6]price list MAN'!J1296</f>
        <v>1770000</v>
      </c>
      <c r="K1296" s="177">
        <f>'[6]price list MAN'!P1296</f>
        <v>1354500</v>
      </c>
      <c r="L1296" s="177">
        <f>'[6]price list MAN'!R1296</f>
        <v>1290000</v>
      </c>
      <c r="M1296" s="174">
        <f>'[6]price list MAN'!S1296</f>
        <v>1825000</v>
      </c>
      <c r="N1296" s="174">
        <f>'[6]price list MAN'!Y1296</f>
        <v>1412250</v>
      </c>
      <c r="O1296" s="174">
        <f>'[6]price list MAN'!AA1296</f>
        <v>1345000</v>
      </c>
      <c r="P1296" s="68">
        <f t="shared" si="101"/>
        <v>0.26301369863013696</v>
      </c>
      <c r="Q1296" s="62" t="e">
        <f>O1296-#REF!</f>
        <v>#REF!</v>
      </c>
      <c r="W1296" s="209"/>
      <c r="X1296" s="209"/>
      <c r="Y1296" s="209"/>
      <c r="Z1296" s="209"/>
      <c r="AA1296" s="209"/>
      <c r="AB1296" s="209"/>
      <c r="AC1296" s="209"/>
      <c r="AT1296" s="425" t="str">
        <f t="shared" si="102"/>
        <v>KP0006732017Q415,9</v>
      </c>
      <c r="AU1296" s="64" t="str">
        <f t="shared" si="103"/>
        <v>11-2017</v>
      </c>
      <c r="BA1296" s="428" t="str">
        <f t="shared" si="104"/>
        <v>WIP - 30 Days</v>
      </c>
    </row>
    <row r="1297" spans="2:53">
      <c r="B1297" s="36">
        <f>'[6]price list MAN'!B1297</f>
        <v>48897</v>
      </c>
      <c r="C1297" s="10" t="str">
        <f>'[6]price list MAN'!C1297</f>
        <v>TGS-33-4406X4BBS-L</v>
      </c>
      <c r="D1297" s="16" t="str">
        <f>IFERROR(VLOOKUP(C1297&amp;"",'[7]Retail Price List'!$A$3:$B$103,2,FALSE),"Special Order")</f>
        <v>KP000673</v>
      </c>
      <c r="E1297" s="494" t="str">
        <f>'[6]price list MAN'!E1297</f>
        <v>CKD</v>
      </c>
      <c r="F1297" s="11" t="str">
        <f>'[6]price list MAN'!F1297</f>
        <v>2018-07-30</v>
      </c>
      <c r="G1297" s="32">
        <f>'[6]price list MAN'!G1297</f>
        <v>15.9</v>
      </c>
      <c r="H1297" s="26">
        <f>'[6]price list MAN'!H1297</f>
        <v>43069</v>
      </c>
      <c r="I1297" s="51" t="str">
        <f t="shared" si="100"/>
        <v>2017Q4</v>
      </c>
      <c r="J1297" s="177">
        <f>'[6]price list MAN'!J1297</f>
        <v>1770000</v>
      </c>
      <c r="K1297" s="177">
        <f>'[6]price list MAN'!P1297</f>
        <v>1354500</v>
      </c>
      <c r="L1297" s="177">
        <f>'[6]price list MAN'!R1297</f>
        <v>1290000</v>
      </c>
      <c r="M1297" s="174">
        <f>'[6]price list MAN'!S1297</f>
        <v>1825000</v>
      </c>
      <c r="N1297" s="174">
        <f>'[6]price list MAN'!Y1297</f>
        <v>1412250</v>
      </c>
      <c r="O1297" s="174">
        <f>'[6]price list MAN'!AA1297</f>
        <v>1345000</v>
      </c>
      <c r="P1297" s="68">
        <f t="shared" si="101"/>
        <v>0.26301369863013696</v>
      </c>
      <c r="Q1297" s="62" t="e">
        <f>O1297-#REF!</f>
        <v>#REF!</v>
      </c>
      <c r="W1297" s="209"/>
      <c r="X1297" s="209"/>
      <c r="Y1297" s="209"/>
      <c r="Z1297" s="209"/>
      <c r="AA1297" s="209"/>
      <c r="AB1297" s="209"/>
      <c r="AC1297" s="209"/>
      <c r="AT1297" s="425" t="str">
        <f t="shared" si="102"/>
        <v>KP0006732017Q415,9</v>
      </c>
      <c r="AU1297" s="64" t="str">
        <f t="shared" si="103"/>
        <v>11-2017</v>
      </c>
      <c r="BA1297" s="428" t="str">
        <f t="shared" si="104"/>
        <v>WIP - 30 Days</v>
      </c>
    </row>
    <row r="1298" spans="2:53">
      <c r="B1298" s="36">
        <f>'[6]price list MAN'!B1298</f>
        <v>48898</v>
      </c>
      <c r="C1298" s="10" t="str">
        <f>'[6]price list MAN'!C1298</f>
        <v>TGS-33-4406X4BBS-L</v>
      </c>
      <c r="D1298" s="16" t="str">
        <f>IFERROR(VLOOKUP(C1298&amp;"",'[7]Retail Price List'!$A$3:$B$103,2,FALSE),"Special Order")</f>
        <v>KP000673</v>
      </c>
      <c r="E1298" s="494" t="str">
        <f>'[6]price list MAN'!E1298</f>
        <v>CKD</v>
      </c>
      <c r="F1298" s="11" t="str">
        <f>'[6]price list MAN'!F1298</f>
        <v>2018-07-30</v>
      </c>
      <c r="G1298" s="32">
        <f>'[6]price list MAN'!G1298</f>
        <v>15.9</v>
      </c>
      <c r="H1298" s="26">
        <f>'[6]price list MAN'!H1298</f>
        <v>43069</v>
      </c>
      <c r="I1298" s="51" t="str">
        <f t="shared" si="100"/>
        <v>2017Q4</v>
      </c>
      <c r="J1298" s="177">
        <f>'[6]price list MAN'!J1298</f>
        <v>1770000</v>
      </c>
      <c r="K1298" s="177">
        <f>'[6]price list MAN'!P1298</f>
        <v>1354500</v>
      </c>
      <c r="L1298" s="177">
        <f>'[6]price list MAN'!R1298</f>
        <v>1290000</v>
      </c>
      <c r="M1298" s="174">
        <f>'[6]price list MAN'!S1298</f>
        <v>1825000</v>
      </c>
      <c r="N1298" s="174">
        <f>'[6]price list MAN'!Y1298</f>
        <v>1412250</v>
      </c>
      <c r="O1298" s="174">
        <f>'[6]price list MAN'!AA1298</f>
        <v>1345000</v>
      </c>
      <c r="P1298" s="68">
        <f t="shared" si="101"/>
        <v>0.26301369863013696</v>
      </c>
      <c r="Q1298" s="62" t="e">
        <f>O1298-#REF!</f>
        <v>#REF!</v>
      </c>
      <c r="W1298" s="209"/>
      <c r="X1298" s="209"/>
      <c r="Y1298" s="209"/>
      <c r="Z1298" s="209"/>
      <c r="AA1298" s="209"/>
      <c r="AB1298" s="209"/>
      <c r="AC1298" s="209"/>
      <c r="AT1298" s="425" t="str">
        <f t="shared" si="102"/>
        <v>KP0006732017Q415,9</v>
      </c>
      <c r="AU1298" s="64" t="str">
        <f t="shared" si="103"/>
        <v>11-2017</v>
      </c>
      <c r="BA1298" s="428" t="str">
        <f t="shared" si="104"/>
        <v>WIP - 30 Days</v>
      </c>
    </row>
    <row r="1299" spans="2:53">
      <c r="B1299" s="36" t="str">
        <f>'[6]price list MAN'!B1299</f>
        <v>76W-9627</v>
      </c>
      <c r="C1299" s="10" t="str">
        <f>'[6]price list MAN'!C1299</f>
        <v>TGS-33-4406X4BBS-L</v>
      </c>
      <c r="D1299" s="16" t="str">
        <f>IFERROR(VLOOKUP(C1299&amp;"",'[7]Retail Price List'!$A$3:$B$103,2,FALSE),"Special Order")</f>
        <v>KP000673</v>
      </c>
      <c r="E1299" s="494" t="str">
        <f>'[6]price list MAN'!E1299</f>
        <v>SOLD</v>
      </c>
      <c r="F1299" s="11">
        <f>'[6]price list MAN'!F1299</f>
        <v>34</v>
      </c>
      <c r="G1299" s="32">
        <f>'[6]price list MAN'!G1299</f>
        <v>14.7</v>
      </c>
      <c r="H1299" s="26">
        <f>'[6]price list MAN'!H1299</f>
        <v>42937</v>
      </c>
      <c r="I1299" s="51" t="str">
        <f t="shared" si="100"/>
        <v>201707Q3</v>
      </c>
      <c r="J1299" s="177">
        <f>'[6]price list MAN'!J1299</f>
        <v>1770000</v>
      </c>
      <c r="K1299" s="177">
        <f>'[6]price list MAN'!P1299</f>
        <v>1375500</v>
      </c>
      <c r="L1299" s="177">
        <f>'[6]price list MAN'!R1299</f>
        <v>1310000</v>
      </c>
      <c r="M1299" s="174">
        <f>'[6]price list MAN'!S1299</f>
        <v>1825000</v>
      </c>
      <c r="N1299" s="174">
        <f>'[6]price list MAN'!Y1299</f>
        <v>1433250</v>
      </c>
      <c r="O1299" s="174">
        <f>'[6]price list MAN'!AA1299</f>
        <v>1365000</v>
      </c>
      <c r="P1299" s="68">
        <f t="shared" si="101"/>
        <v>0.25205479452054796</v>
      </c>
      <c r="Q1299" s="62" t="e">
        <f>O1299-#REF!</f>
        <v>#REF!</v>
      </c>
      <c r="W1299" s="209"/>
      <c r="X1299" s="209"/>
      <c r="Y1299" s="209"/>
      <c r="Z1299" s="209"/>
      <c r="AA1299" s="209"/>
      <c r="AB1299" s="209"/>
      <c r="AC1299" s="209"/>
      <c r="AT1299" s="425" t="str">
        <f t="shared" si="102"/>
        <v>KP000673201707Q314,7</v>
      </c>
      <c r="AU1299" s="64" t="str">
        <f t="shared" si="103"/>
        <v>07-2017</v>
      </c>
      <c r="BA1299" s="428" t="str">
        <f t="shared" si="104"/>
        <v>31-120 Days</v>
      </c>
    </row>
    <row r="1300" spans="2:53">
      <c r="B1300" s="36" t="str">
        <f>'[6]price list MAN'!B1300</f>
        <v>76W-9628</v>
      </c>
      <c r="C1300" s="10" t="str">
        <f>'[6]price list MAN'!C1300</f>
        <v>TGS-33-4406X4BBS-L</v>
      </c>
      <c r="D1300" s="16" t="str">
        <f>IFERROR(VLOOKUP(C1300&amp;"",'[7]Retail Price List'!$A$3:$B$103,2,FALSE),"Special Order")</f>
        <v>KP000673</v>
      </c>
      <c r="E1300" s="494" t="str">
        <f>'[6]price list MAN'!E1300</f>
        <v>SOLD</v>
      </c>
      <c r="F1300" s="11">
        <f>'[6]price list MAN'!F1300</f>
        <v>34</v>
      </c>
      <c r="G1300" s="32">
        <f>'[6]price list MAN'!G1300</f>
        <v>14.7</v>
      </c>
      <c r="H1300" s="26">
        <f>'[6]price list MAN'!H1300</f>
        <v>42937</v>
      </c>
      <c r="I1300" s="51" t="str">
        <f t="shared" si="100"/>
        <v>201707Q3</v>
      </c>
      <c r="J1300" s="177">
        <f>'[6]price list MAN'!J1300</f>
        <v>1770000</v>
      </c>
      <c r="K1300" s="177">
        <f>'[6]price list MAN'!P1300</f>
        <v>1375500</v>
      </c>
      <c r="L1300" s="177">
        <f>'[6]price list MAN'!R1300</f>
        <v>1310000</v>
      </c>
      <c r="M1300" s="174">
        <f>'[6]price list MAN'!S1300</f>
        <v>1825000</v>
      </c>
      <c r="N1300" s="174">
        <f>'[6]price list MAN'!Y1300</f>
        <v>1433250</v>
      </c>
      <c r="O1300" s="174">
        <f>'[6]price list MAN'!AA1300</f>
        <v>1365000</v>
      </c>
      <c r="P1300" s="68">
        <f t="shared" si="101"/>
        <v>0.25205479452054796</v>
      </c>
      <c r="Q1300" s="62" t="e">
        <f>O1300-#REF!</f>
        <v>#REF!</v>
      </c>
      <c r="W1300" s="209"/>
      <c r="X1300" s="209"/>
      <c r="Y1300" s="209"/>
      <c r="Z1300" s="209"/>
      <c r="AA1300" s="209"/>
      <c r="AB1300" s="209"/>
      <c r="AC1300" s="209"/>
      <c r="AT1300" s="425" t="str">
        <f t="shared" si="102"/>
        <v>KP000673201707Q314,7</v>
      </c>
      <c r="AU1300" s="64" t="str">
        <f t="shared" si="103"/>
        <v>07-2017</v>
      </c>
      <c r="BA1300" s="428" t="str">
        <f t="shared" si="104"/>
        <v>31-120 Days</v>
      </c>
    </row>
    <row r="1301" spans="2:53">
      <c r="B1301" s="36" t="str">
        <f>'[6]price list MAN'!B1301</f>
        <v>76W-9629</v>
      </c>
      <c r="C1301" s="10" t="str">
        <f>'[6]price list MAN'!C1301</f>
        <v>TGS-33-4406X4BBS-L</v>
      </c>
      <c r="D1301" s="16" t="str">
        <f>IFERROR(VLOOKUP(C1301&amp;"",'[7]Retail Price List'!$A$3:$B$103,2,FALSE),"Special Order")</f>
        <v>KP000673</v>
      </c>
      <c r="E1301" s="494" t="str">
        <f>'[6]price list MAN'!E1301</f>
        <v>SOLD</v>
      </c>
      <c r="F1301" s="11">
        <f>'[6]price list MAN'!F1301</f>
        <v>34</v>
      </c>
      <c r="G1301" s="32">
        <f>'[6]price list MAN'!G1301</f>
        <v>14.7</v>
      </c>
      <c r="H1301" s="26">
        <f>'[6]price list MAN'!H1301</f>
        <v>42937</v>
      </c>
      <c r="I1301" s="51" t="str">
        <f t="shared" si="100"/>
        <v>201707Q3</v>
      </c>
      <c r="J1301" s="177">
        <f>'[6]price list MAN'!J1301</f>
        <v>1770000</v>
      </c>
      <c r="K1301" s="177">
        <f>'[6]price list MAN'!P1301</f>
        <v>1375500</v>
      </c>
      <c r="L1301" s="177">
        <f>'[6]price list MAN'!R1301</f>
        <v>1310000</v>
      </c>
      <c r="M1301" s="174">
        <f>'[6]price list MAN'!S1301</f>
        <v>1825000</v>
      </c>
      <c r="N1301" s="174">
        <f>'[6]price list MAN'!Y1301</f>
        <v>1433250</v>
      </c>
      <c r="O1301" s="174">
        <f>'[6]price list MAN'!AA1301</f>
        <v>1365000</v>
      </c>
      <c r="P1301" s="68">
        <f t="shared" si="101"/>
        <v>0.25205479452054796</v>
      </c>
      <c r="Q1301" s="62" t="e">
        <f>O1301-#REF!</f>
        <v>#REF!</v>
      </c>
      <c r="W1301" s="209"/>
      <c r="X1301" s="209"/>
      <c r="Y1301" s="209"/>
      <c r="Z1301" s="209"/>
      <c r="AA1301" s="209"/>
      <c r="AB1301" s="209"/>
      <c r="AC1301" s="209"/>
      <c r="AT1301" s="425" t="str">
        <f t="shared" si="102"/>
        <v>KP000673201707Q314,7</v>
      </c>
      <c r="AU1301" s="64" t="str">
        <f t="shared" si="103"/>
        <v>07-2017</v>
      </c>
      <c r="BA1301" s="428" t="str">
        <f t="shared" si="104"/>
        <v>31-120 Days</v>
      </c>
    </row>
    <row r="1302" spans="2:53">
      <c r="B1302" s="36" t="str">
        <f>'[6]price list MAN'!B1302</f>
        <v>76W-9630</v>
      </c>
      <c r="C1302" s="10" t="str">
        <f>'[6]price list MAN'!C1302</f>
        <v>TGS-33-4406X4BBS-L</v>
      </c>
      <c r="D1302" s="16" t="str">
        <f>IFERROR(VLOOKUP(C1302&amp;"",'[7]Retail Price List'!$A$3:$B$103,2,FALSE),"Special Order")</f>
        <v>KP000673</v>
      </c>
      <c r="E1302" s="494" t="str">
        <f>'[6]price list MAN'!E1302</f>
        <v>SOLD</v>
      </c>
      <c r="F1302" s="11">
        <f>'[6]price list MAN'!F1302</f>
        <v>22</v>
      </c>
      <c r="G1302" s="32">
        <f>'[6]price list MAN'!G1302</f>
        <v>14.7</v>
      </c>
      <c r="H1302" s="26">
        <f>'[6]price list MAN'!H1302</f>
        <v>42937</v>
      </c>
      <c r="I1302" s="51" t="str">
        <f t="shared" si="100"/>
        <v>201707Q3</v>
      </c>
      <c r="J1302" s="177">
        <f>'[6]price list MAN'!J1302</f>
        <v>1770000</v>
      </c>
      <c r="K1302" s="177">
        <f>'[6]price list MAN'!P1302</f>
        <v>1375500</v>
      </c>
      <c r="L1302" s="177">
        <f>'[6]price list MAN'!R1302</f>
        <v>1310000</v>
      </c>
      <c r="M1302" s="174">
        <f>'[6]price list MAN'!S1302</f>
        <v>1825000</v>
      </c>
      <c r="N1302" s="174">
        <f>'[6]price list MAN'!Y1302</f>
        <v>1433250</v>
      </c>
      <c r="O1302" s="174">
        <f>'[6]price list MAN'!AA1302</f>
        <v>1365000</v>
      </c>
      <c r="P1302" s="68">
        <f t="shared" si="101"/>
        <v>0.25205479452054796</v>
      </c>
      <c r="Q1302" s="62" t="e">
        <f>O1302-#REF!</f>
        <v>#REF!</v>
      </c>
      <c r="W1302" s="209"/>
      <c r="X1302" s="209"/>
      <c r="Y1302" s="209"/>
      <c r="Z1302" s="209"/>
      <c r="AA1302" s="209"/>
      <c r="AB1302" s="209"/>
      <c r="AC1302" s="209"/>
      <c r="AT1302" s="425" t="str">
        <f t="shared" si="102"/>
        <v>KP000673201707Q314,7</v>
      </c>
      <c r="AU1302" s="64" t="str">
        <f t="shared" si="103"/>
        <v>07-2017</v>
      </c>
      <c r="BA1302" s="428" t="str">
        <f t="shared" si="104"/>
        <v>WIP - 30 Days</v>
      </c>
    </row>
    <row r="1303" spans="2:53">
      <c r="B1303" s="36" t="str">
        <f>'[6]price list MAN'!B1303</f>
        <v>76W-9631</v>
      </c>
      <c r="C1303" s="10" t="str">
        <f>'[6]price list MAN'!C1303</f>
        <v>TGS-33-4406X4BBS-L</v>
      </c>
      <c r="D1303" s="16" t="str">
        <f>IFERROR(VLOOKUP(C1303&amp;"",'[7]Retail Price List'!$A$3:$B$103,2,FALSE),"Special Order")</f>
        <v>KP000673</v>
      </c>
      <c r="E1303" s="494" t="str">
        <f>'[6]price list MAN'!E1303</f>
        <v>SOLD</v>
      </c>
      <c r="F1303" s="11">
        <f>'[6]price list MAN'!F1303</f>
        <v>35</v>
      </c>
      <c r="G1303" s="32">
        <f>'[6]price list MAN'!G1303</f>
        <v>14.7</v>
      </c>
      <c r="H1303" s="26">
        <f>'[6]price list MAN'!H1303</f>
        <v>42937</v>
      </c>
      <c r="I1303" s="51" t="str">
        <f t="shared" si="100"/>
        <v>201707Q3</v>
      </c>
      <c r="J1303" s="177">
        <f>'[6]price list MAN'!J1303</f>
        <v>1770000</v>
      </c>
      <c r="K1303" s="177">
        <f>'[6]price list MAN'!P1303</f>
        <v>1375500</v>
      </c>
      <c r="L1303" s="177">
        <f>'[6]price list MAN'!R1303</f>
        <v>1310000</v>
      </c>
      <c r="M1303" s="174">
        <f>'[6]price list MAN'!S1303</f>
        <v>1825000</v>
      </c>
      <c r="N1303" s="174">
        <f>'[6]price list MAN'!Y1303</f>
        <v>1433250</v>
      </c>
      <c r="O1303" s="174">
        <f>'[6]price list MAN'!AA1303</f>
        <v>1365000</v>
      </c>
      <c r="P1303" s="68">
        <f t="shared" si="101"/>
        <v>0.25205479452054796</v>
      </c>
      <c r="Q1303" s="62" t="e">
        <f>O1303-#REF!</f>
        <v>#REF!</v>
      </c>
      <c r="W1303" s="209"/>
      <c r="X1303" s="209"/>
      <c r="Y1303" s="209"/>
      <c r="Z1303" s="209"/>
      <c r="AA1303" s="209"/>
      <c r="AB1303" s="209"/>
      <c r="AC1303" s="209"/>
      <c r="AT1303" s="425" t="str">
        <f t="shared" si="102"/>
        <v>KP000673201707Q314,7</v>
      </c>
      <c r="AU1303" s="64" t="str">
        <f t="shared" si="103"/>
        <v>07-2017</v>
      </c>
      <c r="BA1303" s="428" t="str">
        <f t="shared" si="104"/>
        <v>31-120 Days</v>
      </c>
    </row>
    <row r="1304" spans="2:53">
      <c r="B1304" s="36" t="str">
        <f>'[6]price list MAN'!B1304</f>
        <v>76W-9632</v>
      </c>
      <c r="C1304" s="10" t="str">
        <f>'[6]price list MAN'!C1304</f>
        <v>TGS-33-4406X4BBS-L</v>
      </c>
      <c r="D1304" s="16" t="str">
        <f>IFERROR(VLOOKUP(C1304&amp;"",'[7]Retail Price List'!$A$3:$B$103,2,FALSE),"Special Order")</f>
        <v>KP000673</v>
      </c>
      <c r="E1304" s="494" t="str">
        <f>'[6]price list MAN'!E1304</f>
        <v>SOLD</v>
      </c>
      <c r="F1304" s="11">
        <f>'[6]price list MAN'!F1304</f>
        <v>34</v>
      </c>
      <c r="G1304" s="32">
        <f>'[6]price list MAN'!G1304</f>
        <v>14.7</v>
      </c>
      <c r="H1304" s="26">
        <f>'[6]price list MAN'!H1304</f>
        <v>42937</v>
      </c>
      <c r="I1304" s="51" t="str">
        <f t="shared" si="100"/>
        <v>201707Q3</v>
      </c>
      <c r="J1304" s="177">
        <f>'[6]price list MAN'!J1304</f>
        <v>1770000</v>
      </c>
      <c r="K1304" s="177">
        <f>'[6]price list MAN'!P1304</f>
        <v>1375500</v>
      </c>
      <c r="L1304" s="177">
        <f>'[6]price list MAN'!R1304</f>
        <v>1310000</v>
      </c>
      <c r="M1304" s="174">
        <f>'[6]price list MAN'!S1304</f>
        <v>1825000</v>
      </c>
      <c r="N1304" s="174">
        <f>'[6]price list MAN'!Y1304</f>
        <v>1433250</v>
      </c>
      <c r="O1304" s="174">
        <f>'[6]price list MAN'!AA1304</f>
        <v>1365000</v>
      </c>
      <c r="P1304" s="68">
        <f t="shared" si="101"/>
        <v>0.25205479452054796</v>
      </c>
      <c r="Q1304" s="62" t="e">
        <f>O1304-#REF!</f>
        <v>#REF!</v>
      </c>
      <c r="W1304" s="209"/>
      <c r="X1304" s="209"/>
      <c r="Y1304" s="209"/>
      <c r="Z1304" s="209"/>
      <c r="AA1304" s="209"/>
      <c r="AB1304" s="209"/>
      <c r="AC1304" s="209"/>
      <c r="AT1304" s="425" t="str">
        <f t="shared" si="102"/>
        <v>KP000673201707Q314,7</v>
      </c>
      <c r="AU1304" s="64" t="str">
        <f t="shared" si="103"/>
        <v>07-2017</v>
      </c>
      <c r="BA1304" s="428" t="str">
        <f t="shared" si="104"/>
        <v>31-120 Days</v>
      </c>
    </row>
    <row r="1305" spans="2:53">
      <c r="B1305" s="36" t="str">
        <f>'[6]price list MAN'!B1305</f>
        <v>76W-9633</v>
      </c>
      <c r="C1305" s="10" t="str">
        <f>'[6]price list MAN'!C1305</f>
        <v>TGS-33-4406X4BBS-L</v>
      </c>
      <c r="D1305" s="16" t="str">
        <f>IFERROR(VLOOKUP(C1305&amp;"",'[7]Retail Price List'!$A$3:$B$103,2,FALSE),"Special Order")</f>
        <v>KP000673</v>
      </c>
      <c r="E1305" s="494" t="str">
        <f>'[6]price list MAN'!E1305</f>
        <v>SOLD</v>
      </c>
      <c r="F1305" s="11">
        <f>'[6]price list MAN'!F1305</f>
        <v>35</v>
      </c>
      <c r="G1305" s="32">
        <f>'[6]price list MAN'!G1305</f>
        <v>14.7</v>
      </c>
      <c r="H1305" s="26">
        <f>'[6]price list MAN'!H1305</f>
        <v>42937</v>
      </c>
      <c r="I1305" s="51" t="str">
        <f t="shared" si="100"/>
        <v>201707Q3</v>
      </c>
      <c r="J1305" s="177">
        <f>'[6]price list MAN'!J1305</f>
        <v>1770000</v>
      </c>
      <c r="K1305" s="177">
        <f>'[6]price list MAN'!P1305</f>
        <v>1375500</v>
      </c>
      <c r="L1305" s="177">
        <f>'[6]price list MAN'!R1305</f>
        <v>1310000</v>
      </c>
      <c r="M1305" s="174">
        <f>'[6]price list MAN'!S1305</f>
        <v>1825000</v>
      </c>
      <c r="N1305" s="174">
        <f>'[6]price list MAN'!Y1305</f>
        <v>1433250</v>
      </c>
      <c r="O1305" s="174">
        <f>'[6]price list MAN'!AA1305</f>
        <v>1365000</v>
      </c>
      <c r="P1305" s="68">
        <f t="shared" si="101"/>
        <v>0.25205479452054796</v>
      </c>
      <c r="Q1305" s="62" t="e">
        <f>O1305-#REF!</f>
        <v>#REF!</v>
      </c>
      <c r="W1305" s="209"/>
      <c r="X1305" s="209"/>
      <c r="Y1305" s="209"/>
      <c r="Z1305" s="209"/>
      <c r="AA1305" s="209"/>
      <c r="AB1305" s="209"/>
      <c r="AC1305" s="209"/>
      <c r="AT1305" s="425" t="str">
        <f t="shared" si="102"/>
        <v>KP000673201707Q314,7</v>
      </c>
      <c r="AU1305" s="64" t="str">
        <f t="shared" si="103"/>
        <v>07-2017</v>
      </c>
      <c r="BA1305" s="428" t="str">
        <f t="shared" si="104"/>
        <v>31-120 Days</v>
      </c>
    </row>
    <row r="1306" spans="2:53">
      <c r="B1306" s="36" t="str">
        <f>'[6]price list MAN'!B1306</f>
        <v>76W-9634</v>
      </c>
      <c r="C1306" s="10" t="str">
        <f>'[6]price list MAN'!C1306</f>
        <v>TGS-33-4406X4BBS-L</v>
      </c>
      <c r="D1306" s="16" t="str">
        <f>IFERROR(VLOOKUP(C1306&amp;"",'[7]Retail Price List'!$A$3:$B$103,2,FALSE),"Special Order")</f>
        <v>KP000673</v>
      </c>
      <c r="E1306" s="494" t="str">
        <f>'[6]price list MAN'!E1306</f>
        <v>SOLD</v>
      </c>
      <c r="F1306" s="11">
        <f>'[6]price list MAN'!F1306</f>
        <v>34</v>
      </c>
      <c r="G1306" s="32">
        <f>'[6]price list MAN'!G1306</f>
        <v>14.7</v>
      </c>
      <c r="H1306" s="26">
        <f>'[6]price list MAN'!H1306</f>
        <v>42937</v>
      </c>
      <c r="I1306" s="51" t="str">
        <f t="shared" si="100"/>
        <v>201707Q3</v>
      </c>
      <c r="J1306" s="177">
        <f>'[6]price list MAN'!J1306</f>
        <v>1770000</v>
      </c>
      <c r="K1306" s="177">
        <f>'[6]price list MAN'!P1306</f>
        <v>1375500</v>
      </c>
      <c r="L1306" s="177">
        <f>'[6]price list MAN'!R1306</f>
        <v>1310000</v>
      </c>
      <c r="M1306" s="174">
        <f>'[6]price list MAN'!S1306</f>
        <v>1825000</v>
      </c>
      <c r="N1306" s="174">
        <f>'[6]price list MAN'!Y1306</f>
        <v>1433250</v>
      </c>
      <c r="O1306" s="174">
        <f>'[6]price list MAN'!AA1306</f>
        <v>1365000</v>
      </c>
      <c r="P1306" s="68">
        <f t="shared" si="101"/>
        <v>0.25205479452054796</v>
      </c>
      <c r="Q1306" s="62" t="e">
        <f>O1306-#REF!</f>
        <v>#REF!</v>
      </c>
      <c r="W1306" s="209"/>
      <c r="X1306" s="209"/>
      <c r="Y1306" s="209"/>
      <c r="Z1306" s="209"/>
      <c r="AA1306" s="209"/>
      <c r="AB1306" s="209"/>
      <c r="AC1306" s="209"/>
      <c r="AT1306" s="425" t="str">
        <f t="shared" si="102"/>
        <v>KP000673201707Q314,7</v>
      </c>
      <c r="AU1306" s="64" t="str">
        <f t="shared" si="103"/>
        <v>07-2017</v>
      </c>
      <c r="BA1306" s="428" t="str">
        <f t="shared" si="104"/>
        <v>31-120 Days</v>
      </c>
    </row>
    <row r="1307" spans="2:53">
      <c r="B1307" s="36" t="str">
        <f>'[6]price list MAN'!B1307</f>
        <v>76W-9635</v>
      </c>
      <c r="C1307" s="10" t="str">
        <f>'[6]price list MAN'!C1307</f>
        <v>TGS-33-4406X4BBS-L</v>
      </c>
      <c r="D1307" s="16" t="str">
        <f>IFERROR(VLOOKUP(C1307&amp;"",'[7]Retail Price List'!$A$3:$B$103,2,FALSE),"Special Order")</f>
        <v>KP000673</v>
      </c>
      <c r="E1307" s="494" t="str">
        <f>'[6]price list MAN'!E1307</f>
        <v>SOLD</v>
      </c>
      <c r="F1307" s="11">
        <f>'[6]price list MAN'!F1307</f>
        <v>25</v>
      </c>
      <c r="G1307" s="32">
        <f>'[6]price list MAN'!G1307</f>
        <v>14.7</v>
      </c>
      <c r="H1307" s="26">
        <f>'[6]price list MAN'!H1307</f>
        <v>42937</v>
      </c>
      <c r="I1307" s="51" t="str">
        <f t="shared" si="100"/>
        <v>201707Q3</v>
      </c>
      <c r="J1307" s="177">
        <f>'[6]price list MAN'!J1307</f>
        <v>1770000</v>
      </c>
      <c r="K1307" s="177">
        <f>'[6]price list MAN'!P1307</f>
        <v>1375500</v>
      </c>
      <c r="L1307" s="177">
        <f>'[6]price list MAN'!R1307</f>
        <v>1310000</v>
      </c>
      <c r="M1307" s="174">
        <f>'[6]price list MAN'!S1307</f>
        <v>1825000</v>
      </c>
      <c r="N1307" s="174">
        <f>'[6]price list MAN'!Y1307</f>
        <v>1433250</v>
      </c>
      <c r="O1307" s="174">
        <f>'[6]price list MAN'!AA1307</f>
        <v>1365000</v>
      </c>
      <c r="P1307" s="68">
        <f t="shared" si="101"/>
        <v>0.25205479452054796</v>
      </c>
      <c r="Q1307" s="62" t="e">
        <f>O1307-#REF!</f>
        <v>#REF!</v>
      </c>
      <c r="W1307" s="209"/>
      <c r="X1307" s="209"/>
      <c r="Y1307" s="209"/>
      <c r="Z1307" s="209"/>
      <c r="AA1307" s="209"/>
      <c r="AB1307" s="209"/>
      <c r="AC1307" s="209"/>
      <c r="AT1307" s="425" t="str">
        <f t="shared" si="102"/>
        <v>KP000673201707Q314,7</v>
      </c>
      <c r="AU1307" s="64" t="str">
        <f t="shared" si="103"/>
        <v>07-2017</v>
      </c>
      <c r="BA1307" s="428" t="str">
        <f t="shared" si="104"/>
        <v>WIP - 30 Days</v>
      </c>
    </row>
    <row r="1308" spans="2:53">
      <c r="B1308" s="36" t="str">
        <f>'[6]price list MAN'!B1308</f>
        <v>76W-9636</v>
      </c>
      <c r="C1308" s="10" t="str">
        <f>'[6]price list MAN'!C1308</f>
        <v>TGS-33-4406X4BBS-L</v>
      </c>
      <c r="D1308" s="16" t="str">
        <f>IFERROR(VLOOKUP(C1308&amp;"",'[7]Retail Price List'!$A$3:$B$103,2,FALSE),"Special Order")</f>
        <v>KP000673</v>
      </c>
      <c r="E1308" s="494" t="str">
        <f>'[6]price list MAN'!E1308</f>
        <v>SOLD</v>
      </c>
      <c r="F1308" s="11">
        <f>'[6]price list MAN'!F1308</f>
        <v>25</v>
      </c>
      <c r="G1308" s="32">
        <f>'[6]price list MAN'!G1308</f>
        <v>14.7</v>
      </c>
      <c r="H1308" s="26">
        <f>'[6]price list MAN'!H1308</f>
        <v>42937</v>
      </c>
      <c r="I1308" s="51" t="str">
        <f t="shared" si="100"/>
        <v>201707Q3</v>
      </c>
      <c r="J1308" s="177">
        <f>'[6]price list MAN'!J1308</f>
        <v>1770000</v>
      </c>
      <c r="K1308" s="177">
        <f>'[6]price list MAN'!P1308</f>
        <v>1375500</v>
      </c>
      <c r="L1308" s="177">
        <f>'[6]price list MAN'!R1308</f>
        <v>1310000</v>
      </c>
      <c r="M1308" s="174">
        <f>'[6]price list MAN'!S1308</f>
        <v>1825000</v>
      </c>
      <c r="N1308" s="174">
        <f>'[6]price list MAN'!Y1308</f>
        <v>1433250</v>
      </c>
      <c r="O1308" s="174">
        <f>'[6]price list MAN'!AA1308</f>
        <v>1365000</v>
      </c>
      <c r="P1308" s="68">
        <f t="shared" si="101"/>
        <v>0.25205479452054796</v>
      </c>
      <c r="Q1308" s="62" t="e">
        <f>O1308-#REF!</f>
        <v>#REF!</v>
      </c>
      <c r="W1308" s="209"/>
      <c r="X1308" s="209"/>
      <c r="Y1308" s="209"/>
      <c r="Z1308" s="209"/>
      <c r="AA1308" s="209"/>
      <c r="AB1308" s="209"/>
      <c r="AC1308" s="209"/>
      <c r="AT1308" s="425" t="str">
        <f t="shared" si="102"/>
        <v>KP000673201707Q314,7</v>
      </c>
      <c r="AU1308" s="64" t="str">
        <f t="shared" si="103"/>
        <v>07-2017</v>
      </c>
      <c r="BA1308" s="428" t="str">
        <f t="shared" si="104"/>
        <v>WIP - 30 Days</v>
      </c>
    </row>
    <row r="1309" spans="2:53">
      <c r="B1309" s="36" t="str">
        <f>'[6]price list MAN'!B1309</f>
        <v>76W-9637</v>
      </c>
      <c r="C1309" s="10" t="str">
        <f>'[6]price list MAN'!C1309</f>
        <v>TGS-33-4406X4BBS-L</v>
      </c>
      <c r="D1309" s="16" t="str">
        <f>IFERROR(VLOOKUP(C1309&amp;"",'[7]Retail Price List'!$A$3:$B$103,2,FALSE),"Special Order")</f>
        <v>KP000673</v>
      </c>
      <c r="E1309" s="494" t="str">
        <f>'[6]price list MAN'!E1309</f>
        <v>SOLD</v>
      </c>
      <c r="F1309" s="11">
        <f>'[6]price list MAN'!F1309</f>
        <v>25</v>
      </c>
      <c r="G1309" s="32">
        <f>'[6]price list MAN'!G1309</f>
        <v>14.7</v>
      </c>
      <c r="H1309" s="26">
        <f>'[6]price list MAN'!H1309</f>
        <v>42937</v>
      </c>
      <c r="I1309" s="51" t="str">
        <f t="shared" si="100"/>
        <v>201707Q3</v>
      </c>
      <c r="J1309" s="177">
        <f>'[6]price list MAN'!J1309</f>
        <v>1770000</v>
      </c>
      <c r="K1309" s="177">
        <f>'[6]price list MAN'!P1309</f>
        <v>1375500</v>
      </c>
      <c r="L1309" s="177">
        <f>'[6]price list MAN'!R1309</f>
        <v>1310000</v>
      </c>
      <c r="M1309" s="174">
        <f>'[6]price list MAN'!S1309</f>
        <v>1825000</v>
      </c>
      <c r="N1309" s="174">
        <f>'[6]price list MAN'!Y1309</f>
        <v>1433250</v>
      </c>
      <c r="O1309" s="174">
        <f>'[6]price list MAN'!AA1309</f>
        <v>1365000</v>
      </c>
      <c r="P1309" s="68">
        <f t="shared" si="101"/>
        <v>0.25205479452054796</v>
      </c>
      <c r="Q1309" s="62" t="e">
        <f>O1309-#REF!</f>
        <v>#REF!</v>
      </c>
      <c r="W1309" s="209"/>
      <c r="X1309" s="209"/>
      <c r="Y1309" s="209"/>
      <c r="Z1309" s="209"/>
      <c r="AA1309" s="209"/>
      <c r="AB1309" s="209"/>
      <c r="AC1309" s="209"/>
      <c r="AT1309" s="425" t="str">
        <f t="shared" si="102"/>
        <v>KP000673201707Q314,7</v>
      </c>
      <c r="AU1309" s="64" t="str">
        <f t="shared" si="103"/>
        <v>07-2017</v>
      </c>
      <c r="BA1309" s="428" t="str">
        <f t="shared" si="104"/>
        <v>WIP - 30 Days</v>
      </c>
    </row>
    <row r="1310" spans="2:53">
      <c r="B1310" s="36" t="str">
        <f>'[6]price list MAN'!B1310</f>
        <v>76W-9638</v>
      </c>
      <c r="C1310" s="10" t="str">
        <f>'[6]price list MAN'!C1310</f>
        <v>TGS-33-4406X4BBS-L</v>
      </c>
      <c r="D1310" s="16" t="str">
        <f>IFERROR(VLOOKUP(C1310&amp;"",'[7]Retail Price List'!$A$3:$B$103,2,FALSE),"Special Order")</f>
        <v>KP000673</v>
      </c>
      <c r="E1310" s="494" t="str">
        <f>'[6]price list MAN'!E1310</f>
        <v>SOLD</v>
      </c>
      <c r="F1310" s="11">
        <f>'[6]price list MAN'!F1310</f>
        <v>25</v>
      </c>
      <c r="G1310" s="32">
        <f>'[6]price list MAN'!G1310</f>
        <v>14.7</v>
      </c>
      <c r="H1310" s="26">
        <f>'[6]price list MAN'!H1310</f>
        <v>42937</v>
      </c>
      <c r="I1310" s="51" t="str">
        <f t="shared" si="100"/>
        <v>201707Q3</v>
      </c>
      <c r="J1310" s="177">
        <f>'[6]price list MAN'!J1310</f>
        <v>1770000</v>
      </c>
      <c r="K1310" s="177">
        <f>'[6]price list MAN'!P1310</f>
        <v>1375500</v>
      </c>
      <c r="L1310" s="177">
        <f>'[6]price list MAN'!R1310</f>
        <v>1310000</v>
      </c>
      <c r="M1310" s="174">
        <f>'[6]price list MAN'!S1310</f>
        <v>1825000</v>
      </c>
      <c r="N1310" s="174">
        <f>'[6]price list MAN'!Y1310</f>
        <v>1433250</v>
      </c>
      <c r="O1310" s="174">
        <f>'[6]price list MAN'!AA1310</f>
        <v>1365000</v>
      </c>
      <c r="P1310" s="68">
        <f t="shared" si="101"/>
        <v>0.25205479452054796</v>
      </c>
      <c r="Q1310" s="62" t="e">
        <f>O1310-#REF!</f>
        <v>#REF!</v>
      </c>
      <c r="W1310" s="209"/>
      <c r="X1310" s="209"/>
      <c r="Y1310" s="209"/>
      <c r="Z1310" s="209"/>
      <c r="AA1310" s="209"/>
      <c r="AB1310" s="209"/>
      <c r="AC1310" s="209"/>
      <c r="AT1310" s="425" t="str">
        <f t="shared" si="102"/>
        <v>KP000673201707Q314,7</v>
      </c>
      <c r="AU1310" s="64" t="str">
        <f t="shared" si="103"/>
        <v>07-2017</v>
      </c>
      <c r="BA1310" s="428" t="str">
        <f t="shared" si="104"/>
        <v>WIP - 30 Days</v>
      </c>
    </row>
    <row r="1311" spans="2:53">
      <c r="B1311" s="36" t="str">
        <f>'[6]price list MAN'!B1311</f>
        <v>76W-9639</v>
      </c>
      <c r="C1311" s="10" t="str">
        <f>'[6]price list MAN'!C1311</f>
        <v>TGS-33-4406X4BBS-L</v>
      </c>
      <c r="D1311" s="16" t="str">
        <f>IFERROR(VLOOKUP(C1311&amp;"",'[7]Retail Price List'!$A$3:$B$103,2,FALSE),"Special Order")</f>
        <v>KP000673</v>
      </c>
      <c r="E1311" s="494" t="str">
        <f>'[6]price list MAN'!E1311</f>
        <v>SOLD</v>
      </c>
      <c r="F1311" s="11">
        <f>'[6]price list MAN'!F1311</f>
        <v>22</v>
      </c>
      <c r="G1311" s="32">
        <f>'[6]price list MAN'!G1311</f>
        <v>14.7</v>
      </c>
      <c r="H1311" s="26">
        <f>'[6]price list MAN'!H1311</f>
        <v>42937</v>
      </c>
      <c r="I1311" s="51" t="str">
        <f t="shared" si="100"/>
        <v>201707Q3</v>
      </c>
      <c r="J1311" s="177">
        <f>'[6]price list MAN'!J1311</f>
        <v>1770000</v>
      </c>
      <c r="K1311" s="177">
        <f>'[6]price list MAN'!P1311</f>
        <v>1375500</v>
      </c>
      <c r="L1311" s="177">
        <f>'[6]price list MAN'!R1311</f>
        <v>1310000</v>
      </c>
      <c r="M1311" s="174">
        <f>'[6]price list MAN'!S1311</f>
        <v>1825000</v>
      </c>
      <c r="N1311" s="174">
        <f>'[6]price list MAN'!Y1311</f>
        <v>1433250</v>
      </c>
      <c r="O1311" s="174">
        <f>'[6]price list MAN'!AA1311</f>
        <v>1365000</v>
      </c>
      <c r="P1311" s="68">
        <f t="shared" si="101"/>
        <v>0.25205479452054796</v>
      </c>
      <c r="Q1311" s="62" t="e">
        <f>O1311-#REF!</f>
        <v>#REF!</v>
      </c>
      <c r="W1311" s="209"/>
      <c r="X1311" s="209"/>
      <c r="Y1311" s="209"/>
      <c r="Z1311" s="209"/>
      <c r="AA1311" s="209"/>
      <c r="AB1311" s="209"/>
      <c r="AC1311" s="209"/>
      <c r="AT1311" s="425" t="str">
        <f t="shared" si="102"/>
        <v>KP000673201707Q314,7</v>
      </c>
      <c r="AU1311" s="64" t="str">
        <f t="shared" si="103"/>
        <v>07-2017</v>
      </c>
      <c r="BA1311" s="428" t="str">
        <f t="shared" si="104"/>
        <v>WIP - 30 Days</v>
      </c>
    </row>
    <row r="1312" spans="2:53">
      <c r="B1312" s="36" t="str">
        <f>'[6]price list MAN'!B1312</f>
        <v>76W-9640</v>
      </c>
      <c r="C1312" s="10" t="str">
        <f>'[6]price list MAN'!C1312</f>
        <v>TGS-33-4406X4BBS-L</v>
      </c>
      <c r="D1312" s="16" t="str">
        <f>IFERROR(VLOOKUP(C1312&amp;"",'[7]Retail Price List'!$A$3:$B$103,2,FALSE),"Special Order")</f>
        <v>KP000673</v>
      </c>
      <c r="E1312" s="494" t="str">
        <f>'[6]price list MAN'!E1312</f>
        <v>SOLD</v>
      </c>
      <c r="F1312" s="11">
        <f>'[6]price list MAN'!F1312</f>
        <v>22</v>
      </c>
      <c r="G1312" s="32">
        <f>'[6]price list MAN'!G1312</f>
        <v>14.7</v>
      </c>
      <c r="H1312" s="26">
        <f>'[6]price list MAN'!H1312</f>
        <v>42937</v>
      </c>
      <c r="I1312" s="51" t="str">
        <f t="shared" si="100"/>
        <v>201707Q3</v>
      </c>
      <c r="J1312" s="177">
        <f>'[6]price list MAN'!J1312</f>
        <v>1770000</v>
      </c>
      <c r="K1312" s="177">
        <f>'[6]price list MAN'!P1312</f>
        <v>1375500</v>
      </c>
      <c r="L1312" s="177">
        <f>'[6]price list MAN'!R1312</f>
        <v>1310000</v>
      </c>
      <c r="M1312" s="174">
        <f>'[6]price list MAN'!S1312</f>
        <v>1825000</v>
      </c>
      <c r="N1312" s="174">
        <f>'[6]price list MAN'!Y1312</f>
        <v>1433250</v>
      </c>
      <c r="O1312" s="174">
        <f>'[6]price list MAN'!AA1312</f>
        <v>1365000</v>
      </c>
      <c r="P1312" s="68">
        <f t="shared" si="101"/>
        <v>0.25205479452054796</v>
      </c>
      <c r="Q1312" s="62" t="e">
        <f>O1312-#REF!</f>
        <v>#REF!</v>
      </c>
      <c r="W1312" s="209"/>
      <c r="X1312" s="209"/>
      <c r="Y1312" s="209"/>
      <c r="Z1312" s="209"/>
      <c r="AA1312" s="209"/>
      <c r="AB1312" s="209"/>
      <c r="AC1312" s="209"/>
      <c r="AT1312" s="425" t="str">
        <f t="shared" si="102"/>
        <v>KP000673201707Q314,7</v>
      </c>
      <c r="AU1312" s="64" t="str">
        <f t="shared" si="103"/>
        <v>07-2017</v>
      </c>
      <c r="BA1312" s="428" t="str">
        <f t="shared" si="104"/>
        <v>WIP - 30 Days</v>
      </c>
    </row>
    <row r="1313" spans="2:53">
      <c r="B1313" s="36" t="str">
        <f>'[6]price list MAN'!B1313</f>
        <v>76W-9641</v>
      </c>
      <c r="C1313" s="10" t="str">
        <f>'[6]price list MAN'!C1313</f>
        <v>TGS-33-4406X4BBS-L</v>
      </c>
      <c r="D1313" s="16" t="str">
        <f>IFERROR(VLOOKUP(C1313&amp;"",'[7]Retail Price List'!$A$3:$B$103,2,FALSE),"Special Order")</f>
        <v>KP000673</v>
      </c>
      <c r="E1313" s="494" t="str">
        <f>'[6]price list MAN'!E1313</f>
        <v>SOLD</v>
      </c>
      <c r="F1313" s="11">
        <f>'[6]price list MAN'!F1313</f>
        <v>22</v>
      </c>
      <c r="G1313" s="32">
        <f>'[6]price list MAN'!G1313</f>
        <v>14.7</v>
      </c>
      <c r="H1313" s="26">
        <f>'[6]price list MAN'!H1313</f>
        <v>42937</v>
      </c>
      <c r="I1313" s="51" t="str">
        <f t="shared" si="100"/>
        <v>201707Q3</v>
      </c>
      <c r="J1313" s="177">
        <f>'[6]price list MAN'!J1313</f>
        <v>1770000</v>
      </c>
      <c r="K1313" s="177">
        <f>'[6]price list MAN'!P1313</f>
        <v>1375500</v>
      </c>
      <c r="L1313" s="177">
        <f>'[6]price list MAN'!R1313</f>
        <v>1310000</v>
      </c>
      <c r="M1313" s="174">
        <f>'[6]price list MAN'!S1313</f>
        <v>1825000</v>
      </c>
      <c r="N1313" s="174">
        <f>'[6]price list MAN'!Y1313</f>
        <v>1433250</v>
      </c>
      <c r="O1313" s="174">
        <f>'[6]price list MAN'!AA1313</f>
        <v>1365000</v>
      </c>
      <c r="P1313" s="68">
        <f t="shared" si="101"/>
        <v>0.25205479452054796</v>
      </c>
      <c r="Q1313" s="62" t="e">
        <f>O1313-#REF!</f>
        <v>#REF!</v>
      </c>
      <c r="W1313" s="209"/>
      <c r="X1313" s="209"/>
      <c r="Y1313" s="209"/>
      <c r="Z1313" s="209"/>
      <c r="AA1313" s="209"/>
      <c r="AB1313" s="209"/>
      <c r="AC1313" s="209"/>
      <c r="AT1313" s="425" t="str">
        <f t="shared" si="102"/>
        <v>KP000673201707Q314,7</v>
      </c>
      <c r="AU1313" s="64" t="str">
        <f t="shared" si="103"/>
        <v>07-2017</v>
      </c>
      <c r="BA1313" s="428" t="str">
        <f t="shared" si="104"/>
        <v>WIP - 30 Days</v>
      </c>
    </row>
    <row r="1314" spans="2:53">
      <c r="B1314" s="36" t="str">
        <f>'[6]price list MAN'!B1314</f>
        <v>76W-9642</v>
      </c>
      <c r="C1314" s="10" t="str">
        <f>'[6]price list MAN'!C1314</f>
        <v>TGS-33-4406X4BBS-L</v>
      </c>
      <c r="D1314" s="16" t="str">
        <f>IFERROR(VLOOKUP(C1314&amp;"",'[7]Retail Price List'!$A$3:$B$103,2,FALSE),"Special Order")</f>
        <v>KP000673</v>
      </c>
      <c r="E1314" s="494" t="str">
        <f>'[6]price list MAN'!E1314</f>
        <v>SOLD</v>
      </c>
      <c r="F1314" s="11">
        <f>'[6]price list MAN'!F1314</f>
        <v>32</v>
      </c>
      <c r="G1314" s="32">
        <f>'[6]price list MAN'!G1314</f>
        <v>14.7</v>
      </c>
      <c r="H1314" s="26">
        <f>'[6]price list MAN'!H1314</f>
        <v>42937</v>
      </c>
      <c r="I1314" s="51" t="str">
        <f t="shared" si="100"/>
        <v>201707Q3</v>
      </c>
      <c r="J1314" s="177">
        <f>'[6]price list MAN'!J1314</f>
        <v>1770000</v>
      </c>
      <c r="K1314" s="177">
        <f>'[6]price list MAN'!P1314</f>
        <v>1375500</v>
      </c>
      <c r="L1314" s="177">
        <f>'[6]price list MAN'!R1314</f>
        <v>1310000</v>
      </c>
      <c r="M1314" s="174">
        <f>'[6]price list MAN'!S1314</f>
        <v>1825000</v>
      </c>
      <c r="N1314" s="174">
        <f>'[6]price list MAN'!Y1314</f>
        <v>1433250</v>
      </c>
      <c r="O1314" s="174">
        <f>'[6]price list MAN'!AA1314</f>
        <v>1365000</v>
      </c>
      <c r="P1314" s="68">
        <f t="shared" si="101"/>
        <v>0.25205479452054796</v>
      </c>
      <c r="Q1314" s="62" t="e">
        <f>O1314-#REF!</f>
        <v>#REF!</v>
      </c>
      <c r="W1314" s="209"/>
      <c r="X1314" s="209"/>
      <c r="Y1314" s="209"/>
      <c r="Z1314" s="209"/>
      <c r="AA1314" s="209"/>
      <c r="AB1314" s="209"/>
      <c r="AC1314" s="209"/>
      <c r="AT1314" s="425" t="str">
        <f t="shared" si="102"/>
        <v>KP000673201707Q314,7</v>
      </c>
      <c r="AU1314" s="64" t="str">
        <f t="shared" si="103"/>
        <v>07-2017</v>
      </c>
      <c r="BA1314" s="428" t="str">
        <f t="shared" si="104"/>
        <v>31-120 Days</v>
      </c>
    </row>
    <row r="1315" spans="2:53">
      <c r="B1315" s="36" t="str">
        <f>'[6]price list MAN'!B1315</f>
        <v>76W-9643</v>
      </c>
      <c r="C1315" s="10" t="str">
        <f>'[6]price list MAN'!C1315</f>
        <v>TGS-33-4406X4BBS-L</v>
      </c>
      <c r="D1315" s="16" t="str">
        <f>IFERROR(VLOOKUP(C1315&amp;"",'[7]Retail Price List'!$A$3:$B$103,2,FALSE),"Special Order")</f>
        <v>KP000673</v>
      </c>
      <c r="E1315" s="494" t="str">
        <f>'[6]price list MAN'!E1315</f>
        <v>CKD</v>
      </c>
      <c r="F1315" s="11" t="str">
        <f>'[6]price list MAN'!F1315</f>
        <v>2018-02-02</v>
      </c>
      <c r="G1315" s="32">
        <f>'[6]price list MAN'!G1315</f>
        <v>14.7</v>
      </c>
      <c r="H1315" s="26">
        <f>'[6]price list MAN'!H1315</f>
        <v>42937</v>
      </c>
      <c r="I1315" s="51" t="str">
        <f t="shared" si="100"/>
        <v>201707Q3</v>
      </c>
      <c r="J1315" s="177">
        <f>'[6]price list MAN'!J1315</f>
        <v>1770000</v>
      </c>
      <c r="K1315" s="177">
        <f>'[6]price list MAN'!P1315</f>
        <v>1375500</v>
      </c>
      <c r="L1315" s="177">
        <f>'[6]price list MAN'!R1315</f>
        <v>1310000</v>
      </c>
      <c r="M1315" s="174">
        <f>'[6]price list MAN'!S1315</f>
        <v>1825000</v>
      </c>
      <c r="N1315" s="174">
        <f>'[6]price list MAN'!Y1315</f>
        <v>1433250</v>
      </c>
      <c r="O1315" s="174">
        <f>'[6]price list MAN'!AA1315</f>
        <v>1365000</v>
      </c>
      <c r="P1315" s="68">
        <f t="shared" si="101"/>
        <v>0.25205479452054796</v>
      </c>
      <c r="Q1315" s="62" t="e">
        <f>O1315-#REF!</f>
        <v>#REF!</v>
      </c>
      <c r="W1315" s="209"/>
      <c r="X1315" s="209"/>
      <c r="Y1315" s="209"/>
      <c r="Z1315" s="209"/>
      <c r="AA1315" s="209"/>
      <c r="AB1315" s="209"/>
      <c r="AC1315" s="209"/>
      <c r="AT1315" s="425" t="str">
        <f t="shared" si="102"/>
        <v>KP000673201707Q314,7</v>
      </c>
      <c r="AU1315" s="64" t="str">
        <f t="shared" si="103"/>
        <v>07-2017</v>
      </c>
      <c r="BA1315" s="428" t="str">
        <f t="shared" si="104"/>
        <v>WIP - 30 Days</v>
      </c>
    </row>
    <row r="1316" spans="2:53">
      <c r="B1316" s="36" t="str">
        <f>'[6]price list MAN'!B1316</f>
        <v>TBAKP673</v>
      </c>
      <c r="C1316" s="10" t="str">
        <f>'[6]price list MAN'!C1316</f>
        <v>TGS-33-4406X4BBS-L</v>
      </c>
      <c r="D1316" s="16" t="str">
        <f>IFERROR(VLOOKUP(C1316&amp;"",'[7]Retail Price List'!$A$3:$B$103,2,FALSE),"Special Order")</f>
        <v>KP000673</v>
      </c>
      <c r="E1316" s="494" t="str">
        <f>'[6]price list MAN'!E1316</f>
        <v>CKD</v>
      </c>
      <c r="F1316" s="11" t="str">
        <f>'[6]price list MAN'!F1316</f>
        <v>2018-08-19</v>
      </c>
      <c r="G1316" s="32">
        <f>'[6]price list MAN'!G1316</f>
        <v>15.8</v>
      </c>
      <c r="H1316" s="26">
        <f>'[6]price list MAN'!H1316</f>
        <v>43159</v>
      </c>
      <c r="I1316" s="51" t="str">
        <f t="shared" si="100"/>
        <v>2018Q1</v>
      </c>
      <c r="J1316" s="177">
        <f>'[6]price list MAN'!J1316</f>
        <v>1770000</v>
      </c>
      <c r="K1316" s="177">
        <f>'[6]price list MAN'!P1316</f>
        <v>1375500</v>
      </c>
      <c r="L1316" s="177">
        <f>'[6]price list MAN'!R1316</f>
        <v>1310000</v>
      </c>
      <c r="M1316" s="174">
        <f>'[6]price list MAN'!S1316</f>
        <v>1825000</v>
      </c>
      <c r="N1316" s="174">
        <f>'[6]price list MAN'!Y1316</f>
        <v>1433250</v>
      </c>
      <c r="O1316" s="174">
        <f>'[6]price list MAN'!AA1316</f>
        <v>1365000</v>
      </c>
      <c r="P1316" s="68">
        <f t="shared" si="101"/>
        <v>0.25205479452054796</v>
      </c>
      <c r="Q1316" s="62" t="e">
        <f>O1316-#REF!</f>
        <v>#REF!</v>
      </c>
      <c r="W1316" s="209"/>
      <c r="X1316" s="209"/>
      <c r="Y1316" s="209"/>
      <c r="Z1316" s="209"/>
      <c r="AA1316" s="209"/>
      <c r="AB1316" s="209"/>
      <c r="AC1316" s="209"/>
      <c r="AT1316" s="425" t="str">
        <f t="shared" si="102"/>
        <v>KP0006732018Q115,8</v>
      </c>
      <c r="AU1316" s="64" t="str">
        <f t="shared" si="103"/>
        <v>02-2018</v>
      </c>
      <c r="BA1316" s="428" t="str">
        <f t="shared" si="104"/>
        <v>WIP - 30 Days</v>
      </c>
    </row>
    <row r="1317" spans="2:53">
      <c r="B1317" s="36">
        <f>'[6]price list MAN'!B1317</f>
        <v>48657</v>
      </c>
      <c r="C1317" s="10" t="str">
        <f>'[6]price list MAN'!C1317</f>
        <v>TGS-33-4406X6BB-M-SWA</v>
      </c>
      <c r="D1317" s="16" t="str">
        <f>IFERROR(VLOOKUP(C1317&amp;"",'[7]Retail Price List'!$A$3:$B$103,2,FALSE),"Special Order")</f>
        <v>TGS00006</v>
      </c>
      <c r="E1317" s="494" t="str">
        <f>'[6]price list MAN'!E1317</f>
        <v>CKD</v>
      </c>
      <c r="F1317" s="11" t="str">
        <f>'[6]price list MAN'!F1317</f>
        <v>2018-04-06</v>
      </c>
      <c r="G1317" s="32">
        <f>'[6]price list MAN'!G1317</f>
        <v>15.9</v>
      </c>
      <c r="H1317" s="26">
        <f>'[6]price list MAN'!H1317</f>
        <v>43039</v>
      </c>
      <c r="I1317" s="51" t="str">
        <f t="shared" si="100"/>
        <v>2017Q4</v>
      </c>
      <c r="J1317" s="177">
        <f>'[6]price list MAN'!J1317</f>
        <v>2090000</v>
      </c>
      <c r="K1317" s="177">
        <f>'[6]price list MAN'!P1317</f>
        <v>1779750</v>
      </c>
      <c r="L1317" s="177">
        <f>'[6]price list MAN'!R1317</f>
        <v>1695000</v>
      </c>
      <c r="M1317" s="174">
        <f>'[6]price list MAN'!S1317</f>
        <v>2145000</v>
      </c>
      <c r="N1317" s="174">
        <f>'[6]price list MAN'!Y1317</f>
        <v>1837500</v>
      </c>
      <c r="O1317" s="174">
        <f>'[6]price list MAN'!AA1317</f>
        <v>1750000</v>
      </c>
      <c r="P1317" s="68">
        <f t="shared" si="101"/>
        <v>0.18414918414918416</v>
      </c>
      <c r="Q1317" s="62" t="e">
        <f>O1317-#REF!</f>
        <v>#REF!</v>
      </c>
      <c r="W1317" s="209"/>
      <c r="X1317" s="209"/>
      <c r="Y1317" s="209"/>
      <c r="Z1317" s="209"/>
      <c r="AA1317" s="209"/>
      <c r="AB1317" s="209"/>
      <c r="AC1317" s="209"/>
      <c r="AT1317" s="425" t="str">
        <f t="shared" si="102"/>
        <v>TGS000062017Q415,9</v>
      </c>
      <c r="AU1317" s="64" t="str">
        <f t="shared" si="103"/>
        <v>10-2017</v>
      </c>
      <c r="BA1317" s="428" t="str">
        <f t="shared" si="104"/>
        <v>WIP - 30 Days</v>
      </c>
    </row>
    <row r="1318" spans="2:53">
      <c r="B1318" s="36">
        <f>'[6]price list MAN'!B1318</f>
        <v>48658</v>
      </c>
      <c r="C1318" s="10" t="str">
        <f>'[6]price list MAN'!C1318</f>
        <v>TGS-33-4406X6BB-M-SWA</v>
      </c>
      <c r="D1318" s="16" t="str">
        <f>IFERROR(VLOOKUP(C1318&amp;"",'[7]Retail Price List'!$A$3:$B$103,2,FALSE),"Special Order")</f>
        <v>TGS00006</v>
      </c>
      <c r="E1318" s="494" t="str">
        <f>'[6]price list MAN'!E1318</f>
        <v>CKD</v>
      </c>
      <c r="F1318" s="11" t="str">
        <f>'[6]price list MAN'!F1318</f>
        <v>2018-04-06</v>
      </c>
      <c r="G1318" s="32">
        <f>'[6]price list MAN'!G1318</f>
        <v>15.9</v>
      </c>
      <c r="H1318" s="26">
        <f>'[6]price list MAN'!H1318</f>
        <v>43039</v>
      </c>
      <c r="I1318" s="51" t="str">
        <f t="shared" si="100"/>
        <v>2017Q4</v>
      </c>
      <c r="J1318" s="177">
        <f>'[6]price list MAN'!J1318</f>
        <v>2090000</v>
      </c>
      <c r="K1318" s="177">
        <f>'[6]price list MAN'!P1318</f>
        <v>1779750</v>
      </c>
      <c r="L1318" s="177">
        <f>'[6]price list MAN'!R1318</f>
        <v>1695000</v>
      </c>
      <c r="M1318" s="174">
        <f>'[6]price list MAN'!S1318</f>
        <v>2145000</v>
      </c>
      <c r="N1318" s="174">
        <f>'[6]price list MAN'!Y1318</f>
        <v>1837500</v>
      </c>
      <c r="O1318" s="174">
        <f>'[6]price list MAN'!AA1318</f>
        <v>1750000</v>
      </c>
      <c r="P1318" s="68">
        <f t="shared" si="101"/>
        <v>0.18414918414918416</v>
      </c>
      <c r="Q1318" s="62" t="e">
        <f>O1318-#REF!</f>
        <v>#REF!</v>
      </c>
      <c r="W1318" s="209"/>
      <c r="X1318" s="209"/>
      <c r="Y1318" s="209"/>
      <c r="Z1318" s="209"/>
      <c r="AA1318" s="209"/>
      <c r="AB1318" s="209"/>
      <c r="AC1318" s="209"/>
      <c r="AT1318" s="425" t="str">
        <f t="shared" si="102"/>
        <v>TGS000062017Q415,9</v>
      </c>
      <c r="AU1318" s="64" t="str">
        <f t="shared" si="103"/>
        <v>10-2017</v>
      </c>
      <c r="BA1318" s="428" t="str">
        <f t="shared" si="104"/>
        <v>WIP - 30 Days</v>
      </c>
    </row>
    <row r="1319" spans="2:53">
      <c r="B1319" s="36">
        <f>'[6]price list MAN'!B1319</f>
        <v>48659</v>
      </c>
      <c r="C1319" s="10" t="str">
        <f>'[6]price list MAN'!C1319</f>
        <v>TGS-33-4406X6BB-M-SWA</v>
      </c>
      <c r="D1319" s="16" t="str">
        <f>IFERROR(VLOOKUP(C1319&amp;"",'[7]Retail Price List'!$A$3:$B$103,2,FALSE),"Special Order")</f>
        <v>TGS00006</v>
      </c>
      <c r="E1319" s="494" t="str">
        <f>'[6]price list MAN'!E1319</f>
        <v>CKD</v>
      </c>
      <c r="F1319" s="11" t="str">
        <f>'[6]price list MAN'!F1319</f>
        <v>2018-04-06</v>
      </c>
      <c r="G1319" s="32">
        <f>'[6]price list MAN'!G1319</f>
        <v>15.9</v>
      </c>
      <c r="H1319" s="26">
        <f>'[6]price list MAN'!H1319</f>
        <v>43039</v>
      </c>
      <c r="I1319" s="51" t="str">
        <f t="shared" si="100"/>
        <v>2017Q4</v>
      </c>
      <c r="J1319" s="177">
        <f>'[6]price list MAN'!J1319</f>
        <v>2090000</v>
      </c>
      <c r="K1319" s="177">
        <f>'[6]price list MAN'!P1319</f>
        <v>1779750</v>
      </c>
      <c r="L1319" s="177">
        <f>'[6]price list MAN'!R1319</f>
        <v>1695000</v>
      </c>
      <c r="M1319" s="174">
        <f>'[6]price list MAN'!S1319</f>
        <v>2145000</v>
      </c>
      <c r="N1319" s="174">
        <f>'[6]price list MAN'!Y1319</f>
        <v>1837500</v>
      </c>
      <c r="O1319" s="174">
        <f>'[6]price list MAN'!AA1319</f>
        <v>1750000</v>
      </c>
      <c r="P1319" s="68">
        <f t="shared" si="101"/>
        <v>0.18414918414918416</v>
      </c>
      <c r="Q1319" s="62" t="e">
        <f>O1319-#REF!</f>
        <v>#REF!</v>
      </c>
      <c r="W1319" s="209"/>
      <c r="X1319" s="209"/>
      <c r="Y1319" s="209"/>
      <c r="Z1319" s="209"/>
      <c r="AA1319" s="209"/>
      <c r="AB1319" s="209"/>
      <c r="AC1319" s="209"/>
      <c r="AT1319" s="425" t="str">
        <f t="shared" si="102"/>
        <v>TGS000062017Q415,9</v>
      </c>
      <c r="AU1319" s="64" t="str">
        <f t="shared" si="103"/>
        <v>10-2017</v>
      </c>
      <c r="BA1319" s="428" t="str">
        <f t="shared" si="104"/>
        <v>WIP - 30 Days</v>
      </c>
    </row>
    <row r="1320" spans="2:53">
      <c r="B1320" s="36">
        <f>'[6]price list MAN'!B1320</f>
        <v>48660</v>
      </c>
      <c r="C1320" s="10" t="str">
        <f>'[6]price list MAN'!C1320</f>
        <v>TGS-33-4406X6BB-M-SWA</v>
      </c>
      <c r="D1320" s="16" t="str">
        <f>IFERROR(VLOOKUP(C1320&amp;"",'[7]Retail Price List'!$A$3:$B$103,2,FALSE),"Special Order")</f>
        <v>TGS00006</v>
      </c>
      <c r="E1320" s="494" t="str">
        <f>'[6]price list MAN'!E1320</f>
        <v>CKD</v>
      </c>
      <c r="F1320" s="11" t="str">
        <f>'[6]price list MAN'!F1320</f>
        <v>2018-04-06</v>
      </c>
      <c r="G1320" s="32">
        <f>'[6]price list MAN'!G1320</f>
        <v>15.9</v>
      </c>
      <c r="H1320" s="26">
        <f>'[6]price list MAN'!H1320</f>
        <v>43039</v>
      </c>
      <c r="I1320" s="51" t="str">
        <f t="shared" si="100"/>
        <v>2017Q4</v>
      </c>
      <c r="J1320" s="177">
        <f>'[6]price list MAN'!J1320</f>
        <v>2090000</v>
      </c>
      <c r="K1320" s="177">
        <f>'[6]price list MAN'!P1320</f>
        <v>1779750</v>
      </c>
      <c r="L1320" s="177">
        <f>'[6]price list MAN'!R1320</f>
        <v>1695000</v>
      </c>
      <c r="M1320" s="174">
        <f>'[6]price list MAN'!S1320</f>
        <v>2145000</v>
      </c>
      <c r="N1320" s="174">
        <f>'[6]price list MAN'!Y1320</f>
        <v>1837500</v>
      </c>
      <c r="O1320" s="174">
        <f>'[6]price list MAN'!AA1320</f>
        <v>1750000</v>
      </c>
      <c r="P1320" s="68">
        <f t="shared" si="101"/>
        <v>0.18414918414918416</v>
      </c>
      <c r="Q1320" s="62" t="e">
        <f>O1320-#REF!</f>
        <v>#REF!</v>
      </c>
      <c r="W1320" s="209"/>
      <c r="X1320" s="209"/>
      <c r="Y1320" s="209"/>
      <c r="Z1320" s="209"/>
      <c r="AA1320" s="209"/>
      <c r="AB1320" s="209"/>
      <c r="AC1320" s="209"/>
      <c r="AT1320" s="425" t="str">
        <f t="shared" si="102"/>
        <v>TGS000062017Q415,9</v>
      </c>
      <c r="AU1320" s="64" t="str">
        <f t="shared" si="103"/>
        <v>10-2017</v>
      </c>
      <c r="BA1320" s="428" t="str">
        <f t="shared" si="104"/>
        <v>WIP - 30 Days</v>
      </c>
    </row>
    <row r="1321" spans="2:53">
      <c r="B1321" s="36" t="str">
        <f>'[6]price list MAN'!B1321</f>
        <v>TBATG006</v>
      </c>
      <c r="C1321" s="10" t="str">
        <f>'[6]price list MAN'!C1321</f>
        <v>TGS-33-4406X6BB-M-SWA</v>
      </c>
      <c r="D1321" s="16" t="str">
        <f>IFERROR(VLOOKUP(C1321&amp;"",'[7]Retail Price List'!$A$3:$B$103,2,FALSE),"Special Order")</f>
        <v>TGS00006</v>
      </c>
      <c r="E1321" s="494" t="str">
        <f>'[6]price list MAN'!E1321</f>
        <v>CKD</v>
      </c>
      <c r="F1321" s="11" t="str">
        <f>'[6]price list MAN'!F1321</f>
        <v>2018-06-18</v>
      </c>
      <c r="G1321" s="32">
        <f>'[6]price list MAN'!G1321</f>
        <v>15.8</v>
      </c>
      <c r="H1321" s="26">
        <f>'[6]price list MAN'!H1321</f>
        <v>43159</v>
      </c>
      <c r="I1321" s="51" t="str">
        <f t="shared" si="100"/>
        <v>2018Q1</v>
      </c>
      <c r="J1321" s="177">
        <f>'[6]price list MAN'!J1321</f>
        <v>2090000</v>
      </c>
      <c r="K1321" s="177">
        <f>'[6]price list MAN'!P1321</f>
        <v>1779750</v>
      </c>
      <c r="L1321" s="177">
        <f>'[6]price list MAN'!R1321</f>
        <v>1695000</v>
      </c>
      <c r="M1321" s="174">
        <f>'[6]price list MAN'!S1321</f>
        <v>2145000</v>
      </c>
      <c r="N1321" s="174">
        <f>'[6]price list MAN'!Y1321</f>
        <v>1837500</v>
      </c>
      <c r="O1321" s="174">
        <f>'[6]price list MAN'!AA1321</f>
        <v>1750000</v>
      </c>
      <c r="P1321" s="68">
        <f t="shared" si="101"/>
        <v>0.18414918414918416</v>
      </c>
      <c r="Q1321" s="62" t="e">
        <f>O1321-#REF!</f>
        <v>#REF!</v>
      </c>
      <c r="W1321" s="209"/>
      <c r="X1321" s="209"/>
      <c r="Y1321" s="209"/>
      <c r="Z1321" s="209"/>
      <c r="AA1321" s="209"/>
      <c r="AB1321" s="209"/>
      <c r="AC1321" s="209"/>
      <c r="AT1321" s="425" t="str">
        <f t="shared" si="102"/>
        <v>TGS000062018Q115,8</v>
      </c>
      <c r="AU1321" s="64" t="str">
        <f t="shared" si="103"/>
        <v>02-2018</v>
      </c>
      <c r="BA1321" s="428" t="str">
        <f t="shared" si="104"/>
        <v>WIP - 30 Days</v>
      </c>
    </row>
    <row r="1322" spans="2:53">
      <c r="B1322" s="36">
        <f>'[6]price list MAN'!B1322</f>
        <v>48717</v>
      </c>
      <c r="C1322" s="10" t="str">
        <f>'[6]price list MAN'!C1322</f>
        <v>TGS-33-4806X4BB-M</v>
      </c>
      <c r="D1322" s="16" t="str">
        <f>IFERROR(VLOOKUP(C1322&amp;"",'[7]Retail Price List'!$A$3:$B$103,2,FALSE),"Special Order")</f>
        <v>KP000678</v>
      </c>
      <c r="E1322" s="494" t="str">
        <f>'[6]price list MAN'!E1322</f>
        <v>CKD</v>
      </c>
      <c r="F1322" s="11" t="str">
        <f>'[6]price list MAN'!F1322</f>
        <v>2018-06-30</v>
      </c>
      <c r="G1322" s="32">
        <f>'[6]price list MAN'!G1322</f>
        <v>15.9</v>
      </c>
      <c r="H1322" s="26">
        <f>'[6]price list MAN'!H1322</f>
        <v>43039</v>
      </c>
      <c r="I1322" s="51" t="str">
        <f t="shared" si="100"/>
        <v>2017Q4</v>
      </c>
      <c r="J1322" s="177">
        <f>'[6]price list MAN'!J1322</f>
        <v>1795000</v>
      </c>
      <c r="K1322" s="177">
        <f>'[6]price list MAN'!P1322</f>
        <v>1380750</v>
      </c>
      <c r="L1322" s="177">
        <f>'[6]price list MAN'!R1322</f>
        <v>1315000</v>
      </c>
      <c r="M1322" s="174">
        <f>'[6]price list MAN'!S1322</f>
        <v>1850000</v>
      </c>
      <c r="N1322" s="174">
        <f>'[6]price list MAN'!Y1322</f>
        <v>1438500</v>
      </c>
      <c r="O1322" s="174">
        <f>'[6]price list MAN'!AA1322</f>
        <v>1370000</v>
      </c>
      <c r="P1322" s="68">
        <f t="shared" si="101"/>
        <v>0.25945945945945947</v>
      </c>
      <c r="Q1322" s="62" t="e">
        <f>O1322-#REF!</f>
        <v>#REF!</v>
      </c>
      <c r="W1322" s="209"/>
      <c r="X1322" s="209"/>
      <c r="Y1322" s="209"/>
      <c r="Z1322" s="209"/>
      <c r="AA1322" s="209"/>
      <c r="AB1322" s="209"/>
      <c r="AC1322" s="209"/>
      <c r="AT1322" s="425" t="str">
        <f t="shared" si="102"/>
        <v>KP0006782017Q415,9</v>
      </c>
      <c r="AU1322" s="64" t="str">
        <f t="shared" si="103"/>
        <v>10-2017</v>
      </c>
      <c r="BA1322" s="428" t="str">
        <f t="shared" si="104"/>
        <v>WIP - 30 Days</v>
      </c>
    </row>
    <row r="1323" spans="2:53">
      <c r="B1323" s="36">
        <f>'[6]price list MAN'!B1323</f>
        <v>48718</v>
      </c>
      <c r="C1323" s="10" t="str">
        <f>'[6]price list MAN'!C1323</f>
        <v>TGS-33-4806X4BB-M</v>
      </c>
      <c r="D1323" s="16" t="str">
        <f>IFERROR(VLOOKUP(C1323&amp;"",'[7]Retail Price List'!$A$3:$B$103,2,FALSE),"Special Order")</f>
        <v>KP000678</v>
      </c>
      <c r="E1323" s="494" t="str">
        <f>'[6]price list MAN'!E1323</f>
        <v>CKD</v>
      </c>
      <c r="F1323" s="11" t="str">
        <f>'[6]price list MAN'!F1323</f>
        <v>2018-06-30</v>
      </c>
      <c r="G1323" s="32">
        <f>'[6]price list MAN'!G1323</f>
        <v>15.9</v>
      </c>
      <c r="H1323" s="26">
        <f>'[6]price list MAN'!H1323</f>
        <v>43039</v>
      </c>
      <c r="I1323" s="51" t="str">
        <f t="shared" si="100"/>
        <v>2017Q4</v>
      </c>
      <c r="J1323" s="177">
        <f>'[6]price list MAN'!J1323</f>
        <v>1795000</v>
      </c>
      <c r="K1323" s="177">
        <f>'[6]price list MAN'!P1323</f>
        <v>1380750</v>
      </c>
      <c r="L1323" s="177">
        <f>'[6]price list MAN'!R1323</f>
        <v>1315000</v>
      </c>
      <c r="M1323" s="174">
        <f>'[6]price list MAN'!S1323</f>
        <v>1850000</v>
      </c>
      <c r="N1323" s="174">
        <f>'[6]price list MAN'!Y1323</f>
        <v>1438500</v>
      </c>
      <c r="O1323" s="174">
        <f>'[6]price list MAN'!AA1323</f>
        <v>1370000</v>
      </c>
      <c r="P1323" s="68">
        <f t="shared" si="101"/>
        <v>0.25945945945945947</v>
      </c>
      <c r="Q1323" s="62" t="e">
        <f>O1323-#REF!</f>
        <v>#REF!</v>
      </c>
      <c r="W1323" s="209"/>
      <c r="X1323" s="209"/>
      <c r="Y1323" s="209"/>
      <c r="Z1323" s="209"/>
      <c r="AA1323" s="209"/>
      <c r="AB1323" s="209"/>
      <c r="AC1323" s="209"/>
      <c r="AT1323" s="425" t="str">
        <f t="shared" si="102"/>
        <v>KP0006782017Q415,9</v>
      </c>
      <c r="AU1323" s="64" t="str">
        <f t="shared" si="103"/>
        <v>10-2017</v>
      </c>
      <c r="BA1323" s="428" t="str">
        <f t="shared" si="104"/>
        <v>WIP - 30 Days</v>
      </c>
    </row>
    <row r="1324" spans="2:53">
      <c r="B1324" s="36">
        <f>'[6]price list MAN'!B1324</f>
        <v>48719</v>
      </c>
      <c r="C1324" s="10" t="str">
        <f>'[6]price list MAN'!C1324</f>
        <v>TGS-33-4806X4BB-M</v>
      </c>
      <c r="D1324" s="16" t="str">
        <f>IFERROR(VLOOKUP(C1324&amp;"",'[7]Retail Price List'!$A$3:$B$103,2,FALSE),"Special Order")</f>
        <v>KP000678</v>
      </c>
      <c r="E1324" s="494" t="str">
        <f>'[6]price list MAN'!E1324</f>
        <v>CKD</v>
      </c>
      <c r="F1324" s="11" t="str">
        <f>'[6]price list MAN'!F1324</f>
        <v>2018-07-30</v>
      </c>
      <c r="G1324" s="32">
        <f>'[6]price list MAN'!G1324</f>
        <v>15.9</v>
      </c>
      <c r="H1324" s="26">
        <f>'[6]price list MAN'!H1324</f>
        <v>43039</v>
      </c>
      <c r="I1324" s="51" t="str">
        <f t="shared" si="100"/>
        <v>2017Q4</v>
      </c>
      <c r="J1324" s="177">
        <f>'[6]price list MAN'!J1324</f>
        <v>1795000</v>
      </c>
      <c r="K1324" s="177">
        <f>'[6]price list MAN'!P1324</f>
        <v>1380750</v>
      </c>
      <c r="L1324" s="177">
        <f>'[6]price list MAN'!R1324</f>
        <v>1315000</v>
      </c>
      <c r="M1324" s="174">
        <f>'[6]price list MAN'!S1324</f>
        <v>1850000</v>
      </c>
      <c r="N1324" s="174">
        <f>'[6]price list MAN'!Y1324</f>
        <v>1438500</v>
      </c>
      <c r="O1324" s="174">
        <f>'[6]price list MAN'!AA1324</f>
        <v>1370000</v>
      </c>
      <c r="P1324" s="68">
        <f t="shared" si="101"/>
        <v>0.25945945945945947</v>
      </c>
      <c r="Q1324" s="62" t="e">
        <f>O1324-#REF!</f>
        <v>#REF!</v>
      </c>
      <c r="W1324" s="209"/>
      <c r="X1324" s="209"/>
      <c r="Y1324" s="209"/>
      <c r="Z1324" s="209"/>
      <c r="AA1324" s="209"/>
      <c r="AB1324" s="209"/>
      <c r="AC1324" s="209"/>
      <c r="AT1324" s="425" t="str">
        <f t="shared" si="102"/>
        <v>KP0006782017Q415,9</v>
      </c>
      <c r="AU1324" s="64" t="str">
        <f t="shared" si="103"/>
        <v>10-2017</v>
      </c>
      <c r="BA1324" s="428" t="str">
        <f t="shared" si="104"/>
        <v>WIP - 30 Days</v>
      </c>
    </row>
    <row r="1325" spans="2:53">
      <c r="B1325" s="36">
        <f>'[6]price list MAN'!B1325</f>
        <v>48720</v>
      </c>
      <c r="C1325" s="10" t="str">
        <f>'[6]price list MAN'!C1325</f>
        <v>TGS-33-4806X4BB-M</v>
      </c>
      <c r="D1325" s="16" t="str">
        <f>IFERROR(VLOOKUP(C1325&amp;"",'[7]Retail Price List'!$A$3:$B$103,2,FALSE),"Special Order")</f>
        <v>KP000678</v>
      </c>
      <c r="E1325" s="494" t="str">
        <f>'[6]price list MAN'!E1325</f>
        <v>CKD</v>
      </c>
      <c r="F1325" s="11" t="str">
        <f>'[6]price list MAN'!F1325</f>
        <v>2018-07-30</v>
      </c>
      <c r="G1325" s="32">
        <f>'[6]price list MAN'!G1325</f>
        <v>15.9</v>
      </c>
      <c r="H1325" s="26">
        <f>'[6]price list MAN'!H1325</f>
        <v>43039</v>
      </c>
      <c r="I1325" s="51" t="str">
        <f t="shared" si="100"/>
        <v>2017Q4</v>
      </c>
      <c r="J1325" s="177">
        <f>'[6]price list MAN'!J1325</f>
        <v>1795000</v>
      </c>
      <c r="K1325" s="177">
        <f>'[6]price list MAN'!P1325</f>
        <v>1380750</v>
      </c>
      <c r="L1325" s="177">
        <f>'[6]price list MAN'!R1325</f>
        <v>1315000</v>
      </c>
      <c r="M1325" s="174">
        <f>'[6]price list MAN'!S1325</f>
        <v>1850000</v>
      </c>
      <c r="N1325" s="174">
        <f>'[6]price list MAN'!Y1325</f>
        <v>1438500</v>
      </c>
      <c r="O1325" s="174">
        <f>'[6]price list MAN'!AA1325</f>
        <v>1370000</v>
      </c>
      <c r="P1325" s="68">
        <f t="shared" si="101"/>
        <v>0.25945945945945947</v>
      </c>
      <c r="Q1325" s="62" t="e">
        <f>O1325-#REF!</f>
        <v>#REF!</v>
      </c>
      <c r="W1325" s="209"/>
      <c r="X1325" s="209"/>
      <c r="Y1325" s="209"/>
      <c r="Z1325" s="209"/>
      <c r="AA1325" s="209"/>
      <c r="AB1325" s="209"/>
      <c r="AC1325" s="209"/>
      <c r="AT1325" s="425" t="str">
        <f t="shared" si="102"/>
        <v>KP0006782017Q415,9</v>
      </c>
      <c r="AU1325" s="64" t="str">
        <f t="shared" si="103"/>
        <v>10-2017</v>
      </c>
      <c r="BA1325" s="428" t="str">
        <f t="shared" si="104"/>
        <v>WIP - 30 Days</v>
      </c>
    </row>
    <row r="1326" spans="2:53">
      <c r="B1326" s="36" t="str">
        <f>'[6]price list MAN'!B1326</f>
        <v>76W-9496</v>
      </c>
      <c r="C1326" s="10" t="str">
        <f>'[6]price list MAN'!C1326</f>
        <v>TGS-33-4806X4BB-M</v>
      </c>
      <c r="D1326" s="16" t="str">
        <f>IFERROR(VLOOKUP(C1326&amp;"",'[7]Retail Price List'!$A$3:$B$103,2,FALSE),"Special Order")</f>
        <v>KP000678</v>
      </c>
      <c r="E1326" s="494" t="str">
        <f>'[6]price list MAN'!E1326</f>
        <v>SOLD</v>
      </c>
      <c r="F1326" s="11">
        <f>'[6]price list MAN'!F1326</f>
        <v>70</v>
      </c>
      <c r="G1326" s="32">
        <f>'[6]price list MAN'!G1326</f>
        <v>14.7</v>
      </c>
      <c r="H1326" s="26">
        <f>'[6]price list MAN'!H1326</f>
        <v>42937</v>
      </c>
      <c r="I1326" s="51" t="str">
        <f t="shared" si="100"/>
        <v>201707Q3</v>
      </c>
      <c r="J1326" s="177">
        <f>'[6]price list MAN'!J1326</f>
        <v>1795000</v>
      </c>
      <c r="K1326" s="177">
        <f>'[6]price list MAN'!P1326</f>
        <v>1417500</v>
      </c>
      <c r="L1326" s="177">
        <f>'[6]price list MAN'!R1326</f>
        <v>1350000</v>
      </c>
      <c r="M1326" s="174">
        <f>'[6]price list MAN'!S1326</f>
        <v>1850000</v>
      </c>
      <c r="N1326" s="174">
        <f>'[6]price list MAN'!Y1326</f>
        <v>1475250</v>
      </c>
      <c r="O1326" s="174">
        <f>'[6]price list MAN'!AA1326</f>
        <v>1405000</v>
      </c>
      <c r="P1326" s="68">
        <f t="shared" si="101"/>
        <v>0.24054054054054055</v>
      </c>
      <c r="Q1326" s="62" t="e">
        <f>O1326-#REF!</f>
        <v>#REF!</v>
      </c>
      <c r="W1326" s="209"/>
      <c r="X1326" s="209"/>
      <c r="Y1326" s="209"/>
      <c r="Z1326" s="209"/>
      <c r="AA1326" s="209"/>
      <c r="AB1326" s="209"/>
      <c r="AC1326" s="209"/>
      <c r="AT1326" s="425" t="str">
        <f t="shared" si="102"/>
        <v>KP000678201707Q314,7</v>
      </c>
      <c r="AU1326" s="64" t="str">
        <f t="shared" si="103"/>
        <v>07-2017</v>
      </c>
      <c r="BA1326" s="428" t="str">
        <f t="shared" si="104"/>
        <v>31-120 Days</v>
      </c>
    </row>
    <row r="1327" spans="2:53">
      <c r="B1327" s="36" t="str">
        <f>'[6]price list MAN'!B1327</f>
        <v>76W-9499</v>
      </c>
      <c r="C1327" s="10" t="str">
        <f>'[6]price list MAN'!C1327</f>
        <v>TGS-33-4806X4BB-M</v>
      </c>
      <c r="D1327" s="16" t="str">
        <f>IFERROR(VLOOKUP(C1327&amp;"",'[7]Retail Price List'!$A$3:$B$103,2,FALSE),"Special Order")</f>
        <v>KP000678</v>
      </c>
      <c r="E1327" s="494" t="str">
        <f>'[6]price list MAN'!E1327</f>
        <v>SOLD</v>
      </c>
      <c r="F1327" s="11">
        <f>'[6]price list MAN'!F1327</f>
        <v>76</v>
      </c>
      <c r="G1327" s="32">
        <f>'[6]price list MAN'!G1327</f>
        <v>14.7</v>
      </c>
      <c r="H1327" s="26">
        <f>'[6]price list MAN'!H1327</f>
        <v>42937</v>
      </c>
      <c r="I1327" s="51" t="str">
        <f t="shared" si="100"/>
        <v>201707Q3</v>
      </c>
      <c r="J1327" s="177">
        <f>'[6]price list MAN'!J1327</f>
        <v>1795000</v>
      </c>
      <c r="K1327" s="177">
        <f>'[6]price list MAN'!P1327</f>
        <v>1417500</v>
      </c>
      <c r="L1327" s="177">
        <f>'[6]price list MAN'!R1327</f>
        <v>1350000</v>
      </c>
      <c r="M1327" s="174">
        <f>'[6]price list MAN'!S1327</f>
        <v>1850000</v>
      </c>
      <c r="N1327" s="174">
        <f>'[6]price list MAN'!Y1327</f>
        <v>1475250</v>
      </c>
      <c r="O1327" s="174">
        <f>'[6]price list MAN'!AA1327</f>
        <v>1405000</v>
      </c>
      <c r="P1327" s="68">
        <f t="shared" si="101"/>
        <v>0.24054054054054055</v>
      </c>
      <c r="Q1327" s="62" t="e">
        <f>O1327-#REF!</f>
        <v>#REF!</v>
      </c>
      <c r="W1327" s="209"/>
      <c r="X1327" s="209"/>
      <c r="Y1327" s="209"/>
      <c r="Z1327" s="209"/>
      <c r="AA1327" s="209"/>
      <c r="AB1327" s="209"/>
      <c r="AC1327" s="209"/>
      <c r="AT1327" s="425" t="str">
        <f t="shared" si="102"/>
        <v>KP000678201707Q314,7</v>
      </c>
      <c r="AU1327" s="64" t="str">
        <f t="shared" si="103"/>
        <v>07-2017</v>
      </c>
      <c r="BA1327" s="428" t="str">
        <f t="shared" si="104"/>
        <v>31-120 Days</v>
      </c>
    </row>
    <row r="1328" spans="2:53">
      <c r="B1328" s="36" t="str">
        <f>'[6]price list MAN'!B1328</f>
        <v>76W-9501</v>
      </c>
      <c r="C1328" s="10" t="str">
        <f>'[6]price list MAN'!C1328</f>
        <v>TGS-33-4806X4BB-M</v>
      </c>
      <c r="D1328" s="16" t="str">
        <f>IFERROR(VLOOKUP(C1328&amp;"",'[7]Retail Price List'!$A$3:$B$103,2,FALSE),"Special Order")</f>
        <v>KP000678</v>
      </c>
      <c r="E1328" s="494" t="str">
        <f>'[6]price list MAN'!E1328</f>
        <v>SOLD</v>
      </c>
      <c r="F1328" s="11">
        <f>'[6]price list MAN'!F1328</f>
        <v>70</v>
      </c>
      <c r="G1328" s="32">
        <f>'[6]price list MAN'!G1328</f>
        <v>14.7</v>
      </c>
      <c r="H1328" s="26">
        <f>'[6]price list MAN'!H1328</f>
        <v>42937</v>
      </c>
      <c r="I1328" s="51" t="str">
        <f t="shared" si="100"/>
        <v>201707Q3</v>
      </c>
      <c r="J1328" s="177">
        <f>'[6]price list MAN'!J1328</f>
        <v>1795000</v>
      </c>
      <c r="K1328" s="177">
        <f>'[6]price list MAN'!P1328</f>
        <v>1417500</v>
      </c>
      <c r="L1328" s="177">
        <f>'[6]price list MAN'!R1328</f>
        <v>1350000</v>
      </c>
      <c r="M1328" s="174">
        <f>'[6]price list MAN'!S1328</f>
        <v>1850000</v>
      </c>
      <c r="N1328" s="174">
        <f>'[6]price list MAN'!Y1328</f>
        <v>1475250</v>
      </c>
      <c r="O1328" s="174">
        <f>'[6]price list MAN'!AA1328</f>
        <v>1405000</v>
      </c>
      <c r="P1328" s="68">
        <f t="shared" si="101"/>
        <v>0.24054054054054055</v>
      </c>
      <c r="Q1328" s="62" t="e">
        <f>O1328-#REF!</f>
        <v>#REF!</v>
      </c>
      <c r="W1328" s="209"/>
      <c r="X1328" s="209"/>
      <c r="Y1328" s="209"/>
      <c r="Z1328" s="209"/>
      <c r="AA1328" s="209"/>
      <c r="AB1328" s="209"/>
      <c r="AC1328" s="209"/>
      <c r="AT1328" s="425" t="str">
        <f t="shared" si="102"/>
        <v>KP000678201707Q314,7</v>
      </c>
      <c r="AU1328" s="64" t="str">
        <f t="shared" si="103"/>
        <v>07-2017</v>
      </c>
      <c r="BA1328" s="428" t="str">
        <f t="shared" si="104"/>
        <v>31-120 Days</v>
      </c>
    </row>
    <row r="1329" spans="2:53">
      <c r="B1329" s="36" t="str">
        <f>'[6]price list MAN'!B1329</f>
        <v>76W-9502</v>
      </c>
      <c r="C1329" s="10" t="str">
        <f>'[6]price list MAN'!C1329</f>
        <v>TGS-33-4806X4BB-M</v>
      </c>
      <c r="D1329" s="16" t="str">
        <f>IFERROR(VLOOKUP(C1329&amp;"",'[7]Retail Price List'!$A$3:$B$103,2,FALSE),"Special Order")</f>
        <v>KP000678</v>
      </c>
      <c r="E1329" s="494" t="str">
        <f>'[6]price list MAN'!E1329</f>
        <v>SOLD</v>
      </c>
      <c r="F1329" s="11">
        <f>'[6]price list MAN'!F1329</f>
        <v>70</v>
      </c>
      <c r="G1329" s="32">
        <f>'[6]price list MAN'!G1329</f>
        <v>14.7</v>
      </c>
      <c r="H1329" s="26">
        <f>'[6]price list MAN'!H1329</f>
        <v>42937</v>
      </c>
      <c r="I1329" s="51" t="str">
        <f t="shared" si="100"/>
        <v>201707Q3</v>
      </c>
      <c r="J1329" s="177">
        <f>'[6]price list MAN'!J1329</f>
        <v>1795000</v>
      </c>
      <c r="K1329" s="177">
        <f>'[6]price list MAN'!P1329</f>
        <v>1417500</v>
      </c>
      <c r="L1329" s="177">
        <f>'[6]price list MAN'!R1329</f>
        <v>1350000</v>
      </c>
      <c r="M1329" s="174">
        <f>'[6]price list MAN'!S1329</f>
        <v>1850000</v>
      </c>
      <c r="N1329" s="174">
        <f>'[6]price list MAN'!Y1329</f>
        <v>1475250</v>
      </c>
      <c r="O1329" s="174">
        <f>'[6]price list MAN'!AA1329</f>
        <v>1405000</v>
      </c>
      <c r="P1329" s="68">
        <f t="shared" si="101"/>
        <v>0.24054054054054055</v>
      </c>
      <c r="Q1329" s="62" t="e">
        <f>O1329-#REF!</f>
        <v>#REF!</v>
      </c>
      <c r="W1329" s="209"/>
      <c r="X1329" s="209"/>
      <c r="Y1329" s="209"/>
      <c r="Z1329" s="209"/>
      <c r="AA1329" s="209"/>
      <c r="AB1329" s="209"/>
      <c r="AC1329" s="209"/>
      <c r="AT1329" s="425" t="str">
        <f t="shared" si="102"/>
        <v>KP000678201707Q314,7</v>
      </c>
      <c r="AU1329" s="64" t="str">
        <f t="shared" si="103"/>
        <v>07-2017</v>
      </c>
      <c r="BA1329" s="428" t="str">
        <f t="shared" si="104"/>
        <v>31-120 Days</v>
      </c>
    </row>
    <row r="1330" spans="2:53">
      <c r="B1330" s="36" t="str">
        <f>'[6]price list MAN'!B1330</f>
        <v>76W-9619</v>
      </c>
      <c r="C1330" s="10" t="str">
        <f>'[6]price list MAN'!C1330</f>
        <v>TGS-33-4806X4BB-M</v>
      </c>
      <c r="D1330" s="16" t="str">
        <f>IFERROR(VLOOKUP(C1330&amp;"",'[7]Retail Price List'!$A$3:$B$103,2,FALSE),"Special Order")</f>
        <v>KP000678</v>
      </c>
      <c r="E1330" s="494" t="str">
        <f>'[6]price list MAN'!E1330</f>
        <v>SOLD</v>
      </c>
      <c r="F1330" s="11">
        <f>'[6]price list MAN'!F1330</f>
        <v>70</v>
      </c>
      <c r="G1330" s="32">
        <f>'[6]price list MAN'!G1330</f>
        <v>15.3</v>
      </c>
      <c r="H1330" s="26">
        <f>'[6]price list MAN'!H1330</f>
        <v>42957</v>
      </c>
      <c r="I1330" s="51" t="str">
        <f t="shared" si="100"/>
        <v>2017Q3</v>
      </c>
      <c r="J1330" s="177">
        <f>'[6]price list MAN'!J1330</f>
        <v>1795000</v>
      </c>
      <c r="K1330" s="177">
        <f>'[6]price list MAN'!P1330</f>
        <v>1417500</v>
      </c>
      <c r="L1330" s="177">
        <f>'[6]price list MAN'!R1330</f>
        <v>1350000</v>
      </c>
      <c r="M1330" s="174">
        <f>'[6]price list MAN'!S1330</f>
        <v>1850000</v>
      </c>
      <c r="N1330" s="174">
        <f>'[6]price list MAN'!Y1330</f>
        <v>1475250</v>
      </c>
      <c r="O1330" s="174">
        <f>'[6]price list MAN'!AA1330</f>
        <v>1405000</v>
      </c>
      <c r="P1330" s="68">
        <f t="shared" si="101"/>
        <v>0.24054054054054055</v>
      </c>
      <c r="Q1330" s="62" t="e">
        <f>O1330-#REF!</f>
        <v>#REF!</v>
      </c>
      <c r="W1330" s="209"/>
      <c r="X1330" s="209"/>
      <c r="Y1330" s="209"/>
      <c r="Z1330" s="209"/>
      <c r="AA1330" s="209"/>
      <c r="AB1330" s="209"/>
      <c r="AC1330" s="209"/>
      <c r="AT1330" s="425" t="str">
        <f t="shared" si="102"/>
        <v>KP0006782017Q315,3</v>
      </c>
      <c r="AU1330" s="64" t="str">
        <f t="shared" si="103"/>
        <v>08-2017</v>
      </c>
      <c r="BA1330" s="428" t="str">
        <f t="shared" si="104"/>
        <v>31-120 Days</v>
      </c>
    </row>
    <row r="1331" spans="2:53">
      <c r="B1331" s="36" t="str">
        <f>'[6]price list MAN'!B1331</f>
        <v>76W-9620</v>
      </c>
      <c r="C1331" s="10" t="str">
        <f>'[6]price list MAN'!C1331</f>
        <v>TGS-33-4806X4BB-M</v>
      </c>
      <c r="D1331" s="16" t="str">
        <f>IFERROR(VLOOKUP(C1331&amp;"",'[7]Retail Price List'!$A$3:$B$103,2,FALSE),"Special Order")</f>
        <v>KP000678</v>
      </c>
      <c r="E1331" s="494" t="str">
        <f>'[6]price list MAN'!E1331</f>
        <v>SOLD</v>
      </c>
      <c r="F1331" s="11">
        <f>'[6]price list MAN'!F1331</f>
        <v>82</v>
      </c>
      <c r="G1331" s="32">
        <f>'[6]price list MAN'!G1331</f>
        <v>15.3</v>
      </c>
      <c r="H1331" s="26">
        <f>'[6]price list MAN'!H1331</f>
        <v>42957</v>
      </c>
      <c r="I1331" s="51" t="str">
        <f t="shared" si="100"/>
        <v>2017Q3</v>
      </c>
      <c r="J1331" s="177">
        <f>'[6]price list MAN'!J1331</f>
        <v>1795000</v>
      </c>
      <c r="K1331" s="177">
        <f>'[6]price list MAN'!P1331</f>
        <v>1417500</v>
      </c>
      <c r="L1331" s="177">
        <f>'[6]price list MAN'!R1331</f>
        <v>1350000</v>
      </c>
      <c r="M1331" s="174">
        <f>'[6]price list MAN'!S1331</f>
        <v>1850000</v>
      </c>
      <c r="N1331" s="174">
        <f>'[6]price list MAN'!Y1331</f>
        <v>1475250</v>
      </c>
      <c r="O1331" s="174">
        <f>'[6]price list MAN'!AA1331</f>
        <v>1405000</v>
      </c>
      <c r="P1331" s="68">
        <f t="shared" si="101"/>
        <v>0.24054054054054055</v>
      </c>
      <c r="Q1331" s="62" t="e">
        <f>O1331-#REF!</f>
        <v>#REF!</v>
      </c>
      <c r="W1331" s="209"/>
      <c r="X1331" s="209"/>
      <c r="Y1331" s="209"/>
      <c r="Z1331" s="209"/>
      <c r="AA1331" s="209"/>
      <c r="AB1331" s="209"/>
      <c r="AC1331" s="209"/>
      <c r="AT1331" s="425" t="str">
        <f t="shared" si="102"/>
        <v>KP0006782017Q315,3</v>
      </c>
      <c r="AU1331" s="64" t="str">
        <f t="shared" si="103"/>
        <v>08-2017</v>
      </c>
      <c r="BA1331" s="428" t="str">
        <f t="shared" si="104"/>
        <v>31-120 Days</v>
      </c>
    </row>
    <row r="1332" spans="2:53">
      <c r="B1332" s="36" t="str">
        <f>'[6]price list MAN'!B1332</f>
        <v>76W-9621</v>
      </c>
      <c r="C1332" s="10" t="str">
        <f>'[6]price list MAN'!C1332</f>
        <v>TGS-33-4806X4BB-M</v>
      </c>
      <c r="D1332" s="16" t="str">
        <f>IFERROR(VLOOKUP(C1332&amp;"",'[7]Retail Price List'!$A$3:$B$103,2,FALSE),"Special Order")</f>
        <v>KP000678</v>
      </c>
      <c r="E1332" s="494" t="str">
        <f>'[6]price list MAN'!E1332</f>
        <v>SOLD</v>
      </c>
      <c r="F1332" s="11">
        <f>'[6]price list MAN'!F1332</f>
        <v>81</v>
      </c>
      <c r="G1332" s="32">
        <f>'[6]price list MAN'!G1332</f>
        <v>15.3</v>
      </c>
      <c r="H1332" s="26">
        <f>'[6]price list MAN'!H1332</f>
        <v>42957</v>
      </c>
      <c r="I1332" s="51" t="str">
        <f t="shared" si="100"/>
        <v>2017Q3</v>
      </c>
      <c r="J1332" s="177">
        <f>'[6]price list MAN'!J1332</f>
        <v>1795000</v>
      </c>
      <c r="K1332" s="177">
        <f>'[6]price list MAN'!P1332</f>
        <v>1417500</v>
      </c>
      <c r="L1332" s="177">
        <f>'[6]price list MAN'!R1332</f>
        <v>1350000</v>
      </c>
      <c r="M1332" s="174">
        <f>'[6]price list MAN'!S1332</f>
        <v>1850000</v>
      </c>
      <c r="N1332" s="174">
        <f>'[6]price list MAN'!Y1332</f>
        <v>1475250</v>
      </c>
      <c r="O1332" s="174">
        <f>'[6]price list MAN'!AA1332</f>
        <v>1405000</v>
      </c>
      <c r="P1332" s="68">
        <f t="shared" si="101"/>
        <v>0.24054054054054055</v>
      </c>
      <c r="Q1332" s="62" t="e">
        <f>O1332-#REF!</f>
        <v>#REF!</v>
      </c>
      <c r="W1332" s="209"/>
      <c r="X1332" s="209"/>
      <c r="Y1332" s="209"/>
      <c r="Z1332" s="209"/>
      <c r="AA1332" s="209"/>
      <c r="AB1332" s="209"/>
      <c r="AC1332" s="209"/>
      <c r="AT1332" s="425" t="str">
        <f t="shared" si="102"/>
        <v>KP0006782017Q315,3</v>
      </c>
      <c r="AU1332" s="64" t="str">
        <f t="shared" si="103"/>
        <v>08-2017</v>
      </c>
      <c r="BA1332" s="428" t="str">
        <f t="shared" si="104"/>
        <v>31-120 Days</v>
      </c>
    </row>
    <row r="1333" spans="2:53">
      <c r="B1333" s="36" t="str">
        <f>'[6]price list MAN'!B1333</f>
        <v>76W-9622</v>
      </c>
      <c r="C1333" s="10" t="str">
        <f>'[6]price list MAN'!C1333</f>
        <v>TGS-33-4806X4BB-M</v>
      </c>
      <c r="D1333" s="16" t="str">
        <f>IFERROR(VLOOKUP(C1333&amp;"",'[7]Retail Price List'!$A$3:$B$103,2,FALSE),"Special Order")</f>
        <v>KP000678</v>
      </c>
      <c r="E1333" s="494" t="str">
        <f>'[6]price list MAN'!E1333</f>
        <v>SOLD</v>
      </c>
      <c r="F1333" s="11">
        <f>'[6]price list MAN'!F1333</f>
        <v>78</v>
      </c>
      <c r="G1333" s="32">
        <f>'[6]price list MAN'!G1333</f>
        <v>15.3</v>
      </c>
      <c r="H1333" s="26">
        <f>'[6]price list MAN'!H1333</f>
        <v>42957</v>
      </c>
      <c r="I1333" s="51" t="str">
        <f t="shared" si="100"/>
        <v>2017Q3</v>
      </c>
      <c r="J1333" s="177">
        <f>'[6]price list MAN'!J1333</f>
        <v>1795000</v>
      </c>
      <c r="K1333" s="177">
        <f>'[6]price list MAN'!P1333</f>
        <v>1417500</v>
      </c>
      <c r="L1333" s="177">
        <f>'[6]price list MAN'!R1333</f>
        <v>1350000</v>
      </c>
      <c r="M1333" s="174">
        <f>'[6]price list MAN'!S1333</f>
        <v>1850000</v>
      </c>
      <c r="N1333" s="174">
        <f>'[6]price list MAN'!Y1333</f>
        <v>1475250</v>
      </c>
      <c r="O1333" s="174">
        <f>'[6]price list MAN'!AA1333</f>
        <v>1405000</v>
      </c>
      <c r="P1333" s="68">
        <f t="shared" si="101"/>
        <v>0.24054054054054055</v>
      </c>
      <c r="Q1333" s="62" t="e">
        <f>O1333-#REF!</f>
        <v>#REF!</v>
      </c>
      <c r="W1333" s="209"/>
      <c r="X1333" s="209"/>
      <c r="Y1333" s="209"/>
      <c r="Z1333" s="209"/>
      <c r="AA1333" s="209"/>
      <c r="AB1333" s="209"/>
      <c r="AC1333" s="209"/>
      <c r="AT1333" s="425" t="str">
        <f t="shared" si="102"/>
        <v>KP0006782017Q315,3</v>
      </c>
      <c r="AU1333" s="64" t="str">
        <f t="shared" si="103"/>
        <v>08-2017</v>
      </c>
      <c r="BA1333" s="428" t="str">
        <f t="shared" si="104"/>
        <v>31-120 Days</v>
      </c>
    </row>
    <row r="1334" spans="2:53">
      <c r="B1334" s="36" t="str">
        <f>'[6]price list MAN'!B1334</f>
        <v>76W-9623</v>
      </c>
      <c r="C1334" s="10" t="str">
        <f>'[6]price list MAN'!C1334</f>
        <v>TGS-33-4806X4BB-M</v>
      </c>
      <c r="D1334" s="16" t="str">
        <f>IFERROR(VLOOKUP(C1334&amp;"",'[7]Retail Price List'!$A$3:$B$103,2,FALSE),"Special Order")</f>
        <v>KP000678</v>
      </c>
      <c r="E1334" s="494" t="str">
        <f>'[6]price list MAN'!E1334</f>
        <v>SOLD</v>
      </c>
      <c r="F1334" s="11">
        <f>'[6]price list MAN'!F1334</f>
        <v>78</v>
      </c>
      <c r="G1334" s="32">
        <f>'[6]price list MAN'!G1334</f>
        <v>15.3</v>
      </c>
      <c r="H1334" s="26">
        <f>'[6]price list MAN'!H1334</f>
        <v>42957</v>
      </c>
      <c r="I1334" s="51" t="str">
        <f t="shared" si="100"/>
        <v>2017Q3</v>
      </c>
      <c r="J1334" s="177">
        <f>'[6]price list MAN'!J1334</f>
        <v>1795000</v>
      </c>
      <c r="K1334" s="177">
        <f>'[6]price list MAN'!P1334</f>
        <v>1417500</v>
      </c>
      <c r="L1334" s="177">
        <f>'[6]price list MAN'!R1334</f>
        <v>1350000</v>
      </c>
      <c r="M1334" s="174">
        <f>'[6]price list MAN'!S1334</f>
        <v>1850000</v>
      </c>
      <c r="N1334" s="174">
        <f>'[6]price list MAN'!Y1334</f>
        <v>1475250</v>
      </c>
      <c r="O1334" s="174">
        <f>'[6]price list MAN'!AA1334</f>
        <v>1405000</v>
      </c>
      <c r="P1334" s="68">
        <f t="shared" si="101"/>
        <v>0.24054054054054055</v>
      </c>
      <c r="Q1334" s="62" t="e">
        <f>O1334-#REF!</f>
        <v>#REF!</v>
      </c>
      <c r="W1334" s="209"/>
      <c r="X1334" s="209"/>
      <c r="Y1334" s="209"/>
      <c r="Z1334" s="209"/>
      <c r="AA1334" s="209"/>
      <c r="AB1334" s="209"/>
      <c r="AC1334" s="209"/>
      <c r="AT1334" s="425" t="str">
        <f t="shared" si="102"/>
        <v>KP0006782017Q315,3</v>
      </c>
      <c r="AU1334" s="64" t="str">
        <f t="shared" si="103"/>
        <v>08-2017</v>
      </c>
      <c r="BA1334" s="428" t="str">
        <f t="shared" si="104"/>
        <v>31-120 Days</v>
      </c>
    </row>
    <row r="1335" spans="2:53">
      <c r="B1335" s="36" t="str">
        <f>'[6]price list MAN'!B1335</f>
        <v>76W-9624</v>
      </c>
      <c r="C1335" s="10" t="str">
        <f>'[6]price list MAN'!C1335</f>
        <v>TGS-33-4806X4BB-M</v>
      </c>
      <c r="D1335" s="16" t="str">
        <f>IFERROR(VLOOKUP(C1335&amp;"",'[7]Retail Price List'!$A$3:$B$103,2,FALSE),"Special Order")</f>
        <v>KP000678</v>
      </c>
      <c r="E1335" s="494" t="str">
        <f>'[6]price list MAN'!E1335</f>
        <v>SOLD</v>
      </c>
      <c r="F1335" s="11">
        <f>'[6]price list MAN'!F1335</f>
        <v>78</v>
      </c>
      <c r="G1335" s="32">
        <f>'[6]price list MAN'!G1335</f>
        <v>15.3</v>
      </c>
      <c r="H1335" s="26">
        <f>'[6]price list MAN'!H1335</f>
        <v>42957</v>
      </c>
      <c r="I1335" s="51" t="str">
        <f t="shared" si="100"/>
        <v>2017Q3</v>
      </c>
      <c r="J1335" s="177">
        <f>'[6]price list MAN'!J1335</f>
        <v>1795000</v>
      </c>
      <c r="K1335" s="177">
        <f>'[6]price list MAN'!P1335</f>
        <v>1417500</v>
      </c>
      <c r="L1335" s="177">
        <f>'[6]price list MAN'!R1335</f>
        <v>1350000</v>
      </c>
      <c r="M1335" s="174">
        <f>'[6]price list MAN'!S1335</f>
        <v>1850000</v>
      </c>
      <c r="N1335" s="174">
        <f>'[6]price list MAN'!Y1335</f>
        <v>1475250</v>
      </c>
      <c r="O1335" s="174">
        <f>'[6]price list MAN'!AA1335</f>
        <v>1405000</v>
      </c>
      <c r="P1335" s="68">
        <f t="shared" si="101"/>
        <v>0.24054054054054055</v>
      </c>
      <c r="Q1335" s="62" t="e">
        <f>O1335-#REF!</f>
        <v>#REF!</v>
      </c>
      <c r="W1335" s="209"/>
      <c r="X1335" s="209"/>
      <c r="Y1335" s="209"/>
      <c r="Z1335" s="209"/>
      <c r="AA1335" s="209"/>
      <c r="AB1335" s="209"/>
      <c r="AC1335" s="209"/>
      <c r="AT1335" s="425" t="str">
        <f t="shared" si="102"/>
        <v>KP0006782017Q315,3</v>
      </c>
      <c r="AU1335" s="64" t="str">
        <f t="shared" si="103"/>
        <v>08-2017</v>
      </c>
      <c r="BA1335" s="428" t="str">
        <f t="shared" si="104"/>
        <v>31-120 Days</v>
      </c>
    </row>
    <row r="1336" spans="2:53">
      <c r="B1336" s="36" t="str">
        <f>'[6]price list MAN'!B1336</f>
        <v>76W-9625</v>
      </c>
      <c r="C1336" s="10" t="str">
        <f>'[6]price list MAN'!C1336</f>
        <v>TGS-33-4806X4BB-M</v>
      </c>
      <c r="D1336" s="16" t="str">
        <f>IFERROR(VLOOKUP(C1336&amp;"",'[7]Retail Price List'!$A$3:$B$103,2,FALSE),"Special Order")</f>
        <v>KP000678</v>
      </c>
      <c r="E1336" s="494" t="str">
        <f>'[6]price list MAN'!E1336</f>
        <v>SOLD</v>
      </c>
      <c r="F1336" s="11">
        <f>'[6]price list MAN'!F1336</f>
        <v>33</v>
      </c>
      <c r="G1336" s="32">
        <f>'[6]price list MAN'!G1336</f>
        <v>15.3</v>
      </c>
      <c r="H1336" s="26">
        <f>'[6]price list MAN'!H1336</f>
        <v>42957</v>
      </c>
      <c r="I1336" s="51" t="str">
        <f t="shared" si="100"/>
        <v>2017Q3</v>
      </c>
      <c r="J1336" s="177">
        <f>'[6]price list MAN'!J1336</f>
        <v>1795000</v>
      </c>
      <c r="K1336" s="177">
        <f>'[6]price list MAN'!P1336</f>
        <v>1417500</v>
      </c>
      <c r="L1336" s="177">
        <f>'[6]price list MAN'!R1336</f>
        <v>1350000</v>
      </c>
      <c r="M1336" s="174">
        <f>'[6]price list MAN'!S1336</f>
        <v>1850000</v>
      </c>
      <c r="N1336" s="174">
        <f>'[6]price list MAN'!Y1336</f>
        <v>1475250</v>
      </c>
      <c r="O1336" s="174">
        <f>'[6]price list MAN'!AA1336</f>
        <v>1405000</v>
      </c>
      <c r="P1336" s="68">
        <f t="shared" si="101"/>
        <v>0.24054054054054055</v>
      </c>
      <c r="Q1336" s="62" t="e">
        <f>O1336-#REF!</f>
        <v>#REF!</v>
      </c>
      <c r="W1336" s="209"/>
      <c r="X1336" s="209"/>
      <c r="Y1336" s="209"/>
      <c r="Z1336" s="209"/>
      <c r="AA1336" s="209"/>
      <c r="AB1336" s="209"/>
      <c r="AC1336" s="209"/>
      <c r="AT1336" s="425" t="str">
        <f t="shared" si="102"/>
        <v>KP0006782017Q315,3</v>
      </c>
      <c r="AU1336" s="64" t="str">
        <f t="shared" si="103"/>
        <v>08-2017</v>
      </c>
      <c r="BA1336" s="428" t="str">
        <f t="shared" si="104"/>
        <v>31-120 Days</v>
      </c>
    </row>
    <row r="1337" spans="2:53">
      <c r="B1337" s="36" t="str">
        <f>'[6]price list MAN'!B1337</f>
        <v>76W-9626</v>
      </c>
      <c r="C1337" s="10" t="str">
        <f>'[6]price list MAN'!C1337</f>
        <v>TGS-33-4806X4BB-M</v>
      </c>
      <c r="D1337" s="16" t="str">
        <f>IFERROR(VLOOKUP(C1337&amp;"",'[7]Retail Price List'!$A$3:$B$103,2,FALSE),"Special Order")</f>
        <v>KP000678</v>
      </c>
      <c r="E1337" s="494" t="str">
        <f>'[6]price list MAN'!E1337</f>
        <v>SOLD</v>
      </c>
      <c r="F1337" s="11">
        <f>'[6]price list MAN'!F1337</f>
        <v>34</v>
      </c>
      <c r="G1337" s="32">
        <f>'[6]price list MAN'!G1337</f>
        <v>15.3</v>
      </c>
      <c r="H1337" s="26">
        <f>'[6]price list MAN'!H1337</f>
        <v>42957</v>
      </c>
      <c r="I1337" s="51" t="str">
        <f t="shared" si="100"/>
        <v>2017Q3</v>
      </c>
      <c r="J1337" s="177">
        <f>'[6]price list MAN'!J1337</f>
        <v>1795000</v>
      </c>
      <c r="K1337" s="177">
        <f>'[6]price list MAN'!P1337</f>
        <v>1417500</v>
      </c>
      <c r="L1337" s="177">
        <f>'[6]price list MAN'!R1337</f>
        <v>1350000</v>
      </c>
      <c r="M1337" s="174">
        <f>'[6]price list MAN'!S1337</f>
        <v>1850000</v>
      </c>
      <c r="N1337" s="174">
        <f>'[6]price list MAN'!Y1337</f>
        <v>1475250</v>
      </c>
      <c r="O1337" s="174">
        <f>'[6]price list MAN'!AA1337</f>
        <v>1405000</v>
      </c>
      <c r="P1337" s="68">
        <f t="shared" si="101"/>
        <v>0.24054054054054055</v>
      </c>
      <c r="Q1337" s="62" t="e">
        <f>O1337-#REF!</f>
        <v>#REF!</v>
      </c>
      <c r="W1337" s="209"/>
      <c r="X1337" s="209"/>
      <c r="Y1337" s="209"/>
      <c r="Z1337" s="209"/>
      <c r="AA1337" s="209"/>
      <c r="AB1337" s="209"/>
      <c r="AC1337" s="209"/>
      <c r="AT1337" s="425" t="str">
        <f t="shared" si="102"/>
        <v>KP0006782017Q315,3</v>
      </c>
      <c r="AU1337" s="64" t="str">
        <f t="shared" si="103"/>
        <v>08-2017</v>
      </c>
      <c r="BA1337" s="428" t="str">
        <f t="shared" si="104"/>
        <v>31-120 Days</v>
      </c>
    </row>
    <row r="1338" spans="2:53">
      <c r="B1338" s="36" t="str">
        <f>'[6]price list MAN'!B1338</f>
        <v>76W-B263</v>
      </c>
      <c r="C1338" s="10" t="str">
        <f>'[6]price list MAN'!C1338</f>
        <v>TGS-33-4806X4BB-M</v>
      </c>
      <c r="D1338" s="16" t="str">
        <f>IFERROR(VLOOKUP(C1338&amp;"",'[7]Retail Price List'!$A$3:$B$103,2,FALSE),"Special Order")</f>
        <v>KP000678</v>
      </c>
      <c r="E1338" s="494" t="str">
        <f>'[6]price list MAN'!E1338</f>
        <v>CKD</v>
      </c>
      <c r="F1338" s="11" t="str">
        <f>'[6]price list MAN'!F1338</f>
        <v>2018-03-30</v>
      </c>
      <c r="G1338" s="32">
        <f>'[6]price list MAN'!G1338</f>
        <v>15.3</v>
      </c>
      <c r="H1338" s="26">
        <f>'[6]price list MAN'!H1338</f>
        <v>42978</v>
      </c>
      <c r="I1338" s="51" t="str">
        <f t="shared" si="100"/>
        <v>2017Q3</v>
      </c>
      <c r="J1338" s="177">
        <f>'[6]price list MAN'!J1338</f>
        <v>1795000</v>
      </c>
      <c r="K1338" s="177">
        <f>'[6]price list MAN'!P1338</f>
        <v>1417500</v>
      </c>
      <c r="L1338" s="177">
        <f>'[6]price list MAN'!R1338</f>
        <v>1350000</v>
      </c>
      <c r="M1338" s="174">
        <f>'[6]price list MAN'!S1338</f>
        <v>1850000</v>
      </c>
      <c r="N1338" s="174">
        <f>'[6]price list MAN'!Y1338</f>
        <v>1475250</v>
      </c>
      <c r="O1338" s="174">
        <f>'[6]price list MAN'!AA1338</f>
        <v>1405000</v>
      </c>
      <c r="P1338" s="68">
        <f t="shared" si="101"/>
        <v>0.24054054054054055</v>
      </c>
      <c r="Q1338" s="62" t="e">
        <f>O1338-#REF!</f>
        <v>#REF!</v>
      </c>
      <c r="W1338" s="209"/>
      <c r="X1338" s="209"/>
      <c r="Y1338" s="209"/>
      <c r="Z1338" s="209"/>
      <c r="AA1338" s="209"/>
      <c r="AB1338" s="209"/>
      <c r="AC1338" s="209"/>
      <c r="AT1338" s="425" t="str">
        <f t="shared" si="102"/>
        <v>KP0006782017Q315,3</v>
      </c>
      <c r="AU1338" s="64" t="str">
        <f t="shared" si="103"/>
        <v>08-2017</v>
      </c>
      <c r="BA1338" s="428" t="str">
        <f t="shared" si="104"/>
        <v>WIP - 30 Days</v>
      </c>
    </row>
    <row r="1339" spans="2:53">
      <c r="B1339" s="36" t="str">
        <f>'[6]price list MAN'!B1339</f>
        <v>76W-B264</v>
      </c>
      <c r="C1339" s="10" t="str">
        <f>'[6]price list MAN'!C1339</f>
        <v>TGS-33-4806X4BB-M</v>
      </c>
      <c r="D1339" s="16" t="str">
        <f>IFERROR(VLOOKUP(C1339&amp;"",'[7]Retail Price List'!$A$3:$B$103,2,FALSE),"Special Order")</f>
        <v>KP000678</v>
      </c>
      <c r="E1339" s="494" t="str">
        <f>'[6]price list MAN'!E1339</f>
        <v>CKD</v>
      </c>
      <c r="F1339" s="11" t="str">
        <f>'[6]price list MAN'!F1339</f>
        <v>2018-03-30</v>
      </c>
      <c r="G1339" s="32">
        <f>'[6]price list MAN'!G1339</f>
        <v>15.3</v>
      </c>
      <c r="H1339" s="26">
        <f>'[6]price list MAN'!H1339</f>
        <v>42978</v>
      </c>
      <c r="I1339" s="51" t="str">
        <f t="shared" si="100"/>
        <v>2017Q3</v>
      </c>
      <c r="J1339" s="177">
        <f>'[6]price list MAN'!J1339</f>
        <v>1795000</v>
      </c>
      <c r="K1339" s="177">
        <f>'[6]price list MAN'!P1339</f>
        <v>1417500</v>
      </c>
      <c r="L1339" s="177">
        <f>'[6]price list MAN'!R1339</f>
        <v>1350000</v>
      </c>
      <c r="M1339" s="174">
        <f>'[6]price list MAN'!S1339</f>
        <v>1850000</v>
      </c>
      <c r="N1339" s="174">
        <f>'[6]price list MAN'!Y1339</f>
        <v>1475250</v>
      </c>
      <c r="O1339" s="174">
        <f>'[6]price list MAN'!AA1339</f>
        <v>1405000</v>
      </c>
      <c r="P1339" s="68">
        <f t="shared" si="101"/>
        <v>0.24054054054054055</v>
      </c>
      <c r="Q1339" s="62" t="e">
        <f>O1339-#REF!</f>
        <v>#REF!</v>
      </c>
      <c r="W1339" s="209"/>
      <c r="X1339" s="209"/>
      <c r="Y1339" s="209"/>
      <c r="Z1339" s="209"/>
      <c r="AA1339" s="209"/>
      <c r="AB1339" s="209"/>
      <c r="AC1339" s="209"/>
      <c r="AT1339" s="425" t="str">
        <f t="shared" si="102"/>
        <v>KP0006782017Q315,3</v>
      </c>
      <c r="AU1339" s="64" t="str">
        <f t="shared" si="103"/>
        <v>08-2017</v>
      </c>
      <c r="BA1339" s="428" t="str">
        <f t="shared" si="104"/>
        <v>WIP - 30 Days</v>
      </c>
    </row>
    <row r="1340" spans="2:53">
      <c r="B1340" s="36" t="str">
        <f>'[6]price list MAN'!B1340</f>
        <v>76W-B265</v>
      </c>
      <c r="C1340" s="10" t="str">
        <f>'[6]price list MAN'!C1340</f>
        <v>TGS-33-4806X4BB-M</v>
      </c>
      <c r="D1340" s="16" t="str">
        <f>IFERROR(VLOOKUP(C1340&amp;"",'[7]Retail Price List'!$A$3:$B$103,2,FALSE),"Special Order")</f>
        <v>KP000678</v>
      </c>
      <c r="E1340" s="494" t="str">
        <f>'[6]price list MAN'!E1340</f>
        <v>CKD</v>
      </c>
      <c r="F1340" s="11" t="str">
        <f>'[6]price list MAN'!F1340</f>
        <v>2018-05-30</v>
      </c>
      <c r="G1340" s="32">
        <f>'[6]price list MAN'!G1340</f>
        <v>15.3</v>
      </c>
      <c r="H1340" s="26">
        <f>'[6]price list MAN'!H1340</f>
        <v>42978</v>
      </c>
      <c r="I1340" s="51" t="str">
        <f t="shared" si="100"/>
        <v>2017Q3</v>
      </c>
      <c r="J1340" s="177">
        <f>'[6]price list MAN'!J1340</f>
        <v>1795000</v>
      </c>
      <c r="K1340" s="177">
        <f>'[6]price list MAN'!P1340</f>
        <v>1380750</v>
      </c>
      <c r="L1340" s="177">
        <f>'[6]price list MAN'!R1340</f>
        <v>1315000</v>
      </c>
      <c r="M1340" s="174">
        <f>'[6]price list MAN'!S1340</f>
        <v>1850000</v>
      </c>
      <c r="N1340" s="174">
        <f>'[6]price list MAN'!Y1340</f>
        <v>1438500</v>
      </c>
      <c r="O1340" s="174">
        <f>'[6]price list MAN'!AA1340</f>
        <v>1370000</v>
      </c>
      <c r="P1340" s="68">
        <f t="shared" si="101"/>
        <v>0.25945945945945947</v>
      </c>
      <c r="Q1340" s="62" t="e">
        <f>O1340-#REF!</f>
        <v>#REF!</v>
      </c>
      <c r="W1340" s="209"/>
      <c r="X1340" s="209"/>
      <c r="Y1340" s="209"/>
      <c r="Z1340" s="209"/>
      <c r="AA1340" s="209"/>
      <c r="AB1340" s="209"/>
      <c r="AC1340" s="209"/>
      <c r="AT1340" s="425" t="str">
        <f t="shared" si="102"/>
        <v>KP0006782017Q315,3</v>
      </c>
      <c r="AU1340" s="64" t="str">
        <f t="shared" si="103"/>
        <v>08-2017</v>
      </c>
      <c r="BA1340" s="428" t="str">
        <f t="shared" si="104"/>
        <v>WIP - 30 Days</v>
      </c>
    </row>
    <row r="1341" spans="2:53">
      <c r="B1341" s="36" t="str">
        <f>'[6]price list MAN'!B1341</f>
        <v>76W-B266</v>
      </c>
      <c r="C1341" s="10" t="str">
        <f>'[6]price list MAN'!C1341</f>
        <v>TGS-33-4806X4BB-M</v>
      </c>
      <c r="D1341" s="16" t="str">
        <f>IFERROR(VLOOKUP(C1341&amp;"",'[7]Retail Price List'!$A$3:$B$103,2,FALSE),"Special Order")</f>
        <v>KP000678</v>
      </c>
      <c r="E1341" s="494" t="str">
        <f>'[6]price list MAN'!E1341</f>
        <v>CKD</v>
      </c>
      <c r="F1341" s="11" t="str">
        <f>'[6]price list MAN'!F1341</f>
        <v>2018-05-30</v>
      </c>
      <c r="G1341" s="32">
        <f>'[6]price list MAN'!G1341</f>
        <v>15.3</v>
      </c>
      <c r="H1341" s="26">
        <f>'[6]price list MAN'!H1341</f>
        <v>42978</v>
      </c>
      <c r="I1341" s="51" t="str">
        <f t="shared" si="100"/>
        <v>2017Q3</v>
      </c>
      <c r="J1341" s="177">
        <f>'[6]price list MAN'!J1341</f>
        <v>1795000</v>
      </c>
      <c r="K1341" s="177">
        <f>'[6]price list MAN'!P1341</f>
        <v>1380750</v>
      </c>
      <c r="L1341" s="177">
        <f>'[6]price list MAN'!R1341</f>
        <v>1315000</v>
      </c>
      <c r="M1341" s="174">
        <f>'[6]price list MAN'!S1341</f>
        <v>1850000</v>
      </c>
      <c r="N1341" s="174">
        <f>'[6]price list MAN'!Y1341</f>
        <v>1438500</v>
      </c>
      <c r="O1341" s="174">
        <f>'[6]price list MAN'!AA1341</f>
        <v>1370000</v>
      </c>
      <c r="P1341" s="68">
        <f t="shared" si="101"/>
        <v>0.25945945945945947</v>
      </c>
      <c r="Q1341" s="62" t="e">
        <f>O1341-#REF!</f>
        <v>#REF!</v>
      </c>
      <c r="W1341" s="209"/>
      <c r="X1341" s="209"/>
      <c r="Y1341" s="209"/>
      <c r="Z1341" s="209"/>
      <c r="AA1341" s="209"/>
      <c r="AB1341" s="209"/>
      <c r="AC1341" s="209"/>
      <c r="AT1341" s="425" t="str">
        <f t="shared" si="102"/>
        <v>KP0006782017Q315,3</v>
      </c>
      <c r="AU1341" s="64" t="str">
        <f t="shared" si="103"/>
        <v>08-2017</v>
      </c>
      <c r="BA1341" s="428" t="str">
        <f t="shared" si="104"/>
        <v>WIP - 30 Days</v>
      </c>
    </row>
    <row r="1342" spans="2:53">
      <c r="B1342" s="36" t="str">
        <f>'[6]price list MAN'!B1342</f>
        <v>TBAKP678</v>
      </c>
      <c r="C1342" s="10" t="str">
        <f>'[6]price list MAN'!C1342</f>
        <v>TGS-33-4806X4BB-M</v>
      </c>
      <c r="D1342" s="16" t="str">
        <f>IFERROR(VLOOKUP(C1342&amp;"",'[7]Retail Price List'!$A$3:$B$103,2,FALSE),"Special Order")</f>
        <v>KP000678</v>
      </c>
      <c r="E1342" s="494" t="str">
        <f>'[6]price list MAN'!E1342</f>
        <v>CKD</v>
      </c>
      <c r="F1342" s="11" t="str">
        <f>'[6]price list MAN'!F1342</f>
        <v>2018-08-19</v>
      </c>
      <c r="G1342" s="32">
        <f>'[6]price list MAN'!G1342</f>
        <v>15.8</v>
      </c>
      <c r="H1342" s="26">
        <f>'[6]price list MAN'!H1342</f>
        <v>43159</v>
      </c>
      <c r="I1342" s="51" t="str">
        <f t="shared" si="100"/>
        <v>2018Q1</v>
      </c>
      <c r="J1342" s="177">
        <f>'[6]price list MAN'!J1342</f>
        <v>1795000</v>
      </c>
      <c r="K1342" s="177">
        <f>'[6]price list MAN'!P1342</f>
        <v>1417500</v>
      </c>
      <c r="L1342" s="177">
        <f>'[6]price list MAN'!R1342</f>
        <v>1350000</v>
      </c>
      <c r="M1342" s="174">
        <f>'[6]price list MAN'!S1342</f>
        <v>1850000</v>
      </c>
      <c r="N1342" s="174">
        <f>'[6]price list MAN'!Y1342</f>
        <v>1475250</v>
      </c>
      <c r="O1342" s="174">
        <f>'[6]price list MAN'!AA1342</f>
        <v>1405000</v>
      </c>
      <c r="P1342" s="68">
        <f t="shared" si="101"/>
        <v>0.24054054054054055</v>
      </c>
      <c r="Q1342" s="62" t="e">
        <f>O1342-#REF!</f>
        <v>#REF!</v>
      </c>
      <c r="W1342" s="209"/>
      <c r="X1342" s="209"/>
      <c r="Y1342" s="209"/>
      <c r="Z1342" s="209"/>
      <c r="AA1342" s="209"/>
      <c r="AB1342" s="209"/>
      <c r="AC1342" s="209"/>
      <c r="AT1342" s="425" t="str">
        <f t="shared" si="102"/>
        <v>KP0006782018Q115,8</v>
      </c>
      <c r="AU1342" s="64" t="str">
        <f t="shared" si="103"/>
        <v>02-2018</v>
      </c>
      <c r="BA1342" s="428" t="str">
        <f t="shared" si="104"/>
        <v>WIP - 30 Days</v>
      </c>
    </row>
    <row r="1343" spans="2:53">
      <c r="B1343" s="36">
        <f>'[6]price list MAN'!B1343</f>
        <v>48725</v>
      </c>
      <c r="C1343" s="10" t="str">
        <f>'[6]price list MAN'!C1343</f>
        <v>TGS-33-4806X4BBS-L</v>
      </c>
      <c r="D1343" s="16" t="str">
        <f>IFERROR(VLOOKUP(C1343&amp;"",'[7]Retail Price List'!$A$3:$B$103,2,FALSE),"Special Order")</f>
        <v>KP000679</v>
      </c>
      <c r="E1343" s="494" t="str">
        <f>'[6]price list MAN'!E1343</f>
        <v>CKD</v>
      </c>
      <c r="F1343" s="11" t="str">
        <f>'[6]price list MAN'!F1343</f>
        <v>2018-07-30</v>
      </c>
      <c r="G1343" s="32">
        <f>'[6]price list MAN'!G1343</f>
        <v>15.9</v>
      </c>
      <c r="H1343" s="26">
        <f>'[6]price list MAN'!H1343</f>
        <v>43039</v>
      </c>
      <c r="I1343" s="51" t="str">
        <f t="shared" si="100"/>
        <v>2017Q4</v>
      </c>
      <c r="J1343" s="177">
        <f>'[6]price list MAN'!J1343</f>
        <v>1820000</v>
      </c>
      <c r="K1343" s="177">
        <f>'[6]price list MAN'!P1343</f>
        <v>1407000</v>
      </c>
      <c r="L1343" s="177">
        <f>'[6]price list MAN'!R1343</f>
        <v>1340000</v>
      </c>
      <c r="M1343" s="174">
        <f>'[6]price list MAN'!S1343</f>
        <v>1875000</v>
      </c>
      <c r="N1343" s="174">
        <f>'[6]price list MAN'!Y1343</f>
        <v>1464750</v>
      </c>
      <c r="O1343" s="174">
        <f>'[6]price list MAN'!AA1343</f>
        <v>1395000</v>
      </c>
      <c r="P1343" s="68">
        <f t="shared" si="101"/>
        <v>0.25600000000000001</v>
      </c>
      <c r="Q1343" s="62" t="e">
        <f>O1343-#REF!</f>
        <v>#REF!</v>
      </c>
      <c r="W1343" s="209"/>
      <c r="X1343" s="209"/>
      <c r="Y1343" s="209"/>
      <c r="Z1343" s="209"/>
      <c r="AA1343" s="209"/>
      <c r="AB1343" s="209"/>
      <c r="AC1343" s="209"/>
      <c r="AT1343" s="425" t="str">
        <f t="shared" si="102"/>
        <v>KP0006792017Q415,9</v>
      </c>
      <c r="AU1343" s="64" t="str">
        <f t="shared" si="103"/>
        <v>10-2017</v>
      </c>
      <c r="BA1343" s="428" t="str">
        <f t="shared" si="104"/>
        <v>WIP - 30 Days</v>
      </c>
    </row>
    <row r="1344" spans="2:53">
      <c r="B1344" s="36">
        <f>'[6]price list MAN'!B1344</f>
        <v>48726</v>
      </c>
      <c r="C1344" s="10" t="str">
        <f>'[6]price list MAN'!C1344</f>
        <v>TGS-33-4806X4BBS-L</v>
      </c>
      <c r="D1344" s="16" t="str">
        <f>IFERROR(VLOOKUP(C1344&amp;"",'[7]Retail Price List'!$A$3:$B$103,2,FALSE),"Special Order")</f>
        <v>KP000679</v>
      </c>
      <c r="E1344" s="494" t="str">
        <f>'[6]price list MAN'!E1344</f>
        <v>CKD</v>
      </c>
      <c r="F1344" s="11" t="str">
        <f>'[6]price list MAN'!F1344</f>
        <v>2018-07-30</v>
      </c>
      <c r="G1344" s="32">
        <f>'[6]price list MAN'!G1344</f>
        <v>15.9</v>
      </c>
      <c r="H1344" s="26">
        <f>'[6]price list MAN'!H1344</f>
        <v>43039</v>
      </c>
      <c r="I1344" s="51" t="str">
        <f t="shared" si="100"/>
        <v>2017Q4</v>
      </c>
      <c r="J1344" s="177">
        <f>'[6]price list MAN'!J1344</f>
        <v>1820000</v>
      </c>
      <c r="K1344" s="177">
        <f>'[6]price list MAN'!P1344</f>
        <v>1407000</v>
      </c>
      <c r="L1344" s="177">
        <f>'[6]price list MAN'!R1344</f>
        <v>1340000</v>
      </c>
      <c r="M1344" s="174">
        <f>'[6]price list MAN'!S1344</f>
        <v>1875000</v>
      </c>
      <c r="N1344" s="174">
        <f>'[6]price list MAN'!Y1344</f>
        <v>1464750</v>
      </c>
      <c r="O1344" s="174">
        <f>'[6]price list MAN'!AA1344</f>
        <v>1395000</v>
      </c>
      <c r="P1344" s="68">
        <f t="shared" si="101"/>
        <v>0.25600000000000001</v>
      </c>
      <c r="Q1344" s="62" t="e">
        <f>O1344-#REF!</f>
        <v>#REF!</v>
      </c>
      <c r="W1344" s="209"/>
      <c r="X1344" s="209"/>
      <c r="Y1344" s="209"/>
      <c r="Z1344" s="209"/>
      <c r="AA1344" s="209"/>
      <c r="AB1344" s="209"/>
      <c r="AC1344" s="209"/>
      <c r="AT1344" s="425" t="str">
        <f t="shared" si="102"/>
        <v>KP0006792017Q415,9</v>
      </c>
      <c r="AU1344" s="64" t="str">
        <f t="shared" si="103"/>
        <v>10-2017</v>
      </c>
      <c r="BA1344" s="428" t="str">
        <f t="shared" si="104"/>
        <v>WIP - 30 Days</v>
      </c>
    </row>
    <row r="1345" spans="2:53">
      <c r="B1345" s="36">
        <f>'[6]price list MAN'!B1345</f>
        <v>48727</v>
      </c>
      <c r="C1345" s="10" t="str">
        <f>'[6]price list MAN'!C1345</f>
        <v>TGS-33-4806X4BBS-L</v>
      </c>
      <c r="D1345" s="16" t="str">
        <f>IFERROR(VLOOKUP(C1345&amp;"",'[7]Retail Price List'!$A$3:$B$103,2,FALSE),"Special Order")</f>
        <v>KP000679</v>
      </c>
      <c r="E1345" s="494" t="str">
        <f>'[6]price list MAN'!E1345</f>
        <v>CKD</v>
      </c>
      <c r="F1345" s="11" t="str">
        <f>'[6]price list MAN'!F1345</f>
        <v>2018-07-30</v>
      </c>
      <c r="G1345" s="32">
        <f>'[6]price list MAN'!G1345</f>
        <v>15.9</v>
      </c>
      <c r="H1345" s="26">
        <f>'[6]price list MAN'!H1345</f>
        <v>43039</v>
      </c>
      <c r="I1345" s="51" t="str">
        <f t="shared" si="100"/>
        <v>2017Q4</v>
      </c>
      <c r="J1345" s="177">
        <f>'[6]price list MAN'!J1345</f>
        <v>1820000</v>
      </c>
      <c r="K1345" s="177">
        <f>'[6]price list MAN'!P1345</f>
        <v>1407000</v>
      </c>
      <c r="L1345" s="177">
        <f>'[6]price list MAN'!R1345</f>
        <v>1340000</v>
      </c>
      <c r="M1345" s="174">
        <f>'[6]price list MAN'!S1345</f>
        <v>1875000</v>
      </c>
      <c r="N1345" s="174">
        <f>'[6]price list MAN'!Y1345</f>
        <v>1464750</v>
      </c>
      <c r="O1345" s="174">
        <f>'[6]price list MAN'!AA1345</f>
        <v>1395000</v>
      </c>
      <c r="P1345" s="68">
        <f t="shared" si="101"/>
        <v>0.25600000000000001</v>
      </c>
      <c r="Q1345" s="62" t="e">
        <f>O1345-#REF!</f>
        <v>#REF!</v>
      </c>
      <c r="W1345" s="209"/>
      <c r="X1345" s="209"/>
      <c r="Y1345" s="209"/>
      <c r="Z1345" s="209"/>
      <c r="AA1345" s="209"/>
      <c r="AB1345" s="209"/>
      <c r="AC1345" s="209"/>
      <c r="AT1345" s="425" t="str">
        <f t="shared" si="102"/>
        <v>KP0006792017Q415,9</v>
      </c>
      <c r="AU1345" s="64" t="str">
        <f t="shared" si="103"/>
        <v>10-2017</v>
      </c>
      <c r="BA1345" s="428" t="str">
        <f t="shared" si="104"/>
        <v>WIP - 30 Days</v>
      </c>
    </row>
    <row r="1346" spans="2:53">
      <c r="B1346" s="36">
        <f>'[6]price list MAN'!B1346</f>
        <v>48728</v>
      </c>
      <c r="C1346" s="10" t="str">
        <f>'[6]price list MAN'!C1346</f>
        <v>TGS-33-4806X4BBS-L</v>
      </c>
      <c r="D1346" s="16" t="str">
        <f>IFERROR(VLOOKUP(C1346&amp;"",'[7]Retail Price List'!$A$3:$B$103,2,FALSE),"Special Order")</f>
        <v>KP000679</v>
      </c>
      <c r="E1346" s="494" t="str">
        <f>'[6]price list MAN'!E1346</f>
        <v>CKD</v>
      </c>
      <c r="F1346" s="11" t="str">
        <f>'[6]price list MAN'!F1346</f>
        <v>2018-07-30</v>
      </c>
      <c r="G1346" s="32">
        <f>'[6]price list MAN'!G1346</f>
        <v>15.9</v>
      </c>
      <c r="H1346" s="26">
        <f>'[6]price list MAN'!H1346</f>
        <v>43039</v>
      </c>
      <c r="I1346" s="51" t="str">
        <f t="shared" si="100"/>
        <v>2017Q4</v>
      </c>
      <c r="J1346" s="177">
        <f>'[6]price list MAN'!J1346</f>
        <v>1820000</v>
      </c>
      <c r="K1346" s="177">
        <f>'[6]price list MAN'!P1346</f>
        <v>1407000</v>
      </c>
      <c r="L1346" s="177">
        <f>'[6]price list MAN'!R1346</f>
        <v>1340000</v>
      </c>
      <c r="M1346" s="174">
        <f>'[6]price list MAN'!S1346</f>
        <v>1875000</v>
      </c>
      <c r="N1346" s="174">
        <f>'[6]price list MAN'!Y1346</f>
        <v>1464750</v>
      </c>
      <c r="O1346" s="174">
        <f>'[6]price list MAN'!AA1346</f>
        <v>1395000</v>
      </c>
      <c r="P1346" s="68">
        <f t="shared" si="101"/>
        <v>0.25600000000000001</v>
      </c>
      <c r="Q1346" s="62" t="e">
        <f>O1346-#REF!</f>
        <v>#REF!</v>
      </c>
      <c r="W1346" s="209"/>
      <c r="X1346" s="209"/>
      <c r="Y1346" s="209"/>
      <c r="Z1346" s="209"/>
      <c r="AA1346" s="209"/>
      <c r="AB1346" s="209"/>
      <c r="AC1346" s="209"/>
      <c r="AT1346" s="425" t="str">
        <f t="shared" si="102"/>
        <v>KP0006792017Q415,9</v>
      </c>
      <c r="AU1346" s="64" t="str">
        <f t="shared" si="103"/>
        <v>10-2017</v>
      </c>
      <c r="BA1346" s="428" t="str">
        <f t="shared" si="104"/>
        <v>WIP - 30 Days</v>
      </c>
    </row>
    <row r="1347" spans="2:53">
      <c r="B1347" s="36" t="str">
        <f>'[6]price list MAN'!B1347</f>
        <v>76W-B103</v>
      </c>
      <c r="C1347" s="10" t="str">
        <f>'[6]price list MAN'!C1347</f>
        <v>TGS-33-4806X4BBS-L</v>
      </c>
      <c r="D1347" s="16" t="str">
        <f>IFERROR(VLOOKUP(C1347&amp;"",'[7]Retail Price List'!$A$3:$B$103,2,FALSE),"Special Order")</f>
        <v>KP000679</v>
      </c>
      <c r="E1347" s="494" t="str">
        <f>'[6]price list MAN'!E1347</f>
        <v>CKD</v>
      </c>
      <c r="F1347" s="11" t="str">
        <f>'[6]price list MAN'!F1347</f>
        <v>2018-02-26</v>
      </c>
      <c r="G1347" s="32">
        <f>'[6]price list MAN'!G1347</f>
        <v>15.3</v>
      </c>
      <c r="H1347" s="26">
        <f>'[6]price list MAN'!H1347</f>
        <v>42978</v>
      </c>
      <c r="I1347" s="51" t="str">
        <f t="shared" si="100"/>
        <v>2017Q3</v>
      </c>
      <c r="J1347" s="177">
        <f>'[6]price list MAN'!J1347</f>
        <v>1820000</v>
      </c>
      <c r="K1347" s="177">
        <f>'[6]price list MAN'!P1347</f>
        <v>1407000</v>
      </c>
      <c r="L1347" s="177">
        <f>'[6]price list MAN'!R1347</f>
        <v>1340000</v>
      </c>
      <c r="M1347" s="174">
        <f>'[6]price list MAN'!S1347</f>
        <v>1875000</v>
      </c>
      <c r="N1347" s="174">
        <f>'[6]price list MAN'!Y1347</f>
        <v>1464750</v>
      </c>
      <c r="O1347" s="174">
        <f>'[6]price list MAN'!AA1347</f>
        <v>1395000</v>
      </c>
      <c r="P1347" s="68">
        <f t="shared" si="101"/>
        <v>0.25600000000000001</v>
      </c>
      <c r="Q1347" s="62" t="e">
        <f>O1347-#REF!</f>
        <v>#REF!</v>
      </c>
      <c r="W1347" s="209"/>
      <c r="X1347" s="209"/>
      <c r="Y1347" s="209"/>
      <c r="Z1347" s="209"/>
      <c r="AA1347" s="209"/>
      <c r="AB1347" s="209"/>
      <c r="AC1347" s="209"/>
      <c r="AT1347" s="425" t="str">
        <f t="shared" si="102"/>
        <v>KP0006792017Q315,3</v>
      </c>
      <c r="AU1347" s="64" t="str">
        <f t="shared" si="103"/>
        <v>08-2017</v>
      </c>
      <c r="BA1347" s="428" t="str">
        <f t="shared" si="104"/>
        <v>WIP - 30 Days</v>
      </c>
    </row>
    <row r="1348" spans="2:53">
      <c r="B1348" s="36" t="str">
        <f>'[6]price list MAN'!B1348</f>
        <v>76W-B104</v>
      </c>
      <c r="C1348" s="10" t="str">
        <f>'[6]price list MAN'!C1348</f>
        <v>TGS-33-4806X4BBS-L</v>
      </c>
      <c r="D1348" s="16" t="str">
        <f>IFERROR(VLOOKUP(C1348&amp;"",'[7]Retail Price List'!$A$3:$B$103,2,FALSE),"Special Order")</f>
        <v>KP000679</v>
      </c>
      <c r="E1348" s="494" t="str">
        <f>'[6]price list MAN'!E1348</f>
        <v>CKD</v>
      </c>
      <c r="F1348" s="11" t="str">
        <f>'[6]price list MAN'!F1348</f>
        <v>2018-02-26</v>
      </c>
      <c r="G1348" s="32">
        <f>'[6]price list MAN'!G1348</f>
        <v>15.3</v>
      </c>
      <c r="H1348" s="26">
        <f>'[6]price list MAN'!H1348</f>
        <v>42978</v>
      </c>
      <c r="I1348" s="51" t="str">
        <f t="shared" si="100"/>
        <v>2017Q3</v>
      </c>
      <c r="J1348" s="177">
        <f>'[6]price list MAN'!J1348</f>
        <v>1820000</v>
      </c>
      <c r="K1348" s="177">
        <f>'[6]price list MAN'!P1348</f>
        <v>1407000</v>
      </c>
      <c r="L1348" s="177">
        <f>'[6]price list MAN'!R1348</f>
        <v>1340000</v>
      </c>
      <c r="M1348" s="174">
        <f>'[6]price list MAN'!S1348</f>
        <v>1875000</v>
      </c>
      <c r="N1348" s="174">
        <f>'[6]price list MAN'!Y1348</f>
        <v>1464750</v>
      </c>
      <c r="O1348" s="174">
        <f>'[6]price list MAN'!AA1348</f>
        <v>1395000</v>
      </c>
      <c r="P1348" s="68">
        <f t="shared" si="101"/>
        <v>0.25600000000000001</v>
      </c>
      <c r="Q1348" s="62" t="e">
        <f>O1348-#REF!</f>
        <v>#REF!</v>
      </c>
      <c r="W1348" s="209"/>
      <c r="X1348" s="209"/>
      <c r="Y1348" s="209"/>
      <c r="Z1348" s="209"/>
      <c r="AA1348" s="209"/>
      <c r="AB1348" s="209"/>
      <c r="AC1348" s="209"/>
      <c r="AT1348" s="425" t="str">
        <f t="shared" si="102"/>
        <v>KP0006792017Q315,3</v>
      </c>
      <c r="AU1348" s="64" t="str">
        <f t="shared" si="103"/>
        <v>08-2017</v>
      </c>
      <c r="BA1348" s="428" t="str">
        <f t="shared" si="104"/>
        <v>WIP - 30 Days</v>
      </c>
    </row>
    <row r="1349" spans="2:53">
      <c r="B1349" s="36" t="str">
        <f>'[6]price list MAN'!B1349</f>
        <v>76W-B105</v>
      </c>
      <c r="C1349" s="10" t="str">
        <f>'[6]price list MAN'!C1349</f>
        <v>TGS-33-4806X4BBS-L</v>
      </c>
      <c r="D1349" s="16" t="str">
        <f>IFERROR(VLOOKUP(C1349&amp;"",'[7]Retail Price List'!$A$3:$B$103,2,FALSE),"Special Order")</f>
        <v>KP000679</v>
      </c>
      <c r="E1349" s="494" t="str">
        <f>'[6]price list MAN'!E1349</f>
        <v>CKD</v>
      </c>
      <c r="F1349" s="11" t="str">
        <f>'[6]price list MAN'!F1349</f>
        <v>2018-02-26</v>
      </c>
      <c r="G1349" s="32">
        <f>'[6]price list MAN'!G1349</f>
        <v>15.3</v>
      </c>
      <c r="H1349" s="26">
        <f>'[6]price list MAN'!H1349</f>
        <v>42978</v>
      </c>
      <c r="I1349" s="51" t="str">
        <f t="shared" ref="I1349:I1412" si="105">IFERROR(VLOOKUP(AU1349,$AW$5:$AY$40,3,FALSE),"")</f>
        <v>2017Q3</v>
      </c>
      <c r="J1349" s="177">
        <f>'[6]price list MAN'!J1349</f>
        <v>1820000</v>
      </c>
      <c r="K1349" s="177">
        <f>'[6]price list MAN'!P1349</f>
        <v>1407000</v>
      </c>
      <c r="L1349" s="177">
        <f>'[6]price list MAN'!R1349</f>
        <v>1340000</v>
      </c>
      <c r="M1349" s="174">
        <f>'[6]price list MAN'!S1349</f>
        <v>1875000</v>
      </c>
      <c r="N1349" s="174">
        <f>'[6]price list MAN'!Y1349</f>
        <v>1464750</v>
      </c>
      <c r="O1349" s="174">
        <f>'[6]price list MAN'!AA1349</f>
        <v>1395000</v>
      </c>
      <c r="P1349" s="68">
        <f t="shared" ref="P1349:P1412" si="106">(M1349-O1349)/M1349</f>
        <v>0.25600000000000001</v>
      </c>
      <c r="Q1349" s="62" t="e">
        <f>O1349-#REF!</f>
        <v>#REF!</v>
      </c>
      <c r="W1349" s="209"/>
      <c r="X1349" s="209"/>
      <c r="Y1349" s="209"/>
      <c r="Z1349" s="209"/>
      <c r="AA1349" s="209"/>
      <c r="AB1349" s="209"/>
      <c r="AC1349" s="209"/>
      <c r="AT1349" s="425" t="str">
        <f t="shared" ref="AT1349:AT1412" si="107">D1349&amp;I1349&amp;G1349</f>
        <v>KP0006792017Q315,3</v>
      </c>
      <c r="AU1349" s="64" t="str">
        <f t="shared" ref="AU1349:AU1412" si="108">IF(MONTH(H1349)&lt;10,0&amp;MONTH(H1349)&amp;"-"&amp;YEAR(H1349),MONTH(H1349)&amp;"-"&amp;YEAR(H1349))</f>
        <v>08-2017</v>
      </c>
      <c r="BA1349" s="428" t="str">
        <f t="shared" ref="BA1349:BA1412" si="109">IF(B1349=0,"",IF(AND(F1349&gt;=31,F1349&lt;=120),"31-120 Days",IF(AND(F1349&gt;=121,F1349&lt;=365),"121-365 Days",IF(OR(E1349="CKD",F1349&lt;=30),"WIP - 30 Days","&gt;365 Days"))))</f>
        <v>WIP - 30 Days</v>
      </c>
    </row>
    <row r="1350" spans="2:53">
      <c r="B1350" s="36" t="str">
        <f>'[6]price list MAN'!B1350</f>
        <v>76W-B106</v>
      </c>
      <c r="C1350" s="10" t="str">
        <f>'[6]price list MAN'!C1350</f>
        <v>TGS-33-4806X4BBS-L</v>
      </c>
      <c r="D1350" s="16" t="str">
        <f>IFERROR(VLOOKUP(C1350&amp;"",'[7]Retail Price List'!$A$3:$B$103,2,FALSE),"Special Order")</f>
        <v>KP000679</v>
      </c>
      <c r="E1350" s="494" t="str">
        <f>'[6]price list MAN'!E1350</f>
        <v>CKD</v>
      </c>
      <c r="F1350" s="11" t="str">
        <f>'[6]price list MAN'!F1350</f>
        <v>2018-02-26</v>
      </c>
      <c r="G1350" s="32">
        <f>'[6]price list MAN'!G1350</f>
        <v>15.3</v>
      </c>
      <c r="H1350" s="26">
        <f>'[6]price list MAN'!H1350</f>
        <v>42978</v>
      </c>
      <c r="I1350" s="51" t="str">
        <f t="shared" si="105"/>
        <v>2017Q3</v>
      </c>
      <c r="J1350" s="177">
        <f>'[6]price list MAN'!J1350</f>
        <v>1820000</v>
      </c>
      <c r="K1350" s="177">
        <f>'[6]price list MAN'!P1350</f>
        <v>1407000</v>
      </c>
      <c r="L1350" s="177">
        <f>'[6]price list MAN'!R1350</f>
        <v>1340000</v>
      </c>
      <c r="M1350" s="174">
        <f>'[6]price list MAN'!S1350</f>
        <v>1875000</v>
      </c>
      <c r="N1350" s="174">
        <f>'[6]price list MAN'!Y1350</f>
        <v>1464750</v>
      </c>
      <c r="O1350" s="174">
        <f>'[6]price list MAN'!AA1350</f>
        <v>1395000</v>
      </c>
      <c r="P1350" s="68">
        <f t="shared" si="106"/>
        <v>0.25600000000000001</v>
      </c>
      <c r="Q1350" s="62" t="e">
        <f>O1350-#REF!</f>
        <v>#REF!</v>
      </c>
      <c r="W1350" s="209"/>
      <c r="X1350" s="209"/>
      <c r="Y1350" s="209"/>
      <c r="Z1350" s="209"/>
      <c r="AA1350" s="209"/>
      <c r="AB1350" s="209"/>
      <c r="AC1350" s="209"/>
      <c r="AT1350" s="425" t="str">
        <f t="shared" si="107"/>
        <v>KP0006792017Q315,3</v>
      </c>
      <c r="AU1350" s="64" t="str">
        <f t="shared" si="108"/>
        <v>08-2017</v>
      </c>
      <c r="BA1350" s="428" t="str">
        <f t="shared" si="109"/>
        <v>WIP - 30 Days</v>
      </c>
    </row>
    <row r="1351" spans="2:53">
      <c r="B1351" s="36" t="str">
        <f>'[6]price list MAN'!B1351</f>
        <v>76W-B107</v>
      </c>
      <c r="C1351" s="10" t="str">
        <f>'[6]price list MAN'!C1351</f>
        <v>TGS-33-4806X4BBS-L</v>
      </c>
      <c r="D1351" s="16" t="str">
        <f>IFERROR(VLOOKUP(C1351&amp;"",'[7]Retail Price List'!$A$3:$B$103,2,FALSE),"Special Order")</f>
        <v>KP000679</v>
      </c>
      <c r="E1351" s="494" t="str">
        <f>'[6]price list MAN'!E1351</f>
        <v>CKD</v>
      </c>
      <c r="F1351" s="11" t="str">
        <f>'[6]price list MAN'!F1351</f>
        <v>2018-02-27</v>
      </c>
      <c r="G1351" s="32">
        <f>'[6]price list MAN'!G1351</f>
        <v>15.3</v>
      </c>
      <c r="H1351" s="26">
        <f>'[6]price list MAN'!H1351</f>
        <v>42978</v>
      </c>
      <c r="I1351" s="51" t="str">
        <f t="shared" si="105"/>
        <v>2017Q3</v>
      </c>
      <c r="J1351" s="177">
        <f>'[6]price list MAN'!J1351</f>
        <v>1820000</v>
      </c>
      <c r="K1351" s="177">
        <f>'[6]price list MAN'!P1351</f>
        <v>1407000</v>
      </c>
      <c r="L1351" s="177">
        <f>'[6]price list MAN'!R1351</f>
        <v>1340000</v>
      </c>
      <c r="M1351" s="174">
        <f>'[6]price list MAN'!S1351</f>
        <v>1875000</v>
      </c>
      <c r="N1351" s="174">
        <f>'[6]price list MAN'!Y1351</f>
        <v>1464750</v>
      </c>
      <c r="O1351" s="174">
        <f>'[6]price list MAN'!AA1351</f>
        <v>1395000</v>
      </c>
      <c r="P1351" s="68">
        <f t="shared" si="106"/>
        <v>0.25600000000000001</v>
      </c>
      <c r="Q1351" s="62" t="e">
        <f>O1351-#REF!</f>
        <v>#REF!</v>
      </c>
      <c r="W1351" s="209"/>
      <c r="X1351" s="209"/>
      <c r="Y1351" s="209"/>
      <c r="Z1351" s="209"/>
      <c r="AA1351" s="209"/>
      <c r="AB1351" s="209"/>
      <c r="AC1351" s="209"/>
      <c r="AT1351" s="425" t="str">
        <f t="shared" si="107"/>
        <v>KP0006792017Q315,3</v>
      </c>
      <c r="AU1351" s="64" t="str">
        <f t="shared" si="108"/>
        <v>08-2017</v>
      </c>
      <c r="BA1351" s="428" t="str">
        <f t="shared" si="109"/>
        <v>WIP - 30 Days</v>
      </c>
    </row>
    <row r="1352" spans="2:53">
      <c r="B1352" s="36" t="str">
        <f>'[6]price list MAN'!B1352</f>
        <v>76W-B108</v>
      </c>
      <c r="C1352" s="10" t="str">
        <f>'[6]price list MAN'!C1352</f>
        <v>TGS-33-4806X4BBS-L</v>
      </c>
      <c r="D1352" s="16" t="str">
        <f>IFERROR(VLOOKUP(C1352&amp;"",'[7]Retail Price List'!$A$3:$B$103,2,FALSE),"Special Order")</f>
        <v>KP000679</v>
      </c>
      <c r="E1352" s="494" t="str">
        <f>'[6]price list MAN'!E1352</f>
        <v>CKD</v>
      </c>
      <c r="F1352" s="11" t="str">
        <f>'[6]price list MAN'!F1352</f>
        <v>2018-02-27</v>
      </c>
      <c r="G1352" s="32">
        <f>'[6]price list MAN'!G1352</f>
        <v>15.3</v>
      </c>
      <c r="H1352" s="26">
        <f>'[6]price list MAN'!H1352</f>
        <v>42978</v>
      </c>
      <c r="I1352" s="51" t="str">
        <f t="shared" si="105"/>
        <v>2017Q3</v>
      </c>
      <c r="J1352" s="177">
        <f>'[6]price list MAN'!J1352</f>
        <v>1820000</v>
      </c>
      <c r="K1352" s="177">
        <f>'[6]price list MAN'!P1352</f>
        <v>1407000</v>
      </c>
      <c r="L1352" s="177">
        <f>'[6]price list MAN'!R1352</f>
        <v>1340000</v>
      </c>
      <c r="M1352" s="174">
        <f>'[6]price list MAN'!S1352</f>
        <v>1875000</v>
      </c>
      <c r="N1352" s="174">
        <f>'[6]price list MAN'!Y1352</f>
        <v>1464750</v>
      </c>
      <c r="O1352" s="174">
        <f>'[6]price list MAN'!AA1352</f>
        <v>1395000</v>
      </c>
      <c r="P1352" s="68">
        <f t="shared" si="106"/>
        <v>0.25600000000000001</v>
      </c>
      <c r="Q1352" s="62" t="e">
        <f>O1352-#REF!</f>
        <v>#REF!</v>
      </c>
      <c r="W1352" s="209"/>
      <c r="X1352" s="209"/>
      <c r="Y1352" s="209"/>
      <c r="Z1352" s="209"/>
      <c r="AA1352" s="209"/>
      <c r="AB1352" s="209"/>
      <c r="AC1352" s="209"/>
      <c r="AT1352" s="425" t="str">
        <f t="shared" si="107"/>
        <v>KP0006792017Q315,3</v>
      </c>
      <c r="AU1352" s="64" t="str">
        <f t="shared" si="108"/>
        <v>08-2017</v>
      </c>
      <c r="BA1352" s="428" t="str">
        <f t="shared" si="109"/>
        <v>WIP - 30 Days</v>
      </c>
    </row>
    <row r="1353" spans="2:53">
      <c r="B1353" s="36" t="str">
        <f>'[6]price list MAN'!B1353</f>
        <v>76W-B109</v>
      </c>
      <c r="C1353" s="10" t="str">
        <f>'[6]price list MAN'!C1353</f>
        <v>TGS-33-4806X4BBS-L</v>
      </c>
      <c r="D1353" s="16" t="str">
        <f>IFERROR(VLOOKUP(C1353&amp;"",'[7]Retail Price List'!$A$3:$B$103,2,FALSE),"Special Order")</f>
        <v>KP000679</v>
      </c>
      <c r="E1353" s="494" t="str">
        <f>'[6]price list MAN'!E1353</f>
        <v>CKD</v>
      </c>
      <c r="F1353" s="11" t="str">
        <f>'[6]price list MAN'!F1353</f>
        <v>2018-03-30</v>
      </c>
      <c r="G1353" s="32">
        <f>'[6]price list MAN'!G1353</f>
        <v>15.3</v>
      </c>
      <c r="H1353" s="26">
        <f>'[6]price list MAN'!H1353</f>
        <v>42978</v>
      </c>
      <c r="I1353" s="51" t="str">
        <f t="shared" si="105"/>
        <v>2017Q3</v>
      </c>
      <c r="J1353" s="177">
        <f>'[6]price list MAN'!J1353</f>
        <v>1820000</v>
      </c>
      <c r="K1353" s="177">
        <f>'[6]price list MAN'!P1353</f>
        <v>1407000</v>
      </c>
      <c r="L1353" s="177">
        <f>'[6]price list MAN'!R1353</f>
        <v>1340000</v>
      </c>
      <c r="M1353" s="174">
        <f>'[6]price list MAN'!S1353</f>
        <v>1875000</v>
      </c>
      <c r="N1353" s="174">
        <f>'[6]price list MAN'!Y1353</f>
        <v>1464750</v>
      </c>
      <c r="O1353" s="174">
        <f>'[6]price list MAN'!AA1353</f>
        <v>1395000</v>
      </c>
      <c r="P1353" s="68">
        <f t="shared" si="106"/>
        <v>0.25600000000000001</v>
      </c>
      <c r="Q1353" s="62" t="e">
        <f>O1353-#REF!</f>
        <v>#REF!</v>
      </c>
      <c r="AT1353" s="425" t="str">
        <f t="shared" si="107"/>
        <v>KP0006792017Q315,3</v>
      </c>
      <c r="AU1353" s="64" t="str">
        <f t="shared" si="108"/>
        <v>08-2017</v>
      </c>
      <c r="BA1353" s="428" t="str">
        <f t="shared" si="109"/>
        <v>WIP - 30 Days</v>
      </c>
    </row>
    <row r="1354" spans="2:53">
      <c r="B1354" s="36" t="str">
        <f>'[6]price list MAN'!B1354</f>
        <v>76W-B110</v>
      </c>
      <c r="C1354" s="10" t="str">
        <f>'[6]price list MAN'!C1354</f>
        <v>TGS-33-4806X4BBS-L</v>
      </c>
      <c r="D1354" s="16" t="str">
        <f>IFERROR(VLOOKUP(C1354&amp;"",'[7]Retail Price List'!$A$3:$B$103,2,FALSE),"Special Order")</f>
        <v>KP000679</v>
      </c>
      <c r="E1354" s="494" t="str">
        <f>'[6]price list MAN'!E1354</f>
        <v>CKD</v>
      </c>
      <c r="F1354" s="11" t="str">
        <f>'[6]price list MAN'!F1354</f>
        <v>2018-03-30</v>
      </c>
      <c r="G1354" s="32">
        <f>'[6]price list MAN'!G1354</f>
        <v>15.3</v>
      </c>
      <c r="H1354" s="26">
        <f>'[6]price list MAN'!H1354</f>
        <v>42978</v>
      </c>
      <c r="I1354" s="51" t="str">
        <f t="shared" si="105"/>
        <v>2017Q3</v>
      </c>
      <c r="J1354" s="177">
        <f>'[6]price list MAN'!J1354</f>
        <v>1820000</v>
      </c>
      <c r="K1354" s="177">
        <f>'[6]price list MAN'!P1354</f>
        <v>1407000</v>
      </c>
      <c r="L1354" s="177">
        <f>'[6]price list MAN'!R1354</f>
        <v>1340000</v>
      </c>
      <c r="M1354" s="174">
        <f>'[6]price list MAN'!S1354</f>
        <v>1875000</v>
      </c>
      <c r="N1354" s="174">
        <f>'[6]price list MAN'!Y1354</f>
        <v>1464750</v>
      </c>
      <c r="O1354" s="174">
        <f>'[6]price list MAN'!AA1354</f>
        <v>1395000</v>
      </c>
      <c r="P1354" s="68">
        <f t="shared" si="106"/>
        <v>0.25600000000000001</v>
      </c>
      <c r="Q1354" s="62" t="e">
        <f>O1354-#REF!</f>
        <v>#REF!</v>
      </c>
      <c r="AT1354" s="425" t="str">
        <f t="shared" si="107"/>
        <v>KP0006792017Q315,3</v>
      </c>
      <c r="AU1354" s="64" t="str">
        <f t="shared" si="108"/>
        <v>08-2017</v>
      </c>
      <c r="BA1354" s="428" t="str">
        <f t="shared" si="109"/>
        <v>WIP - 30 Days</v>
      </c>
    </row>
    <row r="1355" spans="2:53">
      <c r="B1355" s="36" t="str">
        <f>'[6]price list MAN'!B1355</f>
        <v>76W-B115</v>
      </c>
      <c r="C1355" s="10" t="str">
        <f>'[6]price list MAN'!C1355</f>
        <v>TGS-33-4806X4BBS-L</v>
      </c>
      <c r="D1355" s="16" t="str">
        <f>IFERROR(VLOOKUP(C1355&amp;"",'[7]Retail Price List'!$A$3:$B$103,2,FALSE),"Special Order")</f>
        <v>KP000679</v>
      </c>
      <c r="E1355" s="494" t="str">
        <f>'[6]price list MAN'!E1355</f>
        <v>CKD</v>
      </c>
      <c r="F1355" s="11" t="str">
        <f>'[6]price list MAN'!F1355</f>
        <v>2018-04-30</v>
      </c>
      <c r="G1355" s="32">
        <f>'[6]price list MAN'!G1355</f>
        <v>15.3</v>
      </c>
      <c r="H1355" s="26">
        <f>'[6]price list MAN'!H1355</f>
        <v>42978</v>
      </c>
      <c r="I1355" s="51" t="str">
        <f t="shared" si="105"/>
        <v>2017Q3</v>
      </c>
      <c r="J1355" s="177">
        <f>'[6]price list MAN'!J1355</f>
        <v>1820000</v>
      </c>
      <c r="K1355" s="177">
        <f>'[6]price list MAN'!P1355</f>
        <v>1407000</v>
      </c>
      <c r="L1355" s="177">
        <f>'[6]price list MAN'!R1355</f>
        <v>1340000</v>
      </c>
      <c r="M1355" s="174">
        <f>'[6]price list MAN'!S1355</f>
        <v>1875000</v>
      </c>
      <c r="N1355" s="174">
        <f>'[6]price list MAN'!Y1355</f>
        <v>1464750</v>
      </c>
      <c r="O1355" s="174">
        <f>'[6]price list MAN'!AA1355</f>
        <v>1395000</v>
      </c>
      <c r="P1355" s="68">
        <f t="shared" si="106"/>
        <v>0.25600000000000001</v>
      </c>
      <c r="Q1355" s="62" t="e">
        <f>O1355-#REF!</f>
        <v>#REF!</v>
      </c>
      <c r="AT1355" s="425" t="str">
        <f t="shared" si="107"/>
        <v>KP0006792017Q315,3</v>
      </c>
      <c r="AU1355" s="64" t="str">
        <f t="shared" si="108"/>
        <v>08-2017</v>
      </c>
      <c r="BA1355" s="428" t="str">
        <f t="shared" si="109"/>
        <v>WIP - 30 Days</v>
      </c>
    </row>
    <row r="1356" spans="2:53">
      <c r="B1356" s="36" t="str">
        <f>'[6]price list MAN'!B1356</f>
        <v>76W-B116</v>
      </c>
      <c r="C1356" s="10" t="str">
        <f>'[6]price list MAN'!C1356</f>
        <v>TGS-33-4806X4BBS-L</v>
      </c>
      <c r="D1356" s="16" t="str">
        <f>IFERROR(VLOOKUP(C1356&amp;"",'[7]Retail Price List'!$A$3:$B$103,2,FALSE),"Special Order")</f>
        <v>KP000679</v>
      </c>
      <c r="E1356" s="494" t="str">
        <f>'[6]price list MAN'!E1356</f>
        <v>CKD</v>
      </c>
      <c r="F1356" s="11" t="str">
        <f>'[6]price list MAN'!F1356</f>
        <v>2018-04-30</v>
      </c>
      <c r="G1356" s="32">
        <f>'[6]price list MAN'!G1356</f>
        <v>15.3</v>
      </c>
      <c r="H1356" s="26">
        <f>'[6]price list MAN'!H1356</f>
        <v>42978</v>
      </c>
      <c r="I1356" s="51" t="str">
        <f t="shared" si="105"/>
        <v>2017Q3</v>
      </c>
      <c r="J1356" s="177">
        <f>'[6]price list MAN'!J1356</f>
        <v>1820000</v>
      </c>
      <c r="K1356" s="177">
        <f>'[6]price list MAN'!P1356</f>
        <v>1407000</v>
      </c>
      <c r="L1356" s="177">
        <f>'[6]price list MAN'!R1356</f>
        <v>1340000</v>
      </c>
      <c r="M1356" s="174">
        <f>'[6]price list MAN'!S1356</f>
        <v>1875000</v>
      </c>
      <c r="N1356" s="174">
        <f>'[6]price list MAN'!Y1356</f>
        <v>1464750</v>
      </c>
      <c r="O1356" s="174">
        <f>'[6]price list MAN'!AA1356</f>
        <v>1395000</v>
      </c>
      <c r="P1356" s="68">
        <f t="shared" si="106"/>
        <v>0.25600000000000001</v>
      </c>
      <c r="Q1356" s="62" t="e">
        <f>O1356-#REF!</f>
        <v>#REF!</v>
      </c>
      <c r="AT1356" s="425" t="str">
        <f t="shared" si="107"/>
        <v>KP0006792017Q315,3</v>
      </c>
      <c r="AU1356" s="64" t="str">
        <f t="shared" si="108"/>
        <v>08-2017</v>
      </c>
      <c r="BA1356" s="428" t="str">
        <f t="shared" si="109"/>
        <v>WIP - 30 Days</v>
      </c>
    </row>
    <row r="1357" spans="2:53">
      <c r="B1357" s="36" t="str">
        <f>'[6]price list MAN'!B1357</f>
        <v>76W-B117</v>
      </c>
      <c r="C1357" s="10" t="str">
        <f>'[6]price list MAN'!C1357</f>
        <v>TGS-33-4806X4BBS-L</v>
      </c>
      <c r="D1357" s="16" t="str">
        <f>IFERROR(VLOOKUP(C1357&amp;"",'[7]Retail Price List'!$A$3:$B$103,2,FALSE),"Special Order")</f>
        <v>KP000679</v>
      </c>
      <c r="E1357" s="494" t="str">
        <f>'[6]price list MAN'!E1357</f>
        <v>CKD</v>
      </c>
      <c r="F1357" s="11" t="str">
        <f>'[6]price list MAN'!F1357</f>
        <v>2018-03-30</v>
      </c>
      <c r="G1357" s="32">
        <f>'[6]price list MAN'!G1357</f>
        <v>15.3</v>
      </c>
      <c r="H1357" s="26">
        <f>'[6]price list MAN'!H1357</f>
        <v>42978</v>
      </c>
      <c r="I1357" s="51" t="str">
        <f t="shared" si="105"/>
        <v>2017Q3</v>
      </c>
      <c r="J1357" s="177">
        <f>'[6]price list MAN'!J1357</f>
        <v>1820000</v>
      </c>
      <c r="K1357" s="177">
        <f>'[6]price list MAN'!P1357</f>
        <v>1407000</v>
      </c>
      <c r="L1357" s="177">
        <f>'[6]price list MAN'!R1357</f>
        <v>1340000</v>
      </c>
      <c r="M1357" s="174">
        <f>'[6]price list MAN'!S1357</f>
        <v>1875000</v>
      </c>
      <c r="N1357" s="174">
        <f>'[6]price list MAN'!Y1357</f>
        <v>1464750</v>
      </c>
      <c r="O1357" s="174">
        <f>'[6]price list MAN'!AA1357</f>
        <v>1395000</v>
      </c>
      <c r="P1357" s="68">
        <f t="shared" si="106"/>
        <v>0.25600000000000001</v>
      </c>
      <c r="Q1357" s="62" t="e">
        <f>O1357-#REF!</f>
        <v>#REF!</v>
      </c>
      <c r="AT1357" s="425" t="str">
        <f t="shared" si="107"/>
        <v>KP0006792017Q315,3</v>
      </c>
      <c r="AU1357" s="64" t="str">
        <f t="shared" si="108"/>
        <v>08-2017</v>
      </c>
      <c r="BA1357" s="428" t="str">
        <f t="shared" si="109"/>
        <v>WIP - 30 Days</v>
      </c>
    </row>
    <row r="1358" spans="2:53">
      <c r="B1358" s="36" t="str">
        <f>'[6]price list MAN'!B1358</f>
        <v>76W-B118</v>
      </c>
      <c r="C1358" s="10" t="str">
        <f>'[6]price list MAN'!C1358</f>
        <v>TGS-33-4806X4BBS-L</v>
      </c>
      <c r="D1358" s="16" t="str">
        <f>IFERROR(VLOOKUP(C1358&amp;"",'[7]Retail Price List'!$A$3:$B$103,2,FALSE),"Special Order")</f>
        <v>KP000679</v>
      </c>
      <c r="E1358" s="494" t="str">
        <f>'[6]price list MAN'!E1358</f>
        <v>CKD</v>
      </c>
      <c r="F1358" s="11" t="str">
        <f>'[6]price list MAN'!F1358</f>
        <v>2018-05-30</v>
      </c>
      <c r="G1358" s="32">
        <f>'[6]price list MAN'!G1358</f>
        <v>15.3</v>
      </c>
      <c r="H1358" s="26">
        <f>'[6]price list MAN'!H1358</f>
        <v>42978</v>
      </c>
      <c r="I1358" s="51" t="str">
        <f t="shared" si="105"/>
        <v>2017Q3</v>
      </c>
      <c r="J1358" s="177">
        <f>'[6]price list MAN'!J1358</f>
        <v>1820000</v>
      </c>
      <c r="K1358" s="177">
        <f>'[6]price list MAN'!P1358</f>
        <v>1407000</v>
      </c>
      <c r="L1358" s="177">
        <f>'[6]price list MAN'!R1358</f>
        <v>1340000</v>
      </c>
      <c r="M1358" s="174">
        <f>'[6]price list MAN'!S1358</f>
        <v>1875000</v>
      </c>
      <c r="N1358" s="174">
        <f>'[6]price list MAN'!Y1358</f>
        <v>1464750</v>
      </c>
      <c r="O1358" s="174">
        <f>'[6]price list MAN'!AA1358</f>
        <v>1395000</v>
      </c>
      <c r="P1358" s="68">
        <f t="shared" si="106"/>
        <v>0.25600000000000001</v>
      </c>
      <c r="Q1358" s="62" t="e">
        <f>O1358-#REF!</f>
        <v>#REF!</v>
      </c>
      <c r="AT1358" s="425" t="str">
        <f t="shared" si="107"/>
        <v>KP0006792017Q315,3</v>
      </c>
      <c r="AU1358" s="64" t="str">
        <f t="shared" si="108"/>
        <v>08-2017</v>
      </c>
      <c r="BA1358" s="428" t="str">
        <f t="shared" si="109"/>
        <v>WIP - 30 Days</v>
      </c>
    </row>
    <row r="1359" spans="2:53">
      <c r="B1359" s="36" t="str">
        <f>'[6]price list MAN'!B1359</f>
        <v>76W-B119</v>
      </c>
      <c r="C1359" s="10" t="str">
        <f>'[6]price list MAN'!C1359</f>
        <v>TGS-33-4806X4BBS-L</v>
      </c>
      <c r="D1359" s="16" t="str">
        <f>IFERROR(VLOOKUP(C1359&amp;"",'[7]Retail Price List'!$A$3:$B$103,2,FALSE),"Special Order")</f>
        <v>KP000679</v>
      </c>
      <c r="E1359" s="494" t="str">
        <f>'[6]price list MAN'!E1359</f>
        <v>CKD</v>
      </c>
      <c r="F1359" s="11" t="str">
        <f>'[6]price list MAN'!F1359</f>
        <v>2018-03-30</v>
      </c>
      <c r="G1359" s="32">
        <f>'[6]price list MAN'!G1359</f>
        <v>15.3</v>
      </c>
      <c r="H1359" s="26">
        <f>'[6]price list MAN'!H1359</f>
        <v>42978</v>
      </c>
      <c r="I1359" s="51" t="str">
        <f t="shared" si="105"/>
        <v>2017Q3</v>
      </c>
      <c r="J1359" s="177">
        <f>'[6]price list MAN'!J1359</f>
        <v>1820000</v>
      </c>
      <c r="K1359" s="177">
        <f>'[6]price list MAN'!P1359</f>
        <v>1407000</v>
      </c>
      <c r="L1359" s="177">
        <f>'[6]price list MAN'!R1359</f>
        <v>1340000</v>
      </c>
      <c r="M1359" s="174">
        <f>'[6]price list MAN'!S1359</f>
        <v>1875000</v>
      </c>
      <c r="N1359" s="174">
        <f>'[6]price list MAN'!Y1359</f>
        <v>1464750</v>
      </c>
      <c r="O1359" s="174">
        <f>'[6]price list MAN'!AA1359</f>
        <v>1395000</v>
      </c>
      <c r="P1359" s="68">
        <f t="shared" si="106"/>
        <v>0.25600000000000001</v>
      </c>
      <c r="Q1359" s="62" t="e">
        <f>O1359-#REF!</f>
        <v>#REF!</v>
      </c>
      <c r="AT1359" s="425" t="str">
        <f t="shared" si="107"/>
        <v>KP0006792017Q315,3</v>
      </c>
      <c r="AU1359" s="64" t="str">
        <f t="shared" si="108"/>
        <v>08-2017</v>
      </c>
      <c r="BA1359" s="428" t="str">
        <f t="shared" si="109"/>
        <v>WIP - 30 Days</v>
      </c>
    </row>
    <row r="1360" spans="2:53">
      <c r="B1360" s="36" t="str">
        <f>'[6]price list MAN'!B1360</f>
        <v>76W-B120</v>
      </c>
      <c r="C1360" s="10" t="str">
        <f>'[6]price list MAN'!C1360</f>
        <v>TGS-33-4806X4BBS-L</v>
      </c>
      <c r="D1360" s="16" t="str">
        <f>IFERROR(VLOOKUP(C1360&amp;"",'[7]Retail Price List'!$A$3:$B$103,2,FALSE),"Special Order")</f>
        <v>KP000679</v>
      </c>
      <c r="E1360" s="494" t="str">
        <f>'[6]price list MAN'!E1360</f>
        <v>CKD</v>
      </c>
      <c r="F1360" s="11" t="str">
        <f>'[6]price list MAN'!F1360</f>
        <v>2018-05-30</v>
      </c>
      <c r="G1360" s="32">
        <f>'[6]price list MAN'!G1360</f>
        <v>15.3</v>
      </c>
      <c r="H1360" s="26">
        <f>'[6]price list MAN'!H1360</f>
        <v>42978</v>
      </c>
      <c r="I1360" s="51" t="str">
        <f t="shared" si="105"/>
        <v>2017Q3</v>
      </c>
      <c r="J1360" s="177">
        <f>'[6]price list MAN'!J1360</f>
        <v>1820000</v>
      </c>
      <c r="K1360" s="177">
        <f>'[6]price list MAN'!P1360</f>
        <v>1407000</v>
      </c>
      <c r="L1360" s="177">
        <f>'[6]price list MAN'!R1360</f>
        <v>1340000</v>
      </c>
      <c r="M1360" s="174">
        <f>'[6]price list MAN'!S1360</f>
        <v>1875000</v>
      </c>
      <c r="N1360" s="174">
        <f>'[6]price list MAN'!Y1360</f>
        <v>1464750</v>
      </c>
      <c r="O1360" s="174">
        <f>'[6]price list MAN'!AA1360</f>
        <v>1395000</v>
      </c>
      <c r="P1360" s="68">
        <f t="shared" si="106"/>
        <v>0.25600000000000001</v>
      </c>
      <c r="Q1360" s="62" t="e">
        <f>O1360-#REF!</f>
        <v>#REF!</v>
      </c>
      <c r="AT1360" s="425" t="str">
        <f t="shared" si="107"/>
        <v>KP0006792017Q315,3</v>
      </c>
      <c r="AU1360" s="64" t="str">
        <f t="shared" si="108"/>
        <v>08-2017</v>
      </c>
      <c r="BA1360" s="428" t="str">
        <f t="shared" si="109"/>
        <v>WIP - 30 Days</v>
      </c>
    </row>
    <row r="1361" spans="2:53">
      <c r="B1361" s="36" t="str">
        <f>'[6]price list MAN'!B1361</f>
        <v>76W-B121</v>
      </c>
      <c r="C1361" s="10" t="str">
        <f>'[6]price list MAN'!C1361</f>
        <v>TGS-33-4806X4BBS-L</v>
      </c>
      <c r="D1361" s="16" t="str">
        <f>IFERROR(VLOOKUP(C1361&amp;"",'[7]Retail Price List'!$A$3:$B$103,2,FALSE),"Special Order")</f>
        <v>KP000679</v>
      </c>
      <c r="E1361" s="494" t="str">
        <f>'[6]price list MAN'!E1361</f>
        <v>CKD</v>
      </c>
      <c r="F1361" s="11" t="str">
        <f>'[6]price list MAN'!F1361</f>
        <v>2018-05-30</v>
      </c>
      <c r="G1361" s="32">
        <f>'[6]price list MAN'!G1361</f>
        <v>15.3</v>
      </c>
      <c r="H1361" s="26">
        <f>'[6]price list MAN'!H1361</f>
        <v>42978</v>
      </c>
      <c r="I1361" s="51" t="str">
        <f t="shared" si="105"/>
        <v>2017Q3</v>
      </c>
      <c r="J1361" s="177">
        <f>'[6]price list MAN'!J1361</f>
        <v>1820000</v>
      </c>
      <c r="K1361" s="177">
        <f>'[6]price list MAN'!P1361</f>
        <v>1407000</v>
      </c>
      <c r="L1361" s="177">
        <f>'[6]price list MAN'!R1361</f>
        <v>1340000</v>
      </c>
      <c r="M1361" s="174">
        <f>'[6]price list MAN'!S1361</f>
        <v>1875000</v>
      </c>
      <c r="N1361" s="174">
        <f>'[6]price list MAN'!Y1361</f>
        <v>1464750</v>
      </c>
      <c r="O1361" s="174">
        <f>'[6]price list MAN'!AA1361</f>
        <v>1395000</v>
      </c>
      <c r="P1361" s="68">
        <f t="shared" si="106"/>
        <v>0.25600000000000001</v>
      </c>
      <c r="Q1361" s="62" t="e">
        <f>O1361-#REF!</f>
        <v>#REF!</v>
      </c>
      <c r="AT1361" s="425" t="str">
        <f t="shared" si="107"/>
        <v>KP0006792017Q315,3</v>
      </c>
      <c r="AU1361" s="64" t="str">
        <f t="shared" si="108"/>
        <v>08-2017</v>
      </c>
      <c r="BA1361" s="428" t="str">
        <f t="shared" si="109"/>
        <v>WIP - 30 Days</v>
      </c>
    </row>
    <row r="1362" spans="2:53">
      <c r="B1362" s="36" t="str">
        <f>'[6]price list MAN'!B1362</f>
        <v>76W-B122</v>
      </c>
      <c r="C1362" s="10" t="str">
        <f>'[6]price list MAN'!C1362</f>
        <v>TGS-33-4806X4BBS-L</v>
      </c>
      <c r="D1362" s="16" t="str">
        <f>IFERROR(VLOOKUP(C1362&amp;"",'[7]Retail Price List'!$A$3:$B$103,2,FALSE),"Special Order")</f>
        <v>KP000679</v>
      </c>
      <c r="E1362" s="494" t="str">
        <f>'[6]price list MAN'!E1362</f>
        <v>CKD</v>
      </c>
      <c r="F1362" s="11" t="str">
        <f>'[6]price list MAN'!F1362</f>
        <v>2018-05-30</v>
      </c>
      <c r="G1362" s="32">
        <f>'[6]price list MAN'!G1362</f>
        <v>15.3</v>
      </c>
      <c r="H1362" s="26">
        <f>'[6]price list MAN'!H1362</f>
        <v>42978</v>
      </c>
      <c r="I1362" s="51" t="str">
        <f t="shared" si="105"/>
        <v>2017Q3</v>
      </c>
      <c r="J1362" s="177">
        <f>'[6]price list MAN'!J1362</f>
        <v>1820000</v>
      </c>
      <c r="K1362" s="177">
        <f>'[6]price list MAN'!P1362</f>
        <v>1407000</v>
      </c>
      <c r="L1362" s="177">
        <f>'[6]price list MAN'!R1362</f>
        <v>1340000</v>
      </c>
      <c r="M1362" s="174">
        <f>'[6]price list MAN'!S1362</f>
        <v>1875000</v>
      </c>
      <c r="N1362" s="174">
        <f>'[6]price list MAN'!Y1362</f>
        <v>1464750</v>
      </c>
      <c r="O1362" s="174">
        <f>'[6]price list MAN'!AA1362</f>
        <v>1395000</v>
      </c>
      <c r="P1362" s="68">
        <f t="shared" si="106"/>
        <v>0.25600000000000001</v>
      </c>
      <c r="Q1362" s="62" t="e">
        <f>O1362-#REF!</f>
        <v>#REF!</v>
      </c>
      <c r="AT1362" s="425" t="str">
        <f t="shared" si="107"/>
        <v>KP0006792017Q315,3</v>
      </c>
      <c r="AU1362" s="64" t="str">
        <f t="shared" si="108"/>
        <v>08-2017</v>
      </c>
      <c r="BA1362" s="428" t="str">
        <f t="shared" si="109"/>
        <v>WIP - 30 Days</v>
      </c>
    </row>
    <row r="1363" spans="2:53">
      <c r="B1363" s="36" t="str">
        <f>'[6]price list MAN'!B1363</f>
        <v>76W-B175</v>
      </c>
      <c r="C1363" s="10" t="str">
        <f>'[6]price list MAN'!C1363</f>
        <v>TGS-33-4806X4BBS-L</v>
      </c>
      <c r="D1363" s="16" t="str">
        <f>IFERROR(VLOOKUP(C1363&amp;"",'[7]Retail Price List'!$A$3:$B$103,2,FALSE),"Special Order")</f>
        <v>KP000679</v>
      </c>
      <c r="E1363" s="494" t="str">
        <f>'[6]price list MAN'!E1363</f>
        <v>CKD</v>
      </c>
      <c r="F1363" s="11" t="str">
        <f>'[6]price list MAN'!F1363</f>
        <v>2018-05-30</v>
      </c>
      <c r="G1363" s="32">
        <f>'[6]price list MAN'!G1363</f>
        <v>15.3</v>
      </c>
      <c r="H1363" s="26">
        <f>'[6]price list MAN'!H1363</f>
        <v>42978</v>
      </c>
      <c r="I1363" s="51" t="str">
        <f t="shared" si="105"/>
        <v>2017Q3</v>
      </c>
      <c r="J1363" s="177">
        <f>'[6]price list MAN'!J1363</f>
        <v>1820000</v>
      </c>
      <c r="K1363" s="177">
        <f>'[6]price list MAN'!P1363</f>
        <v>1407000</v>
      </c>
      <c r="L1363" s="177">
        <f>'[6]price list MAN'!R1363</f>
        <v>1340000</v>
      </c>
      <c r="M1363" s="174">
        <f>'[6]price list MAN'!S1363</f>
        <v>1875000</v>
      </c>
      <c r="N1363" s="174">
        <f>'[6]price list MAN'!Y1363</f>
        <v>1464750</v>
      </c>
      <c r="O1363" s="174">
        <f>'[6]price list MAN'!AA1363</f>
        <v>1395000</v>
      </c>
      <c r="P1363" s="68">
        <f t="shared" si="106"/>
        <v>0.25600000000000001</v>
      </c>
      <c r="Q1363" s="62" t="e">
        <f>O1363-#REF!</f>
        <v>#REF!</v>
      </c>
      <c r="AT1363" s="425" t="str">
        <f t="shared" si="107"/>
        <v>KP0006792017Q315,3</v>
      </c>
      <c r="AU1363" s="64" t="str">
        <f t="shared" si="108"/>
        <v>08-2017</v>
      </c>
      <c r="BA1363" s="428" t="str">
        <f t="shared" si="109"/>
        <v>WIP - 30 Days</v>
      </c>
    </row>
    <row r="1364" spans="2:53">
      <c r="B1364" s="36" t="str">
        <f>'[6]price list MAN'!B1364</f>
        <v>76W-B176</v>
      </c>
      <c r="C1364" s="10" t="str">
        <f>'[6]price list MAN'!C1364</f>
        <v>TGS-33-4806X4BBS-L</v>
      </c>
      <c r="D1364" s="16" t="str">
        <f>IFERROR(VLOOKUP(C1364&amp;"",'[7]Retail Price List'!$A$3:$B$103,2,FALSE),"Special Order")</f>
        <v>KP000679</v>
      </c>
      <c r="E1364" s="494" t="str">
        <f>'[6]price list MAN'!E1364</f>
        <v>CKD</v>
      </c>
      <c r="F1364" s="11" t="str">
        <f>'[6]price list MAN'!F1364</f>
        <v>2018-05-30</v>
      </c>
      <c r="G1364" s="32">
        <f>'[6]price list MAN'!G1364</f>
        <v>15.3</v>
      </c>
      <c r="H1364" s="26">
        <f>'[6]price list MAN'!H1364</f>
        <v>42978</v>
      </c>
      <c r="I1364" s="51" t="str">
        <f t="shared" si="105"/>
        <v>2017Q3</v>
      </c>
      <c r="J1364" s="177">
        <f>'[6]price list MAN'!J1364</f>
        <v>1820000</v>
      </c>
      <c r="K1364" s="177">
        <f>'[6]price list MAN'!P1364</f>
        <v>1407000</v>
      </c>
      <c r="L1364" s="177">
        <f>'[6]price list MAN'!R1364</f>
        <v>1340000</v>
      </c>
      <c r="M1364" s="174">
        <f>'[6]price list MAN'!S1364</f>
        <v>1875000</v>
      </c>
      <c r="N1364" s="174">
        <f>'[6]price list MAN'!Y1364</f>
        <v>1464750</v>
      </c>
      <c r="O1364" s="174">
        <f>'[6]price list MAN'!AA1364</f>
        <v>1395000</v>
      </c>
      <c r="P1364" s="68">
        <f t="shared" si="106"/>
        <v>0.25600000000000001</v>
      </c>
      <c r="Q1364" s="62" t="e">
        <f>O1364-#REF!</f>
        <v>#REF!</v>
      </c>
      <c r="AT1364" s="425" t="str">
        <f t="shared" si="107"/>
        <v>KP0006792017Q315,3</v>
      </c>
      <c r="AU1364" s="64" t="str">
        <f t="shared" si="108"/>
        <v>08-2017</v>
      </c>
      <c r="BA1364" s="428" t="str">
        <f t="shared" si="109"/>
        <v>WIP - 30 Days</v>
      </c>
    </row>
    <row r="1365" spans="2:53">
      <c r="B1365" s="36" t="str">
        <f>'[6]price list MAN'!B1365</f>
        <v>76W-B177</v>
      </c>
      <c r="C1365" s="10" t="str">
        <f>'[6]price list MAN'!C1365</f>
        <v>TGS-33-4806X4BBS-L</v>
      </c>
      <c r="D1365" s="16" t="str">
        <f>IFERROR(VLOOKUP(C1365&amp;"",'[7]Retail Price List'!$A$3:$B$103,2,FALSE),"Special Order")</f>
        <v>KP000679</v>
      </c>
      <c r="E1365" s="494" t="str">
        <f>'[6]price list MAN'!E1365</f>
        <v>CKD</v>
      </c>
      <c r="F1365" s="11" t="str">
        <f>'[6]price list MAN'!F1365</f>
        <v>2018-06-30</v>
      </c>
      <c r="G1365" s="32">
        <f>'[6]price list MAN'!G1365</f>
        <v>15.3</v>
      </c>
      <c r="H1365" s="26">
        <f>'[6]price list MAN'!H1365</f>
        <v>42978</v>
      </c>
      <c r="I1365" s="51" t="str">
        <f t="shared" si="105"/>
        <v>2017Q3</v>
      </c>
      <c r="J1365" s="177">
        <f>'[6]price list MAN'!J1365</f>
        <v>1820000</v>
      </c>
      <c r="K1365" s="177">
        <f>'[6]price list MAN'!P1365</f>
        <v>1407000</v>
      </c>
      <c r="L1365" s="177">
        <f>'[6]price list MAN'!R1365</f>
        <v>1340000</v>
      </c>
      <c r="M1365" s="174">
        <f>'[6]price list MAN'!S1365</f>
        <v>1875000</v>
      </c>
      <c r="N1365" s="174">
        <f>'[6]price list MAN'!Y1365</f>
        <v>1464750</v>
      </c>
      <c r="O1365" s="174">
        <f>'[6]price list MAN'!AA1365</f>
        <v>1395000</v>
      </c>
      <c r="P1365" s="68">
        <f t="shared" si="106"/>
        <v>0.25600000000000001</v>
      </c>
      <c r="Q1365" s="62" t="e">
        <f>O1365-#REF!</f>
        <v>#REF!</v>
      </c>
      <c r="AT1365" s="425" t="str">
        <f t="shared" si="107"/>
        <v>KP0006792017Q315,3</v>
      </c>
      <c r="AU1365" s="64" t="str">
        <f t="shared" si="108"/>
        <v>08-2017</v>
      </c>
      <c r="BA1365" s="428" t="str">
        <f t="shared" si="109"/>
        <v>WIP - 30 Days</v>
      </c>
    </row>
    <row r="1366" spans="2:53">
      <c r="B1366" s="36" t="str">
        <f>'[6]price list MAN'!B1366</f>
        <v>76W-B178</v>
      </c>
      <c r="C1366" s="10" t="str">
        <f>'[6]price list MAN'!C1366</f>
        <v>TGS-33-4806X4BBS-L</v>
      </c>
      <c r="D1366" s="16" t="str">
        <f>IFERROR(VLOOKUP(C1366&amp;"",'[7]Retail Price List'!$A$3:$B$103,2,FALSE),"Special Order")</f>
        <v>KP000679</v>
      </c>
      <c r="E1366" s="494" t="str">
        <f>'[6]price list MAN'!E1366</f>
        <v>CKD</v>
      </c>
      <c r="F1366" s="11" t="str">
        <f>'[6]price list MAN'!F1366</f>
        <v>2018-06-30</v>
      </c>
      <c r="G1366" s="32">
        <f>'[6]price list MAN'!G1366</f>
        <v>15.3</v>
      </c>
      <c r="H1366" s="26">
        <f>'[6]price list MAN'!H1366</f>
        <v>42978</v>
      </c>
      <c r="I1366" s="51" t="str">
        <f t="shared" si="105"/>
        <v>2017Q3</v>
      </c>
      <c r="J1366" s="177">
        <f>'[6]price list MAN'!J1366</f>
        <v>1820000</v>
      </c>
      <c r="K1366" s="177">
        <f>'[6]price list MAN'!P1366</f>
        <v>1407000</v>
      </c>
      <c r="L1366" s="177">
        <f>'[6]price list MAN'!R1366</f>
        <v>1340000</v>
      </c>
      <c r="M1366" s="174">
        <f>'[6]price list MAN'!S1366</f>
        <v>1875000</v>
      </c>
      <c r="N1366" s="174">
        <f>'[6]price list MAN'!Y1366</f>
        <v>1464750</v>
      </c>
      <c r="O1366" s="174">
        <f>'[6]price list MAN'!AA1366</f>
        <v>1395000</v>
      </c>
      <c r="P1366" s="68">
        <f t="shared" si="106"/>
        <v>0.25600000000000001</v>
      </c>
      <c r="Q1366" s="62" t="e">
        <f>O1366-#REF!</f>
        <v>#REF!</v>
      </c>
      <c r="AT1366" s="425" t="str">
        <f t="shared" si="107"/>
        <v>KP0006792017Q315,3</v>
      </c>
      <c r="AU1366" s="64" t="str">
        <f t="shared" si="108"/>
        <v>08-2017</v>
      </c>
      <c r="BA1366" s="428" t="str">
        <f t="shared" si="109"/>
        <v>WIP - 30 Days</v>
      </c>
    </row>
    <row r="1367" spans="2:53">
      <c r="B1367" s="36" t="str">
        <f>'[6]price list MAN'!B1367</f>
        <v>76W-B471</v>
      </c>
      <c r="C1367" s="10" t="str">
        <f>'[6]price list MAN'!C1367</f>
        <v>TGS-33-4806X4BBS-L</v>
      </c>
      <c r="D1367" s="16" t="str">
        <f>IFERROR(VLOOKUP(C1367&amp;"",'[7]Retail Price List'!$A$3:$B$103,2,FALSE),"Special Order")</f>
        <v>KP000679</v>
      </c>
      <c r="E1367" s="494" t="str">
        <f>'[6]price list MAN'!E1367</f>
        <v>CKD</v>
      </c>
      <c r="F1367" s="11" t="str">
        <f>'[6]price list MAN'!F1367</f>
        <v>2018-06-30</v>
      </c>
      <c r="G1367" s="32">
        <f>'[6]price list MAN'!G1367</f>
        <v>15.9</v>
      </c>
      <c r="H1367" s="26">
        <f>'[6]price list MAN'!H1367</f>
        <v>43039</v>
      </c>
      <c r="I1367" s="51" t="str">
        <f t="shared" si="105"/>
        <v>2017Q4</v>
      </c>
      <c r="J1367" s="177">
        <f>'[6]price list MAN'!J1367</f>
        <v>1820000</v>
      </c>
      <c r="K1367" s="177">
        <f>'[6]price list MAN'!P1367</f>
        <v>1407000</v>
      </c>
      <c r="L1367" s="177">
        <f>'[6]price list MAN'!R1367</f>
        <v>1340000</v>
      </c>
      <c r="M1367" s="174">
        <f>'[6]price list MAN'!S1367</f>
        <v>1875000</v>
      </c>
      <c r="N1367" s="174">
        <f>'[6]price list MAN'!Y1367</f>
        <v>1464750</v>
      </c>
      <c r="O1367" s="174">
        <f>'[6]price list MAN'!AA1367</f>
        <v>1395000</v>
      </c>
      <c r="P1367" s="68">
        <f t="shared" si="106"/>
        <v>0.25600000000000001</v>
      </c>
      <c r="Q1367" s="62" t="e">
        <f>O1367-#REF!</f>
        <v>#REF!</v>
      </c>
      <c r="AT1367" s="425" t="str">
        <f t="shared" si="107"/>
        <v>KP0006792017Q415,9</v>
      </c>
      <c r="AU1367" s="64" t="str">
        <f t="shared" si="108"/>
        <v>10-2017</v>
      </c>
      <c r="BA1367" s="428" t="str">
        <f t="shared" si="109"/>
        <v>WIP - 30 Days</v>
      </c>
    </row>
    <row r="1368" spans="2:53">
      <c r="B1368" s="36" t="str">
        <f>'[6]price list MAN'!B1368</f>
        <v>76W-B472</v>
      </c>
      <c r="C1368" s="10" t="str">
        <f>'[6]price list MAN'!C1368</f>
        <v>TGS-33-4806X4BBS-L</v>
      </c>
      <c r="D1368" s="16" t="str">
        <f>IFERROR(VLOOKUP(C1368&amp;"",'[7]Retail Price List'!$A$3:$B$103,2,FALSE),"Special Order")</f>
        <v>KP000679</v>
      </c>
      <c r="E1368" s="494" t="str">
        <f>'[6]price list MAN'!E1368</f>
        <v>CKD</v>
      </c>
      <c r="F1368" s="11" t="str">
        <f>'[6]price list MAN'!F1368</f>
        <v>2018-06-30</v>
      </c>
      <c r="G1368" s="32">
        <f>'[6]price list MAN'!G1368</f>
        <v>15.9</v>
      </c>
      <c r="H1368" s="26">
        <f>'[6]price list MAN'!H1368</f>
        <v>43039</v>
      </c>
      <c r="I1368" s="51" t="str">
        <f t="shared" si="105"/>
        <v>2017Q4</v>
      </c>
      <c r="J1368" s="177">
        <f>'[6]price list MAN'!J1368</f>
        <v>1820000</v>
      </c>
      <c r="K1368" s="177">
        <f>'[6]price list MAN'!P1368</f>
        <v>1407000</v>
      </c>
      <c r="L1368" s="177">
        <f>'[6]price list MAN'!R1368</f>
        <v>1340000</v>
      </c>
      <c r="M1368" s="174">
        <f>'[6]price list MAN'!S1368</f>
        <v>1875000</v>
      </c>
      <c r="N1368" s="174">
        <f>'[6]price list MAN'!Y1368</f>
        <v>1464750</v>
      </c>
      <c r="O1368" s="174">
        <f>'[6]price list MAN'!AA1368</f>
        <v>1395000</v>
      </c>
      <c r="P1368" s="68">
        <f t="shared" si="106"/>
        <v>0.25600000000000001</v>
      </c>
      <c r="Q1368" s="62" t="e">
        <f>O1368-#REF!</f>
        <v>#REF!</v>
      </c>
      <c r="AT1368" s="425" t="str">
        <f t="shared" si="107"/>
        <v>KP0006792017Q415,9</v>
      </c>
      <c r="AU1368" s="64" t="str">
        <f t="shared" si="108"/>
        <v>10-2017</v>
      </c>
      <c r="BA1368" s="428" t="str">
        <f t="shared" si="109"/>
        <v>WIP - 30 Days</v>
      </c>
    </row>
    <row r="1369" spans="2:53">
      <c r="B1369" s="36" t="str">
        <f>'[6]price list MAN'!B1369</f>
        <v>76W-B473</v>
      </c>
      <c r="C1369" s="10" t="str">
        <f>'[6]price list MAN'!C1369</f>
        <v>TGS-33-4806X4BBS-L</v>
      </c>
      <c r="D1369" s="16" t="str">
        <f>IFERROR(VLOOKUP(C1369&amp;"",'[7]Retail Price List'!$A$3:$B$103,2,FALSE),"Special Order")</f>
        <v>KP000679</v>
      </c>
      <c r="E1369" s="494" t="str">
        <f>'[6]price list MAN'!E1369</f>
        <v>CKD</v>
      </c>
      <c r="F1369" s="11" t="str">
        <f>'[6]price list MAN'!F1369</f>
        <v>2018-07-30</v>
      </c>
      <c r="G1369" s="32">
        <f>'[6]price list MAN'!G1369</f>
        <v>15.9</v>
      </c>
      <c r="H1369" s="26">
        <f>'[6]price list MAN'!H1369</f>
        <v>43039</v>
      </c>
      <c r="I1369" s="51" t="str">
        <f t="shared" si="105"/>
        <v>2017Q4</v>
      </c>
      <c r="J1369" s="177">
        <f>'[6]price list MAN'!J1369</f>
        <v>1820000</v>
      </c>
      <c r="K1369" s="177">
        <f>'[6]price list MAN'!P1369</f>
        <v>1407000</v>
      </c>
      <c r="L1369" s="177">
        <f>'[6]price list MAN'!R1369</f>
        <v>1340000</v>
      </c>
      <c r="M1369" s="174">
        <f>'[6]price list MAN'!S1369</f>
        <v>1875000</v>
      </c>
      <c r="N1369" s="174">
        <f>'[6]price list MAN'!Y1369</f>
        <v>1464750</v>
      </c>
      <c r="O1369" s="174">
        <f>'[6]price list MAN'!AA1369</f>
        <v>1395000</v>
      </c>
      <c r="P1369" s="68">
        <f t="shared" si="106"/>
        <v>0.25600000000000001</v>
      </c>
      <c r="Q1369" s="62" t="e">
        <f>O1369-#REF!</f>
        <v>#REF!</v>
      </c>
      <c r="AT1369" s="425" t="str">
        <f t="shared" si="107"/>
        <v>KP0006792017Q415,9</v>
      </c>
      <c r="AU1369" s="64" t="str">
        <f t="shared" si="108"/>
        <v>10-2017</v>
      </c>
      <c r="BA1369" s="428" t="str">
        <f t="shared" si="109"/>
        <v>WIP - 30 Days</v>
      </c>
    </row>
    <row r="1370" spans="2:53">
      <c r="B1370" s="36" t="str">
        <f>'[6]price list MAN'!B1370</f>
        <v>76W-B474</v>
      </c>
      <c r="C1370" s="10" t="str">
        <f>'[6]price list MAN'!C1370</f>
        <v>TGS-33-4806X4BBS-L</v>
      </c>
      <c r="D1370" s="16" t="str">
        <f>IFERROR(VLOOKUP(C1370&amp;"",'[7]Retail Price List'!$A$3:$B$103,2,FALSE),"Special Order")</f>
        <v>KP000679</v>
      </c>
      <c r="E1370" s="494" t="str">
        <f>'[6]price list MAN'!E1370</f>
        <v>CKD</v>
      </c>
      <c r="F1370" s="11" t="str">
        <f>'[6]price list MAN'!F1370</f>
        <v>2018-07-30</v>
      </c>
      <c r="G1370" s="32">
        <f>'[6]price list MAN'!G1370</f>
        <v>15.9</v>
      </c>
      <c r="H1370" s="26">
        <f>'[6]price list MAN'!H1370</f>
        <v>43039</v>
      </c>
      <c r="I1370" s="51" t="str">
        <f t="shared" si="105"/>
        <v>2017Q4</v>
      </c>
      <c r="J1370" s="177">
        <f>'[6]price list MAN'!J1370</f>
        <v>1820000</v>
      </c>
      <c r="K1370" s="177">
        <f>'[6]price list MAN'!P1370</f>
        <v>1407000</v>
      </c>
      <c r="L1370" s="177">
        <f>'[6]price list MAN'!R1370</f>
        <v>1340000</v>
      </c>
      <c r="M1370" s="174">
        <f>'[6]price list MAN'!S1370</f>
        <v>1875000</v>
      </c>
      <c r="N1370" s="174">
        <f>'[6]price list MAN'!Y1370</f>
        <v>1464750</v>
      </c>
      <c r="O1370" s="174">
        <f>'[6]price list MAN'!AA1370</f>
        <v>1395000</v>
      </c>
      <c r="P1370" s="68">
        <f t="shared" si="106"/>
        <v>0.25600000000000001</v>
      </c>
      <c r="Q1370" s="62" t="e">
        <f>O1370-#REF!</f>
        <v>#REF!</v>
      </c>
      <c r="AT1370" s="425" t="str">
        <f t="shared" si="107"/>
        <v>KP0006792017Q415,9</v>
      </c>
      <c r="AU1370" s="64" t="str">
        <f t="shared" si="108"/>
        <v>10-2017</v>
      </c>
      <c r="BA1370" s="428" t="str">
        <f t="shared" si="109"/>
        <v>WIP - 30 Days</v>
      </c>
    </row>
    <row r="1371" spans="2:53">
      <c r="B1371" s="36" t="str">
        <f>'[6]price list MAN'!B1371</f>
        <v>TBAKP679</v>
      </c>
      <c r="C1371" s="10" t="str">
        <f>'[6]price list MAN'!C1371</f>
        <v>TGS-33-4806X4BBS-L</v>
      </c>
      <c r="D1371" s="16" t="str">
        <f>IFERROR(VLOOKUP(C1371&amp;"",'[7]Retail Price List'!$A$3:$B$103,2,FALSE),"Special Order")</f>
        <v>KP000679</v>
      </c>
      <c r="E1371" s="494" t="str">
        <f>'[6]price list MAN'!E1371</f>
        <v>CKD</v>
      </c>
      <c r="F1371" s="11" t="str">
        <f>'[6]price list MAN'!F1371</f>
        <v>2018-08-19</v>
      </c>
      <c r="G1371" s="32">
        <f>'[6]price list MAN'!G1371</f>
        <v>15.8</v>
      </c>
      <c r="H1371" s="26">
        <f>'[6]price list MAN'!H1371</f>
        <v>43159</v>
      </c>
      <c r="I1371" s="51" t="str">
        <f t="shared" si="105"/>
        <v>2018Q1</v>
      </c>
      <c r="J1371" s="177">
        <f>'[6]price list MAN'!J1371</f>
        <v>1820000</v>
      </c>
      <c r="K1371" s="177">
        <f>'[6]price list MAN'!P1371</f>
        <v>1428000</v>
      </c>
      <c r="L1371" s="177">
        <f>'[6]price list MAN'!R1371</f>
        <v>1360000</v>
      </c>
      <c r="M1371" s="174">
        <f>'[6]price list MAN'!S1371</f>
        <v>1875000</v>
      </c>
      <c r="N1371" s="174">
        <f>'[6]price list MAN'!Y1371</f>
        <v>1485750</v>
      </c>
      <c r="O1371" s="174">
        <f>'[6]price list MAN'!AA1371</f>
        <v>1415000</v>
      </c>
      <c r="P1371" s="68">
        <f t="shared" si="106"/>
        <v>0.24533333333333332</v>
      </c>
      <c r="Q1371" s="62" t="e">
        <f>O1371-#REF!</f>
        <v>#REF!</v>
      </c>
      <c r="AT1371" s="425" t="str">
        <f t="shared" si="107"/>
        <v>KP0006792018Q115,8</v>
      </c>
      <c r="AU1371" s="64" t="str">
        <f t="shared" si="108"/>
        <v>02-2018</v>
      </c>
      <c r="BA1371" s="428" t="str">
        <f t="shared" si="109"/>
        <v>WIP - 30 Days</v>
      </c>
    </row>
    <row r="1372" spans="2:53">
      <c r="B1372" s="36" t="str">
        <f>'[6]price list MAN'!B1372</f>
        <v>79W-2419</v>
      </c>
      <c r="C1372" s="10" t="str">
        <f>'[6]price list MAN'!C1372</f>
        <v>TGS-41-4408X4BB-M-DWA</v>
      </c>
      <c r="D1372" s="16" t="str">
        <f>IFERROR(VLOOKUP(C1372&amp;"",'[7]Retail Price List'!$A$3:$B$103,2,FALSE),"Special Order")</f>
        <v>KP000732</v>
      </c>
      <c r="E1372" s="494" t="str">
        <f>'[6]price list MAN'!E1372</f>
        <v>SOLD</v>
      </c>
      <c r="F1372" s="11">
        <f>'[6]price list MAN'!F1372</f>
        <v>103</v>
      </c>
      <c r="G1372" s="32">
        <f>'[6]price list MAN'!G1372</f>
        <v>14.7</v>
      </c>
      <c r="H1372" s="26">
        <f>'[6]price list MAN'!H1372</f>
        <v>42859</v>
      </c>
      <c r="I1372" s="51" t="str">
        <f t="shared" si="105"/>
        <v>2017Q2</v>
      </c>
      <c r="J1372" s="177">
        <f>'[6]price list MAN'!J1372</f>
        <v>1930000</v>
      </c>
      <c r="K1372" s="177">
        <f>'[6]price list MAN'!P1372</f>
        <v>1496250</v>
      </c>
      <c r="L1372" s="177">
        <f>'[6]price list MAN'!R1372</f>
        <v>1425000</v>
      </c>
      <c r="M1372" s="174">
        <f>'[6]price list MAN'!S1372</f>
        <v>1985000</v>
      </c>
      <c r="N1372" s="174">
        <f>'[6]price list MAN'!Y1372</f>
        <v>1554000</v>
      </c>
      <c r="O1372" s="174">
        <f>'[6]price list MAN'!AA1372</f>
        <v>1480000</v>
      </c>
      <c r="P1372" s="68">
        <f t="shared" si="106"/>
        <v>0.25440806045340053</v>
      </c>
      <c r="Q1372" s="62" t="e">
        <f>O1372-#REF!</f>
        <v>#REF!</v>
      </c>
      <c r="AT1372" s="425" t="str">
        <f t="shared" si="107"/>
        <v>KP0007322017Q214,7</v>
      </c>
      <c r="AU1372" s="64" t="str">
        <f t="shared" si="108"/>
        <v>05-2017</v>
      </c>
      <c r="BA1372" s="428" t="str">
        <f t="shared" si="109"/>
        <v>31-120 Days</v>
      </c>
    </row>
    <row r="1373" spans="2:53">
      <c r="B1373" s="36" t="str">
        <f>'[6]price list MAN'!B1373</f>
        <v>79W-2420</v>
      </c>
      <c r="C1373" s="10" t="str">
        <f>'[6]price list MAN'!C1373</f>
        <v>TGS-41-4408X4BB-M-DWA</v>
      </c>
      <c r="D1373" s="16" t="str">
        <f>IFERROR(VLOOKUP(C1373&amp;"",'[7]Retail Price List'!$A$3:$B$103,2,FALSE),"Special Order")</f>
        <v>KP000732</v>
      </c>
      <c r="E1373" s="494" t="str">
        <f>'[6]price list MAN'!E1373</f>
        <v>SOLD</v>
      </c>
      <c r="F1373" s="11">
        <f>'[6]price list MAN'!F1373</f>
        <v>95</v>
      </c>
      <c r="G1373" s="32">
        <f>'[6]price list MAN'!G1373</f>
        <v>14.7</v>
      </c>
      <c r="H1373" s="26">
        <f>'[6]price list MAN'!H1373</f>
        <v>42859</v>
      </c>
      <c r="I1373" s="51" t="str">
        <f t="shared" si="105"/>
        <v>2017Q2</v>
      </c>
      <c r="J1373" s="177">
        <f>'[6]price list MAN'!J1373</f>
        <v>1930000</v>
      </c>
      <c r="K1373" s="177">
        <f>'[6]price list MAN'!P1373</f>
        <v>1496250</v>
      </c>
      <c r="L1373" s="177">
        <f>'[6]price list MAN'!R1373</f>
        <v>1425000</v>
      </c>
      <c r="M1373" s="174">
        <f>'[6]price list MAN'!S1373</f>
        <v>1985000</v>
      </c>
      <c r="N1373" s="174">
        <f>'[6]price list MAN'!Y1373</f>
        <v>1554000</v>
      </c>
      <c r="O1373" s="174">
        <f>'[6]price list MAN'!AA1373</f>
        <v>1480000</v>
      </c>
      <c r="P1373" s="68">
        <f t="shared" si="106"/>
        <v>0.25440806045340053</v>
      </c>
      <c r="Q1373" s="62" t="e">
        <f>O1373-#REF!</f>
        <v>#REF!</v>
      </c>
      <c r="AT1373" s="425" t="str">
        <f t="shared" si="107"/>
        <v>KP0007322017Q214,7</v>
      </c>
      <c r="AU1373" s="64" t="str">
        <f t="shared" si="108"/>
        <v>05-2017</v>
      </c>
      <c r="BA1373" s="428" t="str">
        <f t="shared" si="109"/>
        <v>31-120 Days</v>
      </c>
    </row>
    <row r="1374" spans="2:53">
      <c r="B1374" s="36" t="str">
        <f>'[6]price list MAN'!B1374</f>
        <v>79W-2421</v>
      </c>
      <c r="C1374" s="10" t="str">
        <f>'[6]price list MAN'!C1374</f>
        <v>TGS-41-4408X4BB-M-DWA</v>
      </c>
      <c r="D1374" s="16" t="str">
        <f>IFERROR(VLOOKUP(C1374&amp;"",'[7]Retail Price List'!$A$3:$B$103,2,FALSE),"Special Order")</f>
        <v>KP000732</v>
      </c>
      <c r="E1374" s="494" t="str">
        <f>'[6]price list MAN'!E1374</f>
        <v>SOLD</v>
      </c>
      <c r="F1374" s="11">
        <f>'[6]price list MAN'!F1374</f>
        <v>103</v>
      </c>
      <c r="G1374" s="32">
        <f>'[6]price list MAN'!G1374</f>
        <v>14.7</v>
      </c>
      <c r="H1374" s="26">
        <f>'[6]price list MAN'!H1374</f>
        <v>42859</v>
      </c>
      <c r="I1374" s="51" t="str">
        <f t="shared" si="105"/>
        <v>2017Q2</v>
      </c>
      <c r="J1374" s="177">
        <f>'[6]price list MAN'!J1374</f>
        <v>1930000</v>
      </c>
      <c r="K1374" s="177">
        <f>'[6]price list MAN'!P1374</f>
        <v>1496250</v>
      </c>
      <c r="L1374" s="177">
        <f>'[6]price list MAN'!R1374</f>
        <v>1425000</v>
      </c>
      <c r="M1374" s="174">
        <f>'[6]price list MAN'!S1374</f>
        <v>1985000</v>
      </c>
      <c r="N1374" s="174">
        <f>'[6]price list MAN'!Y1374</f>
        <v>1554000</v>
      </c>
      <c r="O1374" s="174">
        <f>'[6]price list MAN'!AA1374</f>
        <v>1480000</v>
      </c>
      <c r="P1374" s="68">
        <f t="shared" si="106"/>
        <v>0.25440806045340053</v>
      </c>
      <c r="Q1374" s="62" t="e">
        <f>O1374-#REF!</f>
        <v>#REF!</v>
      </c>
      <c r="AT1374" s="425" t="str">
        <f t="shared" si="107"/>
        <v>KP0007322017Q214,7</v>
      </c>
      <c r="AU1374" s="64" t="str">
        <f t="shared" si="108"/>
        <v>05-2017</v>
      </c>
      <c r="BA1374" s="428" t="str">
        <f t="shared" si="109"/>
        <v>31-120 Days</v>
      </c>
    </row>
    <row r="1375" spans="2:53">
      <c r="B1375" s="36" t="str">
        <f>'[6]price list MAN'!B1375</f>
        <v>79W-2422</v>
      </c>
      <c r="C1375" s="10" t="str">
        <f>'[6]price list MAN'!C1375</f>
        <v>TGS-41-4408X4BB-M-DWA</v>
      </c>
      <c r="D1375" s="16" t="str">
        <f>IFERROR(VLOOKUP(C1375&amp;"",'[7]Retail Price List'!$A$3:$B$103,2,FALSE),"Special Order")</f>
        <v>KP000732</v>
      </c>
      <c r="E1375" s="494" t="str">
        <f>'[6]price list MAN'!E1375</f>
        <v>SOLD</v>
      </c>
      <c r="F1375" s="11">
        <f>'[6]price list MAN'!F1375</f>
        <v>99</v>
      </c>
      <c r="G1375" s="32">
        <f>'[6]price list MAN'!G1375</f>
        <v>14.7</v>
      </c>
      <c r="H1375" s="26">
        <f>'[6]price list MAN'!H1375</f>
        <v>42859</v>
      </c>
      <c r="I1375" s="51" t="str">
        <f t="shared" si="105"/>
        <v>2017Q2</v>
      </c>
      <c r="J1375" s="177">
        <f>'[6]price list MAN'!J1375</f>
        <v>1930000</v>
      </c>
      <c r="K1375" s="177">
        <f>'[6]price list MAN'!P1375</f>
        <v>1496250</v>
      </c>
      <c r="L1375" s="177">
        <f>'[6]price list MAN'!R1375</f>
        <v>1425000</v>
      </c>
      <c r="M1375" s="174">
        <f>'[6]price list MAN'!S1375</f>
        <v>1985000</v>
      </c>
      <c r="N1375" s="174">
        <f>'[6]price list MAN'!Y1375</f>
        <v>1554000</v>
      </c>
      <c r="O1375" s="174">
        <f>'[6]price list MAN'!AA1375</f>
        <v>1480000</v>
      </c>
      <c r="P1375" s="68">
        <f t="shared" si="106"/>
        <v>0.25440806045340053</v>
      </c>
      <c r="Q1375" s="62" t="e">
        <f>O1375-#REF!</f>
        <v>#REF!</v>
      </c>
      <c r="AT1375" s="425" t="str">
        <f t="shared" si="107"/>
        <v>KP0007322017Q214,7</v>
      </c>
      <c r="AU1375" s="64" t="str">
        <f t="shared" si="108"/>
        <v>05-2017</v>
      </c>
      <c r="BA1375" s="428" t="str">
        <f t="shared" si="109"/>
        <v>31-120 Days</v>
      </c>
    </row>
    <row r="1376" spans="2:53">
      <c r="B1376" s="36" t="str">
        <f>'[6]price list MAN'!B1376</f>
        <v>79W-2425</v>
      </c>
      <c r="C1376" s="10" t="str">
        <f>'[6]price list MAN'!C1376</f>
        <v>TGS-41-4408X4BB-M-DWA</v>
      </c>
      <c r="D1376" s="16" t="str">
        <f>IFERROR(VLOOKUP(C1376&amp;"",'[7]Retail Price List'!$A$3:$B$103,2,FALSE),"Special Order")</f>
        <v>KP000732</v>
      </c>
      <c r="E1376" s="494" t="str">
        <f>'[6]price list MAN'!E1376</f>
        <v>SOLD</v>
      </c>
      <c r="F1376" s="11">
        <f>'[6]price list MAN'!F1376</f>
        <v>77</v>
      </c>
      <c r="G1376" s="32">
        <f>'[6]price list MAN'!G1376</f>
        <v>14.7</v>
      </c>
      <c r="H1376" s="26">
        <f>'[6]price list MAN'!H1376</f>
        <v>42859</v>
      </c>
      <c r="I1376" s="51" t="str">
        <f t="shared" si="105"/>
        <v>2017Q2</v>
      </c>
      <c r="J1376" s="177">
        <f>'[6]price list MAN'!J1376</f>
        <v>1930000</v>
      </c>
      <c r="K1376" s="177">
        <f>'[6]price list MAN'!P1376</f>
        <v>1496250</v>
      </c>
      <c r="L1376" s="177">
        <f>'[6]price list MAN'!R1376</f>
        <v>1425000</v>
      </c>
      <c r="M1376" s="174">
        <f>'[6]price list MAN'!S1376</f>
        <v>1985000</v>
      </c>
      <c r="N1376" s="174">
        <f>'[6]price list MAN'!Y1376</f>
        <v>1554000</v>
      </c>
      <c r="O1376" s="174">
        <f>'[6]price list MAN'!AA1376</f>
        <v>1480000</v>
      </c>
      <c r="P1376" s="68">
        <f t="shared" si="106"/>
        <v>0.25440806045340053</v>
      </c>
      <c r="Q1376" s="62" t="e">
        <f>O1376-#REF!</f>
        <v>#REF!</v>
      </c>
      <c r="AT1376" s="425" t="str">
        <f t="shared" si="107"/>
        <v>KP0007322017Q214,7</v>
      </c>
      <c r="AU1376" s="64" t="str">
        <f t="shared" si="108"/>
        <v>05-2017</v>
      </c>
      <c r="BA1376" s="428" t="str">
        <f t="shared" si="109"/>
        <v>31-120 Days</v>
      </c>
    </row>
    <row r="1377" spans="2:53">
      <c r="B1377" s="36" t="str">
        <f>'[6]price list MAN'!B1377</f>
        <v>TBAKP732</v>
      </c>
      <c r="C1377" s="10" t="str">
        <f>'[6]price list MAN'!C1377</f>
        <v>TGS-41-4408X4BB-M-DWA</v>
      </c>
      <c r="D1377" s="16" t="str">
        <f>IFERROR(VLOOKUP(C1377&amp;"",'[7]Retail Price List'!$A$3:$B$103,2,FALSE),"Special Order")</f>
        <v>KP000732</v>
      </c>
      <c r="E1377" s="494" t="str">
        <f>'[6]price list MAN'!E1377</f>
        <v>CKD</v>
      </c>
      <c r="F1377" s="11" t="str">
        <f>'[6]price list MAN'!F1377</f>
        <v>2018-08-19</v>
      </c>
      <c r="G1377" s="32">
        <f>'[6]price list MAN'!G1377</f>
        <v>15.8</v>
      </c>
      <c r="H1377" s="26">
        <f>'[6]price list MAN'!H1377</f>
        <v>43159</v>
      </c>
      <c r="I1377" s="51" t="str">
        <f t="shared" si="105"/>
        <v>2018Q1</v>
      </c>
      <c r="J1377" s="177">
        <f>'[6]price list MAN'!J1377</f>
        <v>1930000</v>
      </c>
      <c r="K1377" s="177">
        <f>'[6]price list MAN'!P1377</f>
        <v>1496250</v>
      </c>
      <c r="L1377" s="177">
        <f>'[6]price list MAN'!R1377</f>
        <v>1425000</v>
      </c>
      <c r="M1377" s="174">
        <f>'[6]price list MAN'!S1377</f>
        <v>1985000</v>
      </c>
      <c r="N1377" s="174">
        <f>'[6]price list MAN'!Y1377</f>
        <v>1554000</v>
      </c>
      <c r="O1377" s="174">
        <f>'[6]price list MAN'!AA1377</f>
        <v>1480000</v>
      </c>
      <c r="P1377" s="68">
        <f t="shared" si="106"/>
        <v>0.25440806045340053</v>
      </c>
      <c r="Q1377" s="62" t="e">
        <f>O1377-#REF!</f>
        <v>#REF!</v>
      </c>
      <c r="AT1377" s="425" t="str">
        <f t="shared" si="107"/>
        <v>KP0007322018Q115,8</v>
      </c>
      <c r="AU1377" s="64" t="str">
        <f t="shared" si="108"/>
        <v>02-2018</v>
      </c>
      <c r="BA1377" s="428" t="str">
        <f t="shared" si="109"/>
        <v>WIP - 30 Days</v>
      </c>
    </row>
    <row r="1378" spans="2:53">
      <c r="B1378" s="36" t="str">
        <f>'[6]price list MAN'!B1378</f>
        <v>79W-2482</v>
      </c>
      <c r="C1378" s="10" t="str">
        <f>'[6]price list MAN'!C1378</f>
        <v>TGS-41-4808X4BB-M-DWA</v>
      </c>
      <c r="D1378" s="16" t="str">
        <f>IFERROR(VLOOKUP(C1378&amp;"",'[7]Retail Price List'!$A$3:$B$103,2,FALSE),"Special Order")</f>
        <v>KP000757</v>
      </c>
      <c r="E1378" s="494" t="str">
        <f>'[6]price list MAN'!E1378</f>
        <v>UNSOLD</v>
      </c>
      <c r="F1378" s="11">
        <f>'[6]price list MAN'!F1378</f>
        <v>8</v>
      </c>
      <c r="G1378" s="32">
        <f>'[6]price list MAN'!G1378</f>
        <v>14.7</v>
      </c>
      <c r="H1378" s="26">
        <f>'[6]price list MAN'!H1378</f>
        <v>42937</v>
      </c>
      <c r="I1378" s="51" t="str">
        <f t="shared" si="105"/>
        <v>201707Q3</v>
      </c>
      <c r="J1378" s="177">
        <f>'[6]price list MAN'!J1378</f>
        <v>1995000</v>
      </c>
      <c r="K1378" s="177">
        <f>'[6]price list MAN'!P1378</f>
        <v>1496250</v>
      </c>
      <c r="L1378" s="177">
        <f>'[6]price list MAN'!R1378</f>
        <v>1425000</v>
      </c>
      <c r="M1378" s="174">
        <f>'[6]price list MAN'!S1378</f>
        <v>2050000</v>
      </c>
      <c r="N1378" s="174">
        <f>'[6]price list MAN'!Y1378</f>
        <v>1554000</v>
      </c>
      <c r="O1378" s="174">
        <f>'[6]price list MAN'!AA1378</f>
        <v>1480000</v>
      </c>
      <c r="P1378" s="68">
        <f t="shared" si="106"/>
        <v>0.2780487804878049</v>
      </c>
      <c r="Q1378" s="62" t="e">
        <f>O1378-#REF!</f>
        <v>#REF!</v>
      </c>
      <c r="AT1378" s="425" t="str">
        <f t="shared" si="107"/>
        <v>KP000757201707Q314,7</v>
      </c>
      <c r="AU1378" s="64" t="str">
        <f t="shared" si="108"/>
        <v>07-2017</v>
      </c>
      <c r="BA1378" s="428" t="str">
        <f t="shared" si="109"/>
        <v>WIP - 30 Days</v>
      </c>
    </row>
    <row r="1379" spans="2:53">
      <c r="B1379" s="36" t="str">
        <f>'[6]price list MAN'!B1379</f>
        <v>79W-2483</v>
      </c>
      <c r="C1379" s="10" t="str">
        <f>'[6]price list MAN'!C1379</f>
        <v>TGS-41-4808X4BB-M-DWA</v>
      </c>
      <c r="D1379" s="16" t="str">
        <f>IFERROR(VLOOKUP(C1379&amp;"",'[7]Retail Price List'!$A$3:$B$103,2,FALSE),"Special Order")</f>
        <v>KP000757</v>
      </c>
      <c r="E1379" s="494" t="str">
        <f>'[6]price list MAN'!E1379</f>
        <v>UNSOLD</v>
      </c>
      <c r="F1379" s="11">
        <f>'[6]price list MAN'!F1379</f>
        <v>5</v>
      </c>
      <c r="G1379" s="32">
        <f>'[6]price list MAN'!G1379</f>
        <v>14.7</v>
      </c>
      <c r="H1379" s="26">
        <f>'[6]price list MAN'!H1379</f>
        <v>42937</v>
      </c>
      <c r="I1379" s="51" t="str">
        <f t="shared" si="105"/>
        <v>201707Q3</v>
      </c>
      <c r="J1379" s="177">
        <f>'[6]price list MAN'!J1379</f>
        <v>1995000</v>
      </c>
      <c r="K1379" s="177">
        <f>'[6]price list MAN'!P1379</f>
        <v>1496250</v>
      </c>
      <c r="L1379" s="177">
        <f>'[6]price list MAN'!R1379</f>
        <v>1425000</v>
      </c>
      <c r="M1379" s="174">
        <f>'[6]price list MAN'!S1379</f>
        <v>2050000</v>
      </c>
      <c r="N1379" s="174">
        <f>'[6]price list MAN'!Y1379</f>
        <v>1554000</v>
      </c>
      <c r="O1379" s="174">
        <f>'[6]price list MAN'!AA1379</f>
        <v>1480000</v>
      </c>
      <c r="P1379" s="68">
        <f t="shared" si="106"/>
        <v>0.2780487804878049</v>
      </c>
      <c r="Q1379" s="62" t="e">
        <f>O1379-#REF!</f>
        <v>#REF!</v>
      </c>
      <c r="AT1379" s="425" t="str">
        <f t="shared" si="107"/>
        <v>KP000757201707Q314,7</v>
      </c>
      <c r="AU1379" s="64" t="str">
        <f t="shared" si="108"/>
        <v>07-2017</v>
      </c>
      <c r="BA1379" s="428" t="str">
        <f t="shared" si="109"/>
        <v>WIP - 30 Days</v>
      </c>
    </row>
    <row r="1380" spans="2:53">
      <c r="B1380" s="36" t="str">
        <f>'[6]price list MAN'!B1380</f>
        <v>79W-2484</v>
      </c>
      <c r="C1380" s="10" t="str">
        <f>'[6]price list MAN'!C1380</f>
        <v>TGS-41-4808X4BB-M-DWA</v>
      </c>
      <c r="D1380" s="16" t="str">
        <f>IFERROR(VLOOKUP(C1380&amp;"",'[7]Retail Price List'!$A$3:$B$103,2,FALSE),"Special Order")</f>
        <v>KP000757</v>
      </c>
      <c r="E1380" s="494" t="str">
        <f>'[6]price list MAN'!E1380</f>
        <v>CKD</v>
      </c>
      <c r="F1380" s="11" t="str">
        <f>'[6]price list MAN'!F1380</f>
        <v>2018-06-30</v>
      </c>
      <c r="G1380" s="32">
        <f>'[6]price list MAN'!G1380</f>
        <v>14.7</v>
      </c>
      <c r="H1380" s="26">
        <f>'[6]price list MAN'!H1380</f>
        <v>42937</v>
      </c>
      <c r="I1380" s="51" t="str">
        <f t="shared" si="105"/>
        <v>201707Q3</v>
      </c>
      <c r="J1380" s="177">
        <f>'[6]price list MAN'!J1380</f>
        <v>1995000</v>
      </c>
      <c r="K1380" s="177">
        <f>'[6]price list MAN'!P1380</f>
        <v>1496250</v>
      </c>
      <c r="L1380" s="177">
        <f>'[6]price list MAN'!R1380</f>
        <v>1425000</v>
      </c>
      <c r="M1380" s="174">
        <f>'[6]price list MAN'!S1380</f>
        <v>2050000</v>
      </c>
      <c r="N1380" s="174">
        <f>'[6]price list MAN'!Y1380</f>
        <v>1554000</v>
      </c>
      <c r="O1380" s="174">
        <f>'[6]price list MAN'!AA1380</f>
        <v>1480000</v>
      </c>
      <c r="P1380" s="68">
        <f t="shared" si="106"/>
        <v>0.2780487804878049</v>
      </c>
      <c r="Q1380" s="62" t="e">
        <f>O1380-#REF!</f>
        <v>#REF!</v>
      </c>
      <c r="AT1380" s="425" t="str">
        <f t="shared" si="107"/>
        <v>KP000757201707Q314,7</v>
      </c>
      <c r="AU1380" s="64" t="str">
        <f t="shared" si="108"/>
        <v>07-2017</v>
      </c>
      <c r="BA1380" s="428" t="str">
        <f t="shared" si="109"/>
        <v>WIP - 30 Days</v>
      </c>
    </row>
    <row r="1381" spans="2:53">
      <c r="B1381" s="36" t="str">
        <f>'[6]price list MAN'!B1381</f>
        <v>79W-2485</v>
      </c>
      <c r="C1381" s="10" t="str">
        <f>'[6]price list MAN'!C1381</f>
        <v>TGS-41-4808X4BB-M-DWA</v>
      </c>
      <c r="D1381" s="16" t="str">
        <f>IFERROR(VLOOKUP(C1381&amp;"",'[7]Retail Price List'!$A$3:$B$103,2,FALSE),"Special Order")</f>
        <v>KP000757</v>
      </c>
      <c r="E1381" s="494" t="str">
        <f>'[6]price list MAN'!E1381</f>
        <v>CKD</v>
      </c>
      <c r="F1381" s="11" t="str">
        <f>'[6]price list MAN'!F1381</f>
        <v>2018-07-30</v>
      </c>
      <c r="G1381" s="32">
        <f>'[6]price list MAN'!G1381</f>
        <v>14.7</v>
      </c>
      <c r="H1381" s="26">
        <f>'[6]price list MAN'!H1381</f>
        <v>42937</v>
      </c>
      <c r="I1381" s="51" t="str">
        <f t="shared" si="105"/>
        <v>201707Q3</v>
      </c>
      <c r="J1381" s="177">
        <f>'[6]price list MAN'!J1381</f>
        <v>1995000</v>
      </c>
      <c r="K1381" s="177">
        <f>'[6]price list MAN'!P1381</f>
        <v>1496250</v>
      </c>
      <c r="L1381" s="177">
        <f>'[6]price list MAN'!R1381</f>
        <v>1425000</v>
      </c>
      <c r="M1381" s="174">
        <f>'[6]price list MAN'!S1381</f>
        <v>2050000</v>
      </c>
      <c r="N1381" s="174">
        <f>'[6]price list MAN'!Y1381</f>
        <v>1554000</v>
      </c>
      <c r="O1381" s="174">
        <f>'[6]price list MAN'!AA1381</f>
        <v>1480000</v>
      </c>
      <c r="P1381" s="68">
        <f t="shared" si="106"/>
        <v>0.2780487804878049</v>
      </c>
      <c r="Q1381" s="62" t="e">
        <f>O1381-#REF!</f>
        <v>#REF!</v>
      </c>
      <c r="AT1381" s="425" t="str">
        <f t="shared" si="107"/>
        <v>KP000757201707Q314,7</v>
      </c>
      <c r="AU1381" s="64" t="str">
        <f t="shared" si="108"/>
        <v>07-2017</v>
      </c>
      <c r="BA1381" s="428" t="str">
        <f t="shared" si="109"/>
        <v>WIP - 30 Days</v>
      </c>
    </row>
    <row r="1382" spans="2:53">
      <c r="B1382" s="36" t="str">
        <f>'[6]price list MAN'!B1382</f>
        <v>TBAKP757</v>
      </c>
      <c r="C1382" s="10" t="str">
        <f>'[6]price list MAN'!C1382</f>
        <v>TGS-41-4808X4BB-M-DWA</v>
      </c>
      <c r="D1382" s="16" t="str">
        <f>IFERROR(VLOOKUP(C1382&amp;"",'[7]Retail Price List'!$A$3:$B$103,2,FALSE),"Special Order")</f>
        <v>KP000757</v>
      </c>
      <c r="E1382" s="494" t="str">
        <f>'[6]price list MAN'!E1382</f>
        <v>CKD</v>
      </c>
      <c r="F1382" s="11" t="str">
        <f>'[6]price list MAN'!F1382</f>
        <v>2018-08-19</v>
      </c>
      <c r="G1382" s="32">
        <f>'[6]price list MAN'!G1382</f>
        <v>15.8</v>
      </c>
      <c r="H1382" s="26">
        <f>'[6]price list MAN'!H1382</f>
        <v>43159</v>
      </c>
      <c r="I1382" s="51" t="str">
        <f t="shared" si="105"/>
        <v>2018Q1</v>
      </c>
      <c r="J1382" s="177">
        <f>'[6]price list MAN'!J1382</f>
        <v>1995000</v>
      </c>
      <c r="K1382" s="177">
        <f>'[6]price list MAN'!P1382</f>
        <v>1522500</v>
      </c>
      <c r="L1382" s="177">
        <f>'[6]price list MAN'!R1382</f>
        <v>1450000</v>
      </c>
      <c r="M1382" s="174">
        <f>'[6]price list MAN'!S1382</f>
        <v>2050000</v>
      </c>
      <c r="N1382" s="174">
        <f>'[6]price list MAN'!Y1382</f>
        <v>1580250</v>
      </c>
      <c r="O1382" s="174">
        <f>'[6]price list MAN'!AA1382</f>
        <v>1505000</v>
      </c>
      <c r="P1382" s="68">
        <f t="shared" si="106"/>
        <v>0.26585365853658538</v>
      </c>
      <c r="Q1382" s="62" t="e">
        <f>O1382-#REF!</f>
        <v>#REF!</v>
      </c>
      <c r="AT1382" s="425" t="str">
        <f t="shared" si="107"/>
        <v>KP0007572018Q115,8</v>
      </c>
      <c r="AU1382" s="64" t="str">
        <f t="shared" si="108"/>
        <v>02-2018</v>
      </c>
      <c r="BA1382" s="428" t="str">
        <f t="shared" si="109"/>
        <v>WIP - 30 Days</v>
      </c>
    </row>
    <row r="1383" spans="2:53">
      <c r="B1383" s="36">
        <f>'[6]price list MAN'!B1383</f>
        <v>48649</v>
      </c>
      <c r="C1383" s="10" t="str">
        <f>'[6]price list MAN'!C1383</f>
        <v>TGX-26-5406X4BLS-XLX</v>
      </c>
      <c r="D1383" s="16" t="str">
        <f>IFERROR(VLOOKUP(C1383&amp;"",'[7]Retail Price List'!$A$3:$B$103,2,FALSE),"Special Order")</f>
        <v>TGX000X1</v>
      </c>
      <c r="E1383" s="494" t="str">
        <f>'[6]price list MAN'!E1383</f>
        <v>CKD</v>
      </c>
      <c r="F1383" s="11" t="str">
        <f>'[6]price list MAN'!F1383</f>
        <v>2018-07-13</v>
      </c>
      <c r="G1383" s="32">
        <f>'[6]price list MAN'!G1383</f>
        <v>15.9</v>
      </c>
      <c r="H1383" s="26">
        <f>'[6]price list MAN'!H1383</f>
        <v>43039</v>
      </c>
      <c r="I1383" s="51" t="str">
        <f t="shared" si="105"/>
        <v>2017Q4</v>
      </c>
      <c r="J1383" s="177">
        <f>'[6]price list MAN'!J1383</f>
        <v>2250000</v>
      </c>
      <c r="K1383" s="177">
        <f>'[6]price list MAN'!P1383</f>
        <v>1669500</v>
      </c>
      <c r="L1383" s="177">
        <f>'[6]price list MAN'!R1383</f>
        <v>1590000</v>
      </c>
      <c r="M1383" s="174">
        <f>'[6]price list MAN'!S1383</f>
        <v>2330000</v>
      </c>
      <c r="N1383" s="174">
        <f>'[6]price list MAN'!Y1383</f>
        <v>1753500</v>
      </c>
      <c r="O1383" s="174">
        <f>'[6]price list MAN'!AA1383</f>
        <v>1670000</v>
      </c>
      <c r="P1383" s="68">
        <f t="shared" si="106"/>
        <v>0.2832618025751073</v>
      </c>
      <c r="Q1383" s="62" t="e">
        <f>O1383-#REF!</f>
        <v>#REF!</v>
      </c>
      <c r="AT1383" s="425" t="str">
        <f t="shared" si="107"/>
        <v>TGX000X12017Q415,9</v>
      </c>
      <c r="AU1383" s="64" t="str">
        <f t="shared" si="108"/>
        <v>10-2017</v>
      </c>
      <c r="BA1383" s="428" t="str">
        <f t="shared" si="109"/>
        <v>WIP - 30 Days</v>
      </c>
    </row>
    <row r="1384" spans="2:53">
      <c r="B1384" s="36">
        <f>'[6]price list MAN'!B1384</f>
        <v>48650</v>
      </c>
      <c r="C1384" s="10" t="str">
        <f>'[6]price list MAN'!C1384</f>
        <v>TGX-26-5406X4BLS-XLX</v>
      </c>
      <c r="D1384" s="16" t="str">
        <f>IFERROR(VLOOKUP(C1384&amp;"",'[7]Retail Price List'!$A$3:$B$103,2,FALSE),"Special Order")</f>
        <v>TGX000X1</v>
      </c>
      <c r="E1384" s="494" t="str">
        <f>'[6]price list MAN'!E1384</f>
        <v>CKD</v>
      </c>
      <c r="F1384" s="11" t="str">
        <f>'[6]price list MAN'!F1384</f>
        <v>2018-07-18</v>
      </c>
      <c r="G1384" s="32">
        <f>'[6]price list MAN'!G1384</f>
        <v>15.9</v>
      </c>
      <c r="H1384" s="26">
        <f>'[6]price list MAN'!H1384</f>
        <v>43039</v>
      </c>
      <c r="I1384" s="51" t="str">
        <f t="shared" si="105"/>
        <v>2017Q4</v>
      </c>
      <c r="J1384" s="177">
        <f>'[6]price list MAN'!J1384</f>
        <v>2250000</v>
      </c>
      <c r="K1384" s="177">
        <f>'[6]price list MAN'!P1384</f>
        <v>1669500</v>
      </c>
      <c r="L1384" s="177">
        <f>'[6]price list MAN'!R1384</f>
        <v>1590000</v>
      </c>
      <c r="M1384" s="174">
        <f>'[6]price list MAN'!S1384</f>
        <v>2330000</v>
      </c>
      <c r="N1384" s="174">
        <f>'[6]price list MAN'!Y1384</f>
        <v>1753500</v>
      </c>
      <c r="O1384" s="174">
        <f>'[6]price list MAN'!AA1384</f>
        <v>1670000</v>
      </c>
      <c r="P1384" s="68">
        <f t="shared" si="106"/>
        <v>0.2832618025751073</v>
      </c>
      <c r="Q1384" s="62" t="e">
        <f>O1384-#REF!</f>
        <v>#REF!</v>
      </c>
      <c r="AT1384" s="425" t="str">
        <f t="shared" si="107"/>
        <v>TGX000X12017Q415,9</v>
      </c>
      <c r="AU1384" s="64" t="str">
        <f t="shared" si="108"/>
        <v>10-2017</v>
      </c>
      <c r="BA1384" s="428" t="str">
        <f t="shared" si="109"/>
        <v>WIP - 30 Days</v>
      </c>
    </row>
    <row r="1385" spans="2:53">
      <c r="B1385" s="36">
        <f>'[6]price list MAN'!B1385</f>
        <v>48651</v>
      </c>
      <c r="C1385" s="10" t="str">
        <f>'[6]price list MAN'!C1385</f>
        <v>TGX-26-5406X4BLS-XLX</v>
      </c>
      <c r="D1385" s="16" t="str">
        <f>IFERROR(VLOOKUP(C1385&amp;"",'[7]Retail Price List'!$A$3:$B$103,2,FALSE),"Special Order")</f>
        <v>TGX000X1</v>
      </c>
      <c r="E1385" s="494" t="str">
        <f>'[6]price list MAN'!E1385</f>
        <v>CKD</v>
      </c>
      <c r="F1385" s="11" t="str">
        <f>'[6]price list MAN'!F1385</f>
        <v>2018-07-25</v>
      </c>
      <c r="G1385" s="32">
        <f>'[6]price list MAN'!G1385</f>
        <v>15.9</v>
      </c>
      <c r="H1385" s="26">
        <f>'[6]price list MAN'!H1385</f>
        <v>43039</v>
      </c>
      <c r="I1385" s="51" t="str">
        <f t="shared" si="105"/>
        <v>2017Q4</v>
      </c>
      <c r="J1385" s="177">
        <f>'[6]price list MAN'!J1385</f>
        <v>2250000</v>
      </c>
      <c r="K1385" s="177">
        <f>'[6]price list MAN'!P1385</f>
        <v>1669500</v>
      </c>
      <c r="L1385" s="177">
        <f>'[6]price list MAN'!R1385</f>
        <v>1590000</v>
      </c>
      <c r="M1385" s="174">
        <f>'[6]price list MAN'!S1385</f>
        <v>2330000</v>
      </c>
      <c r="N1385" s="174">
        <f>'[6]price list MAN'!Y1385</f>
        <v>1753500</v>
      </c>
      <c r="O1385" s="174">
        <f>'[6]price list MAN'!AA1385</f>
        <v>1670000</v>
      </c>
      <c r="P1385" s="68">
        <f t="shared" si="106"/>
        <v>0.2832618025751073</v>
      </c>
      <c r="Q1385" s="62" t="e">
        <f>O1385-#REF!</f>
        <v>#REF!</v>
      </c>
      <c r="AT1385" s="425" t="str">
        <f t="shared" si="107"/>
        <v>TGX000X12017Q415,9</v>
      </c>
      <c r="AU1385" s="64" t="str">
        <f t="shared" si="108"/>
        <v>10-2017</v>
      </c>
      <c r="BA1385" s="428" t="str">
        <f t="shared" si="109"/>
        <v>WIP - 30 Days</v>
      </c>
    </row>
    <row r="1386" spans="2:53">
      <c r="B1386" s="36">
        <f>'[6]price list MAN'!B1386</f>
        <v>48652</v>
      </c>
      <c r="C1386" s="10" t="str">
        <f>'[6]price list MAN'!C1386</f>
        <v>TGX-26-5406X4BLS-XLX</v>
      </c>
      <c r="D1386" s="16" t="str">
        <f>IFERROR(VLOOKUP(C1386&amp;"",'[7]Retail Price List'!$A$3:$B$103,2,FALSE),"Special Order")</f>
        <v>TGX000X1</v>
      </c>
      <c r="E1386" s="494" t="str">
        <f>'[6]price list MAN'!E1386</f>
        <v>CKD</v>
      </c>
      <c r="F1386" s="11" t="str">
        <f>'[6]price list MAN'!F1386</f>
        <v>2018-07-25</v>
      </c>
      <c r="G1386" s="32">
        <f>'[6]price list MAN'!G1386</f>
        <v>15.9</v>
      </c>
      <c r="H1386" s="26">
        <f>'[6]price list MAN'!H1386</f>
        <v>43039</v>
      </c>
      <c r="I1386" s="51" t="str">
        <f t="shared" si="105"/>
        <v>2017Q4</v>
      </c>
      <c r="J1386" s="177">
        <f>'[6]price list MAN'!J1386</f>
        <v>2250000</v>
      </c>
      <c r="K1386" s="177">
        <f>'[6]price list MAN'!P1386</f>
        <v>1669500</v>
      </c>
      <c r="L1386" s="177">
        <f>'[6]price list MAN'!R1386</f>
        <v>1590000</v>
      </c>
      <c r="M1386" s="174">
        <f>'[6]price list MAN'!S1386</f>
        <v>2327910</v>
      </c>
      <c r="N1386" s="174">
        <f>'[6]price list MAN'!Y1386</f>
        <v>1753500</v>
      </c>
      <c r="O1386" s="174">
        <f>'[6]price list MAN'!AA1386</f>
        <v>1670000</v>
      </c>
      <c r="P1386" s="68">
        <f t="shared" si="106"/>
        <v>0.28261831428190953</v>
      </c>
      <c r="Q1386" s="62" t="e">
        <f>O1386-#REF!</f>
        <v>#REF!</v>
      </c>
      <c r="AT1386" s="425" t="str">
        <f t="shared" si="107"/>
        <v>TGX000X12017Q415,9</v>
      </c>
      <c r="AU1386" s="64" t="str">
        <f t="shared" si="108"/>
        <v>10-2017</v>
      </c>
      <c r="BA1386" s="428" t="str">
        <f t="shared" si="109"/>
        <v>WIP - 30 Days</v>
      </c>
    </row>
    <row r="1387" spans="2:53">
      <c r="B1387" s="36">
        <f>'[6]price list MAN'!B1387</f>
        <v>48653</v>
      </c>
      <c r="C1387" s="10" t="str">
        <f>'[6]price list MAN'!C1387</f>
        <v>TGX-26-5406X4BLS-XLX</v>
      </c>
      <c r="D1387" s="16" t="str">
        <f>IFERROR(VLOOKUP(C1387&amp;"",'[7]Retail Price List'!$A$3:$B$103,2,FALSE),"Special Order")</f>
        <v>TGX000X1</v>
      </c>
      <c r="E1387" s="494" t="str">
        <f>'[6]price list MAN'!E1387</f>
        <v>CKD</v>
      </c>
      <c r="F1387" s="11" t="str">
        <f>'[6]price list MAN'!F1387</f>
        <v>2018-07-25</v>
      </c>
      <c r="G1387" s="32">
        <f>'[6]price list MAN'!G1387</f>
        <v>15.9</v>
      </c>
      <c r="H1387" s="26">
        <f>'[6]price list MAN'!H1387</f>
        <v>43039</v>
      </c>
      <c r="I1387" s="51" t="str">
        <f t="shared" si="105"/>
        <v>2017Q4</v>
      </c>
      <c r="J1387" s="177">
        <f>'[6]price list MAN'!J1387</f>
        <v>2250000</v>
      </c>
      <c r="K1387" s="177">
        <f>'[6]price list MAN'!P1387</f>
        <v>1669500</v>
      </c>
      <c r="L1387" s="177">
        <f>'[6]price list MAN'!R1387</f>
        <v>1590000</v>
      </c>
      <c r="M1387" s="174">
        <f>'[6]price list MAN'!S1387</f>
        <v>2327910</v>
      </c>
      <c r="N1387" s="174">
        <f>'[6]price list MAN'!Y1387</f>
        <v>1753500</v>
      </c>
      <c r="O1387" s="174">
        <f>'[6]price list MAN'!AA1387</f>
        <v>1670000</v>
      </c>
      <c r="P1387" s="68">
        <f t="shared" si="106"/>
        <v>0.28261831428190953</v>
      </c>
      <c r="Q1387" s="62" t="e">
        <f>O1387-#REF!</f>
        <v>#REF!</v>
      </c>
      <c r="AT1387" s="425" t="str">
        <f t="shared" si="107"/>
        <v>TGX000X12017Q415,9</v>
      </c>
      <c r="AU1387" s="64" t="str">
        <f t="shared" si="108"/>
        <v>10-2017</v>
      </c>
      <c r="BA1387" s="428" t="str">
        <f t="shared" si="109"/>
        <v>WIP - 30 Days</v>
      </c>
    </row>
    <row r="1388" spans="2:53">
      <c r="B1388" s="36">
        <f>'[6]price list MAN'!B1388</f>
        <v>48654</v>
      </c>
      <c r="C1388" s="10" t="str">
        <f>'[6]price list MAN'!C1388</f>
        <v>TGX-26-5406X4BLS-XLX</v>
      </c>
      <c r="D1388" s="16" t="str">
        <f>IFERROR(VLOOKUP(C1388&amp;"",'[7]Retail Price List'!$A$3:$B$103,2,FALSE),"Special Order")</f>
        <v>TGX000X1</v>
      </c>
      <c r="E1388" s="494" t="str">
        <f>'[6]price list MAN'!E1388</f>
        <v>CKD</v>
      </c>
      <c r="F1388" s="11" t="str">
        <f>'[6]price list MAN'!F1388</f>
        <v>2018-07-25</v>
      </c>
      <c r="G1388" s="32">
        <f>'[6]price list MAN'!G1388</f>
        <v>15.9</v>
      </c>
      <c r="H1388" s="26">
        <f>'[6]price list MAN'!H1388</f>
        <v>43039</v>
      </c>
      <c r="I1388" s="51" t="str">
        <f t="shared" si="105"/>
        <v>2017Q4</v>
      </c>
      <c r="J1388" s="177">
        <f>'[6]price list MAN'!J1388</f>
        <v>2250000</v>
      </c>
      <c r="K1388" s="177">
        <f>'[6]price list MAN'!P1388</f>
        <v>1669500</v>
      </c>
      <c r="L1388" s="177">
        <f>'[6]price list MAN'!R1388</f>
        <v>1590000</v>
      </c>
      <c r="M1388" s="174">
        <f>'[6]price list MAN'!S1388</f>
        <v>2327910</v>
      </c>
      <c r="N1388" s="174">
        <f>'[6]price list MAN'!Y1388</f>
        <v>1753500</v>
      </c>
      <c r="O1388" s="174">
        <f>'[6]price list MAN'!AA1388</f>
        <v>1670000</v>
      </c>
      <c r="P1388" s="68">
        <f t="shared" si="106"/>
        <v>0.28261831428190953</v>
      </c>
      <c r="Q1388" s="62" t="e">
        <f>O1388-#REF!</f>
        <v>#REF!</v>
      </c>
      <c r="AT1388" s="425" t="str">
        <f t="shared" si="107"/>
        <v>TGX000X12017Q415,9</v>
      </c>
      <c r="AU1388" s="64" t="str">
        <f t="shared" si="108"/>
        <v>10-2017</v>
      </c>
      <c r="BA1388" s="428" t="str">
        <f t="shared" si="109"/>
        <v>WIP - 30 Days</v>
      </c>
    </row>
    <row r="1389" spans="2:53">
      <c r="B1389" s="36">
        <f>'[6]price list MAN'!B1389</f>
        <v>48655</v>
      </c>
      <c r="C1389" s="10" t="str">
        <f>'[6]price list MAN'!C1389</f>
        <v>TGX-26-5406X4BLS-XLX</v>
      </c>
      <c r="D1389" s="16" t="str">
        <f>IFERROR(VLOOKUP(C1389&amp;"",'[7]Retail Price List'!$A$3:$B$103,2,FALSE),"Special Order")</f>
        <v>TGX000X1</v>
      </c>
      <c r="E1389" s="494" t="str">
        <f>'[6]price list MAN'!E1389</f>
        <v>CKD</v>
      </c>
      <c r="F1389" s="11" t="str">
        <f>'[6]price list MAN'!F1389</f>
        <v>2018-07-25</v>
      </c>
      <c r="G1389" s="32">
        <f>'[6]price list MAN'!G1389</f>
        <v>15.9</v>
      </c>
      <c r="H1389" s="26">
        <f>'[6]price list MAN'!H1389</f>
        <v>43039</v>
      </c>
      <c r="I1389" s="51" t="str">
        <f t="shared" si="105"/>
        <v>2017Q4</v>
      </c>
      <c r="J1389" s="177">
        <f>'[6]price list MAN'!J1389</f>
        <v>2250000</v>
      </c>
      <c r="K1389" s="177">
        <f>'[6]price list MAN'!P1389</f>
        <v>1669500</v>
      </c>
      <c r="L1389" s="177">
        <f>'[6]price list MAN'!R1389</f>
        <v>1590000</v>
      </c>
      <c r="M1389" s="174">
        <f>'[6]price list MAN'!S1389</f>
        <v>2327910</v>
      </c>
      <c r="N1389" s="174">
        <f>'[6]price list MAN'!Y1389</f>
        <v>1753500</v>
      </c>
      <c r="O1389" s="174">
        <f>'[6]price list MAN'!AA1389</f>
        <v>1670000</v>
      </c>
      <c r="P1389" s="68">
        <f t="shared" si="106"/>
        <v>0.28261831428190953</v>
      </c>
      <c r="Q1389" s="62" t="e">
        <f>O1389-#REF!</f>
        <v>#REF!</v>
      </c>
      <c r="AT1389" s="425" t="str">
        <f t="shared" si="107"/>
        <v>TGX000X12017Q415,9</v>
      </c>
      <c r="AU1389" s="64" t="str">
        <f t="shared" si="108"/>
        <v>10-2017</v>
      </c>
      <c r="BA1389" s="428" t="str">
        <f t="shared" si="109"/>
        <v>WIP - 30 Days</v>
      </c>
    </row>
    <row r="1390" spans="2:53">
      <c r="B1390" s="36">
        <f>'[6]price list MAN'!B1390</f>
        <v>48656</v>
      </c>
      <c r="C1390" s="10" t="str">
        <f>'[6]price list MAN'!C1390</f>
        <v>TGX-26-5406X4BLS-XLX</v>
      </c>
      <c r="D1390" s="16" t="str">
        <f>IFERROR(VLOOKUP(C1390&amp;"",'[7]Retail Price List'!$A$3:$B$103,2,FALSE),"Special Order")</f>
        <v>TGX000X1</v>
      </c>
      <c r="E1390" s="494" t="str">
        <f>'[6]price list MAN'!E1390</f>
        <v>CKD</v>
      </c>
      <c r="F1390" s="11" t="str">
        <f>'[6]price list MAN'!F1390</f>
        <v>2018-07-25</v>
      </c>
      <c r="G1390" s="32">
        <f>'[6]price list MAN'!G1390</f>
        <v>15.9</v>
      </c>
      <c r="H1390" s="26">
        <f>'[6]price list MAN'!H1390</f>
        <v>43039</v>
      </c>
      <c r="I1390" s="51" t="str">
        <f t="shared" si="105"/>
        <v>2017Q4</v>
      </c>
      <c r="J1390" s="177">
        <f>'[6]price list MAN'!J1390</f>
        <v>2250000</v>
      </c>
      <c r="K1390" s="177">
        <f>'[6]price list MAN'!P1390</f>
        <v>1669500</v>
      </c>
      <c r="L1390" s="177">
        <f>'[6]price list MAN'!R1390</f>
        <v>1590000</v>
      </c>
      <c r="M1390" s="174">
        <f>'[6]price list MAN'!S1390</f>
        <v>2327910</v>
      </c>
      <c r="N1390" s="174">
        <f>'[6]price list MAN'!Y1390</f>
        <v>1753500</v>
      </c>
      <c r="O1390" s="174">
        <f>'[6]price list MAN'!AA1390</f>
        <v>1670000</v>
      </c>
      <c r="P1390" s="68">
        <f t="shared" si="106"/>
        <v>0.28261831428190953</v>
      </c>
      <c r="Q1390" s="62" t="e">
        <f>O1390-#REF!</f>
        <v>#REF!</v>
      </c>
      <c r="AT1390" s="425" t="str">
        <f t="shared" si="107"/>
        <v>TGX000X12017Q415,9</v>
      </c>
      <c r="AU1390" s="64" t="str">
        <f t="shared" si="108"/>
        <v>10-2017</v>
      </c>
      <c r="BA1390" s="428" t="str">
        <f t="shared" si="109"/>
        <v>WIP - 30 Days</v>
      </c>
    </row>
    <row r="1391" spans="2:53">
      <c r="B1391" s="36">
        <f>'[6]price list MAN'!B1391</f>
        <v>48876</v>
      </c>
      <c r="C1391" s="10" t="str">
        <f>'[6]price list MAN'!C1391</f>
        <v>TGX-26-5406X4BLS-XLX</v>
      </c>
      <c r="D1391" s="16" t="str">
        <f>IFERROR(VLOOKUP(C1391&amp;"",'[7]Retail Price List'!$A$3:$B$103,2,FALSE),"Special Order")</f>
        <v>TGX000X1</v>
      </c>
      <c r="E1391" s="494" t="str">
        <f>'[6]price list MAN'!E1391</f>
        <v>CKD</v>
      </c>
      <c r="F1391" s="11" t="str">
        <f>'[6]price list MAN'!F1391</f>
        <v>2018-05-23</v>
      </c>
      <c r="G1391" s="32">
        <f>'[6]price list MAN'!G1391</f>
        <v>15.9</v>
      </c>
      <c r="H1391" s="26">
        <f>'[6]price list MAN'!H1391</f>
        <v>43059</v>
      </c>
      <c r="I1391" s="51" t="str">
        <f t="shared" si="105"/>
        <v>2017Q4</v>
      </c>
      <c r="J1391" s="177">
        <f>'[6]price list MAN'!J1391</f>
        <v>2250000</v>
      </c>
      <c r="K1391" s="177">
        <f>'[6]price list MAN'!P1391</f>
        <v>1669500</v>
      </c>
      <c r="L1391" s="177">
        <f>'[6]price list MAN'!R1391</f>
        <v>1590000</v>
      </c>
      <c r="M1391" s="174">
        <f>'[6]price list MAN'!S1391</f>
        <v>2327910</v>
      </c>
      <c r="N1391" s="174">
        <f>'[6]price list MAN'!Y1391</f>
        <v>1753500</v>
      </c>
      <c r="O1391" s="174">
        <f>'[6]price list MAN'!AA1391</f>
        <v>1670000</v>
      </c>
      <c r="P1391" s="68">
        <f t="shared" si="106"/>
        <v>0.28261831428190953</v>
      </c>
      <c r="Q1391" s="62" t="e">
        <f>O1391-#REF!</f>
        <v>#REF!</v>
      </c>
      <c r="AT1391" s="425" t="str">
        <f t="shared" si="107"/>
        <v>TGX000X12017Q415,9</v>
      </c>
      <c r="AU1391" s="64" t="str">
        <f t="shared" si="108"/>
        <v>11-2017</v>
      </c>
      <c r="BA1391" s="428" t="str">
        <f t="shared" si="109"/>
        <v>WIP - 30 Days</v>
      </c>
    </row>
    <row r="1392" spans="2:53">
      <c r="B1392" s="36">
        <f>'[6]price list MAN'!B1392</f>
        <v>48877</v>
      </c>
      <c r="C1392" s="10" t="str">
        <f>'[6]price list MAN'!C1392</f>
        <v>TGX-26-5406X4BLS-XLX</v>
      </c>
      <c r="D1392" s="16" t="str">
        <f>IFERROR(VLOOKUP(C1392&amp;"",'[7]Retail Price List'!$A$3:$B$103,2,FALSE),"Special Order")</f>
        <v>TGX000X1</v>
      </c>
      <c r="E1392" s="494" t="str">
        <f>'[6]price list MAN'!E1392</f>
        <v>CKD</v>
      </c>
      <c r="F1392" s="11" t="str">
        <f>'[6]price list MAN'!F1392</f>
        <v>2018-05-24</v>
      </c>
      <c r="G1392" s="32">
        <f>'[6]price list MAN'!G1392</f>
        <v>15.9</v>
      </c>
      <c r="H1392" s="26">
        <f>'[6]price list MAN'!H1392</f>
        <v>43059</v>
      </c>
      <c r="I1392" s="51" t="str">
        <f t="shared" si="105"/>
        <v>2017Q4</v>
      </c>
      <c r="J1392" s="177">
        <f>'[6]price list MAN'!J1392</f>
        <v>2250000</v>
      </c>
      <c r="K1392" s="177">
        <f>'[6]price list MAN'!P1392</f>
        <v>1669500</v>
      </c>
      <c r="L1392" s="177">
        <f>'[6]price list MAN'!R1392</f>
        <v>1590000</v>
      </c>
      <c r="M1392" s="174">
        <f>'[6]price list MAN'!S1392</f>
        <v>2327910</v>
      </c>
      <c r="N1392" s="174">
        <f>'[6]price list MAN'!Y1392</f>
        <v>1753500</v>
      </c>
      <c r="O1392" s="174">
        <f>'[6]price list MAN'!AA1392</f>
        <v>1670000</v>
      </c>
      <c r="P1392" s="68">
        <f t="shared" si="106"/>
        <v>0.28261831428190953</v>
      </c>
      <c r="Q1392" s="62" t="e">
        <f>O1392-#REF!</f>
        <v>#REF!</v>
      </c>
      <c r="AT1392" s="425" t="str">
        <f t="shared" si="107"/>
        <v>TGX000X12017Q415,9</v>
      </c>
      <c r="AU1392" s="64" t="str">
        <f t="shared" si="108"/>
        <v>11-2017</v>
      </c>
      <c r="BA1392" s="428" t="str">
        <f t="shared" si="109"/>
        <v>WIP - 30 Days</v>
      </c>
    </row>
    <row r="1393" spans="2:53">
      <c r="B1393" s="36">
        <f>'[6]price list MAN'!B1393</f>
        <v>48878</v>
      </c>
      <c r="C1393" s="10" t="str">
        <f>'[6]price list MAN'!C1393</f>
        <v>TGX-26-5406X4BLS-XLX</v>
      </c>
      <c r="D1393" s="16" t="str">
        <f>IFERROR(VLOOKUP(C1393&amp;"",'[7]Retail Price List'!$A$3:$B$103,2,FALSE),"Special Order")</f>
        <v>TGX000X1</v>
      </c>
      <c r="E1393" s="494" t="str">
        <f>'[6]price list MAN'!E1393</f>
        <v>CKD</v>
      </c>
      <c r="F1393" s="11" t="str">
        <f>'[6]price list MAN'!F1393</f>
        <v>2018-05-23</v>
      </c>
      <c r="G1393" s="32">
        <f>'[6]price list MAN'!G1393</f>
        <v>15.9</v>
      </c>
      <c r="H1393" s="26">
        <f>'[6]price list MAN'!H1393</f>
        <v>43059</v>
      </c>
      <c r="I1393" s="51" t="str">
        <f t="shared" si="105"/>
        <v>2017Q4</v>
      </c>
      <c r="J1393" s="177">
        <f>'[6]price list MAN'!J1393</f>
        <v>2250000</v>
      </c>
      <c r="K1393" s="177">
        <f>'[6]price list MAN'!P1393</f>
        <v>1669500</v>
      </c>
      <c r="L1393" s="177">
        <f>'[6]price list MAN'!R1393</f>
        <v>1590000</v>
      </c>
      <c r="M1393" s="174">
        <f>'[6]price list MAN'!S1393</f>
        <v>2327910</v>
      </c>
      <c r="N1393" s="174">
        <f>'[6]price list MAN'!Y1393</f>
        <v>1753500</v>
      </c>
      <c r="O1393" s="174">
        <f>'[6]price list MAN'!AA1393</f>
        <v>1670000</v>
      </c>
      <c r="P1393" s="68">
        <f t="shared" si="106"/>
        <v>0.28261831428190953</v>
      </c>
      <c r="Q1393" s="62" t="e">
        <f>O1393-#REF!</f>
        <v>#REF!</v>
      </c>
      <c r="AT1393" s="425" t="str">
        <f t="shared" si="107"/>
        <v>TGX000X12017Q415,9</v>
      </c>
      <c r="AU1393" s="64" t="str">
        <f t="shared" si="108"/>
        <v>11-2017</v>
      </c>
      <c r="BA1393" s="428" t="str">
        <f t="shared" si="109"/>
        <v>WIP - 30 Days</v>
      </c>
    </row>
    <row r="1394" spans="2:53">
      <c r="B1394" s="36">
        <f>'[6]price list MAN'!B1394</f>
        <v>48879</v>
      </c>
      <c r="C1394" s="10" t="str">
        <f>'[6]price list MAN'!C1394</f>
        <v>TGX-26-5406X4BLS-XLX</v>
      </c>
      <c r="D1394" s="16" t="str">
        <f>IFERROR(VLOOKUP(C1394&amp;"",'[7]Retail Price List'!$A$3:$B$103,2,FALSE),"Special Order")</f>
        <v>TGX000X1</v>
      </c>
      <c r="E1394" s="494" t="str">
        <f>'[6]price list MAN'!E1394</f>
        <v>CKD</v>
      </c>
      <c r="F1394" s="11" t="str">
        <f>'[6]price list MAN'!F1394</f>
        <v>2018-05-23</v>
      </c>
      <c r="G1394" s="32">
        <f>'[6]price list MAN'!G1394</f>
        <v>15.9</v>
      </c>
      <c r="H1394" s="26">
        <f>'[6]price list MAN'!H1394</f>
        <v>43059</v>
      </c>
      <c r="I1394" s="51" t="str">
        <f t="shared" si="105"/>
        <v>2017Q4</v>
      </c>
      <c r="J1394" s="177">
        <f>'[6]price list MAN'!J1394</f>
        <v>2250000</v>
      </c>
      <c r="K1394" s="177">
        <f>'[6]price list MAN'!P1394</f>
        <v>1669500</v>
      </c>
      <c r="L1394" s="177">
        <f>'[6]price list MAN'!R1394</f>
        <v>1590000</v>
      </c>
      <c r="M1394" s="174">
        <f>'[6]price list MAN'!S1394</f>
        <v>2327910</v>
      </c>
      <c r="N1394" s="174">
        <f>'[6]price list MAN'!Y1394</f>
        <v>1753500</v>
      </c>
      <c r="O1394" s="174">
        <f>'[6]price list MAN'!AA1394</f>
        <v>1670000</v>
      </c>
      <c r="P1394" s="68">
        <f t="shared" si="106"/>
        <v>0.28261831428190953</v>
      </c>
      <c r="Q1394" s="62" t="e">
        <f>O1394-#REF!</f>
        <v>#REF!</v>
      </c>
      <c r="AT1394" s="425" t="str">
        <f t="shared" si="107"/>
        <v>TGX000X12017Q415,9</v>
      </c>
      <c r="AU1394" s="64" t="str">
        <f t="shared" si="108"/>
        <v>11-2017</v>
      </c>
      <c r="BA1394" s="428" t="str">
        <f t="shared" si="109"/>
        <v>WIP - 30 Days</v>
      </c>
    </row>
    <row r="1395" spans="2:53">
      <c r="B1395" s="36" t="str">
        <f>'[6]price list MAN'!B1395</f>
        <v>30X-5226</v>
      </c>
      <c r="C1395" s="10" t="str">
        <f>'[6]price list MAN'!C1395</f>
        <v>TGX-26-5406X4BLS-XLX</v>
      </c>
      <c r="D1395" s="16" t="str">
        <f>IFERROR(VLOOKUP(C1395&amp;"",'[7]Retail Price List'!$A$3:$B$103,2,FALSE),"Special Order")</f>
        <v>TGX000X1</v>
      </c>
      <c r="E1395" s="494" t="str">
        <f>'[6]price list MAN'!E1395</f>
        <v>UNSOLD</v>
      </c>
      <c r="F1395" s="11">
        <f>'[6]price list MAN'!F1395</f>
        <v>228</v>
      </c>
      <c r="G1395" s="32">
        <f>'[6]price list MAN'!G1395</f>
        <v>15.4</v>
      </c>
      <c r="H1395" s="26">
        <f>'[6]price list MAN'!H1395</f>
        <v>42794</v>
      </c>
      <c r="I1395" s="51" t="str">
        <f t="shared" si="105"/>
        <v>2017Q1</v>
      </c>
      <c r="J1395" s="177">
        <f>'[6]price list MAN'!J1395</f>
        <v>2250000</v>
      </c>
      <c r="K1395" s="177">
        <f>'[6]price list MAN'!P1395</f>
        <v>1669500</v>
      </c>
      <c r="L1395" s="177">
        <f>'[6]price list MAN'!R1395</f>
        <v>1590000</v>
      </c>
      <c r="M1395" s="174">
        <f>'[6]price list MAN'!S1395</f>
        <v>2327910</v>
      </c>
      <c r="N1395" s="174">
        <f>'[6]price list MAN'!Y1395</f>
        <v>1753500</v>
      </c>
      <c r="O1395" s="174">
        <f>'[6]price list MAN'!AA1395</f>
        <v>1670000</v>
      </c>
      <c r="P1395" s="68">
        <f t="shared" si="106"/>
        <v>0.28261831428190953</v>
      </c>
      <c r="Q1395" s="62" t="e">
        <f>O1395-#REF!</f>
        <v>#REF!</v>
      </c>
      <c r="AT1395" s="425" t="str">
        <f t="shared" si="107"/>
        <v>TGX000X12017Q115,4</v>
      </c>
      <c r="AU1395" s="64" t="str">
        <f t="shared" si="108"/>
        <v>02-2017</v>
      </c>
      <c r="BA1395" s="428" t="str">
        <f t="shared" si="109"/>
        <v>121-365 Days</v>
      </c>
    </row>
    <row r="1396" spans="2:53">
      <c r="B1396" s="36" t="str">
        <f>'[6]price list MAN'!B1396</f>
        <v>30X-5551</v>
      </c>
      <c r="C1396" s="10" t="str">
        <f>'[6]price list MAN'!C1396</f>
        <v>TGX-26-5406X4BLS-XLX</v>
      </c>
      <c r="D1396" s="16" t="str">
        <f>IFERROR(VLOOKUP(C1396&amp;"",'[7]Retail Price List'!$A$3:$B$103,2,FALSE),"Special Order")</f>
        <v>TGX000X1</v>
      </c>
      <c r="E1396" s="494" t="str">
        <f>'[6]price list MAN'!E1396</f>
        <v>CKD</v>
      </c>
      <c r="F1396" s="11" t="str">
        <f>'[6]price list MAN'!F1396</f>
        <v>2018-03-23</v>
      </c>
      <c r="G1396" s="32">
        <f>'[6]price list MAN'!G1396</f>
        <v>15.9</v>
      </c>
      <c r="H1396" s="26">
        <f>'[6]price list MAN'!H1396</f>
        <v>43026</v>
      </c>
      <c r="I1396" s="51" t="str">
        <f t="shared" si="105"/>
        <v>2017Q4</v>
      </c>
      <c r="J1396" s="177">
        <f>'[6]price list MAN'!J1396</f>
        <v>2250000</v>
      </c>
      <c r="K1396" s="177">
        <f>'[6]price list MAN'!P1396</f>
        <v>1669500</v>
      </c>
      <c r="L1396" s="177">
        <f>'[6]price list MAN'!R1396</f>
        <v>1590000</v>
      </c>
      <c r="M1396" s="174">
        <f>'[6]price list MAN'!S1396</f>
        <v>2327910</v>
      </c>
      <c r="N1396" s="174">
        <f>'[6]price list MAN'!Y1396</f>
        <v>1753500</v>
      </c>
      <c r="O1396" s="174">
        <f>'[6]price list MAN'!AA1396</f>
        <v>1670000</v>
      </c>
      <c r="P1396" s="68">
        <f t="shared" si="106"/>
        <v>0.28261831428190953</v>
      </c>
      <c r="Q1396" s="62" t="e">
        <f>O1396-#REF!</f>
        <v>#REF!</v>
      </c>
      <c r="AT1396" s="425" t="str">
        <f t="shared" si="107"/>
        <v>TGX000X12017Q415,9</v>
      </c>
      <c r="AU1396" s="64" t="str">
        <f t="shared" si="108"/>
        <v>10-2017</v>
      </c>
      <c r="BA1396" s="428" t="str">
        <f t="shared" si="109"/>
        <v>WIP - 30 Days</v>
      </c>
    </row>
    <row r="1397" spans="2:53">
      <c r="B1397" s="36" t="str">
        <f>'[6]price list MAN'!B1397</f>
        <v>30X-5552</v>
      </c>
      <c r="C1397" s="10" t="str">
        <f>'[6]price list MAN'!C1397</f>
        <v>TGX-26-5406X4BLS-XLX</v>
      </c>
      <c r="D1397" s="16" t="str">
        <f>IFERROR(VLOOKUP(C1397&amp;"",'[7]Retail Price List'!$A$3:$B$103,2,FALSE),"Special Order")</f>
        <v>TGX000X1</v>
      </c>
      <c r="E1397" s="494" t="str">
        <f>'[6]price list MAN'!E1397</f>
        <v>CKD</v>
      </c>
      <c r="F1397" s="11" t="str">
        <f>'[6]price list MAN'!F1397</f>
        <v>2018-03-23</v>
      </c>
      <c r="G1397" s="32">
        <f>'[6]price list MAN'!G1397</f>
        <v>15.9</v>
      </c>
      <c r="H1397" s="26">
        <f>'[6]price list MAN'!H1397</f>
        <v>43026</v>
      </c>
      <c r="I1397" s="51" t="str">
        <f t="shared" si="105"/>
        <v>2017Q4</v>
      </c>
      <c r="J1397" s="177">
        <f>'[6]price list MAN'!J1397</f>
        <v>2250000</v>
      </c>
      <c r="K1397" s="177">
        <f>'[6]price list MAN'!P1397</f>
        <v>1669500</v>
      </c>
      <c r="L1397" s="177">
        <f>'[6]price list MAN'!R1397</f>
        <v>1590000</v>
      </c>
      <c r="M1397" s="174">
        <f>'[6]price list MAN'!S1397</f>
        <v>2327910</v>
      </c>
      <c r="N1397" s="174">
        <f>'[6]price list MAN'!Y1397</f>
        <v>1753500</v>
      </c>
      <c r="O1397" s="174">
        <f>'[6]price list MAN'!AA1397</f>
        <v>1670000</v>
      </c>
      <c r="P1397" s="68">
        <f t="shared" si="106"/>
        <v>0.28261831428190953</v>
      </c>
      <c r="Q1397" s="62" t="e">
        <f>O1397-#REF!</f>
        <v>#REF!</v>
      </c>
      <c r="AT1397" s="425" t="str">
        <f t="shared" si="107"/>
        <v>TGX000X12017Q415,9</v>
      </c>
      <c r="AU1397" s="64" t="str">
        <f t="shared" si="108"/>
        <v>10-2017</v>
      </c>
      <c r="BA1397" s="428" t="str">
        <f t="shared" si="109"/>
        <v>WIP - 30 Days</v>
      </c>
    </row>
    <row r="1398" spans="2:53">
      <c r="B1398" s="36" t="str">
        <f>'[6]price list MAN'!B1398</f>
        <v>30X-5553</v>
      </c>
      <c r="C1398" s="10" t="str">
        <f>'[6]price list MAN'!C1398</f>
        <v>TGX-26-5406X4BLS-XLX</v>
      </c>
      <c r="D1398" s="16" t="str">
        <f>IFERROR(VLOOKUP(C1398&amp;"",'[7]Retail Price List'!$A$3:$B$103,2,FALSE),"Special Order")</f>
        <v>TGX000X1</v>
      </c>
      <c r="E1398" s="494" t="str">
        <f>'[6]price list MAN'!E1398</f>
        <v>CKD</v>
      </c>
      <c r="F1398" s="11" t="str">
        <f>'[6]price list MAN'!F1398</f>
        <v>2018-03-23</v>
      </c>
      <c r="G1398" s="32">
        <f>'[6]price list MAN'!G1398</f>
        <v>15.9</v>
      </c>
      <c r="H1398" s="26">
        <f>'[6]price list MAN'!H1398</f>
        <v>43026</v>
      </c>
      <c r="I1398" s="51" t="str">
        <f t="shared" si="105"/>
        <v>2017Q4</v>
      </c>
      <c r="J1398" s="177">
        <f>'[6]price list MAN'!J1398</f>
        <v>2250000</v>
      </c>
      <c r="K1398" s="177">
        <f>'[6]price list MAN'!P1398</f>
        <v>1669500</v>
      </c>
      <c r="L1398" s="177">
        <f>'[6]price list MAN'!R1398</f>
        <v>1590000</v>
      </c>
      <c r="M1398" s="174">
        <f>'[6]price list MAN'!S1398</f>
        <v>2327910</v>
      </c>
      <c r="N1398" s="174">
        <f>'[6]price list MAN'!Y1398</f>
        <v>1753500</v>
      </c>
      <c r="O1398" s="174">
        <f>'[6]price list MAN'!AA1398</f>
        <v>1670000</v>
      </c>
      <c r="P1398" s="68">
        <f t="shared" si="106"/>
        <v>0.28261831428190953</v>
      </c>
      <c r="Q1398" s="62" t="e">
        <f>O1398-#REF!</f>
        <v>#REF!</v>
      </c>
      <c r="AT1398" s="425" t="str">
        <f t="shared" si="107"/>
        <v>TGX000X12017Q415,9</v>
      </c>
      <c r="AU1398" s="64" t="str">
        <f t="shared" si="108"/>
        <v>10-2017</v>
      </c>
      <c r="BA1398" s="428" t="str">
        <f t="shared" si="109"/>
        <v>WIP - 30 Days</v>
      </c>
    </row>
    <row r="1399" spans="2:53">
      <c r="B1399" s="36" t="str">
        <f>'[6]price list MAN'!B1399</f>
        <v>30X-5554</v>
      </c>
      <c r="C1399" s="10" t="str">
        <f>'[6]price list MAN'!C1399</f>
        <v>TGX-26-5406X4BLS-XLX</v>
      </c>
      <c r="D1399" s="16" t="str">
        <f>IFERROR(VLOOKUP(C1399&amp;"",'[7]Retail Price List'!$A$3:$B$103,2,FALSE),"Special Order")</f>
        <v>TGX000X1</v>
      </c>
      <c r="E1399" s="494" t="str">
        <f>'[6]price list MAN'!E1399</f>
        <v>CKD</v>
      </c>
      <c r="F1399" s="11" t="str">
        <f>'[6]price list MAN'!F1399</f>
        <v>2018-03-23</v>
      </c>
      <c r="G1399" s="32">
        <f>'[6]price list MAN'!G1399</f>
        <v>15.9</v>
      </c>
      <c r="H1399" s="26">
        <f>'[6]price list MAN'!H1399</f>
        <v>43026</v>
      </c>
      <c r="I1399" s="51" t="str">
        <f t="shared" si="105"/>
        <v>2017Q4</v>
      </c>
      <c r="J1399" s="177">
        <f>'[6]price list MAN'!J1399</f>
        <v>2250000</v>
      </c>
      <c r="K1399" s="177">
        <f>'[6]price list MAN'!P1399</f>
        <v>1669500</v>
      </c>
      <c r="L1399" s="177">
        <f>'[6]price list MAN'!R1399</f>
        <v>1590000</v>
      </c>
      <c r="M1399" s="174">
        <f>'[6]price list MAN'!S1399</f>
        <v>2327910</v>
      </c>
      <c r="N1399" s="174">
        <f>'[6]price list MAN'!Y1399</f>
        <v>1753500</v>
      </c>
      <c r="O1399" s="174">
        <f>'[6]price list MAN'!AA1399</f>
        <v>1670000</v>
      </c>
      <c r="P1399" s="68">
        <f t="shared" si="106"/>
        <v>0.28261831428190953</v>
      </c>
      <c r="Q1399" s="62" t="e">
        <f>O1399-#REF!</f>
        <v>#REF!</v>
      </c>
      <c r="AT1399" s="425" t="str">
        <f t="shared" si="107"/>
        <v>TGX000X12017Q415,9</v>
      </c>
      <c r="AU1399" s="64" t="str">
        <f t="shared" si="108"/>
        <v>10-2017</v>
      </c>
      <c r="BA1399" s="428" t="str">
        <f t="shared" si="109"/>
        <v>WIP - 30 Days</v>
      </c>
    </row>
    <row r="1400" spans="2:53">
      <c r="B1400" s="36" t="str">
        <f>'[6]price list MAN'!B1400</f>
        <v>30X-5555</v>
      </c>
      <c r="C1400" s="10" t="str">
        <f>'[6]price list MAN'!C1400</f>
        <v>TGX-26-5406X4BLS-XLX</v>
      </c>
      <c r="D1400" s="16" t="str">
        <f>IFERROR(VLOOKUP(C1400&amp;"",'[7]Retail Price List'!$A$3:$B$103,2,FALSE),"Special Order")</f>
        <v>TGX000X1</v>
      </c>
      <c r="E1400" s="494" t="str">
        <f>'[6]price list MAN'!E1400</f>
        <v>CKD</v>
      </c>
      <c r="F1400" s="11" t="str">
        <f>'[6]price list MAN'!F1400</f>
        <v>2018-03-23</v>
      </c>
      <c r="G1400" s="32">
        <f>'[6]price list MAN'!G1400</f>
        <v>15.9</v>
      </c>
      <c r="H1400" s="26">
        <f>'[6]price list MAN'!H1400</f>
        <v>43026</v>
      </c>
      <c r="I1400" s="51" t="str">
        <f t="shared" si="105"/>
        <v>2017Q4</v>
      </c>
      <c r="J1400" s="177">
        <f>'[6]price list MAN'!J1400</f>
        <v>2250000</v>
      </c>
      <c r="K1400" s="177">
        <f>'[6]price list MAN'!P1400</f>
        <v>1669500</v>
      </c>
      <c r="L1400" s="177">
        <f>'[6]price list MAN'!R1400</f>
        <v>1590000</v>
      </c>
      <c r="M1400" s="174">
        <f>'[6]price list MAN'!S1400</f>
        <v>2327910</v>
      </c>
      <c r="N1400" s="174">
        <f>'[6]price list MAN'!Y1400</f>
        <v>1753500</v>
      </c>
      <c r="O1400" s="174">
        <f>'[6]price list MAN'!AA1400</f>
        <v>1670000</v>
      </c>
      <c r="P1400" s="68">
        <f t="shared" si="106"/>
        <v>0.28261831428190953</v>
      </c>
      <c r="Q1400" s="62" t="e">
        <f>O1400-#REF!</f>
        <v>#REF!</v>
      </c>
      <c r="AT1400" s="425" t="str">
        <f t="shared" si="107"/>
        <v>TGX000X12017Q415,9</v>
      </c>
      <c r="AU1400" s="64" t="str">
        <f t="shared" si="108"/>
        <v>10-2017</v>
      </c>
      <c r="BA1400" s="428" t="str">
        <f t="shared" si="109"/>
        <v>WIP - 30 Days</v>
      </c>
    </row>
    <row r="1401" spans="2:53">
      <c r="B1401" s="36" t="str">
        <f>'[6]price list MAN'!B1401</f>
        <v>30X-5556</v>
      </c>
      <c r="C1401" s="10" t="str">
        <f>'[6]price list MAN'!C1401</f>
        <v>TGX-26-5406X4BLS-XLX</v>
      </c>
      <c r="D1401" s="16" t="str">
        <f>IFERROR(VLOOKUP(C1401&amp;"",'[7]Retail Price List'!$A$3:$B$103,2,FALSE),"Special Order")</f>
        <v>TGX000X1</v>
      </c>
      <c r="E1401" s="494" t="str">
        <f>'[6]price list MAN'!E1401</f>
        <v>CKD</v>
      </c>
      <c r="F1401" s="11" t="str">
        <f>'[6]price list MAN'!F1401</f>
        <v>2018-03-23</v>
      </c>
      <c r="G1401" s="32">
        <f>'[6]price list MAN'!G1401</f>
        <v>15.9</v>
      </c>
      <c r="H1401" s="26">
        <f>'[6]price list MAN'!H1401</f>
        <v>43026</v>
      </c>
      <c r="I1401" s="51" t="str">
        <f t="shared" si="105"/>
        <v>2017Q4</v>
      </c>
      <c r="J1401" s="177">
        <f>'[6]price list MAN'!J1401</f>
        <v>2250000</v>
      </c>
      <c r="K1401" s="177">
        <f>'[6]price list MAN'!P1401</f>
        <v>1669500</v>
      </c>
      <c r="L1401" s="177">
        <f>'[6]price list MAN'!R1401</f>
        <v>1590000</v>
      </c>
      <c r="M1401" s="174">
        <f>'[6]price list MAN'!S1401</f>
        <v>2327910</v>
      </c>
      <c r="N1401" s="174">
        <f>'[6]price list MAN'!Y1401</f>
        <v>1753500</v>
      </c>
      <c r="O1401" s="174">
        <f>'[6]price list MAN'!AA1401</f>
        <v>1670000</v>
      </c>
      <c r="P1401" s="68">
        <f t="shared" si="106"/>
        <v>0.28261831428190953</v>
      </c>
      <c r="Q1401" s="62" t="e">
        <f>O1401-#REF!</f>
        <v>#REF!</v>
      </c>
      <c r="AT1401" s="425" t="str">
        <f t="shared" si="107"/>
        <v>TGX000X12017Q415,9</v>
      </c>
      <c r="AU1401" s="64" t="str">
        <f t="shared" si="108"/>
        <v>10-2017</v>
      </c>
      <c r="BA1401" s="428" t="str">
        <f t="shared" si="109"/>
        <v>WIP - 30 Days</v>
      </c>
    </row>
    <row r="1402" spans="2:53">
      <c r="B1402" s="36" t="str">
        <f>'[6]price list MAN'!B1402</f>
        <v>30X-5557</v>
      </c>
      <c r="C1402" s="10" t="str">
        <f>'[6]price list MAN'!C1402</f>
        <v>TGX-26-5406X4BLS-XLX</v>
      </c>
      <c r="D1402" s="16" t="str">
        <f>IFERROR(VLOOKUP(C1402&amp;"",'[7]Retail Price List'!$A$3:$B$103,2,FALSE),"Special Order")</f>
        <v>TGX000X1</v>
      </c>
      <c r="E1402" s="494" t="str">
        <f>'[6]price list MAN'!E1402</f>
        <v>CKD</v>
      </c>
      <c r="F1402" s="11" t="str">
        <f>'[6]price list MAN'!F1402</f>
        <v>2018-03-23</v>
      </c>
      <c r="G1402" s="32">
        <f>'[6]price list MAN'!G1402</f>
        <v>15.9</v>
      </c>
      <c r="H1402" s="26">
        <f>'[6]price list MAN'!H1402</f>
        <v>43026</v>
      </c>
      <c r="I1402" s="51" t="str">
        <f t="shared" si="105"/>
        <v>2017Q4</v>
      </c>
      <c r="J1402" s="177">
        <f>'[6]price list MAN'!J1402</f>
        <v>2250000</v>
      </c>
      <c r="K1402" s="177">
        <f>'[6]price list MAN'!P1402</f>
        <v>1669500</v>
      </c>
      <c r="L1402" s="177">
        <f>'[6]price list MAN'!R1402</f>
        <v>1590000</v>
      </c>
      <c r="M1402" s="174">
        <f>'[6]price list MAN'!S1402</f>
        <v>2327910</v>
      </c>
      <c r="N1402" s="174">
        <f>'[6]price list MAN'!Y1402</f>
        <v>1753500</v>
      </c>
      <c r="O1402" s="174">
        <f>'[6]price list MAN'!AA1402</f>
        <v>1670000</v>
      </c>
      <c r="P1402" s="68">
        <f t="shared" si="106"/>
        <v>0.28261831428190953</v>
      </c>
      <c r="Q1402" s="62" t="e">
        <f>O1402-#REF!</f>
        <v>#REF!</v>
      </c>
      <c r="AT1402" s="425" t="str">
        <f t="shared" si="107"/>
        <v>TGX000X12017Q415,9</v>
      </c>
      <c r="AU1402" s="64" t="str">
        <f t="shared" si="108"/>
        <v>10-2017</v>
      </c>
      <c r="BA1402" s="428" t="str">
        <f t="shared" si="109"/>
        <v>WIP - 30 Days</v>
      </c>
    </row>
    <row r="1403" spans="2:53">
      <c r="B1403" s="36" t="str">
        <f>'[6]price list MAN'!B1403</f>
        <v>30X-5558</v>
      </c>
      <c r="C1403" s="10" t="str">
        <f>'[6]price list MAN'!C1403</f>
        <v>TGX-26-5406X4BLS-XLX</v>
      </c>
      <c r="D1403" s="16" t="str">
        <f>IFERROR(VLOOKUP(C1403&amp;"",'[7]Retail Price List'!$A$3:$B$103,2,FALSE),"Special Order")</f>
        <v>TGX000X1</v>
      </c>
      <c r="E1403" s="494" t="str">
        <f>'[6]price list MAN'!E1403</f>
        <v>CKD</v>
      </c>
      <c r="F1403" s="11" t="str">
        <f>'[6]price list MAN'!F1403</f>
        <v>2018-03-23</v>
      </c>
      <c r="G1403" s="32">
        <f>'[6]price list MAN'!G1403</f>
        <v>15.9</v>
      </c>
      <c r="H1403" s="26">
        <f>'[6]price list MAN'!H1403</f>
        <v>43026</v>
      </c>
      <c r="I1403" s="51" t="str">
        <f t="shared" si="105"/>
        <v>2017Q4</v>
      </c>
      <c r="J1403" s="177">
        <f>'[6]price list MAN'!J1403</f>
        <v>2250000</v>
      </c>
      <c r="K1403" s="177">
        <f>'[6]price list MAN'!P1403</f>
        <v>1669500</v>
      </c>
      <c r="L1403" s="177">
        <f>'[6]price list MAN'!R1403</f>
        <v>1590000</v>
      </c>
      <c r="M1403" s="174">
        <f>'[6]price list MAN'!S1403</f>
        <v>2327910</v>
      </c>
      <c r="N1403" s="174">
        <f>'[6]price list MAN'!Y1403</f>
        <v>1753500</v>
      </c>
      <c r="O1403" s="174">
        <f>'[6]price list MAN'!AA1403</f>
        <v>1670000</v>
      </c>
      <c r="P1403" s="68">
        <f t="shared" si="106"/>
        <v>0.28261831428190953</v>
      </c>
      <c r="Q1403" s="62" t="e">
        <f>O1403-#REF!</f>
        <v>#REF!</v>
      </c>
      <c r="AT1403" s="425" t="str">
        <f t="shared" si="107"/>
        <v>TGX000X12017Q415,9</v>
      </c>
      <c r="AU1403" s="64" t="str">
        <f t="shared" si="108"/>
        <v>10-2017</v>
      </c>
      <c r="BA1403" s="428" t="str">
        <f t="shared" si="109"/>
        <v>WIP - 30 Days</v>
      </c>
    </row>
    <row r="1404" spans="2:53">
      <c r="B1404" s="36" t="str">
        <f>'[6]price list MAN'!B1404</f>
        <v>TBATG0X1</v>
      </c>
      <c r="C1404" s="10" t="str">
        <f>'[6]price list MAN'!C1404</f>
        <v>TGX-26-5406X4BLS-XLX</v>
      </c>
      <c r="D1404" s="16" t="str">
        <f>IFERROR(VLOOKUP(C1404&amp;"",'[7]Retail Price List'!$A$3:$B$103,2,FALSE),"Special Order")</f>
        <v>TGX000X1</v>
      </c>
      <c r="E1404" s="494" t="str">
        <f>'[6]price list MAN'!E1404</f>
        <v>CKD</v>
      </c>
      <c r="F1404" s="11" t="str">
        <f>'[6]price list MAN'!F1404</f>
        <v>2018-06-18</v>
      </c>
      <c r="G1404" s="32">
        <f>'[6]price list MAN'!G1404</f>
        <v>15.8</v>
      </c>
      <c r="H1404" s="26">
        <f>'[6]price list MAN'!H1404</f>
        <v>43159</v>
      </c>
      <c r="I1404" s="51" t="str">
        <f t="shared" si="105"/>
        <v>2018Q1</v>
      </c>
      <c r="J1404" s="177">
        <f>'[6]price list MAN'!J1404</f>
        <v>2250000</v>
      </c>
      <c r="K1404" s="177">
        <f>'[6]price list MAN'!P1404</f>
        <v>1706250</v>
      </c>
      <c r="L1404" s="177">
        <f>'[6]price list MAN'!R1404</f>
        <v>1625000</v>
      </c>
      <c r="M1404" s="174">
        <f>'[6]price list MAN'!S1404</f>
        <v>2327910</v>
      </c>
      <c r="N1404" s="174">
        <f>'[6]price list MAN'!Y1404</f>
        <v>1790250</v>
      </c>
      <c r="O1404" s="174">
        <f>'[6]price list MAN'!AA1404</f>
        <v>1705000</v>
      </c>
      <c r="P1404" s="68">
        <f t="shared" si="106"/>
        <v>0.26758336877284777</v>
      </c>
      <c r="Q1404" s="62" t="e">
        <f>O1404-#REF!</f>
        <v>#REF!</v>
      </c>
      <c r="AT1404" s="425" t="str">
        <f t="shared" si="107"/>
        <v>TGX000X12018Q115,8</v>
      </c>
      <c r="AU1404" s="64" t="str">
        <f t="shared" si="108"/>
        <v>02-2018</v>
      </c>
      <c r="BA1404" s="428" t="str">
        <f t="shared" si="109"/>
        <v>WIP - 30 Days</v>
      </c>
    </row>
    <row r="1405" spans="2:53">
      <c r="B1405" s="36">
        <f>'[6]price list MAN'!B1405</f>
        <v>0</v>
      </c>
      <c r="C1405" s="10">
        <f>'[6]price list MAN'!C1405</f>
        <v>0</v>
      </c>
      <c r="D1405" s="16" t="str">
        <f>IFERROR(VLOOKUP(C1405&amp;"",'[7]Retail Price List'!$A$3:$B$103,2,FALSE),"Special Order")</f>
        <v>Special Order</v>
      </c>
      <c r="E1405" s="494">
        <f>'[6]price list MAN'!E1405</f>
        <v>0</v>
      </c>
      <c r="F1405" s="11">
        <f>'[6]price list MAN'!F1405</f>
        <v>0</v>
      </c>
      <c r="G1405" s="32">
        <f>'[6]price list MAN'!G1405</f>
        <v>0</v>
      </c>
      <c r="H1405" s="26">
        <f>'[6]price list MAN'!H1405</f>
        <v>0</v>
      </c>
      <c r="I1405" s="51" t="str">
        <f t="shared" si="105"/>
        <v/>
      </c>
      <c r="J1405" s="177" t="e">
        <f>'[6]price list MAN'!J1405</f>
        <v>#N/A</v>
      </c>
      <c r="K1405" s="177" t="e">
        <f>'[6]price list MAN'!P1405</f>
        <v>#N/A</v>
      </c>
      <c r="L1405" s="177" t="e">
        <f>'[6]price list MAN'!R1405</f>
        <v>#N/A</v>
      </c>
      <c r="M1405" s="174" t="e">
        <f>'[6]price list MAN'!S1405</f>
        <v>#N/A</v>
      </c>
      <c r="N1405" s="174" t="e">
        <f>'[6]price list MAN'!Y1405</f>
        <v>#N/A</v>
      </c>
      <c r="O1405" s="174" t="e">
        <f>'[6]price list MAN'!AA1405</f>
        <v>#N/A</v>
      </c>
      <c r="P1405" s="68" t="e">
        <f t="shared" si="106"/>
        <v>#N/A</v>
      </c>
      <c r="Q1405" s="62" t="e">
        <f>O1405-#REF!</f>
        <v>#N/A</v>
      </c>
      <c r="AT1405" s="425" t="str">
        <f t="shared" si="107"/>
        <v>Special Order0</v>
      </c>
      <c r="AU1405" s="64" t="str">
        <f t="shared" si="108"/>
        <v>01-1900</v>
      </c>
      <c r="BA1405" s="428" t="str">
        <f t="shared" si="109"/>
        <v/>
      </c>
    </row>
    <row r="1406" spans="2:53">
      <c r="B1406" s="36">
        <f>'[6]price list MAN'!B1406</f>
        <v>0</v>
      </c>
      <c r="C1406" s="10">
        <f>'[6]price list MAN'!C1406</f>
        <v>0</v>
      </c>
      <c r="D1406" s="16" t="str">
        <f>IFERROR(VLOOKUP(C1406&amp;"",'[7]Retail Price List'!$A$3:$B$103,2,FALSE),"Special Order")</f>
        <v>Special Order</v>
      </c>
      <c r="E1406" s="494">
        <f>'[6]price list MAN'!E1406</f>
        <v>0</v>
      </c>
      <c r="F1406" s="11">
        <f>'[6]price list MAN'!F1406</f>
        <v>0</v>
      </c>
      <c r="G1406" s="32">
        <f>'[6]price list MAN'!G1406</f>
        <v>0</v>
      </c>
      <c r="H1406" s="26">
        <f>'[6]price list MAN'!H1406</f>
        <v>0</v>
      </c>
      <c r="I1406" s="51" t="str">
        <f t="shared" si="105"/>
        <v/>
      </c>
      <c r="J1406" s="177" t="e">
        <f>'[6]price list MAN'!J1406</f>
        <v>#N/A</v>
      </c>
      <c r="K1406" s="177" t="e">
        <f>'[6]price list MAN'!P1406</f>
        <v>#N/A</v>
      </c>
      <c r="L1406" s="177" t="e">
        <f>'[6]price list MAN'!R1406</f>
        <v>#N/A</v>
      </c>
      <c r="M1406" s="174" t="e">
        <f>'[6]price list MAN'!S1406</f>
        <v>#N/A</v>
      </c>
      <c r="N1406" s="174" t="e">
        <f>'[6]price list MAN'!Y1406</f>
        <v>#N/A</v>
      </c>
      <c r="O1406" s="174" t="e">
        <f>'[6]price list MAN'!AA1406</f>
        <v>#N/A</v>
      </c>
      <c r="P1406" s="68" t="e">
        <f t="shared" si="106"/>
        <v>#N/A</v>
      </c>
      <c r="Q1406" s="62" t="e">
        <f>O1406-#REF!</f>
        <v>#N/A</v>
      </c>
      <c r="AT1406" s="425" t="str">
        <f t="shared" si="107"/>
        <v>Special Order0</v>
      </c>
      <c r="AU1406" s="64" t="str">
        <f t="shared" si="108"/>
        <v>01-1900</v>
      </c>
      <c r="BA1406" s="428" t="str">
        <f t="shared" si="109"/>
        <v/>
      </c>
    </row>
    <row r="1407" spans="2:53">
      <c r="B1407" s="36">
        <f>'[6]price list MAN'!B1407</f>
        <v>0</v>
      </c>
      <c r="C1407" s="10">
        <f>'[6]price list MAN'!C1407</f>
        <v>0</v>
      </c>
      <c r="D1407" s="16" t="str">
        <f>IFERROR(VLOOKUP(C1407&amp;"",'[7]Retail Price List'!$A$3:$B$103,2,FALSE),"Special Order")</f>
        <v>Special Order</v>
      </c>
      <c r="E1407" s="494">
        <f>'[6]price list MAN'!E1407</f>
        <v>0</v>
      </c>
      <c r="F1407" s="11">
        <f>'[6]price list MAN'!F1407</f>
        <v>0</v>
      </c>
      <c r="G1407" s="32">
        <f>'[6]price list MAN'!G1407</f>
        <v>0</v>
      </c>
      <c r="H1407" s="26">
        <f>'[6]price list MAN'!H1407</f>
        <v>0</v>
      </c>
      <c r="I1407" s="51" t="str">
        <f t="shared" si="105"/>
        <v/>
      </c>
      <c r="J1407" s="177" t="e">
        <f>'[6]price list MAN'!J1407</f>
        <v>#N/A</v>
      </c>
      <c r="K1407" s="177" t="e">
        <f>'[6]price list MAN'!P1407</f>
        <v>#N/A</v>
      </c>
      <c r="L1407" s="177" t="e">
        <f>'[6]price list MAN'!R1407</f>
        <v>#N/A</v>
      </c>
      <c r="M1407" s="174" t="e">
        <f>'[6]price list MAN'!S1407</f>
        <v>#N/A</v>
      </c>
      <c r="N1407" s="174" t="e">
        <f>'[6]price list MAN'!Y1407</f>
        <v>#N/A</v>
      </c>
      <c r="O1407" s="174" t="e">
        <f>'[6]price list MAN'!AA1407</f>
        <v>#N/A</v>
      </c>
      <c r="P1407" s="68" t="e">
        <f t="shared" si="106"/>
        <v>#N/A</v>
      </c>
      <c r="Q1407" s="62" t="e">
        <f>O1407-#REF!</f>
        <v>#N/A</v>
      </c>
      <c r="AT1407" s="425" t="str">
        <f t="shared" si="107"/>
        <v>Special Order0</v>
      </c>
      <c r="AU1407" s="64" t="str">
        <f t="shared" si="108"/>
        <v>01-1900</v>
      </c>
      <c r="BA1407" s="428" t="str">
        <f t="shared" si="109"/>
        <v/>
      </c>
    </row>
    <row r="1408" spans="2:53">
      <c r="B1408" s="36">
        <f>'[6]price list MAN'!B1408</f>
        <v>0</v>
      </c>
      <c r="C1408" s="10">
        <f>'[6]price list MAN'!C1408</f>
        <v>0</v>
      </c>
      <c r="D1408" s="16" t="str">
        <f>IFERROR(VLOOKUP(C1408&amp;"",'[7]Retail Price List'!$A$3:$B$103,2,FALSE),"Special Order")</f>
        <v>Special Order</v>
      </c>
      <c r="E1408" s="494">
        <f>'[6]price list MAN'!E1408</f>
        <v>0</v>
      </c>
      <c r="F1408" s="11">
        <f>'[6]price list MAN'!F1408</f>
        <v>0</v>
      </c>
      <c r="G1408" s="32">
        <f>'[6]price list MAN'!G1408</f>
        <v>0</v>
      </c>
      <c r="H1408" s="26">
        <f>'[6]price list MAN'!H1408</f>
        <v>0</v>
      </c>
      <c r="I1408" s="51" t="str">
        <f t="shared" si="105"/>
        <v/>
      </c>
      <c r="J1408" s="177" t="e">
        <f>'[6]price list MAN'!J1408</f>
        <v>#N/A</v>
      </c>
      <c r="K1408" s="177" t="e">
        <f>'[6]price list MAN'!P1408</f>
        <v>#N/A</v>
      </c>
      <c r="L1408" s="177" t="e">
        <f>'[6]price list MAN'!R1408</f>
        <v>#N/A</v>
      </c>
      <c r="M1408" s="174" t="e">
        <f>'[6]price list MAN'!S1408</f>
        <v>#N/A</v>
      </c>
      <c r="N1408" s="174" t="e">
        <f>'[6]price list MAN'!Y1408</f>
        <v>#N/A</v>
      </c>
      <c r="O1408" s="174" t="e">
        <f>'[6]price list MAN'!AA1408</f>
        <v>#N/A</v>
      </c>
      <c r="P1408" s="68" t="e">
        <f t="shared" si="106"/>
        <v>#N/A</v>
      </c>
      <c r="Q1408" s="62" t="e">
        <f>O1408-#REF!</f>
        <v>#N/A</v>
      </c>
      <c r="AT1408" s="425" t="str">
        <f t="shared" si="107"/>
        <v>Special Order0</v>
      </c>
      <c r="AU1408" s="64" t="str">
        <f t="shared" si="108"/>
        <v>01-1900</v>
      </c>
      <c r="BA1408" s="428" t="str">
        <f t="shared" si="109"/>
        <v/>
      </c>
    </row>
    <row r="1409" spans="2:53">
      <c r="B1409" s="36">
        <f>'[6]price list MAN'!B1409</f>
        <v>0</v>
      </c>
      <c r="C1409" s="10">
        <f>'[6]price list MAN'!C1409</f>
        <v>0</v>
      </c>
      <c r="D1409" s="16" t="str">
        <f>IFERROR(VLOOKUP(C1409&amp;"",'[7]Retail Price List'!$A$3:$B$103,2,FALSE),"Special Order")</f>
        <v>Special Order</v>
      </c>
      <c r="E1409" s="494">
        <f>'[6]price list MAN'!E1409</f>
        <v>0</v>
      </c>
      <c r="F1409" s="11">
        <f>'[6]price list MAN'!F1409</f>
        <v>0</v>
      </c>
      <c r="G1409" s="32">
        <f>'[6]price list MAN'!G1409</f>
        <v>0</v>
      </c>
      <c r="H1409" s="26">
        <f>'[6]price list MAN'!H1409</f>
        <v>0</v>
      </c>
      <c r="I1409" s="51" t="str">
        <f t="shared" si="105"/>
        <v/>
      </c>
      <c r="J1409" s="177" t="e">
        <f>'[6]price list MAN'!J1409</f>
        <v>#N/A</v>
      </c>
      <c r="K1409" s="177" t="e">
        <f>'[6]price list MAN'!P1409</f>
        <v>#N/A</v>
      </c>
      <c r="L1409" s="177" t="e">
        <f>'[6]price list MAN'!R1409</f>
        <v>#N/A</v>
      </c>
      <c r="M1409" s="174" t="e">
        <f>'[6]price list MAN'!S1409</f>
        <v>#N/A</v>
      </c>
      <c r="N1409" s="174" t="e">
        <f>'[6]price list MAN'!Y1409</f>
        <v>#N/A</v>
      </c>
      <c r="O1409" s="174" t="e">
        <f>'[6]price list MAN'!AA1409</f>
        <v>#N/A</v>
      </c>
      <c r="P1409" s="68" t="e">
        <f t="shared" si="106"/>
        <v>#N/A</v>
      </c>
      <c r="Q1409" s="62" t="e">
        <f>O1409-#REF!</f>
        <v>#N/A</v>
      </c>
      <c r="AT1409" s="425" t="str">
        <f t="shared" si="107"/>
        <v>Special Order0</v>
      </c>
      <c r="AU1409" s="64" t="str">
        <f t="shared" si="108"/>
        <v>01-1900</v>
      </c>
      <c r="BA1409" s="428" t="str">
        <f t="shared" si="109"/>
        <v/>
      </c>
    </row>
    <row r="1410" spans="2:53">
      <c r="B1410" s="36">
        <f>'[6]price list MAN'!B1410</f>
        <v>0</v>
      </c>
      <c r="C1410" s="10">
        <f>'[6]price list MAN'!C1410</f>
        <v>0</v>
      </c>
      <c r="D1410" s="16" t="str">
        <f>IFERROR(VLOOKUP(C1410&amp;"",'[7]Retail Price List'!$A$3:$B$103,2,FALSE),"Special Order")</f>
        <v>Special Order</v>
      </c>
      <c r="E1410" s="494">
        <f>'[6]price list MAN'!E1410</f>
        <v>0</v>
      </c>
      <c r="F1410" s="11">
        <f>'[6]price list MAN'!F1410</f>
        <v>0</v>
      </c>
      <c r="G1410" s="32">
        <f>'[6]price list MAN'!G1410</f>
        <v>0</v>
      </c>
      <c r="H1410" s="26">
        <f>'[6]price list MAN'!H1410</f>
        <v>0</v>
      </c>
      <c r="I1410" s="51" t="str">
        <f t="shared" si="105"/>
        <v/>
      </c>
      <c r="J1410" s="177" t="e">
        <f>'[6]price list MAN'!J1410</f>
        <v>#N/A</v>
      </c>
      <c r="K1410" s="177" t="e">
        <f>'[6]price list MAN'!P1410</f>
        <v>#N/A</v>
      </c>
      <c r="L1410" s="177" t="e">
        <f>'[6]price list MAN'!R1410</f>
        <v>#N/A</v>
      </c>
      <c r="M1410" s="174" t="e">
        <f>'[6]price list MAN'!S1410</f>
        <v>#N/A</v>
      </c>
      <c r="N1410" s="174" t="e">
        <f>'[6]price list MAN'!Y1410</f>
        <v>#N/A</v>
      </c>
      <c r="O1410" s="174" t="e">
        <f>'[6]price list MAN'!AA1410</f>
        <v>#N/A</v>
      </c>
      <c r="P1410" s="68" t="e">
        <f t="shared" si="106"/>
        <v>#N/A</v>
      </c>
      <c r="Q1410" s="62" t="e">
        <f>O1410-#REF!</f>
        <v>#N/A</v>
      </c>
      <c r="AT1410" s="425" t="str">
        <f t="shared" si="107"/>
        <v>Special Order0</v>
      </c>
      <c r="AU1410" s="64" t="str">
        <f t="shared" si="108"/>
        <v>01-1900</v>
      </c>
      <c r="BA1410" s="428" t="str">
        <f t="shared" si="109"/>
        <v/>
      </c>
    </row>
    <row r="1411" spans="2:53">
      <c r="B1411" s="36">
        <f>'[6]price list MAN'!B1411</f>
        <v>0</v>
      </c>
      <c r="C1411" s="10">
        <f>'[6]price list MAN'!C1411</f>
        <v>0</v>
      </c>
      <c r="D1411" s="16" t="str">
        <f>IFERROR(VLOOKUP(C1411&amp;"",'[7]Retail Price List'!$A$3:$B$103,2,FALSE),"Special Order")</f>
        <v>Special Order</v>
      </c>
      <c r="E1411" s="494">
        <f>'[6]price list MAN'!E1411</f>
        <v>0</v>
      </c>
      <c r="F1411" s="11">
        <f>'[6]price list MAN'!F1411</f>
        <v>0</v>
      </c>
      <c r="G1411" s="32">
        <f>'[6]price list MAN'!G1411</f>
        <v>0</v>
      </c>
      <c r="H1411" s="26">
        <f>'[6]price list MAN'!H1411</f>
        <v>0</v>
      </c>
      <c r="I1411" s="51" t="str">
        <f t="shared" si="105"/>
        <v/>
      </c>
      <c r="J1411" s="177" t="e">
        <f>'[6]price list MAN'!J1411</f>
        <v>#N/A</v>
      </c>
      <c r="K1411" s="177" t="e">
        <f>'[6]price list MAN'!P1411</f>
        <v>#N/A</v>
      </c>
      <c r="L1411" s="177" t="e">
        <f>'[6]price list MAN'!R1411</f>
        <v>#N/A</v>
      </c>
      <c r="M1411" s="174" t="e">
        <f>'[6]price list MAN'!S1411</f>
        <v>#N/A</v>
      </c>
      <c r="N1411" s="174" t="e">
        <f>'[6]price list MAN'!Y1411</f>
        <v>#N/A</v>
      </c>
      <c r="O1411" s="174" t="e">
        <f>'[6]price list MAN'!AA1411</f>
        <v>#N/A</v>
      </c>
      <c r="P1411" s="68" t="e">
        <f t="shared" si="106"/>
        <v>#N/A</v>
      </c>
      <c r="Q1411" s="62" t="e">
        <f>O1411-#REF!</f>
        <v>#N/A</v>
      </c>
      <c r="AT1411" s="425" t="str">
        <f t="shared" si="107"/>
        <v>Special Order0</v>
      </c>
      <c r="AU1411" s="64" t="str">
        <f t="shared" si="108"/>
        <v>01-1900</v>
      </c>
      <c r="BA1411" s="428" t="str">
        <f t="shared" si="109"/>
        <v/>
      </c>
    </row>
    <row r="1412" spans="2:53">
      <c r="B1412" s="36">
        <f>'[6]price list MAN'!B1412</f>
        <v>0</v>
      </c>
      <c r="C1412" s="10">
        <f>'[6]price list MAN'!C1412</f>
        <v>0</v>
      </c>
      <c r="D1412" s="16" t="str">
        <f>IFERROR(VLOOKUP(C1412&amp;"",'[7]Retail Price List'!$A$3:$B$103,2,FALSE),"Special Order")</f>
        <v>Special Order</v>
      </c>
      <c r="E1412" s="494">
        <f>'[6]price list MAN'!E1412</f>
        <v>0</v>
      </c>
      <c r="F1412" s="11">
        <f>'[6]price list MAN'!F1412</f>
        <v>0</v>
      </c>
      <c r="G1412" s="32">
        <f>'[6]price list MAN'!G1412</f>
        <v>0</v>
      </c>
      <c r="H1412" s="26">
        <f>'[6]price list MAN'!H1412</f>
        <v>0</v>
      </c>
      <c r="I1412" s="51" t="str">
        <f t="shared" si="105"/>
        <v/>
      </c>
      <c r="J1412" s="177" t="e">
        <f>'[6]price list MAN'!J1412</f>
        <v>#N/A</v>
      </c>
      <c r="K1412" s="177" t="e">
        <f>'[6]price list MAN'!P1412</f>
        <v>#N/A</v>
      </c>
      <c r="L1412" s="177" t="e">
        <f>'[6]price list MAN'!R1412</f>
        <v>#N/A</v>
      </c>
      <c r="M1412" s="174" t="e">
        <f>'[6]price list MAN'!S1412</f>
        <v>#N/A</v>
      </c>
      <c r="N1412" s="174" t="e">
        <f>'[6]price list MAN'!Y1412</f>
        <v>#N/A</v>
      </c>
      <c r="O1412" s="174" t="e">
        <f>'[6]price list MAN'!AA1412</f>
        <v>#N/A</v>
      </c>
      <c r="P1412" s="68" t="e">
        <f t="shared" si="106"/>
        <v>#N/A</v>
      </c>
      <c r="Q1412" s="62" t="e">
        <f>O1412-#REF!</f>
        <v>#N/A</v>
      </c>
      <c r="AT1412" s="425" t="str">
        <f t="shared" si="107"/>
        <v>Special Order0</v>
      </c>
      <c r="AU1412" s="64" t="str">
        <f t="shared" si="108"/>
        <v>01-1900</v>
      </c>
      <c r="BA1412" s="428" t="str">
        <f t="shared" si="109"/>
        <v/>
      </c>
    </row>
    <row r="1413" spans="2:53">
      <c r="B1413" s="36">
        <f>'[6]price list MAN'!B1413</f>
        <v>0</v>
      </c>
      <c r="C1413" s="10">
        <f>'[6]price list MAN'!C1413</f>
        <v>0</v>
      </c>
      <c r="D1413" s="16" t="str">
        <f>IFERROR(VLOOKUP(C1413&amp;"",'[7]Retail Price List'!$A$3:$B$103,2,FALSE),"Special Order")</f>
        <v>Special Order</v>
      </c>
      <c r="E1413" s="494">
        <f>'[6]price list MAN'!E1413</f>
        <v>0</v>
      </c>
      <c r="F1413" s="11">
        <f>'[6]price list MAN'!F1413</f>
        <v>0</v>
      </c>
      <c r="G1413" s="32">
        <f>'[6]price list MAN'!G1413</f>
        <v>0</v>
      </c>
      <c r="H1413" s="26">
        <f>'[6]price list MAN'!H1413</f>
        <v>0</v>
      </c>
      <c r="I1413" s="51" t="str">
        <f t="shared" ref="I1413:I1476" si="110">IFERROR(VLOOKUP(AU1413,$AW$5:$AY$40,3,FALSE),"")</f>
        <v/>
      </c>
      <c r="J1413" s="177" t="e">
        <f>'[6]price list MAN'!J1413</f>
        <v>#N/A</v>
      </c>
      <c r="K1413" s="177" t="e">
        <f>'[6]price list MAN'!P1413</f>
        <v>#N/A</v>
      </c>
      <c r="L1413" s="177" t="e">
        <f>'[6]price list MAN'!R1413</f>
        <v>#N/A</v>
      </c>
      <c r="M1413" s="174" t="e">
        <f>'[6]price list MAN'!S1413</f>
        <v>#N/A</v>
      </c>
      <c r="N1413" s="174" t="e">
        <f>'[6]price list MAN'!Y1413</f>
        <v>#N/A</v>
      </c>
      <c r="O1413" s="174" t="e">
        <f>'[6]price list MAN'!AA1413</f>
        <v>#N/A</v>
      </c>
      <c r="P1413" s="68" t="e">
        <f t="shared" ref="P1413:P1476" si="111">(M1413-O1413)/M1413</f>
        <v>#N/A</v>
      </c>
      <c r="Q1413" s="62" t="e">
        <f>O1413-#REF!</f>
        <v>#N/A</v>
      </c>
      <c r="AT1413" s="425" t="str">
        <f t="shared" ref="AT1413:AT1476" si="112">D1413&amp;I1413&amp;G1413</f>
        <v>Special Order0</v>
      </c>
      <c r="AU1413" s="64" t="str">
        <f t="shared" ref="AU1413:AU1476" si="113">IF(MONTH(H1413)&lt;10,0&amp;MONTH(H1413)&amp;"-"&amp;YEAR(H1413),MONTH(H1413)&amp;"-"&amp;YEAR(H1413))</f>
        <v>01-1900</v>
      </c>
      <c r="BA1413" s="428" t="str">
        <f t="shared" ref="BA1413:BA1476" si="114">IF(B1413=0,"",IF(AND(F1413&gt;=31,F1413&lt;=120),"31-120 Days",IF(AND(F1413&gt;=121,F1413&lt;=365),"121-365 Days",IF(OR(E1413="CKD",F1413&lt;=30),"WIP - 30 Days","&gt;365 Days"))))</f>
        <v/>
      </c>
    </row>
    <row r="1414" spans="2:53">
      <c r="B1414" s="36">
        <f>'[6]price list MAN'!B1414</f>
        <v>0</v>
      </c>
      <c r="C1414" s="10">
        <f>'[6]price list MAN'!C1414</f>
        <v>0</v>
      </c>
      <c r="D1414" s="16" t="str">
        <f>IFERROR(VLOOKUP(C1414&amp;"",'[7]Retail Price List'!$A$3:$B$103,2,FALSE),"Special Order")</f>
        <v>Special Order</v>
      </c>
      <c r="E1414" s="494">
        <f>'[6]price list MAN'!E1414</f>
        <v>0</v>
      </c>
      <c r="F1414" s="11">
        <f>'[6]price list MAN'!F1414</f>
        <v>0</v>
      </c>
      <c r="G1414" s="32">
        <f>'[6]price list MAN'!G1414</f>
        <v>0</v>
      </c>
      <c r="H1414" s="26">
        <f>'[6]price list MAN'!H1414</f>
        <v>0</v>
      </c>
      <c r="I1414" s="51" t="str">
        <f t="shared" si="110"/>
        <v/>
      </c>
      <c r="J1414" s="177" t="e">
        <f>'[6]price list MAN'!J1414</f>
        <v>#N/A</v>
      </c>
      <c r="K1414" s="177" t="e">
        <f>'[6]price list MAN'!P1414</f>
        <v>#N/A</v>
      </c>
      <c r="L1414" s="177" t="e">
        <f>'[6]price list MAN'!R1414</f>
        <v>#N/A</v>
      </c>
      <c r="M1414" s="174" t="e">
        <f>'[6]price list MAN'!S1414</f>
        <v>#N/A</v>
      </c>
      <c r="N1414" s="174" t="e">
        <f>'[6]price list MAN'!Y1414</f>
        <v>#N/A</v>
      </c>
      <c r="O1414" s="174" t="e">
        <f>'[6]price list MAN'!AA1414</f>
        <v>#N/A</v>
      </c>
      <c r="P1414" s="68" t="e">
        <f t="shared" si="111"/>
        <v>#N/A</v>
      </c>
      <c r="Q1414" s="62" t="e">
        <f>O1414-#REF!</f>
        <v>#N/A</v>
      </c>
      <c r="AT1414" s="425" t="str">
        <f t="shared" si="112"/>
        <v>Special Order0</v>
      </c>
      <c r="AU1414" s="64" t="str">
        <f t="shared" si="113"/>
        <v>01-1900</v>
      </c>
      <c r="BA1414" s="428" t="str">
        <f t="shared" si="114"/>
        <v/>
      </c>
    </row>
    <row r="1415" spans="2:53">
      <c r="B1415" s="36">
        <f>'[6]price list MAN'!B1415</f>
        <v>0</v>
      </c>
      <c r="C1415" s="10">
        <f>'[6]price list MAN'!C1415</f>
        <v>0</v>
      </c>
      <c r="D1415" s="16" t="str">
        <f>IFERROR(VLOOKUP(C1415&amp;"",'[7]Retail Price List'!$A$3:$B$103,2,FALSE),"Special Order")</f>
        <v>Special Order</v>
      </c>
      <c r="E1415" s="494">
        <f>'[6]price list MAN'!E1415</f>
        <v>0</v>
      </c>
      <c r="F1415" s="11">
        <f>'[6]price list MAN'!F1415</f>
        <v>0</v>
      </c>
      <c r="G1415" s="32">
        <f>'[6]price list MAN'!G1415</f>
        <v>0</v>
      </c>
      <c r="H1415" s="26">
        <f>'[6]price list MAN'!H1415</f>
        <v>0</v>
      </c>
      <c r="I1415" s="51" t="str">
        <f t="shared" si="110"/>
        <v/>
      </c>
      <c r="J1415" s="177" t="e">
        <f>'[6]price list MAN'!J1415</f>
        <v>#N/A</v>
      </c>
      <c r="K1415" s="177" t="e">
        <f>'[6]price list MAN'!P1415</f>
        <v>#N/A</v>
      </c>
      <c r="L1415" s="177" t="e">
        <f>'[6]price list MAN'!R1415</f>
        <v>#N/A</v>
      </c>
      <c r="M1415" s="174" t="e">
        <f>'[6]price list MAN'!S1415</f>
        <v>#N/A</v>
      </c>
      <c r="N1415" s="174" t="e">
        <f>'[6]price list MAN'!Y1415</f>
        <v>#N/A</v>
      </c>
      <c r="O1415" s="174" t="e">
        <f>'[6]price list MAN'!AA1415</f>
        <v>#N/A</v>
      </c>
      <c r="P1415" s="68" t="e">
        <f t="shared" si="111"/>
        <v>#N/A</v>
      </c>
      <c r="Q1415" s="62" t="e">
        <f>O1415-#REF!</f>
        <v>#N/A</v>
      </c>
      <c r="AT1415" s="425" t="str">
        <f t="shared" si="112"/>
        <v>Special Order0</v>
      </c>
      <c r="AU1415" s="64" t="str">
        <f t="shared" si="113"/>
        <v>01-1900</v>
      </c>
      <c r="BA1415" s="428" t="str">
        <f t="shared" si="114"/>
        <v/>
      </c>
    </row>
    <row r="1416" spans="2:53">
      <c r="B1416" s="36">
        <f>'[6]price list MAN'!B1416</f>
        <v>0</v>
      </c>
      <c r="C1416" s="10">
        <f>'[6]price list MAN'!C1416</f>
        <v>0</v>
      </c>
      <c r="D1416" s="16" t="str">
        <f>IFERROR(VLOOKUP(C1416&amp;"",'[7]Retail Price List'!$A$3:$B$103,2,FALSE),"Special Order")</f>
        <v>Special Order</v>
      </c>
      <c r="E1416" s="494">
        <f>'[6]price list MAN'!E1416</f>
        <v>0</v>
      </c>
      <c r="F1416" s="11">
        <f>'[6]price list MAN'!F1416</f>
        <v>0</v>
      </c>
      <c r="G1416" s="32">
        <f>'[6]price list MAN'!G1416</f>
        <v>0</v>
      </c>
      <c r="H1416" s="26">
        <f>'[6]price list MAN'!H1416</f>
        <v>0</v>
      </c>
      <c r="I1416" s="51" t="str">
        <f t="shared" si="110"/>
        <v/>
      </c>
      <c r="J1416" s="177" t="e">
        <f>'[6]price list MAN'!J1416</f>
        <v>#N/A</v>
      </c>
      <c r="K1416" s="177" t="e">
        <f>'[6]price list MAN'!P1416</f>
        <v>#N/A</v>
      </c>
      <c r="L1416" s="177" t="e">
        <f>'[6]price list MAN'!R1416</f>
        <v>#N/A</v>
      </c>
      <c r="M1416" s="174" t="e">
        <f>'[6]price list MAN'!S1416</f>
        <v>#N/A</v>
      </c>
      <c r="N1416" s="174" t="e">
        <f>'[6]price list MAN'!Y1416</f>
        <v>#N/A</v>
      </c>
      <c r="O1416" s="174" t="e">
        <f>'[6]price list MAN'!AA1416</f>
        <v>#N/A</v>
      </c>
      <c r="P1416" s="68" t="e">
        <f t="shared" si="111"/>
        <v>#N/A</v>
      </c>
      <c r="Q1416" s="62" t="e">
        <f>O1416-#REF!</f>
        <v>#N/A</v>
      </c>
      <c r="AT1416" s="425" t="str">
        <f t="shared" si="112"/>
        <v>Special Order0</v>
      </c>
      <c r="AU1416" s="64" t="str">
        <f t="shared" si="113"/>
        <v>01-1900</v>
      </c>
      <c r="BA1416" s="428" t="str">
        <f t="shared" si="114"/>
        <v/>
      </c>
    </row>
    <row r="1417" spans="2:53">
      <c r="B1417" s="36">
        <f>'[6]price list MAN'!B1417</f>
        <v>0</v>
      </c>
      <c r="C1417" s="10">
        <f>'[6]price list MAN'!C1417</f>
        <v>0</v>
      </c>
      <c r="D1417" s="16" t="str">
        <f>IFERROR(VLOOKUP(C1417&amp;"",'[7]Retail Price List'!$A$3:$B$103,2,FALSE),"Special Order")</f>
        <v>Special Order</v>
      </c>
      <c r="E1417" s="494">
        <f>'[6]price list MAN'!E1417</f>
        <v>0</v>
      </c>
      <c r="F1417" s="11">
        <f>'[6]price list MAN'!F1417</f>
        <v>0</v>
      </c>
      <c r="G1417" s="32">
        <f>'[6]price list MAN'!G1417</f>
        <v>0</v>
      </c>
      <c r="H1417" s="26">
        <f>'[6]price list MAN'!H1417</f>
        <v>0</v>
      </c>
      <c r="I1417" s="51" t="str">
        <f t="shared" si="110"/>
        <v/>
      </c>
      <c r="J1417" s="177" t="e">
        <f>'[6]price list MAN'!J1417</f>
        <v>#N/A</v>
      </c>
      <c r="K1417" s="177" t="e">
        <f>'[6]price list MAN'!P1417</f>
        <v>#N/A</v>
      </c>
      <c r="L1417" s="177" t="e">
        <f>'[6]price list MAN'!R1417</f>
        <v>#N/A</v>
      </c>
      <c r="M1417" s="174" t="e">
        <f>'[6]price list MAN'!S1417</f>
        <v>#N/A</v>
      </c>
      <c r="N1417" s="174" t="e">
        <f>'[6]price list MAN'!Y1417</f>
        <v>#N/A</v>
      </c>
      <c r="O1417" s="174" t="e">
        <f>'[6]price list MAN'!AA1417</f>
        <v>#N/A</v>
      </c>
      <c r="P1417" s="68" t="e">
        <f t="shared" si="111"/>
        <v>#N/A</v>
      </c>
      <c r="Q1417" s="62" t="e">
        <f>O1417-#REF!</f>
        <v>#N/A</v>
      </c>
      <c r="AT1417" s="425" t="str">
        <f t="shared" si="112"/>
        <v>Special Order0</v>
      </c>
      <c r="AU1417" s="64" t="str">
        <f t="shared" si="113"/>
        <v>01-1900</v>
      </c>
      <c r="BA1417" s="428" t="str">
        <f t="shared" si="114"/>
        <v/>
      </c>
    </row>
    <row r="1418" spans="2:53">
      <c r="B1418" s="36">
        <f>'[6]price list MAN'!B1418</f>
        <v>0</v>
      </c>
      <c r="C1418" s="10">
        <f>'[6]price list MAN'!C1418</f>
        <v>0</v>
      </c>
      <c r="D1418" s="16" t="str">
        <f>IFERROR(VLOOKUP(C1418&amp;"",'[7]Retail Price List'!$A$3:$B$103,2,FALSE),"Special Order")</f>
        <v>Special Order</v>
      </c>
      <c r="E1418" s="494">
        <f>'[6]price list MAN'!E1418</f>
        <v>0</v>
      </c>
      <c r="F1418" s="11">
        <f>'[6]price list MAN'!F1418</f>
        <v>0</v>
      </c>
      <c r="G1418" s="32">
        <f>'[6]price list MAN'!G1418</f>
        <v>0</v>
      </c>
      <c r="H1418" s="26">
        <f>'[6]price list MAN'!H1418</f>
        <v>0</v>
      </c>
      <c r="I1418" s="51" t="str">
        <f t="shared" si="110"/>
        <v/>
      </c>
      <c r="J1418" s="177" t="e">
        <f>'[6]price list MAN'!J1418</f>
        <v>#N/A</v>
      </c>
      <c r="K1418" s="177" t="e">
        <f>'[6]price list MAN'!P1418</f>
        <v>#N/A</v>
      </c>
      <c r="L1418" s="177" t="e">
        <f>'[6]price list MAN'!R1418</f>
        <v>#N/A</v>
      </c>
      <c r="M1418" s="174" t="e">
        <f>'[6]price list MAN'!S1418</f>
        <v>#N/A</v>
      </c>
      <c r="N1418" s="174" t="e">
        <f>'[6]price list MAN'!Y1418</f>
        <v>#N/A</v>
      </c>
      <c r="O1418" s="174" t="e">
        <f>'[6]price list MAN'!AA1418</f>
        <v>#N/A</v>
      </c>
      <c r="P1418" s="68" t="e">
        <f t="shared" si="111"/>
        <v>#N/A</v>
      </c>
      <c r="Q1418" s="62" t="e">
        <f>O1418-#REF!</f>
        <v>#N/A</v>
      </c>
      <c r="AT1418" s="425" t="str">
        <f t="shared" si="112"/>
        <v>Special Order0</v>
      </c>
      <c r="AU1418" s="64" t="str">
        <f t="shared" si="113"/>
        <v>01-1900</v>
      </c>
      <c r="BA1418" s="428" t="str">
        <f t="shared" si="114"/>
        <v/>
      </c>
    </row>
    <row r="1419" spans="2:53">
      <c r="B1419" s="36">
        <f>'[6]price list MAN'!B1419</f>
        <v>0</v>
      </c>
      <c r="C1419" s="10">
        <f>'[6]price list MAN'!C1419</f>
        <v>0</v>
      </c>
      <c r="D1419" s="16" t="str">
        <f>IFERROR(VLOOKUP(C1419&amp;"",'[7]Retail Price List'!$A$3:$B$103,2,FALSE),"Special Order")</f>
        <v>Special Order</v>
      </c>
      <c r="E1419" s="494">
        <f>'[6]price list MAN'!E1419</f>
        <v>0</v>
      </c>
      <c r="F1419" s="11">
        <f>'[6]price list MAN'!F1419</f>
        <v>0</v>
      </c>
      <c r="G1419" s="32">
        <f>'[6]price list MAN'!G1419</f>
        <v>0</v>
      </c>
      <c r="H1419" s="26">
        <f>'[6]price list MAN'!H1419</f>
        <v>0</v>
      </c>
      <c r="I1419" s="51" t="str">
        <f t="shared" si="110"/>
        <v/>
      </c>
      <c r="J1419" s="177" t="e">
        <f>'[6]price list MAN'!J1419</f>
        <v>#N/A</v>
      </c>
      <c r="K1419" s="177" t="e">
        <f>'[6]price list MAN'!P1419</f>
        <v>#N/A</v>
      </c>
      <c r="L1419" s="177" t="e">
        <f>'[6]price list MAN'!R1419</f>
        <v>#N/A</v>
      </c>
      <c r="M1419" s="174" t="e">
        <f>'[6]price list MAN'!S1419</f>
        <v>#N/A</v>
      </c>
      <c r="N1419" s="174" t="e">
        <f>'[6]price list MAN'!Y1419</f>
        <v>#N/A</v>
      </c>
      <c r="O1419" s="174" t="e">
        <f>'[6]price list MAN'!AA1419</f>
        <v>#N/A</v>
      </c>
      <c r="P1419" s="68" t="e">
        <f t="shared" si="111"/>
        <v>#N/A</v>
      </c>
      <c r="Q1419" s="62" t="e">
        <f>O1419-#REF!</f>
        <v>#N/A</v>
      </c>
      <c r="AT1419" s="425" t="str">
        <f t="shared" si="112"/>
        <v>Special Order0</v>
      </c>
      <c r="AU1419" s="64" t="str">
        <f t="shared" si="113"/>
        <v>01-1900</v>
      </c>
      <c r="BA1419" s="428" t="str">
        <f t="shared" si="114"/>
        <v/>
      </c>
    </row>
    <row r="1420" spans="2:53">
      <c r="B1420" s="36">
        <f>'[6]price list MAN'!B1420</f>
        <v>0</v>
      </c>
      <c r="C1420" s="10">
        <f>'[6]price list MAN'!C1420</f>
        <v>0</v>
      </c>
      <c r="D1420" s="16" t="str">
        <f>IFERROR(VLOOKUP(C1420&amp;"",'[7]Retail Price List'!$A$3:$B$103,2,FALSE),"Special Order")</f>
        <v>Special Order</v>
      </c>
      <c r="E1420" s="494">
        <f>'[6]price list MAN'!E1420</f>
        <v>0</v>
      </c>
      <c r="F1420" s="11">
        <f>'[6]price list MAN'!F1420</f>
        <v>0</v>
      </c>
      <c r="G1420" s="32">
        <f>'[6]price list MAN'!G1420</f>
        <v>0</v>
      </c>
      <c r="H1420" s="26">
        <f>'[6]price list MAN'!H1420</f>
        <v>0</v>
      </c>
      <c r="I1420" s="51" t="str">
        <f t="shared" si="110"/>
        <v/>
      </c>
      <c r="J1420" s="177" t="e">
        <f>'[6]price list MAN'!J1420</f>
        <v>#N/A</v>
      </c>
      <c r="K1420" s="177" t="e">
        <f>'[6]price list MAN'!P1420</f>
        <v>#N/A</v>
      </c>
      <c r="L1420" s="177" t="e">
        <f>'[6]price list MAN'!R1420</f>
        <v>#N/A</v>
      </c>
      <c r="M1420" s="174" t="e">
        <f>'[6]price list MAN'!S1420</f>
        <v>#N/A</v>
      </c>
      <c r="N1420" s="174" t="e">
        <f>'[6]price list MAN'!Y1420</f>
        <v>#N/A</v>
      </c>
      <c r="O1420" s="174" t="e">
        <f>'[6]price list MAN'!AA1420</f>
        <v>#N/A</v>
      </c>
      <c r="P1420" s="68" t="e">
        <f t="shared" si="111"/>
        <v>#N/A</v>
      </c>
      <c r="Q1420" s="62" t="e">
        <f>O1420-#REF!</f>
        <v>#N/A</v>
      </c>
      <c r="AT1420" s="425" t="str">
        <f t="shared" si="112"/>
        <v>Special Order0</v>
      </c>
      <c r="AU1420" s="64" t="str">
        <f t="shared" si="113"/>
        <v>01-1900</v>
      </c>
      <c r="BA1420" s="428" t="str">
        <f t="shared" si="114"/>
        <v/>
      </c>
    </row>
    <row r="1421" spans="2:53">
      <c r="B1421" s="36">
        <f>'[6]price list MAN'!B1421</f>
        <v>0</v>
      </c>
      <c r="C1421" s="10">
        <f>'[6]price list MAN'!C1421</f>
        <v>0</v>
      </c>
      <c r="D1421" s="16" t="str">
        <f>IFERROR(VLOOKUP(C1421&amp;"",'[7]Retail Price List'!$A$3:$B$103,2,FALSE),"Special Order")</f>
        <v>Special Order</v>
      </c>
      <c r="E1421" s="494">
        <f>'[6]price list MAN'!E1421</f>
        <v>0</v>
      </c>
      <c r="F1421" s="11">
        <f>'[6]price list MAN'!F1421</f>
        <v>0</v>
      </c>
      <c r="G1421" s="32">
        <f>'[6]price list MAN'!G1421</f>
        <v>0</v>
      </c>
      <c r="H1421" s="26">
        <f>'[6]price list MAN'!H1421</f>
        <v>0</v>
      </c>
      <c r="I1421" s="51" t="str">
        <f t="shared" si="110"/>
        <v/>
      </c>
      <c r="J1421" s="177" t="e">
        <f>'[6]price list MAN'!J1421</f>
        <v>#N/A</v>
      </c>
      <c r="K1421" s="177" t="e">
        <f>'[6]price list MAN'!P1421</f>
        <v>#N/A</v>
      </c>
      <c r="L1421" s="177" t="e">
        <f>'[6]price list MAN'!R1421</f>
        <v>#N/A</v>
      </c>
      <c r="M1421" s="174" t="e">
        <f>'[6]price list MAN'!S1421</f>
        <v>#N/A</v>
      </c>
      <c r="N1421" s="174" t="e">
        <f>'[6]price list MAN'!Y1421</f>
        <v>#N/A</v>
      </c>
      <c r="O1421" s="174" t="e">
        <f>'[6]price list MAN'!AA1421</f>
        <v>#N/A</v>
      </c>
      <c r="P1421" s="68" t="e">
        <f t="shared" si="111"/>
        <v>#N/A</v>
      </c>
      <c r="Q1421" s="62" t="e">
        <f>O1421-#REF!</f>
        <v>#N/A</v>
      </c>
      <c r="AT1421" s="425" t="str">
        <f t="shared" si="112"/>
        <v>Special Order0</v>
      </c>
      <c r="AU1421" s="64" t="str">
        <f t="shared" si="113"/>
        <v>01-1900</v>
      </c>
      <c r="BA1421" s="428" t="str">
        <f t="shared" si="114"/>
        <v/>
      </c>
    </row>
    <row r="1422" spans="2:53">
      <c r="B1422" s="36">
        <f>'[6]price list MAN'!B1422</f>
        <v>0</v>
      </c>
      <c r="C1422" s="10">
        <f>'[6]price list MAN'!C1422</f>
        <v>0</v>
      </c>
      <c r="D1422" s="16" t="str">
        <f>IFERROR(VLOOKUP(C1422&amp;"",'[7]Retail Price List'!$A$3:$B$103,2,FALSE),"Special Order")</f>
        <v>Special Order</v>
      </c>
      <c r="E1422" s="494">
        <f>'[6]price list MAN'!E1422</f>
        <v>0</v>
      </c>
      <c r="F1422" s="11">
        <f>'[6]price list MAN'!F1422</f>
        <v>0</v>
      </c>
      <c r="G1422" s="32">
        <f>'[6]price list MAN'!G1422</f>
        <v>0</v>
      </c>
      <c r="H1422" s="26">
        <f>'[6]price list MAN'!H1422</f>
        <v>0</v>
      </c>
      <c r="I1422" s="51" t="str">
        <f t="shared" si="110"/>
        <v/>
      </c>
      <c r="J1422" s="177" t="e">
        <f>'[6]price list MAN'!J1422</f>
        <v>#N/A</v>
      </c>
      <c r="K1422" s="177" t="e">
        <f>'[6]price list MAN'!P1422</f>
        <v>#N/A</v>
      </c>
      <c r="L1422" s="177" t="e">
        <f>'[6]price list MAN'!R1422</f>
        <v>#N/A</v>
      </c>
      <c r="M1422" s="174" t="e">
        <f>'[6]price list MAN'!S1422</f>
        <v>#N/A</v>
      </c>
      <c r="N1422" s="174" t="e">
        <f>'[6]price list MAN'!Y1422</f>
        <v>#N/A</v>
      </c>
      <c r="O1422" s="174" t="e">
        <f>'[6]price list MAN'!AA1422</f>
        <v>#N/A</v>
      </c>
      <c r="P1422" s="68" t="e">
        <f t="shared" si="111"/>
        <v>#N/A</v>
      </c>
      <c r="Q1422" s="62" t="e">
        <f>O1422-#REF!</f>
        <v>#N/A</v>
      </c>
      <c r="AT1422" s="425" t="str">
        <f t="shared" si="112"/>
        <v>Special Order0</v>
      </c>
      <c r="AU1422" s="64" t="str">
        <f t="shared" si="113"/>
        <v>01-1900</v>
      </c>
      <c r="BA1422" s="428" t="str">
        <f t="shared" si="114"/>
        <v/>
      </c>
    </row>
    <row r="1423" spans="2:53">
      <c r="B1423" s="36">
        <f>'[6]price list MAN'!B1423</f>
        <v>0</v>
      </c>
      <c r="C1423" s="10">
        <f>'[6]price list MAN'!C1423</f>
        <v>0</v>
      </c>
      <c r="D1423" s="16" t="str">
        <f>IFERROR(VLOOKUP(C1423&amp;"",'[7]Retail Price List'!$A$3:$B$103,2,FALSE),"Special Order")</f>
        <v>Special Order</v>
      </c>
      <c r="E1423" s="494">
        <f>'[6]price list MAN'!E1423</f>
        <v>0</v>
      </c>
      <c r="F1423" s="11">
        <f>'[6]price list MAN'!F1423</f>
        <v>0</v>
      </c>
      <c r="G1423" s="32">
        <f>'[6]price list MAN'!G1423</f>
        <v>0</v>
      </c>
      <c r="H1423" s="26">
        <f>'[6]price list MAN'!H1423</f>
        <v>0</v>
      </c>
      <c r="I1423" s="51" t="str">
        <f t="shared" si="110"/>
        <v/>
      </c>
      <c r="J1423" s="177" t="e">
        <f>'[6]price list MAN'!J1423</f>
        <v>#N/A</v>
      </c>
      <c r="K1423" s="177" t="e">
        <f>'[6]price list MAN'!P1423</f>
        <v>#N/A</v>
      </c>
      <c r="L1423" s="177" t="e">
        <f>'[6]price list MAN'!R1423</f>
        <v>#N/A</v>
      </c>
      <c r="M1423" s="174" t="e">
        <f>'[6]price list MAN'!S1423</f>
        <v>#N/A</v>
      </c>
      <c r="N1423" s="174" t="e">
        <f>'[6]price list MAN'!Y1423</f>
        <v>#N/A</v>
      </c>
      <c r="O1423" s="174" t="e">
        <f>'[6]price list MAN'!AA1423</f>
        <v>#N/A</v>
      </c>
      <c r="P1423" s="68" t="e">
        <f t="shared" si="111"/>
        <v>#N/A</v>
      </c>
      <c r="Q1423" s="62" t="e">
        <f>O1423-#REF!</f>
        <v>#N/A</v>
      </c>
      <c r="AT1423" s="425" t="str">
        <f t="shared" si="112"/>
        <v>Special Order0</v>
      </c>
      <c r="AU1423" s="64" t="str">
        <f t="shared" si="113"/>
        <v>01-1900</v>
      </c>
      <c r="BA1423" s="428" t="str">
        <f t="shared" si="114"/>
        <v/>
      </c>
    </row>
    <row r="1424" spans="2:53">
      <c r="B1424" s="36">
        <f>'[6]price list MAN'!B1424</f>
        <v>0</v>
      </c>
      <c r="C1424" s="10">
        <f>'[6]price list MAN'!C1424</f>
        <v>0</v>
      </c>
      <c r="D1424" s="16" t="str">
        <f>IFERROR(VLOOKUP(C1424&amp;"",'[7]Retail Price List'!$A$3:$B$103,2,FALSE),"Special Order")</f>
        <v>Special Order</v>
      </c>
      <c r="E1424" s="494">
        <f>'[6]price list MAN'!E1424</f>
        <v>0</v>
      </c>
      <c r="F1424" s="11">
        <f>'[6]price list MAN'!F1424</f>
        <v>0</v>
      </c>
      <c r="G1424" s="32">
        <f>'[6]price list MAN'!G1424</f>
        <v>0</v>
      </c>
      <c r="H1424" s="26">
        <f>'[6]price list MAN'!H1424</f>
        <v>0</v>
      </c>
      <c r="I1424" s="51" t="str">
        <f t="shared" si="110"/>
        <v/>
      </c>
      <c r="J1424" s="177" t="e">
        <f>'[6]price list MAN'!J1424</f>
        <v>#N/A</v>
      </c>
      <c r="K1424" s="177" t="e">
        <f>'[6]price list MAN'!P1424</f>
        <v>#N/A</v>
      </c>
      <c r="L1424" s="177" t="e">
        <f>'[6]price list MAN'!R1424</f>
        <v>#N/A</v>
      </c>
      <c r="M1424" s="174" t="e">
        <f>'[6]price list MAN'!S1424</f>
        <v>#N/A</v>
      </c>
      <c r="N1424" s="174" t="e">
        <f>'[6]price list MAN'!Y1424</f>
        <v>#N/A</v>
      </c>
      <c r="O1424" s="174" t="e">
        <f>'[6]price list MAN'!AA1424</f>
        <v>#N/A</v>
      </c>
      <c r="P1424" s="68" t="e">
        <f t="shared" si="111"/>
        <v>#N/A</v>
      </c>
      <c r="Q1424" s="62" t="e">
        <f>O1424-#REF!</f>
        <v>#N/A</v>
      </c>
      <c r="AT1424" s="425" t="str">
        <f t="shared" si="112"/>
        <v>Special Order0</v>
      </c>
      <c r="AU1424" s="64" t="str">
        <f t="shared" si="113"/>
        <v>01-1900</v>
      </c>
      <c r="BA1424" s="428" t="str">
        <f t="shared" si="114"/>
        <v/>
      </c>
    </row>
    <row r="1425" spans="2:53">
      <c r="B1425" s="36">
        <f>'[6]price list MAN'!B1425</f>
        <v>0</v>
      </c>
      <c r="C1425" s="10">
        <f>'[6]price list MAN'!C1425</f>
        <v>0</v>
      </c>
      <c r="D1425" s="16" t="str">
        <f>IFERROR(VLOOKUP(C1425&amp;"",'[7]Retail Price List'!$A$3:$B$103,2,FALSE),"Special Order")</f>
        <v>Special Order</v>
      </c>
      <c r="E1425" s="494">
        <f>'[6]price list MAN'!E1425</f>
        <v>0</v>
      </c>
      <c r="F1425" s="11">
        <f>'[6]price list MAN'!F1425</f>
        <v>0</v>
      </c>
      <c r="G1425" s="32">
        <f>'[6]price list MAN'!G1425</f>
        <v>0</v>
      </c>
      <c r="H1425" s="26">
        <f>'[6]price list MAN'!H1425</f>
        <v>0</v>
      </c>
      <c r="I1425" s="51" t="str">
        <f t="shared" si="110"/>
        <v/>
      </c>
      <c r="J1425" s="177" t="e">
        <f>'[6]price list MAN'!J1425</f>
        <v>#N/A</v>
      </c>
      <c r="K1425" s="177" t="e">
        <f>'[6]price list MAN'!P1425</f>
        <v>#N/A</v>
      </c>
      <c r="L1425" s="177" t="e">
        <f>'[6]price list MAN'!R1425</f>
        <v>#N/A</v>
      </c>
      <c r="M1425" s="174" t="e">
        <f>'[6]price list MAN'!S1425</f>
        <v>#N/A</v>
      </c>
      <c r="N1425" s="174" t="e">
        <f>'[6]price list MAN'!Y1425</f>
        <v>#N/A</v>
      </c>
      <c r="O1425" s="174" t="e">
        <f>'[6]price list MAN'!AA1425</f>
        <v>#N/A</v>
      </c>
      <c r="P1425" s="68" t="e">
        <f t="shared" si="111"/>
        <v>#N/A</v>
      </c>
      <c r="Q1425" s="62" t="e">
        <f>O1425-#REF!</f>
        <v>#N/A</v>
      </c>
      <c r="AT1425" s="425" t="str">
        <f t="shared" si="112"/>
        <v>Special Order0</v>
      </c>
      <c r="AU1425" s="64" t="str">
        <f t="shared" si="113"/>
        <v>01-1900</v>
      </c>
      <c r="BA1425" s="428" t="str">
        <f t="shared" si="114"/>
        <v/>
      </c>
    </row>
    <row r="1426" spans="2:53">
      <c r="B1426" s="36">
        <f>'[6]price list MAN'!B1426</f>
        <v>0</v>
      </c>
      <c r="C1426" s="10">
        <f>'[6]price list MAN'!C1426</f>
        <v>0</v>
      </c>
      <c r="D1426" s="16" t="str">
        <f>IFERROR(VLOOKUP(C1426&amp;"",'[7]Retail Price List'!$A$3:$B$103,2,FALSE),"Special Order")</f>
        <v>Special Order</v>
      </c>
      <c r="E1426" s="494">
        <f>'[6]price list MAN'!E1426</f>
        <v>0</v>
      </c>
      <c r="F1426" s="11">
        <f>'[6]price list MAN'!F1426</f>
        <v>0</v>
      </c>
      <c r="G1426" s="32">
        <f>'[6]price list MAN'!G1426</f>
        <v>0</v>
      </c>
      <c r="H1426" s="26">
        <f>'[6]price list MAN'!H1426</f>
        <v>0</v>
      </c>
      <c r="I1426" s="51" t="str">
        <f t="shared" si="110"/>
        <v/>
      </c>
      <c r="J1426" s="177" t="e">
        <f>'[6]price list MAN'!J1426</f>
        <v>#N/A</v>
      </c>
      <c r="K1426" s="177" t="e">
        <f>'[6]price list MAN'!P1426</f>
        <v>#N/A</v>
      </c>
      <c r="L1426" s="177" t="e">
        <f>'[6]price list MAN'!R1426</f>
        <v>#N/A</v>
      </c>
      <c r="M1426" s="174" t="e">
        <f>'[6]price list MAN'!S1426</f>
        <v>#N/A</v>
      </c>
      <c r="N1426" s="174" t="e">
        <f>'[6]price list MAN'!Y1426</f>
        <v>#N/A</v>
      </c>
      <c r="O1426" s="174" t="e">
        <f>'[6]price list MAN'!AA1426</f>
        <v>#N/A</v>
      </c>
      <c r="P1426" s="68" t="e">
        <f t="shared" si="111"/>
        <v>#N/A</v>
      </c>
      <c r="Q1426" s="62" t="e">
        <f>O1426-#REF!</f>
        <v>#N/A</v>
      </c>
      <c r="AT1426" s="425" t="str">
        <f t="shared" si="112"/>
        <v>Special Order0</v>
      </c>
      <c r="AU1426" s="64" t="str">
        <f t="shared" si="113"/>
        <v>01-1900</v>
      </c>
      <c r="BA1426" s="428" t="str">
        <f t="shared" si="114"/>
        <v/>
      </c>
    </row>
    <row r="1427" spans="2:53">
      <c r="B1427" s="36">
        <f>'[6]price list MAN'!B1427</f>
        <v>0</v>
      </c>
      <c r="C1427" s="10">
        <f>'[6]price list MAN'!C1427</f>
        <v>0</v>
      </c>
      <c r="D1427" s="16" t="str">
        <f>IFERROR(VLOOKUP(C1427&amp;"",'[7]Retail Price List'!$A$3:$B$103,2,FALSE),"Special Order")</f>
        <v>Special Order</v>
      </c>
      <c r="E1427" s="494">
        <f>'[6]price list MAN'!E1427</f>
        <v>0</v>
      </c>
      <c r="F1427" s="11">
        <f>'[6]price list MAN'!F1427</f>
        <v>0</v>
      </c>
      <c r="G1427" s="32">
        <f>'[6]price list MAN'!G1427</f>
        <v>0</v>
      </c>
      <c r="H1427" s="26">
        <f>'[6]price list MAN'!H1427</f>
        <v>0</v>
      </c>
      <c r="I1427" s="51" t="str">
        <f t="shared" si="110"/>
        <v/>
      </c>
      <c r="J1427" s="177" t="e">
        <f>'[6]price list MAN'!J1427</f>
        <v>#N/A</v>
      </c>
      <c r="K1427" s="177" t="e">
        <f>'[6]price list MAN'!P1427</f>
        <v>#N/A</v>
      </c>
      <c r="L1427" s="177" t="e">
        <f>'[6]price list MAN'!R1427</f>
        <v>#N/A</v>
      </c>
      <c r="M1427" s="174" t="e">
        <f>'[6]price list MAN'!S1427</f>
        <v>#N/A</v>
      </c>
      <c r="N1427" s="174" t="e">
        <f>'[6]price list MAN'!Y1427</f>
        <v>#N/A</v>
      </c>
      <c r="O1427" s="174" t="e">
        <f>'[6]price list MAN'!AA1427</f>
        <v>#N/A</v>
      </c>
      <c r="P1427" s="68" t="e">
        <f t="shared" si="111"/>
        <v>#N/A</v>
      </c>
      <c r="Q1427" s="62" t="e">
        <f>O1427-#REF!</f>
        <v>#N/A</v>
      </c>
      <c r="AT1427" s="425" t="str">
        <f t="shared" si="112"/>
        <v>Special Order0</v>
      </c>
      <c r="AU1427" s="64" t="str">
        <f t="shared" si="113"/>
        <v>01-1900</v>
      </c>
      <c r="BA1427" s="428" t="str">
        <f t="shared" si="114"/>
        <v/>
      </c>
    </row>
    <row r="1428" spans="2:53">
      <c r="B1428" s="36">
        <f>'[6]price list MAN'!B1428</f>
        <v>0</v>
      </c>
      <c r="C1428" s="10">
        <f>'[6]price list MAN'!C1428</f>
        <v>0</v>
      </c>
      <c r="D1428" s="16" t="str">
        <f>IFERROR(VLOOKUP(C1428&amp;"",'[7]Retail Price List'!$A$3:$B$103,2,FALSE),"Special Order")</f>
        <v>Special Order</v>
      </c>
      <c r="E1428" s="494">
        <f>'[6]price list MAN'!E1428</f>
        <v>0</v>
      </c>
      <c r="F1428" s="11">
        <f>'[6]price list MAN'!F1428</f>
        <v>0</v>
      </c>
      <c r="G1428" s="32">
        <f>'[6]price list MAN'!G1428</f>
        <v>0</v>
      </c>
      <c r="H1428" s="26">
        <f>'[6]price list MAN'!H1428</f>
        <v>0</v>
      </c>
      <c r="I1428" s="51" t="str">
        <f t="shared" si="110"/>
        <v/>
      </c>
      <c r="J1428" s="177" t="e">
        <f>'[6]price list MAN'!J1428</f>
        <v>#N/A</v>
      </c>
      <c r="K1428" s="177" t="e">
        <f>'[6]price list MAN'!P1428</f>
        <v>#N/A</v>
      </c>
      <c r="L1428" s="177" t="e">
        <f>'[6]price list MAN'!R1428</f>
        <v>#N/A</v>
      </c>
      <c r="M1428" s="174" t="e">
        <f>'[6]price list MAN'!S1428</f>
        <v>#N/A</v>
      </c>
      <c r="N1428" s="174" t="e">
        <f>'[6]price list MAN'!Y1428</f>
        <v>#N/A</v>
      </c>
      <c r="O1428" s="174" t="e">
        <f>'[6]price list MAN'!AA1428</f>
        <v>#N/A</v>
      </c>
      <c r="P1428" s="68" t="e">
        <f t="shared" si="111"/>
        <v>#N/A</v>
      </c>
      <c r="Q1428" s="62" t="e">
        <f>O1428-#REF!</f>
        <v>#N/A</v>
      </c>
      <c r="AT1428" s="425" t="str">
        <f t="shared" si="112"/>
        <v>Special Order0</v>
      </c>
      <c r="AU1428" s="64" t="str">
        <f t="shared" si="113"/>
        <v>01-1900</v>
      </c>
      <c r="BA1428" s="428" t="str">
        <f t="shared" si="114"/>
        <v/>
      </c>
    </row>
    <row r="1429" spans="2:53">
      <c r="B1429" s="36">
        <f>'[6]price list MAN'!B1429</f>
        <v>0</v>
      </c>
      <c r="C1429" s="10">
        <f>'[6]price list MAN'!C1429</f>
        <v>0</v>
      </c>
      <c r="D1429" s="16" t="str">
        <f>IFERROR(VLOOKUP(C1429&amp;"",'[7]Retail Price List'!$A$3:$B$103,2,FALSE),"Special Order")</f>
        <v>Special Order</v>
      </c>
      <c r="E1429" s="494">
        <f>'[6]price list MAN'!E1429</f>
        <v>0</v>
      </c>
      <c r="F1429" s="11">
        <f>'[6]price list MAN'!F1429</f>
        <v>0</v>
      </c>
      <c r="G1429" s="32">
        <f>'[6]price list MAN'!G1429</f>
        <v>0</v>
      </c>
      <c r="H1429" s="26">
        <f>'[6]price list MAN'!H1429</f>
        <v>0</v>
      </c>
      <c r="I1429" s="51" t="str">
        <f t="shared" si="110"/>
        <v/>
      </c>
      <c r="J1429" s="177" t="e">
        <f>'[6]price list MAN'!J1429</f>
        <v>#N/A</v>
      </c>
      <c r="K1429" s="177" t="e">
        <f>'[6]price list MAN'!P1429</f>
        <v>#N/A</v>
      </c>
      <c r="L1429" s="177" t="e">
        <f>'[6]price list MAN'!R1429</f>
        <v>#N/A</v>
      </c>
      <c r="M1429" s="174" t="e">
        <f>'[6]price list MAN'!S1429</f>
        <v>#N/A</v>
      </c>
      <c r="N1429" s="174" t="e">
        <f>'[6]price list MAN'!Y1429</f>
        <v>#N/A</v>
      </c>
      <c r="O1429" s="174" t="e">
        <f>'[6]price list MAN'!AA1429</f>
        <v>#N/A</v>
      </c>
      <c r="P1429" s="68" t="e">
        <f t="shared" si="111"/>
        <v>#N/A</v>
      </c>
      <c r="Q1429" s="62" t="e">
        <f>O1429-#REF!</f>
        <v>#N/A</v>
      </c>
      <c r="AT1429" s="425" t="str">
        <f t="shared" si="112"/>
        <v>Special Order0</v>
      </c>
      <c r="AU1429" s="64" t="str">
        <f t="shared" si="113"/>
        <v>01-1900</v>
      </c>
      <c r="BA1429" s="428" t="str">
        <f t="shared" si="114"/>
        <v/>
      </c>
    </row>
    <row r="1430" spans="2:53">
      <c r="B1430" s="36">
        <f>'[6]price list MAN'!B1430</f>
        <v>0</v>
      </c>
      <c r="C1430" s="10">
        <f>'[6]price list MAN'!C1430</f>
        <v>0</v>
      </c>
      <c r="D1430" s="16" t="str">
        <f>IFERROR(VLOOKUP(C1430&amp;"",'[7]Retail Price List'!$A$3:$B$103,2,FALSE),"Special Order")</f>
        <v>Special Order</v>
      </c>
      <c r="E1430" s="494">
        <f>'[6]price list MAN'!E1430</f>
        <v>0</v>
      </c>
      <c r="F1430" s="11">
        <f>'[6]price list MAN'!F1430</f>
        <v>0</v>
      </c>
      <c r="G1430" s="32">
        <f>'[6]price list MAN'!G1430</f>
        <v>0</v>
      </c>
      <c r="H1430" s="26">
        <f>'[6]price list MAN'!H1430</f>
        <v>0</v>
      </c>
      <c r="I1430" s="51" t="str">
        <f t="shared" si="110"/>
        <v/>
      </c>
      <c r="J1430" s="177" t="e">
        <f>'[6]price list MAN'!J1430</f>
        <v>#N/A</v>
      </c>
      <c r="K1430" s="177" t="e">
        <f>'[6]price list MAN'!P1430</f>
        <v>#N/A</v>
      </c>
      <c r="L1430" s="177" t="e">
        <f>'[6]price list MAN'!R1430</f>
        <v>#N/A</v>
      </c>
      <c r="M1430" s="174" t="e">
        <f>'[6]price list MAN'!S1430</f>
        <v>#N/A</v>
      </c>
      <c r="N1430" s="174" t="e">
        <f>'[6]price list MAN'!Y1430</f>
        <v>#N/A</v>
      </c>
      <c r="O1430" s="174" t="e">
        <f>'[6]price list MAN'!AA1430</f>
        <v>#N/A</v>
      </c>
      <c r="P1430" s="68" t="e">
        <f t="shared" si="111"/>
        <v>#N/A</v>
      </c>
      <c r="Q1430" s="62" t="e">
        <f>O1430-#REF!</f>
        <v>#N/A</v>
      </c>
      <c r="AT1430" s="425" t="str">
        <f t="shared" si="112"/>
        <v>Special Order0</v>
      </c>
      <c r="AU1430" s="64" t="str">
        <f t="shared" si="113"/>
        <v>01-1900</v>
      </c>
      <c r="BA1430" s="428" t="str">
        <f t="shared" si="114"/>
        <v/>
      </c>
    </row>
    <row r="1431" spans="2:53">
      <c r="B1431" s="36">
        <f>'[6]price list MAN'!B1431</f>
        <v>0</v>
      </c>
      <c r="C1431" s="10">
        <f>'[6]price list MAN'!C1431</f>
        <v>0</v>
      </c>
      <c r="D1431" s="16" t="str">
        <f>IFERROR(VLOOKUP(C1431&amp;"",'[7]Retail Price List'!$A$3:$B$103,2,FALSE),"Special Order")</f>
        <v>Special Order</v>
      </c>
      <c r="E1431" s="494">
        <f>'[6]price list MAN'!E1431</f>
        <v>0</v>
      </c>
      <c r="F1431" s="11">
        <f>'[6]price list MAN'!F1431</f>
        <v>0</v>
      </c>
      <c r="G1431" s="32">
        <f>'[6]price list MAN'!G1431</f>
        <v>0</v>
      </c>
      <c r="H1431" s="26">
        <f>'[6]price list MAN'!H1431</f>
        <v>0</v>
      </c>
      <c r="I1431" s="51" t="str">
        <f t="shared" si="110"/>
        <v/>
      </c>
      <c r="J1431" s="177" t="e">
        <f>'[6]price list MAN'!J1431</f>
        <v>#N/A</v>
      </c>
      <c r="K1431" s="177" t="e">
        <f>'[6]price list MAN'!P1431</f>
        <v>#N/A</v>
      </c>
      <c r="L1431" s="177" t="e">
        <f>'[6]price list MAN'!R1431</f>
        <v>#N/A</v>
      </c>
      <c r="M1431" s="174" t="e">
        <f>'[6]price list MAN'!S1431</f>
        <v>#N/A</v>
      </c>
      <c r="N1431" s="174" t="e">
        <f>'[6]price list MAN'!Y1431</f>
        <v>#N/A</v>
      </c>
      <c r="O1431" s="174" t="e">
        <f>'[6]price list MAN'!AA1431</f>
        <v>#N/A</v>
      </c>
      <c r="P1431" s="68" t="e">
        <f t="shared" si="111"/>
        <v>#N/A</v>
      </c>
      <c r="Q1431" s="62" t="e">
        <f>O1431-#REF!</f>
        <v>#N/A</v>
      </c>
      <c r="AT1431" s="425" t="str">
        <f t="shared" si="112"/>
        <v>Special Order0</v>
      </c>
      <c r="AU1431" s="64" t="str">
        <f t="shared" si="113"/>
        <v>01-1900</v>
      </c>
      <c r="BA1431" s="428" t="str">
        <f t="shared" si="114"/>
        <v/>
      </c>
    </row>
    <row r="1432" spans="2:53">
      <c r="B1432" s="36">
        <f>'[6]price list MAN'!B1432</f>
        <v>0</v>
      </c>
      <c r="C1432" s="10">
        <f>'[6]price list MAN'!C1432</f>
        <v>0</v>
      </c>
      <c r="D1432" s="16" t="str">
        <f>IFERROR(VLOOKUP(C1432&amp;"",'[7]Retail Price List'!$A$3:$B$103,2,FALSE),"Special Order")</f>
        <v>Special Order</v>
      </c>
      <c r="E1432" s="494">
        <f>'[6]price list MAN'!E1432</f>
        <v>0</v>
      </c>
      <c r="F1432" s="11">
        <f>'[6]price list MAN'!F1432</f>
        <v>0</v>
      </c>
      <c r="G1432" s="32">
        <f>'[6]price list MAN'!G1432</f>
        <v>0</v>
      </c>
      <c r="H1432" s="26">
        <f>'[6]price list MAN'!H1432</f>
        <v>0</v>
      </c>
      <c r="I1432" s="51" t="str">
        <f t="shared" si="110"/>
        <v/>
      </c>
      <c r="J1432" s="177" t="e">
        <f>'[6]price list MAN'!J1432</f>
        <v>#N/A</v>
      </c>
      <c r="K1432" s="177" t="e">
        <f>'[6]price list MAN'!P1432</f>
        <v>#N/A</v>
      </c>
      <c r="L1432" s="177" t="e">
        <f>'[6]price list MAN'!R1432</f>
        <v>#N/A</v>
      </c>
      <c r="M1432" s="174" t="e">
        <f>'[6]price list MAN'!S1432</f>
        <v>#N/A</v>
      </c>
      <c r="N1432" s="174" t="e">
        <f>'[6]price list MAN'!Y1432</f>
        <v>#N/A</v>
      </c>
      <c r="O1432" s="174" t="e">
        <f>'[6]price list MAN'!AA1432</f>
        <v>#N/A</v>
      </c>
      <c r="P1432" s="68" t="e">
        <f t="shared" si="111"/>
        <v>#N/A</v>
      </c>
      <c r="Q1432" s="62" t="e">
        <f>O1432-#REF!</f>
        <v>#N/A</v>
      </c>
      <c r="AT1432" s="425" t="str">
        <f t="shared" si="112"/>
        <v>Special Order0</v>
      </c>
      <c r="AU1432" s="64" t="str">
        <f t="shared" si="113"/>
        <v>01-1900</v>
      </c>
      <c r="BA1432" s="428" t="str">
        <f t="shared" si="114"/>
        <v/>
      </c>
    </row>
    <row r="1433" spans="2:53">
      <c r="B1433" s="36">
        <f>'[6]price list MAN'!B1433</f>
        <v>0</v>
      </c>
      <c r="C1433" s="10">
        <f>'[6]price list MAN'!C1433</f>
        <v>0</v>
      </c>
      <c r="D1433" s="16" t="str">
        <f>IFERROR(VLOOKUP(C1433&amp;"",'[7]Retail Price List'!$A$3:$B$103,2,FALSE),"Special Order")</f>
        <v>Special Order</v>
      </c>
      <c r="E1433" s="494">
        <f>'[6]price list MAN'!E1433</f>
        <v>0</v>
      </c>
      <c r="F1433" s="11">
        <f>'[6]price list MAN'!F1433</f>
        <v>0</v>
      </c>
      <c r="G1433" s="32">
        <f>'[6]price list MAN'!G1433</f>
        <v>0</v>
      </c>
      <c r="H1433" s="26">
        <f>'[6]price list MAN'!H1433</f>
        <v>0</v>
      </c>
      <c r="I1433" s="51" t="str">
        <f t="shared" si="110"/>
        <v/>
      </c>
      <c r="J1433" s="177" t="e">
        <f>'[6]price list MAN'!J1433</f>
        <v>#N/A</v>
      </c>
      <c r="K1433" s="177" t="e">
        <f>'[6]price list MAN'!P1433</f>
        <v>#N/A</v>
      </c>
      <c r="L1433" s="177" t="e">
        <f>'[6]price list MAN'!R1433</f>
        <v>#N/A</v>
      </c>
      <c r="M1433" s="174" t="e">
        <f>'[6]price list MAN'!S1433</f>
        <v>#N/A</v>
      </c>
      <c r="N1433" s="174" t="e">
        <f>'[6]price list MAN'!Y1433</f>
        <v>#N/A</v>
      </c>
      <c r="O1433" s="174" t="e">
        <f>'[6]price list MAN'!AA1433</f>
        <v>#N/A</v>
      </c>
      <c r="P1433" s="68" t="e">
        <f t="shared" si="111"/>
        <v>#N/A</v>
      </c>
      <c r="Q1433" s="62" t="e">
        <f>O1433-#REF!</f>
        <v>#N/A</v>
      </c>
      <c r="AT1433" s="425" t="str">
        <f t="shared" si="112"/>
        <v>Special Order0</v>
      </c>
      <c r="AU1433" s="64" t="str">
        <f t="shared" si="113"/>
        <v>01-1900</v>
      </c>
      <c r="BA1433" s="428" t="str">
        <f t="shared" si="114"/>
        <v/>
      </c>
    </row>
    <row r="1434" spans="2:53">
      <c r="B1434" s="36">
        <f>'[6]price list MAN'!B1434</f>
        <v>0</v>
      </c>
      <c r="C1434" s="10">
        <f>'[6]price list MAN'!C1434</f>
        <v>0</v>
      </c>
      <c r="D1434" s="16" t="str">
        <f>IFERROR(VLOOKUP(C1434&amp;"",'[7]Retail Price List'!$A$3:$B$103,2,FALSE),"Special Order")</f>
        <v>Special Order</v>
      </c>
      <c r="E1434" s="494">
        <f>'[6]price list MAN'!E1434</f>
        <v>0</v>
      </c>
      <c r="F1434" s="11">
        <f>'[6]price list MAN'!F1434</f>
        <v>0</v>
      </c>
      <c r="G1434" s="32">
        <f>'[6]price list MAN'!G1434</f>
        <v>0</v>
      </c>
      <c r="H1434" s="26">
        <f>'[6]price list MAN'!H1434</f>
        <v>0</v>
      </c>
      <c r="I1434" s="51" t="str">
        <f t="shared" si="110"/>
        <v/>
      </c>
      <c r="J1434" s="177" t="e">
        <f>'[6]price list MAN'!J1434</f>
        <v>#N/A</v>
      </c>
      <c r="K1434" s="177" t="e">
        <f>'[6]price list MAN'!P1434</f>
        <v>#N/A</v>
      </c>
      <c r="L1434" s="177" t="e">
        <f>'[6]price list MAN'!R1434</f>
        <v>#N/A</v>
      </c>
      <c r="M1434" s="174" t="e">
        <f>'[6]price list MAN'!S1434</f>
        <v>#N/A</v>
      </c>
      <c r="N1434" s="174" t="e">
        <f>'[6]price list MAN'!Y1434</f>
        <v>#N/A</v>
      </c>
      <c r="O1434" s="174" t="e">
        <f>'[6]price list MAN'!AA1434</f>
        <v>#N/A</v>
      </c>
      <c r="P1434" s="68" t="e">
        <f t="shared" si="111"/>
        <v>#N/A</v>
      </c>
      <c r="Q1434" s="62" t="e">
        <f>O1434-#REF!</f>
        <v>#N/A</v>
      </c>
      <c r="AT1434" s="425" t="str">
        <f t="shared" si="112"/>
        <v>Special Order0</v>
      </c>
      <c r="AU1434" s="64" t="str">
        <f t="shared" si="113"/>
        <v>01-1900</v>
      </c>
      <c r="BA1434" s="428" t="str">
        <f t="shared" si="114"/>
        <v/>
      </c>
    </row>
    <row r="1435" spans="2:53">
      <c r="B1435" s="36">
        <f>'[6]price list MAN'!B1435</f>
        <v>0</v>
      </c>
      <c r="C1435" s="10">
        <f>'[6]price list MAN'!C1435</f>
        <v>0</v>
      </c>
      <c r="D1435" s="16" t="str">
        <f>IFERROR(VLOOKUP(C1435&amp;"",'[7]Retail Price List'!$A$3:$B$103,2,FALSE),"Special Order")</f>
        <v>Special Order</v>
      </c>
      <c r="E1435" s="494">
        <f>'[6]price list MAN'!E1435</f>
        <v>0</v>
      </c>
      <c r="F1435" s="11">
        <f>'[6]price list MAN'!F1435</f>
        <v>0</v>
      </c>
      <c r="G1435" s="32">
        <f>'[6]price list MAN'!G1435</f>
        <v>0</v>
      </c>
      <c r="H1435" s="26">
        <f>'[6]price list MAN'!H1435</f>
        <v>0</v>
      </c>
      <c r="I1435" s="51" t="str">
        <f t="shared" si="110"/>
        <v/>
      </c>
      <c r="J1435" s="177" t="e">
        <f>'[6]price list MAN'!J1435</f>
        <v>#N/A</v>
      </c>
      <c r="K1435" s="177" t="e">
        <f>'[6]price list MAN'!P1435</f>
        <v>#N/A</v>
      </c>
      <c r="L1435" s="177" t="e">
        <f>'[6]price list MAN'!R1435</f>
        <v>#N/A</v>
      </c>
      <c r="M1435" s="174" t="e">
        <f>'[6]price list MAN'!S1435</f>
        <v>#N/A</v>
      </c>
      <c r="N1435" s="174" t="e">
        <f>'[6]price list MAN'!Y1435</f>
        <v>#N/A</v>
      </c>
      <c r="O1435" s="174" t="e">
        <f>'[6]price list MAN'!AA1435</f>
        <v>#N/A</v>
      </c>
      <c r="P1435" s="68" t="e">
        <f t="shared" si="111"/>
        <v>#N/A</v>
      </c>
      <c r="Q1435" s="62" t="e">
        <f>O1435-#REF!</f>
        <v>#N/A</v>
      </c>
      <c r="AT1435" s="425" t="str">
        <f t="shared" si="112"/>
        <v>Special Order0</v>
      </c>
      <c r="AU1435" s="64" t="str">
        <f t="shared" si="113"/>
        <v>01-1900</v>
      </c>
      <c r="BA1435" s="428" t="str">
        <f t="shared" si="114"/>
        <v/>
      </c>
    </row>
    <row r="1436" spans="2:53">
      <c r="B1436" s="36">
        <f>'[6]price list MAN'!B1436</f>
        <v>0</v>
      </c>
      <c r="C1436" s="10">
        <f>'[6]price list MAN'!C1436</f>
        <v>0</v>
      </c>
      <c r="D1436" s="16" t="str">
        <f>IFERROR(VLOOKUP(C1436&amp;"",'[7]Retail Price List'!$A$3:$B$103,2,FALSE),"Special Order")</f>
        <v>Special Order</v>
      </c>
      <c r="E1436" s="494">
        <f>'[6]price list MAN'!E1436</f>
        <v>0</v>
      </c>
      <c r="F1436" s="11">
        <f>'[6]price list MAN'!F1436</f>
        <v>0</v>
      </c>
      <c r="G1436" s="32">
        <f>'[6]price list MAN'!G1436</f>
        <v>0</v>
      </c>
      <c r="H1436" s="26">
        <f>'[6]price list MAN'!H1436</f>
        <v>0</v>
      </c>
      <c r="I1436" s="51" t="str">
        <f t="shared" si="110"/>
        <v/>
      </c>
      <c r="J1436" s="177" t="e">
        <f>'[6]price list MAN'!J1436</f>
        <v>#N/A</v>
      </c>
      <c r="K1436" s="177" t="e">
        <f>'[6]price list MAN'!P1436</f>
        <v>#N/A</v>
      </c>
      <c r="L1436" s="177" t="e">
        <f>'[6]price list MAN'!R1436</f>
        <v>#N/A</v>
      </c>
      <c r="M1436" s="174" t="e">
        <f>'[6]price list MAN'!S1436</f>
        <v>#N/A</v>
      </c>
      <c r="N1436" s="174" t="e">
        <f>'[6]price list MAN'!Y1436</f>
        <v>#N/A</v>
      </c>
      <c r="O1436" s="174" t="e">
        <f>'[6]price list MAN'!AA1436</f>
        <v>#N/A</v>
      </c>
      <c r="P1436" s="68" t="e">
        <f t="shared" si="111"/>
        <v>#N/A</v>
      </c>
      <c r="Q1436" s="62" t="e">
        <f>O1436-#REF!</f>
        <v>#N/A</v>
      </c>
      <c r="AT1436" s="425" t="str">
        <f t="shared" si="112"/>
        <v>Special Order0</v>
      </c>
      <c r="AU1436" s="64" t="str">
        <f t="shared" si="113"/>
        <v>01-1900</v>
      </c>
      <c r="BA1436" s="428" t="str">
        <f t="shared" si="114"/>
        <v/>
      </c>
    </row>
    <row r="1437" spans="2:53">
      <c r="B1437" s="36">
        <f>'[6]price list MAN'!B1437</f>
        <v>0</v>
      </c>
      <c r="C1437" s="10">
        <f>'[6]price list MAN'!C1437</f>
        <v>0</v>
      </c>
      <c r="D1437" s="16" t="str">
        <f>IFERROR(VLOOKUP(C1437&amp;"",'[7]Retail Price List'!$A$3:$B$103,2,FALSE),"Special Order")</f>
        <v>Special Order</v>
      </c>
      <c r="E1437" s="494">
        <f>'[6]price list MAN'!E1437</f>
        <v>0</v>
      </c>
      <c r="F1437" s="11">
        <f>'[6]price list MAN'!F1437</f>
        <v>0</v>
      </c>
      <c r="G1437" s="32">
        <f>'[6]price list MAN'!G1437</f>
        <v>0</v>
      </c>
      <c r="H1437" s="26">
        <f>'[6]price list MAN'!H1437</f>
        <v>0</v>
      </c>
      <c r="I1437" s="51" t="str">
        <f t="shared" si="110"/>
        <v/>
      </c>
      <c r="J1437" s="177" t="e">
        <f>'[6]price list MAN'!J1437</f>
        <v>#N/A</v>
      </c>
      <c r="K1437" s="177" t="e">
        <f>'[6]price list MAN'!P1437</f>
        <v>#N/A</v>
      </c>
      <c r="L1437" s="177" t="e">
        <f>'[6]price list MAN'!R1437</f>
        <v>#N/A</v>
      </c>
      <c r="M1437" s="174" t="e">
        <f>'[6]price list MAN'!S1437</f>
        <v>#N/A</v>
      </c>
      <c r="N1437" s="174" t="e">
        <f>'[6]price list MAN'!Y1437</f>
        <v>#N/A</v>
      </c>
      <c r="O1437" s="174" t="e">
        <f>'[6]price list MAN'!AA1437</f>
        <v>#N/A</v>
      </c>
      <c r="P1437" s="68" t="e">
        <f t="shared" si="111"/>
        <v>#N/A</v>
      </c>
      <c r="Q1437" s="62" t="e">
        <f>O1437-#REF!</f>
        <v>#N/A</v>
      </c>
      <c r="AT1437" s="425" t="str">
        <f t="shared" si="112"/>
        <v>Special Order0</v>
      </c>
      <c r="AU1437" s="64" t="str">
        <f t="shared" si="113"/>
        <v>01-1900</v>
      </c>
      <c r="BA1437" s="428" t="str">
        <f t="shared" si="114"/>
        <v/>
      </c>
    </row>
    <row r="1438" spans="2:53">
      <c r="B1438" s="36">
        <f>'[6]price list MAN'!B1438</f>
        <v>0</v>
      </c>
      <c r="C1438" s="10">
        <f>'[6]price list MAN'!C1438</f>
        <v>0</v>
      </c>
      <c r="D1438" s="16" t="str">
        <f>IFERROR(VLOOKUP(C1438&amp;"",'[7]Retail Price List'!$A$3:$B$103,2,FALSE),"Special Order")</f>
        <v>Special Order</v>
      </c>
      <c r="E1438" s="494">
        <f>'[6]price list MAN'!E1438</f>
        <v>0</v>
      </c>
      <c r="F1438" s="11">
        <f>'[6]price list MAN'!F1438</f>
        <v>0</v>
      </c>
      <c r="G1438" s="32">
        <f>'[6]price list MAN'!G1438</f>
        <v>0</v>
      </c>
      <c r="H1438" s="26">
        <f>'[6]price list MAN'!H1438</f>
        <v>0</v>
      </c>
      <c r="I1438" s="51" t="str">
        <f t="shared" si="110"/>
        <v/>
      </c>
      <c r="J1438" s="177" t="e">
        <f>'[6]price list MAN'!J1438</f>
        <v>#N/A</v>
      </c>
      <c r="K1438" s="177" t="e">
        <f>'[6]price list MAN'!P1438</f>
        <v>#N/A</v>
      </c>
      <c r="L1438" s="177" t="e">
        <f>'[6]price list MAN'!R1438</f>
        <v>#N/A</v>
      </c>
      <c r="M1438" s="174" t="e">
        <f>'[6]price list MAN'!S1438</f>
        <v>#N/A</v>
      </c>
      <c r="N1438" s="174" t="e">
        <f>'[6]price list MAN'!Y1438</f>
        <v>#N/A</v>
      </c>
      <c r="O1438" s="174" t="e">
        <f>'[6]price list MAN'!AA1438</f>
        <v>#N/A</v>
      </c>
      <c r="P1438" s="68" t="e">
        <f t="shared" si="111"/>
        <v>#N/A</v>
      </c>
      <c r="Q1438" s="62" t="e">
        <f>O1438-#REF!</f>
        <v>#N/A</v>
      </c>
      <c r="AT1438" s="425" t="str">
        <f t="shared" si="112"/>
        <v>Special Order0</v>
      </c>
      <c r="AU1438" s="64" t="str">
        <f t="shared" si="113"/>
        <v>01-1900</v>
      </c>
      <c r="BA1438" s="428" t="str">
        <f t="shared" si="114"/>
        <v/>
      </c>
    </row>
    <row r="1439" spans="2:53">
      <c r="B1439" s="36">
        <f>'[6]price list MAN'!B1439</f>
        <v>0</v>
      </c>
      <c r="C1439" s="10">
        <f>'[6]price list MAN'!C1439</f>
        <v>0</v>
      </c>
      <c r="D1439" s="16" t="str">
        <f>IFERROR(VLOOKUP(C1439&amp;"",'[7]Retail Price List'!$A$3:$B$103,2,FALSE),"Special Order")</f>
        <v>Special Order</v>
      </c>
      <c r="E1439" s="494">
        <f>'[6]price list MAN'!E1439</f>
        <v>0</v>
      </c>
      <c r="F1439" s="11">
        <f>'[6]price list MAN'!F1439</f>
        <v>0</v>
      </c>
      <c r="G1439" s="32">
        <f>'[6]price list MAN'!G1439</f>
        <v>0</v>
      </c>
      <c r="H1439" s="26">
        <f>'[6]price list MAN'!H1439</f>
        <v>0</v>
      </c>
      <c r="I1439" s="51" t="str">
        <f t="shared" si="110"/>
        <v/>
      </c>
      <c r="J1439" s="177" t="e">
        <f>'[6]price list MAN'!J1439</f>
        <v>#N/A</v>
      </c>
      <c r="K1439" s="177" t="e">
        <f>'[6]price list MAN'!P1439</f>
        <v>#N/A</v>
      </c>
      <c r="L1439" s="177" t="e">
        <f>'[6]price list MAN'!R1439</f>
        <v>#N/A</v>
      </c>
      <c r="M1439" s="174" t="e">
        <f>'[6]price list MAN'!S1439</f>
        <v>#N/A</v>
      </c>
      <c r="N1439" s="174" t="e">
        <f>'[6]price list MAN'!Y1439</f>
        <v>#N/A</v>
      </c>
      <c r="O1439" s="174" t="e">
        <f>'[6]price list MAN'!AA1439</f>
        <v>#N/A</v>
      </c>
      <c r="P1439" s="68" t="e">
        <f t="shared" si="111"/>
        <v>#N/A</v>
      </c>
      <c r="Q1439" s="62" t="e">
        <f>O1439-#REF!</f>
        <v>#N/A</v>
      </c>
      <c r="AT1439" s="425" t="str">
        <f t="shared" si="112"/>
        <v>Special Order0</v>
      </c>
      <c r="AU1439" s="64" t="str">
        <f t="shared" si="113"/>
        <v>01-1900</v>
      </c>
      <c r="BA1439" s="428" t="str">
        <f t="shared" si="114"/>
        <v/>
      </c>
    </row>
    <row r="1440" spans="2:53">
      <c r="B1440" s="36">
        <f>'[6]price list MAN'!B1440</f>
        <v>0</v>
      </c>
      <c r="C1440" s="10">
        <f>'[6]price list MAN'!C1440</f>
        <v>0</v>
      </c>
      <c r="D1440" s="16" t="str">
        <f>IFERROR(VLOOKUP(C1440&amp;"",'[7]Retail Price List'!$A$3:$B$103,2,FALSE),"Special Order")</f>
        <v>Special Order</v>
      </c>
      <c r="E1440" s="494">
        <f>'[6]price list MAN'!E1440</f>
        <v>0</v>
      </c>
      <c r="F1440" s="11">
        <f>'[6]price list MAN'!F1440</f>
        <v>0</v>
      </c>
      <c r="G1440" s="32">
        <f>'[6]price list MAN'!G1440</f>
        <v>0</v>
      </c>
      <c r="H1440" s="26">
        <f>'[6]price list MAN'!H1440</f>
        <v>0</v>
      </c>
      <c r="I1440" s="51" t="str">
        <f t="shared" si="110"/>
        <v/>
      </c>
      <c r="J1440" s="177" t="e">
        <f>'[6]price list MAN'!J1440</f>
        <v>#N/A</v>
      </c>
      <c r="K1440" s="177" t="e">
        <f>'[6]price list MAN'!P1440</f>
        <v>#N/A</v>
      </c>
      <c r="L1440" s="177" t="e">
        <f>'[6]price list MAN'!R1440</f>
        <v>#N/A</v>
      </c>
      <c r="M1440" s="174" t="e">
        <f>'[6]price list MAN'!S1440</f>
        <v>#N/A</v>
      </c>
      <c r="N1440" s="174" t="e">
        <f>'[6]price list MAN'!Y1440</f>
        <v>#N/A</v>
      </c>
      <c r="O1440" s="174" t="e">
        <f>'[6]price list MAN'!AA1440</f>
        <v>#N/A</v>
      </c>
      <c r="P1440" s="68" t="e">
        <f t="shared" si="111"/>
        <v>#N/A</v>
      </c>
      <c r="Q1440" s="62" t="e">
        <f>O1440-#REF!</f>
        <v>#N/A</v>
      </c>
      <c r="AT1440" s="425" t="str">
        <f t="shared" si="112"/>
        <v>Special Order0</v>
      </c>
      <c r="AU1440" s="64" t="str">
        <f t="shared" si="113"/>
        <v>01-1900</v>
      </c>
      <c r="BA1440" s="428" t="str">
        <f t="shared" si="114"/>
        <v/>
      </c>
    </row>
    <row r="1441" spans="2:53">
      <c r="B1441" s="36">
        <f>'[6]price list MAN'!B1441</f>
        <v>0</v>
      </c>
      <c r="C1441" s="10">
        <f>'[6]price list MAN'!C1441</f>
        <v>0</v>
      </c>
      <c r="D1441" s="16" t="str">
        <f>IFERROR(VLOOKUP(C1441&amp;"",'[7]Retail Price List'!$A$3:$B$103,2,FALSE),"Special Order")</f>
        <v>Special Order</v>
      </c>
      <c r="E1441" s="494">
        <f>'[6]price list MAN'!E1441</f>
        <v>0</v>
      </c>
      <c r="F1441" s="11">
        <f>'[6]price list MAN'!F1441</f>
        <v>0</v>
      </c>
      <c r="G1441" s="32">
        <f>'[6]price list MAN'!G1441</f>
        <v>0</v>
      </c>
      <c r="H1441" s="26">
        <f>'[6]price list MAN'!H1441</f>
        <v>0</v>
      </c>
      <c r="I1441" s="51" t="str">
        <f t="shared" si="110"/>
        <v/>
      </c>
      <c r="J1441" s="177" t="e">
        <f>'[6]price list MAN'!J1441</f>
        <v>#N/A</v>
      </c>
      <c r="K1441" s="177" t="e">
        <f>'[6]price list MAN'!P1441</f>
        <v>#N/A</v>
      </c>
      <c r="L1441" s="177" t="e">
        <f>'[6]price list MAN'!R1441</f>
        <v>#N/A</v>
      </c>
      <c r="M1441" s="174" t="e">
        <f>'[6]price list MAN'!S1441</f>
        <v>#N/A</v>
      </c>
      <c r="N1441" s="174" t="e">
        <f>'[6]price list MAN'!Y1441</f>
        <v>#N/A</v>
      </c>
      <c r="O1441" s="174" t="e">
        <f>'[6]price list MAN'!AA1441</f>
        <v>#N/A</v>
      </c>
      <c r="P1441" s="68" t="e">
        <f t="shared" si="111"/>
        <v>#N/A</v>
      </c>
      <c r="Q1441" s="62" t="e">
        <f>O1441-#REF!</f>
        <v>#N/A</v>
      </c>
      <c r="AT1441" s="425" t="str">
        <f t="shared" si="112"/>
        <v>Special Order0</v>
      </c>
      <c r="AU1441" s="64" t="str">
        <f t="shared" si="113"/>
        <v>01-1900</v>
      </c>
      <c r="BA1441" s="428" t="str">
        <f t="shared" si="114"/>
        <v/>
      </c>
    </row>
    <row r="1442" spans="2:53">
      <c r="B1442" s="36">
        <f>'[6]price list MAN'!B1442</f>
        <v>0</v>
      </c>
      <c r="C1442" s="10">
        <f>'[6]price list MAN'!C1442</f>
        <v>0</v>
      </c>
      <c r="D1442" s="16" t="str">
        <f>IFERROR(VLOOKUP(C1442&amp;"",'[7]Retail Price List'!$A$3:$B$103,2,FALSE),"Special Order")</f>
        <v>Special Order</v>
      </c>
      <c r="E1442" s="494">
        <f>'[6]price list MAN'!E1442</f>
        <v>0</v>
      </c>
      <c r="F1442" s="11">
        <f>'[6]price list MAN'!F1442</f>
        <v>0</v>
      </c>
      <c r="G1442" s="32">
        <f>'[6]price list MAN'!G1442</f>
        <v>0</v>
      </c>
      <c r="H1442" s="26">
        <f>'[6]price list MAN'!H1442</f>
        <v>0</v>
      </c>
      <c r="I1442" s="51" t="str">
        <f t="shared" si="110"/>
        <v/>
      </c>
      <c r="J1442" s="177" t="e">
        <f>'[6]price list MAN'!J1442</f>
        <v>#N/A</v>
      </c>
      <c r="K1442" s="177" t="e">
        <f>'[6]price list MAN'!P1442</f>
        <v>#N/A</v>
      </c>
      <c r="L1442" s="177" t="e">
        <f>'[6]price list MAN'!R1442</f>
        <v>#N/A</v>
      </c>
      <c r="M1442" s="174" t="e">
        <f>'[6]price list MAN'!S1442</f>
        <v>#N/A</v>
      </c>
      <c r="N1442" s="174" t="e">
        <f>'[6]price list MAN'!Y1442</f>
        <v>#N/A</v>
      </c>
      <c r="O1442" s="174" t="e">
        <f>'[6]price list MAN'!AA1442</f>
        <v>#N/A</v>
      </c>
      <c r="P1442" s="68" t="e">
        <f t="shared" si="111"/>
        <v>#N/A</v>
      </c>
      <c r="Q1442" s="62" t="e">
        <f>O1442-#REF!</f>
        <v>#N/A</v>
      </c>
      <c r="AT1442" s="425" t="str">
        <f t="shared" si="112"/>
        <v>Special Order0</v>
      </c>
      <c r="AU1442" s="64" t="str">
        <f t="shared" si="113"/>
        <v>01-1900</v>
      </c>
      <c r="BA1442" s="428" t="str">
        <f t="shared" si="114"/>
        <v/>
      </c>
    </row>
    <row r="1443" spans="2:53">
      <c r="B1443" s="36">
        <f>'[6]price list MAN'!B1443</f>
        <v>0</v>
      </c>
      <c r="C1443" s="10">
        <f>'[6]price list MAN'!C1443</f>
        <v>0</v>
      </c>
      <c r="D1443" s="16" t="str">
        <f>IFERROR(VLOOKUP(C1443&amp;"",'[7]Retail Price List'!$A$3:$B$103,2,FALSE),"Special Order")</f>
        <v>Special Order</v>
      </c>
      <c r="E1443" s="494">
        <f>'[6]price list MAN'!E1443</f>
        <v>0</v>
      </c>
      <c r="F1443" s="11">
        <f>'[6]price list MAN'!F1443</f>
        <v>0</v>
      </c>
      <c r="G1443" s="32">
        <f>'[6]price list MAN'!G1443</f>
        <v>0</v>
      </c>
      <c r="H1443" s="26">
        <f>'[6]price list MAN'!H1443</f>
        <v>0</v>
      </c>
      <c r="I1443" s="51" t="str">
        <f t="shared" si="110"/>
        <v/>
      </c>
      <c r="J1443" s="177" t="e">
        <f>'[6]price list MAN'!J1443</f>
        <v>#N/A</v>
      </c>
      <c r="K1443" s="177" t="e">
        <f>'[6]price list MAN'!P1443</f>
        <v>#N/A</v>
      </c>
      <c r="L1443" s="177" t="e">
        <f>'[6]price list MAN'!R1443</f>
        <v>#N/A</v>
      </c>
      <c r="M1443" s="174" t="e">
        <f>'[6]price list MAN'!S1443</f>
        <v>#N/A</v>
      </c>
      <c r="N1443" s="174" t="e">
        <f>'[6]price list MAN'!Y1443</f>
        <v>#N/A</v>
      </c>
      <c r="O1443" s="174" t="e">
        <f>'[6]price list MAN'!AA1443</f>
        <v>#N/A</v>
      </c>
      <c r="P1443" s="68" t="e">
        <f t="shared" si="111"/>
        <v>#N/A</v>
      </c>
      <c r="Q1443" s="62" t="e">
        <f>O1443-#REF!</f>
        <v>#N/A</v>
      </c>
      <c r="AT1443" s="425" t="str">
        <f t="shared" si="112"/>
        <v>Special Order0</v>
      </c>
      <c r="AU1443" s="64" t="str">
        <f t="shared" si="113"/>
        <v>01-1900</v>
      </c>
      <c r="BA1443" s="428" t="str">
        <f t="shared" si="114"/>
        <v/>
      </c>
    </row>
    <row r="1444" spans="2:53">
      <c r="B1444" s="36">
        <f>'[6]price list MAN'!B1444</f>
        <v>0</v>
      </c>
      <c r="C1444" s="10">
        <f>'[6]price list MAN'!C1444</f>
        <v>0</v>
      </c>
      <c r="D1444" s="16" t="str">
        <f>IFERROR(VLOOKUP(C1444&amp;"",'[7]Retail Price List'!$A$3:$B$103,2,FALSE),"Special Order")</f>
        <v>Special Order</v>
      </c>
      <c r="E1444" s="494">
        <f>'[6]price list MAN'!E1444</f>
        <v>0</v>
      </c>
      <c r="F1444" s="11">
        <f>'[6]price list MAN'!F1444</f>
        <v>0</v>
      </c>
      <c r="G1444" s="32">
        <f>'[6]price list MAN'!G1444</f>
        <v>0</v>
      </c>
      <c r="H1444" s="26">
        <f>'[6]price list MAN'!H1444</f>
        <v>0</v>
      </c>
      <c r="I1444" s="51" t="str">
        <f t="shared" si="110"/>
        <v/>
      </c>
      <c r="J1444" s="177" t="e">
        <f>'[6]price list MAN'!J1444</f>
        <v>#N/A</v>
      </c>
      <c r="K1444" s="177" t="e">
        <f>'[6]price list MAN'!P1444</f>
        <v>#N/A</v>
      </c>
      <c r="L1444" s="177" t="e">
        <f>'[6]price list MAN'!R1444</f>
        <v>#N/A</v>
      </c>
      <c r="M1444" s="174" t="e">
        <f>'[6]price list MAN'!S1444</f>
        <v>#N/A</v>
      </c>
      <c r="N1444" s="174" t="e">
        <f>'[6]price list MAN'!Y1444</f>
        <v>#N/A</v>
      </c>
      <c r="O1444" s="174" t="e">
        <f>'[6]price list MAN'!AA1444</f>
        <v>#N/A</v>
      </c>
      <c r="P1444" s="68" t="e">
        <f t="shared" si="111"/>
        <v>#N/A</v>
      </c>
      <c r="Q1444" s="62" t="e">
        <f>O1444-#REF!</f>
        <v>#N/A</v>
      </c>
      <c r="AT1444" s="425" t="str">
        <f t="shared" si="112"/>
        <v>Special Order0</v>
      </c>
      <c r="AU1444" s="64" t="str">
        <f t="shared" si="113"/>
        <v>01-1900</v>
      </c>
      <c r="BA1444" s="428" t="str">
        <f t="shared" si="114"/>
        <v/>
      </c>
    </row>
    <row r="1445" spans="2:53">
      <c r="B1445" s="36">
        <f>'[6]price list MAN'!B1445</f>
        <v>0</v>
      </c>
      <c r="C1445" s="10">
        <f>'[6]price list MAN'!C1445</f>
        <v>0</v>
      </c>
      <c r="D1445" s="16" t="str">
        <f>IFERROR(VLOOKUP(C1445&amp;"",'[7]Retail Price List'!$A$3:$B$103,2,FALSE),"Special Order")</f>
        <v>Special Order</v>
      </c>
      <c r="E1445" s="494">
        <f>'[6]price list MAN'!E1445</f>
        <v>0</v>
      </c>
      <c r="F1445" s="11">
        <f>'[6]price list MAN'!F1445</f>
        <v>0</v>
      </c>
      <c r="G1445" s="32">
        <f>'[6]price list MAN'!G1445</f>
        <v>0</v>
      </c>
      <c r="H1445" s="26">
        <f>'[6]price list MAN'!H1445</f>
        <v>0</v>
      </c>
      <c r="I1445" s="51" t="str">
        <f t="shared" si="110"/>
        <v/>
      </c>
      <c r="J1445" s="177" t="e">
        <f>'[6]price list MAN'!J1445</f>
        <v>#N/A</v>
      </c>
      <c r="K1445" s="177" t="e">
        <f>'[6]price list MAN'!P1445</f>
        <v>#N/A</v>
      </c>
      <c r="L1445" s="177" t="e">
        <f>'[6]price list MAN'!R1445</f>
        <v>#N/A</v>
      </c>
      <c r="M1445" s="174" t="e">
        <f>'[6]price list MAN'!S1445</f>
        <v>#N/A</v>
      </c>
      <c r="N1445" s="174" t="e">
        <f>'[6]price list MAN'!Y1445</f>
        <v>#N/A</v>
      </c>
      <c r="O1445" s="174" t="e">
        <f>'[6]price list MAN'!AA1445</f>
        <v>#N/A</v>
      </c>
      <c r="P1445" s="68" t="e">
        <f t="shared" si="111"/>
        <v>#N/A</v>
      </c>
      <c r="Q1445" s="62" t="e">
        <f>O1445-#REF!</f>
        <v>#N/A</v>
      </c>
      <c r="AT1445" s="425" t="str">
        <f t="shared" si="112"/>
        <v>Special Order0</v>
      </c>
      <c r="AU1445" s="64" t="str">
        <f t="shared" si="113"/>
        <v>01-1900</v>
      </c>
      <c r="BA1445" s="428" t="str">
        <f t="shared" si="114"/>
        <v/>
      </c>
    </row>
    <row r="1446" spans="2:53">
      <c r="B1446" s="36">
        <f>'[6]price list MAN'!B1446</f>
        <v>0</v>
      </c>
      <c r="C1446" s="10">
        <f>'[6]price list MAN'!C1446</f>
        <v>0</v>
      </c>
      <c r="D1446" s="16" t="str">
        <f>IFERROR(VLOOKUP(C1446&amp;"",'[7]Retail Price List'!$A$3:$B$103,2,FALSE),"Special Order")</f>
        <v>Special Order</v>
      </c>
      <c r="E1446" s="494">
        <f>'[6]price list MAN'!E1446</f>
        <v>0</v>
      </c>
      <c r="F1446" s="11">
        <f>'[6]price list MAN'!F1446</f>
        <v>0</v>
      </c>
      <c r="G1446" s="32">
        <f>'[6]price list MAN'!G1446</f>
        <v>0</v>
      </c>
      <c r="H1446" s="26">
        <f>'[6]price list MAN'!H1446</f>
        <v>0</v>
      </c>
      <c r="I1446" s="51" t="str">
        <f t="shared" si="110"/>
        <v/>
      </c>
      <c r="J1446" s="177" t="e">
        <f>'[6]price list MAN'!J1446</f>
        <v>#N/A</v>
      </c>
      <c r="K1446" s="177" t="e">
        <f>'[6]price list MAN'!P1446</f>
        <v>#N/A</v>
      </c>
      <c r="L1446" s="177" t="e">
        <f>'[6]price list MAN'!R1446</f>
        <v>#N/A</v>
      </c>
      <c r="M1446" s="174" t="e">
        <f>'[6]price list MAN'!S1446</f>
        <v>#N/A</v>
      </c>
      <c r="N1446" s="174" t="e">
        <f>'[6]price list MAN'!Y1446</f>
        <v>#N/A</v>
      </c>
      <c r="O1446" s="174" t="e">
        <f>'[6]price list MAN'!AA1446</f>
        <v>#N/A</v>
      </c>
      <c r="P1446" s="68" t="e">
        <f t="shared" si="111"/>
        <v>#N/A</v>
      </c>
      <c r="Q1446" s="62" t="e">
        <f>O1446-#REF!</f>
        <v>#N/A</v>
      </c>
      <c r="AT1446" s="425" t="str">
        <f t="shared" si="112"/>
        <v>Special Order0</v>
      </c>
      <c r="AU1446" s="64" t="str">
        <f t="shared" si="113"/>
        <v>01-1900</v>
      </c>
      <c r="BA1446" s="428" t="str">
        <f t="shared" si="114"/>
        <v/>
      </c>
    </row>
    <row r="1447" spans="2:53">
      <c r="B1447" s="36">
        <f>'[6]price list MAN'!B1447</f>
        <v>0</v>
      </c>
      <c r="C1447" s="10">
        <f>'[6]price list MAN'!C1447</f>
        <v>0</v>
      </c>
      <c r="D1447" s="16" t="str">
        <f>IFERROR(VLOOKUP(C1447&amp;"",'[7]Retail Price List'!$A$3:$B$103,2,FALSE),"Special Order")</f>
        <v>Special Order</v>
      </c>
      <c r="E1447" s="494">
        <f>'[6]price list MAN'!E1447</f>
        <v>0</v>
      </c>
      <c r="F1447" s="11">
        <f>'[6]price list MAN'!F1447</f>
        <v>0</v>
      </c>
      <c r="G1447" s="32">
        <f>'[6]price list MAN'!G1447</f>
        <v>0</v>
      </c>
      <c r="H1447" s="26">
        <f>'[6]price list MAN'!H1447</f>
        <v>0</v>
      </c>
      <c r="I1447" s="51" t="str">
        <f t="shared" si="110"/>
        <v/>
      </c>
      <c r="J1447" s="177" t="e">
        <f>'[6]price list MAN'!J1447</f>
        <v>#N/A</v>
      </c>
      <c r="K1447" s="177" t="e">
        <f>'[6]price list MAN'!P1447</f>
        <v>#N/A</v>
      </c>
      <c r="L1447" s="177" t="e">
        <f>'[6]price list MAN'!R1447</f>
        <v>#N/A</v>
      </c>
      <c r="M1447" s="174" t="e">
        <f>'[6]price list MAN'!S1447</f>
        <v>#N/A</v>
      </c>
      <c r="N1447" s="174" t="e">
        <f>'[6]price list MAN'!Y1447</f>
        <v>#N/A</v>
      </c>
      <c r="O1447" s="174" t="e">
        <f>'[6]price list MAN'!AA1447</f>
        <v>#N/A</v>
      </c>
      <c r="P1447" s="68" t="e">
        <f t="shared" si="111"/>
        <v>#N/A</v>
      </c>
      <c r="Q1447" s="62" t="e">
        <f>O1447-#REF!</f>
        <v>#N/A</v>
      </c>
      <c r="AT1447" s="425" t="str">
        <f t="shared" si="112"/>
        <v>Special Order0</v>
      </c>
      <c r="AU1447" s="64" t="str">
        <f t="shared" si="113"/>
        <v>01-1900</v>
      </c>
      <c r="BA1447" s="428" t="str">
        <f t="shared" si="114"/>
        <v/>
      </c>
    </row>
    <row r="1448" spans="2:53">
      <c r="B1448" s="36">
        <f>'[6]price list MAN'!B1448</f>
        <v>0</v>
      </c>
      <c r="C1448" s="10">
        <f>'[6]price list MAN'!C1448</f>
        <v>0</v>
      </c>
      <c r="D1448" s="16" t="str">
        <f>IFERROR(VLOOKUP(C1448&amp;"",'[7]Retail Price List'!$A$3:$B$103,2,FALSE),"Special Order")</f>
        <v>Special Order</v>
      </c>
      <c r="E1448" s="494">
        <f>'[6]price list MAN'!E1448</f>
        <v>0</v>
      </c>
      <c r="F1448" s="11">
        <f>'[6]price list MAN'!F1448</f>
        <v>0</v>
      </c>
      <c r="G1448" s="32">
        <f>'[6]price list MAN'!G1448</f>
        <v>0</v>
      </c>
      <c r="H1448" s="26">
        <f>'[6]price list MAN'!H1448</f>
        <v>0</v>
      </c>
      <c r="I1448" s="51" t="str">
        <f t="shared" si="110"/>
        <v/>
      </c>
      <c r="J1448" s="177" t="e">
        <f>'[6]price list MAN'!J1448</f>
        <v>#N/A</v>
      </c>
      <c r="K1448" s="177" t="e">
        <f>'[6]price list MAN'!P1448</f>
        <v>#N/A</v>
      </c>
      <c r="L1448" s="177" t="e">
        <f>'[6]price list MAN'!R1448</f>
        <v>#N/A</v>
      </c>
      <c r="M1448" s="174" t="e">
        <f>'[6]price list MAN'!S1448</f>
        <v>#N/A</v>
      </c>
      <c r="N1448" s="174" t="e">
        <f>'[6]price list MAN'!Y1448</f>
        <v>#N/A</v>
      </c>
      <c r="O1448" s="174" t="e">
        <f>'[6]price list MAN'!AA1448</f>
        <v>#N/A</v>
      </c>
      <c r="P1448" s="68" t="e">
        <f t="shared" si="111"/>
        <v>#N/A</v>
      </c>
      <c r="Q1448" s="62" t="e">
        <f>O1448-#REF!</f>
        <v>#N/A</v>
      </c>
      <c r="AT1448" s="425" t="str">
        <f t="shared" si="112"/>
        <v>Special Order0</v>
      </c>
      <c r="AU1448" s="64" t="str">
        <f t="shared" si="113"/>
        <v>01-1900</v>
      </c>
      <c r="BA1448" s="428" t="str">
        <f t="shared" si="114"/>
        <v/>
      </c>
    </row>
    <row r="1449" spans="2:53">
      <c r="B1449" s="36">
        <f>'[6]price list MAN'!B1449</f>
        <v>0</v>
      </c>
      <c r="C1449" s="10">
        <f>'[6]price list MAN'!C1449</f>
        <v>0</v>
      </c>
      <c r="D1449" s="16" t="str">
        <f>IFERROR(VLOOKUP(C1449&amp;"",'[7]Retail Price List'!$A$3:$B$103,2,FALSE),"Special Order")</f>
        <v>Special Order</v>
      </c>
      <c r="E1449" s="494">
        <f>'[6]price list MAN'!E1449</f>
        <v>0</v>
      </c>
      <c r="F1449" s="11">
        <f>'[6]price list MAN'!F1449</f>
        <v>0</v>
      </c>
      <c r="G1449" s="32">
        <f>'[6]price list MAN'!G1449</f>
        <v>0</v>
      </c>
      <c r="H1449" s="26">
        <f>'[6]price list MAN'!H1449</f>
        <v>0</v>
      </c>
      <c r="I1449" s="51" t="str">
        <f t="shared" si="110"/>
        <v/>
      </c>
      <c r="J1449" s="177" t="e">
        <f>'[6]price list MAN'!J1449</f>
        <v>#N/A</v>
      </c>
      <c r="K1449" s="177" t="e">
        <f>'[6]price list MAN'!P1449</f>
        <v>#N/A</v>
      </c>
      <c r="L1449" s="177" t="e">
        <f>'[6]price list MAN'!R1449</f>
        <v>#N/A</v>
      </c>
      <c r="M1449" s="174" t="e">
        <f>'[6]price list MAN'!S1449</f>
        <v>#N/A</v>
      </c>
      <c r="N1449" s="174" t="e">
        <f>'[6]price list MAN'!Y1449</f>
        <v>#N/A</v>
      </c>
      <c r="O1449" s="174" t="e">
        <f>'[6]price list MAN'!AA1449</f>
        <v>#N/A</v>
      </c>
      <c r="P1449" s="68" t="e">
        <f t="shared" si="111"/>
        <v>#N/A</v>
      </c>
      <c r="Q1449" s="62" t="e">
        <f>O1449-#REF!</f>
        <v>#N/A</v>
      </c>
      <c r="AT1449" s="425" t="str">
        <f t="shared" si="112"/>
        <v>Special Order0</v>
      </c>
      <c r="AU1449" s="64" t="str">
        <f t="shared" si="113"/>
        <v>01-1900</v>
      </c>
      <c r="BA1449" s="428" t="str">
        <f t="shared" si="114"/>
        <v/>
      </c>
    </row>
    <row r="1450" spans="2:53">
      <c r="B1450" s="36">
        <f>'[6]price list MAN'!B1450</f>
        <v>0</v>
      </c>
      <c r="C1450" s="10">
        <f>'[6]price list MAN'!C1450</f>
        <v>0</v>
      </c>
      <c r="D1450" s="16" t="str">
        <f>IFERROR(VLOOKUP(C1450&amp;"",'[7]Retail Price List'!$A$3:$B$103,2,FALSE),"Special Order")</f>
        <v>Special Order</v>
      </c>
      <c r="E1450" s="494">
        <f>'[6]price list MAN'!E1450</f>
        <v>0</v>
      </c>
      <c r="F1450" s="11">
        <f>'[6]price list MAN'!F1450</f>
        <v>0</v>
      </c>
      <c r="G1450" s="32">
        <f>'[6]price list MAN'!G1450</f>
        <v>0</v>
      </c>
      <c r="H1450" s="26">
        <f>'[6]price list MAN'!H1450</f>
        <v>0</v>
      </c>
      <c r="I1450" s="51" t="str">
        <f t="shared" si="110"/>
        <v/>
      </c>
      <c r="J1450" s="177" t="e">
        <f>'[6]price list MAN'!J1450</f>
        <v>#N/A</v>
      </c>
      <c r="K1450" s="177" t="e">
        <f>'[6]price list MAN'!P1450</f>
        <v>#N/A</v>
      </c>
      <c r="L1450" s="177" t="e">
        <f>'[6]price list MAN'!R1450</f>
        <v>#N/A</v>
      </c>
      <c r="M1450" s="174" t="e">
        <f>'[6]price list MAN'!S1450</f>
        <v>#N/A</v>
      </c>
      <c r="N1450" s="174" t="e">
        <f>'[6]price list MAN'!Y1450</f>
        <v>#N/A</v>
      </c>
      <c r="O1450" s="174" t="e">
        <f>'[6]price list MAN'!AA1450</f>
        <v>#N/A</v>
      </c>
      <c r="P1450" s="68" t="e">
        <f t="shared" si="111"/>
        <v>#N/A</v>
      </c>
      <c r="Q1450" s="62" t="e">
        <f>O1450-#REF!</f>
        <v>#N/A</v>
      </c>
      <c r="AT1450" s="425" t="str">
        <f t="shared" si="112"/>
        <v>Special Order0</v>
      </c>
      <c r="AU1450" s="64" t="str">
        <f t="shared" si="113"/>
        <v>01-1900</v>
      </c>
      <c r="BA1450" s="428" t="str">
        <f t="shared" si="114"/>
        <v/>
      </c>
    </row>
    <row r="1451" spans="2:53">
      <c r="B1451" s="36">
        <f>'[6]price list MAN'!B1451</f>
        <v>0</v>
      </c>
      <c r="C1451" s="10">
        <f>'[6]price list MAN'!C1451</f>
        <v>0</v>
      </c>
      <c r="D1451" s="16" t="str">
        <f>IFERROR(VLOOKUP(C1451&amp;"",'[7]Retail Price List'!$A$3:$B$103,2,FALSE),"Special Order")</f>
        <v>Special Order</v>
      </c>
      <c r="E1451" s="494">
        <f>'[6]price list MAN'!E1451</f>
        <v>0</v>
      </c>
      <c r="F1451" s="11">
        <f>'[6]price list MAN'!F1451</f>
        <v>0</v>
      </c>
      <c r="G1451" s="32">
        <f>'[6]price list MAN'!G1451</f>
        <v>0</v>
      </c>
      <c r="H1451" s="26">
        <f>'[6]price list MAN'!H1451</f>
        <v>0</v>
      </c>
      <c r="I1451" s="51" t="str">
        <f t="shared" si="110"/>
        <v/>
      </c>
      <c r="J1451" s="177" t="e">
        <f>'[6]price list MAN'!J1451</f>
        <v>#N/A</v>
      </c>
      <c r="K1451" s="177" t="e">
        <f>'[6]price list MAN'!P1451</f>
        <v>#N/A</v>
      </c>
      <c r="L1451" s="177" t="e">
        <f>'[6]price list MAN'!R1451</f>
        <v>#N/A</v>
      </c>
      <c r="M1451" s="174" t="e">
        <f>'[6]price list MAN'!S1451</f>
        <v>#N/A</v>
      </c>
      <c r="N1451" s="174" t="e">
        <f>'[6]price list MAN'!Y1451</f>
        <v>#N/A</v>
      </c>
      <c r="O1451" s="174" t="e">
        <f>'[6]price list MAN'!AA1451</f>
        <v>#N/A</v>
      </c>
      <c r="P1451" s="68" t="e">
        <f t="shared" si="111"/>
        <v>#N/A</v>
      </c>
      <c r="Q1451" s="62" t="e">
        <f>O1451-#REF!</f>
        <v>#N/A</v>
      </c>
      <c r="AT1451" s="425" t="str">
        <f t="shared" si="112"/>
        <v>Special Order0</v>
      </c>
      <c r="AU1451" s="64" t="str">
        <f t="shared" si="113"/>
        <v>01-1900</v>
      </c>
      <c r="BA1451" s="428" t="str">
        <f t="shared" si="114"/>
        <v/>
      </c>
    </row>
    <row r="1452" spans="2:53">
      <c r="B1452" s="36">
        <f>'[6]price list MAN'!B1452</f>
        <v>0</v>
      </c>
      <c r="C1452" s="10">
        <f>'[6]price list MAN'!C1452</f>
        <v>0</v>
      </c>
      <c r="D1452" s="16" t="str">
        <f>IFERROR(VLOOKUP(C1452&amp;"",'[7]Retail Price List'!$A$3:$B$103,2,FALSE),"Special Order")</f>
        <v>Special Order</v>
      </c>
      <c r="E1452" s="494">
        <f>'[6]price list MAN'!E1452</f>
        <v>0</v>
      </c>
      <c r="F1452" s="11">
        <f>'[6]price list MAN'!F1452</f>
        <v>0</v>
      </c>
      <c r="G1452" s="32">
        <f>'[6]price list MAN'!G1452</f>
        <v>0</v>
      </c>
      <c r="H1452" s="26">
        <f>'[6]price list MAN'!H1452</f>
        <v>0</v>
      </c>
      <c r="I1452" s="51" t="str">
        <f t="shared" si="110"/>
        <v/>
      </c>
      <c r="J1452" s="177" t="e">
        <f>'[6]price list MAN'!J1452</f>
        <v>#N/A</v>
      </c>
      <c r="K1452" s="177" t="e">
        <f>'[6]price list MAN'!P1452</f>
        <v>#N/A</v>
      </c>
      <c r="L1452" s="177" t="e">
        <f>'[6]price list MAN'!R1452</f>
        <v>#N/A</v>
      </c>
      <c r="M1452" s="174" t="e">
        <f>'[6]price list MAN'!S1452</f>
        <v>#N/A</v>
      </c>
      <c r="N1452" s="174" t="e">
        <f>'[6]price list MAN'!Y1452</f>
        <v>#N/A</v>
      </c>
      <c r="O1452" s="174" t="e">
        <f>'[6]price list MAN'!AA1452</f>
        <v>#N/A</v>
      </c>
      <c r="P1452" s="68" t="e">
        <f t="shared" si="111"/>
        <v>#N/A</v>
      </c>
      <c r="Q1452" s="62" t="e">
        <f>O1452-#REF!</f>
        <v>#N/A</v>
      </c>
      <c r="AT1452" s="425" t="str">
        <f t="shared" si="112"/>
        <v>Special Order0</v>
      </c>
      <c r="AU1452" s="64" t="str">
        <f t="shared" si="113"/>
        <v>01-1900</v>
      </c>
      <c r="BA1452" s="428" t="str">
        <f t="shared" si="114"/>
        <v/>
      </c>
    </row>
    <row r="1453" spans="2:53">
      <c r="B1453" s="36">
        <f>'[6]price list MAN'!B1453</f>
        <v>0</v>
      </c>
      <c r="C1453" s="10">
        <f>'[6]price list MAN'!C1453</f>
        <v>0</v>
      </c>
      <c r="D1453" s="16" t="str">
        <f>IFERROR(VLOOKUP(C1453&amp;"",'[7]Retail Price List'!$A$3:$B$103,2,FALSE),"Special Order")</f>
        <v>Special Order</v>
      </c>
      <c r="E1453" s="494">
        <f>'[6]price list MAN'!E1453</f>
        <v>0</v>
      </c>
      <c r="F1453" s="11">
        <f>'[6]price list MAN'!F1453</f>
        <v>0</v>
      </c>
      <c r="G1453" s="32">
        <f>'[6]price list MAN'!G1453</f>
        <v>0</v>
      </c>
      <c r="H1453" s="26">
        <f>'[6]price list MAN'!H1453</f>
        <v>0</v>
      </c>
      <c r="I1453" s="51" t="str">
        <f t="shared" si="110"/>
        <v/>
      </c>
      <c r="J1453" s="177" t="e">
        <f>'[6]price list MAN'!J1453</f>
        <v>#N/A</v>
      </c>
      <c r="K1453" s="177" t="e">
        <f>'[6]price list MAN'!P1453</f>
        <v>#N/A</v>
      </c>
      <c r="L1453" s="177" t="e">
        <f>'[6]price list MAN'!R1453</f>
        <v>#N/A</v>
      </c>
      <c r="M1453" s="174" t="e">
        <f>'[6]price list MAN'!S1453</f>
        <v>#N/A</v>
      </c>
      <c r="N1453" s="174" t="e">
        <f>'[6]price list MAN'!Y1453</f>
        <v>#N/A</v>
      </c>
      <c r="O1453" s="174" t="e">
        <f>'[6]price list MAN'!AA1453</f>
        <v>#N/A</v>
      </c>
      <c r="P1453" s="68" t="e">
        <f t="shared" si="111"/>
        <v>#N/A</v>
      </c>
      <c r="Q1453" s="62" t="e">
        <f>O1453-#REF!</f>
        <v>#N/A</v>
      </c>
      <c r="AT1453" s="425" t="str">
        <f t="shared" si="112"/>
        <v>Special Order0</v>
      </c>
      <c r="AU1453" s="64" t="str">
        <f t="shared" si="113"/>
        <v>01-1900</v>
      </c>
      <c r="BA1453" s="428" t="str">
        <f t="shared" si="114"/>
        <v/>
      </c>
    </row>
    <row r="1454" spans="2:53">
      <c r="B1454" s="36">
        <f>'[6]price list MAN'!B1454</f>
        <v>0</v>
      </c>
      <c r="C1454" s="10">
        <f>'[6]price list MAN'!C1454</f>
        <v>0</v>
      </c>
      <c r="D1454" s="16" t="str">
        <f>IFERROR(VLOOKUP(C1454&amp;"",'[7]Retail Price List'!$A$3:$B$103,2,FALSE),"Special Order")</f>
        <v>Special Order</v>
      </c>
      <c r="E1454" s="494">
        <f>'[6]price list MAN'!E1454</f>
        <v>0</v>
      </c>
      <c r="F1454" s="11">
        <f>'[6]price list MAN'!F1454</f>
        <v>0</v>
      </c>
      <c r="G1454" s="32">
        <f>'[6]price list MAN'!G1454</f>
        <v>0</v>
      </c>
      <c r="H1454" s="26">
        <f>'[6]price list MAN'!H1454</f>
        <v>0</v>
      </c>
      <c r="I1454" s="51" t="str">
        <f t="shared" si="110"/>
        <v/>
      </c>
      <c r="J1454" s="177" t="e">
        <f>'[6]price list MAN'!J1454</f>
        <v>#N/A</v>
      </c>
      <c r="K1454" s="177" t="e">
        <f>'[6]price list MAN'!P1454</f>
        <v>#N/A</v>
      </c>
      <c r="L1454" s="177" t="e">
        <f>'[6]price list MAN'!R1454</f>
        <v>#N/A</v>
      </c>
      <c r="M1454" s="174" t="e">
        <f>'[6]price list MAN'!S1454</f>
        <v>#N/A</v>
      </c>
      <c r="N1454" s="174" t="e">
        <f>'[6]price list MAN'!Y1454</f>
        <v>#N/A</v>
      </c>
      <c r="O1454" s="174" t="e">
        <f>'[6]price list MAN'!AA1454</f>
        <v>#N/A</v>
      </c>
      <c r="P1454" s="68" t="e">
        <f t="shared" si="111"/>
        <v>#N/A</v>
      </c>
      <c r="Q1454" s="62" t="e">
        <f>O1454-#REF!</f>
        <v>#N/A</v>
      </c>
      <c r="AT1454" s="425" t="str">
        <f t="shared" si="112"/>
        <v>Special Order0</v>
      </c>
      <c r="AU1454" s="64" t="str">
        <f t="shared" si="113"/>
        <v>01-1900</v>
      </c>
      <c r="BA1454" s="428" t="str">
        <f t="shared" si="114"/>
        <v/>
      </c>
    </row>
    <row r="1455" spans="2:53">
      <c r="B1455" s="36">
        <f>'[6]price list MAN'!B1455</f>
        <v>0</v>
      </c>
      <c r="C1455" s="10">
        <f>'[6]price list MAN'!C1455</f>
        <v>0</v>
      </c>
      <c r="D1455" s="16" t="str">
        <f>IFERROR(VLOOKUP(C1455&amp;"",'[7]Retail Price List'!$A$3:$B$103,2,FALSE),"Special Order")</f>
        <v>Special Order</v>
      </c>
      <c r="E1455" s="494">
        <f>'[6]price list MAN'!E1455</f>
        <v>0</v>
      </c>
      <c r="F1455" s="11">
        <f>'[6]price list MAN'!F1455</f>
        <v>0</v>
      </c>
      <c r="G1455" s="32">
        <f>'[6]price list MAN'!G1455</f>
        <v>0</v>
      </c>
      <c r="H1455" s="26">
        <f>'[6]price list MAN'!H1455</f>
        <v>0</v>
      </c>
      <c r="I1455" s="51" t="str">
        <f t="shared" si="110"/>
        <v/>
      </c>
      <c r="J1455" s="177" t="e">
        <f>'[6]price list MAN'!J1455</f>
        <v>#N/A</v>
      </c>
      <c r="K1455" s="177" t="e">
        <f>'[6]price list MAN'!P1455</f>
        <v>#N/A</v>
      </c>
      <c r="L1455" s="177" t="e">
        <f>'[6]price list MAN'!R1455</f>
        <v>#N/A</v>
      </c>
      <c r="M1455" s="174" t="e">
        <f>'[6]price list MAN'!S1455</f>
        <v>#N/A</v>
      </c>
      <c r="N1455" s="174" t="e">
        <f>'[6]price list MAN'!Y1455</f>
        <v>#N/A</v>
      </c>
      <c r="O1455" s="174" t="e">
        <f>'[6]price list MAN'!AA1455</f>
        <v>#N/A</v>
      </c>
      <c r="P1455" s="68" t="e">
        <f t="shared" si="111"/>
        <v>#N/A</v>
      </c>
      <c r="Q1455" s="62" t="e">
        <f>O1455-#REF!</f>
        <v>#N/A</v>
      </c>
      <c r="AT1455" s="425" t="str">
        <f t="shared" si="112"/>
        <v>Special Order0</v>
      </c>
      <c r="AU1455" s="64" t="str">
        <f t="shared" si="113"/>
        <v>01-1900</v>
      </c>
      <c r="BA1455" s="428" t="str">
        <f t="shared" si="114"/>
        <v/>
      </c>
    </row>
    <row r="1456" spans="2:53">
      <c r="B1456" s="36">
        <f>'[6]price list MAN'!B1456</f>
        <v>0</v>
      </c>
      <c r="C1456" s="10">
        <f>'[6]price list MAN'!C1456</f>
        <v>0</v>
      </c>
      <c r="D1456" s="16" t="str">
        <f>IFERROR(VLOOKUP(C1456&amp;"",'[7]Retail Price List'!$A$3:$B$103,2,FALSE),"Special Order")</f>
        <v>Special Order</v>
      </c>
      <c r="E1456" s="494">
        <f>'[6]price list MAN'!E1456</f>
        <v>0</v>
      </c>
      <c r="F1456" s="11">
        <f>'[6]price list MAN'!F1456</f>
        <v>0</v>
      </c>
      <c r="G1456" s="32">
        <f>'[6]price list MAN'!G1456</f>
        <v>0</v>
      </c>
      <c r="H1456" s="26">
        <f>'[6]price list MAN'!H1456</f>
        <v>0</v>
      </c>
      <c r="I1456" s="51" t="str">
        <f t="shared" si="110"/>
        <v/>
      </c>
      <c r="J1456" s="177" t="e">
        <f>'[6]price list MAN'!J1456</f>
        <v>#N/A</v>
      </c>
      <c r="K1456" s="177" t="e">
        <f>'[6]price list MAN'!P1456</f>
        <v>#N/A</v>
      </c>
      <c r="L1456" s="177" t="e">
        <f>'[6]price list MAN'!R1456</f>
        <v>#N/A</v>
      </c>
      <c r="M1456" s="174" t="e">
        <f>'[6]price list MAN'!S1456</f>
        <v>#N/A</v>
      </c>
      <c r="N1456" s="174" t="e">
        <f>'[6]price list MAN'!Y1456</f>
        <v>#N/A</v>
      </c>
      <c r="O1456" s="174" t="e">
        <f>'[6]price list MAN'!AA1456</f>
        <v>#N/A</v>
      </c>
      <c r="P1456" s="68" t="e">
        <f t="shared" si="111"/>
        <v>#N/A</v>
      </c>
      <c r="Q1456" s="62" t="e">
        <f>O1456-#REF!</f>
        <v>#N/A</v>
      </c>
      <c r="AT1456" s="425" t="str">
        <f t="shared" si="112"/>
        <v>Special Order0</v>
      </c>
      <c r="AU1456" s="64" t="str">
        <f t="shared" si="113"/>
        <v>01-1900</v>
      </c>
      <c r="BA1456" s="428" t="str">
        <f t="shared" si="114"/>
        <v/>
      </c>
    </row>
    <row r="1457" spans="2:53">
      <c r="B1457" s="36">
        <f>'[6]price list MAN'!B1457</f>
        <v>0</v>
      </c>
      <c r="C1457" s="10">
        <f>'[6]price list MAN'!C1457</f>
        <v>0</v>
      </c>
      <c r="D1457" s="16" t="str">
        <f>IFERROR(VLOOKUP(C1457&amp;"",'[7]Retail Price List'!$A$3:$B$103,2,FALSE),"Special Order")</f>
        <v>Special Order</v>
      </c>
      <c r="E1457" s="494">
        <f>'[6]price list MAN'!E1457</f>
        <v>0</v>
      </c>
      <c r="F1457" s="11">
        <f>'[6]price list MAN'!F1457</f>
        <v>0</v>
      </c>
      <c r="G1457" s="32">
        <f>'[6]price list MAN'!G1457</f>
        <v>0</v>
      </c>
      <c r="H1457" s="26">
        <f>'[6]price list MAN'!H1457</f>
        <v>0</v>
      </c>
      <c r="I1457" s="51" t="str">
        <f t="shared" si="110"/>
        <v/>
      </c>
      <c r="J1457" s="177" t="e">
        <f>'[6]price list MAN'!J1457</f>
        <v>#N/A</v>
      </c>
      <c r="K1457" s="177" t="e">
        <f>'[6]price list MAN'!P1457</f>
        <v>#N/A</v>
      </c>
      <c r="L1457" s="177" t="e">
        <f>'[6]price list MAN'!R1457</f>
        <v>#N/A</v>
      </c>
      <c r="M1457" s="174" t="e">
        <f>'[6]price list MAN'!S1457</f>
        <v>#N/A</v>
      </c>
      <c r="N1457" s="174" t="e">
        <f>'[6]price list MAN'!Y1457</f>
        <v>#N/A</v>
      </c>
      <c r="O1457" s="174" t="e">
        <f>'[6]price list MAN'!AA1457</f>
        <v>#N/A</v>
      </c>
      <c r="P1457" s="68" t="e">
        <f t="shared" si="111"/>
        <v>#N/A</v>
      </c>
      <c r="Q1457" s="62" t="e">
        <f>O1457-#REF!</f>
        <v>#N/A</v>
      </c>
      <c r="AT1457" s="425" t="str">
        <f t="shared" si="112"/>
        <v>Special Order0</v>
      </c>
      <c r="AU1457" s="64" t="str">
        <f t="shared" si="113"/>
        <v>01-1900</v>
      </c>
      <c r="BA1457" s="428" t="str">
        <f t="shared" si="114"/>
        <v/>
      </c>
    </row>
    <row r="1458" spans="2:53">
      <c r="B1458" s="36">
        <f>'[6]price list MAN'!B1458</f>
        <v>0</v>
      </c>
      <c r="C1458" s="10">
        <f>'[6]price list MAN'!C1458</f>
        <v>0</v>
      </c>
      <c r="D1458" s="16" t="str">
        <f>IFERROR(VLOOKUP(C1458&amp;"",'[7]Retail Price List'!$A$3:$B$103,2,FALSE),"Special Order")</f>
        <v>Special Order</v>
      </c>
      <c r="E1458" s="494">
        <f>'[6]price list MAN'!E1458</f>
        <v>0</v>
      </c>
      <c r="F1458" s="11">
        <f>'[6]price list MAN'!F1458</f>
        <v>0</v>
      </c>
      <c r="G1458" s="32">
        <f>'[6]price list MAN'!G1458</f>
        <v>0</v>
      </c>
      <c r="H1458" s="26">
        <f>'[6]price list MAN'!H1458</f>
        <v>0</v>
      </c>
      <c r="I1458" s="51" t="str">
        <f t="shared" si="110"/>
        <v/>
      </c>
      <c r="J1458" s="177" t="e">
        <f>'[6]price list MAN'!J1458</f>
        <v>#N/A</v>
      </c>
      <c r="K1458" s="177" t="e">
        <f>'[6]price list MAN'!P1458</f>
        <v>#N/A</v>
      </c>
      <c r="L1458" s="177" t="e">
        <f>'[6]price list MAN'!R1458</f>
        <v>#N/A</v>
      </c>
      <c r="M1458" s="174" t="e">
        <f>'[6]price list MAN'!S1458</f>
        <v>#N/A</v>
      </c>
      <c r="N1458" s="174" t="e">
        <f>'[6]price list MAN'!Y1458</f>
        <v>#N/A</v>
      </c>
      <c r="O1458" s="174" t="e">
        <f>'[6]price list MAN'!AA1458</f>
        <v>#N/A</v>
      </c>
      <c r="P1458" s="68" t="e">
        <f t="shared" si="111"/>
        <v>#N/A</v>
      </c>
      <c r="Q1458" s="62" t="e">
        <f>O1458-#REF!</f>
        <v>#N/A</v>
      </c>
      <c r="AT1458" s="425" t="str">
        <f t="shared" si="112"/>
        <v>Special Order0</v>
      </c>
      <c r="AU1458" s="64" t="str">
        <f t="shared" si="113"/>
        <v>01-1900</v>
      </c>
      <c r="BA1458" s="428" t="str">
        <f t="shared" si="114"/>
        <v/>
      </c>
    </row>
    <row r="1459" spans="2:53">
      <c r="B1459" s="36">
        <f>'[6]price list MAN'!B1459</f>
        <v>0</v>
      </c>
      <c r="C1459" s="10">
        <f>'[6]price list MAN'!C1459</f>
        <v>0</v>
      </c>
      <c r="D1459" s="16" t="str">
        <f>IFERROR(VLOOKUP(C1459&amp;"",'[7]Retail Price List'!$A$3:$B$103,2,FALSE),"Special Order")</f>
        <v>Special Order</v>
      </c>
      <c r="E1459" s="494">
        <f>'[6]price list MAN'!E1459</f>
        <v>0</v>
      </c>
      <c r="F1459" s="11">
        <f>'[6]price list MAN'!F1459</f>
        <v>0</v>
      </c>
      <c r="G1459" s="32">
        <f>'[6]price list MAN'!G1459</f>
        <v>0</v>
      </c>
      <c r="H1459" s="26">
        <f>'[6]price list MAN'!H1459</f>
        <v>0</v>
      </c>
      <c r="I1459" s="51" t="str">
        <f t="shared" si="110"/>
        <v/>
      </c>
      <c r="J1459" s="177" t="e">
        <f>'[6]price list MAN'!J1459</f>
        <v>#N/A</v>
      </c>
      <c r="K1459" s="177" t="e">
        <f>'[6]price list MAN'!P1459</f>
        <v>#N/A</v>
      </c>
      <c r="L1459" s="177" t="e">
        <f>'[6]price list MAN'!R1459</f>
        <v>#N/A</v>
      </c>
      <c r="M1459" s="174" t="e">
        <f>'[6]price list MAN'!S1459</f>
        <v>#N/A</v>
      </c>
      <c r="N1459" s="174" t="e">
        <f>'[6]price list MAN'!Y1459</f>
        <v>#N/A</v>
      </c>
      <c r="O1459" s="174" t="e">
        <f>'[6]price list MAN'!AA1459</f>
        <v>#N/A</v>
      </c>
      <c r="P1459" s="68" t="e">
        <f t="shared" si="111"/>
        <v>#N/A</v>
      </c>
      <c r="Q1459" s="62" t="e">
        <f>O1459-#REF!</f>
        <v>#N/A</v>
      </c>
      <c r="AT1459" s="425" t="str">
        <f t="shared" si="112"/>
        <v>Special Order0</v>
      </c>
      <c r="AU1459" s="64" t="str">
        <f t="shared" si="113"/>
        <v>01-1900</v>
      </c>
      <c r="BA1459" s="428" t="str">
        <f t="shared" si="114"/>
        <v/>
      </c>
    </row>
    <row r="1460" spans="2:53">
      <c r="B1460" s="36">
        <f>'[6]price list MAN'!B1460</f>
        <v>0</v>
      </c>
      <c r="C1460" s="10">
        <f>'[6]price list MAN'!C1460</f>
        <v>0</v>
      </c>
      <c r="D1460" s="16" t="str">
        <f>IFERROR(VLOOKUP(C1460&amp;"",'[7]Retail Price List'!$A$3:$B$103,2,FALSE),"Special Order")</f>
        <v>Special Order</v>
      </c>
      <c r="E1460" s="494">
        <f>'[6]price list MAN'!E1460</f>
        <v>0</v>
      </c>
      <c r="F1460" s="11">
        <f>'[6]price list MAN'!F1460</f>
        <v>0</v>
      </c>
      <c r="G1460" s="32">
        <f>'[6]price list MAN'!G1460</f>
        <v>0</v>
      </c>
      <c r="H1460" s="26">
        <f>'[6]price list MAN'!H1460</f>
        <v>0</v>
      </c>
      <c r="I1460" s="51" t="str">
        <f t="shared" si="110"/>
        <v/>
      </c>
      <c r="J1460" s="177" t="e">
        <f>'[6]price list MAN'!J1460</f>
        <v>#N/A</v>
      </c>
      <c r="K1460" s="177" t="e">
        <f>'[6]price list MAN'!P1460</f>
        <v>#N/A</v>
      </c>
      <c r="L1460" s="177" t="e">
        <f>'[6]price list MAN'!R1460</f>
        <v>#N/A</v>
      </c>
      <c r="M1460" s="174" t="e">
        <f>'[6]price list MAN'!S1460</f>
        <v>#N/A</v>
      </c>
      <c r="N1460" s="174" t="e">
        <f>'[6]price list MAN'!Y1460</f>
        <v>#N/A</v>
      </c>
      <c r="O1460" s="174" t="e">
        <f>'[6]price list MAN'!AA1460</f>
        <v>#N/A</v>
      </c>
      <c r="P1460" s="68" t="e">
        <f t="shared" si="111"/>
        <v>#N/A</v>
      </c>
      <c r="Q1460" s="62" t="e">
        <f>O1460-#REF!</f>
        <v>#N/A</v>
      </c>
      <c r="AT1460" s="425" t="str">
        <f t="shared" si="112"/>
        <v>Special Order0</v>
      </c>
      <c r="AU1460" s="64" t="str">
        <f t="shared" si="113"/>
        <v>01-1900</v>
      </c>
      <c r="BA1460" s="428" t="str">
        <f t="shared" si="114"/>
        <v/>
      </c>
    </row>
    <row r="1461" spans="2:53">
      <c r="B1461" s="36">
        <f>'[6]price list MAN'!B1461</f>
        <v>0</v>
      </c>
      <c r="C1461" s="10">
        <f>'[6]price list MAN'!C1461</f>
        <v>0</v>
      </c>
      <c r="D1461" s="16" t="str">
        <f>IFERROR(VLOOKUP(C1461&amp;"",'[7]Retail Price List'!$A$3:$B$103,2,FALSE),"Special Order")</f>
        <v>Special Order</v>
      </c>
      <c r="E1461" s="494">
        <f>'[6]price list MAN'!E1461</f>
        <v>0</v>
      </c>
      <c r="F1461" s="11">
        <f>'[6]price list MAN'!F1461</f>
        <v>0</v>
      </c>
      <c r="G1461" s="32">
        <f>'[6]price list MAN'!G1461</f>
        <v>0</v>
      </c>
      <c r="H1461" s="26">
        <f>'[6]price list MAN'!H1461</f>
        <v>0</v>
      </c>
      <c r="I1461" s="51" t="str">
        <f t="shared" si="110"/>
        <v/>
      </c>
      <c r="J1461" s="177" t="e">
        <f>'[6]price list MAN'!J1461</f>
        <v>#N/A</v>
      </c>
      <c r="K1461" s="177" t="e">
        <f>'[6]price list MAN'!P1461</f>
        <v>#N/A</v>
      </c>
      <c r="L1461" s="177" t="e">
        <f>'[6]price list MAN'!R1461</f>
        <v>#N/A</v>
      </c>
      <c r="M1461" s="174" t="e">
        <f>'[6]price list MAN'!S1461</f>
        <v>#N/A</v>
      </c>
      <c r="N1461" s="174" t="e">
        <f>'[6]price list MAN'!Y1461</f>
        <v>#N/A</v>
      </c>
      <c r="O1461" s="174" t="e">
        <f>'[6]price list MAN'!AA1461</f>
        <v>#N/A</v>
      </c>
      <c r="P1461" s="68" t="e">
        <f t="shared" si="111"/>
        <v>#N/A</v>
      </c>
      <c r="Q1461" s="62" t="e">
        <f>O1461-#REF!</f>
        <v>#N/A</v>
      </c>
      <c r="AT1461" s="425" t="str">
        <f t="shared" si="112"/>
        <v>Special Order0</v>
      </c>
      <c r="AU1461" s="64" t="str">
        <f t="shared" si="113"/>
        <v>01-1900</v>
      </c>
      <c r="BA1461" s="428" t="str">
        <f t="shared" si="114"/>
        <v/>
      </c>
    </row>
    <row r="1462" spans="2:53">
      <c r="B1462" s="36">
        <f>'[6]price list MAN'!B1462</f>
        <v>0</v>
      </c>
      <c r="C1462" s="10">
        <f>'[6]price list MAN'!C1462</f>
        <v>0</v>
      </c>
      <c r="D1462" s="16" t="str">
        <f>IFERROR(VLOOKUP(C1462&amp;"",'[7]Retail Price List'!$A$3:$B$103,2,FALSE),"Special Order")</f>
        <v>Special Order</v>
      </c>
      <c r="E1462" s="494">
        <f>'[6]price list MAN'!E1462</f>
        <v>0</v>
      </c>
      <c r="F1462" s="11">
        <f>'[6]price list MAN'!F1462</f>
        <v>0</v>
      </c>
      <c r="G1462" s="32">
        <f>'[6]price list MAN'!G1462</f>
        <v>0</v>
      </c>
      <c r="H1462" s="26">
        <f>'[6]price list MAN'!H1462</f>
        <v>0</v>
      </c>
      <c r="I1462" s="51" t="str">
        <f t="shared" si="110"/>
        <v/>
      </c>
      <c r="J1462" s="177" t="e">
        <f>'[6]price list MAN'!J1462</f>
        <v>#N/A</v>
      </c>
      <c r="K1462" s="177" t="e">
        <f>'[6]price list MAN'!P1462</f>
        <v>#N/A</v>
      </c>
      <c r="L1462" s="177" t="e">
        <f>'[6]price list MAN'!R1462</f>
        <v>#N/A</v>
      </c>
      <c r="M1462" s="174" t="e">
        <f>'[6]price list MAN'!S1462</f>
        <v>#N/A</v>
      </c>
      <c r="N1462" s="174" t="e">
        <f>'[6]price list MAN'!Y1462</f>
        <v>#N/A</v>
      </c>
      <c r="O1462" s="174" t="e">
        <f>'[6]price list MAN'!AA1462</f>
        <v>#N/A</v>
      </c>
      <c r="P1462" s="68" t="e">
        <f t="shared" si="111"/>
        <v>#N/A</v>
      </c>
      <c r="Q1462" s="62" t="e">
        <f>O1462-#REF!</f>
        <v>#N/A</v>
      </c>
      <c r="AT1462" s="425" t="str">
        <f t="shared" si="112"/>
        <v>Special Order0</v>
      </c>
      <c r="AU1462" s="64" t="str">
        <f t="shared" si="113"/>
        <v>01-1900</v>
      </c>
      <c r="BA1462" s="428" t="str">
        <f t="shared" si="114"/>
        <v/>
      </c>
    </row>
    <row r="1463" spans="2:53">
      <c r="B1463" s="36">
        <f>'[6]price list MAN'!B1463</f>
        <v>0</v>
      </c>
      <c r="C1463" s="10">
        <f>'[6]price list MAN'!C1463</f>
        <v>0</v>
      </c>
      <c r="D1463" s="16" t="str">
        <f>IFERROR(VLOOKUP(C1463&amp;"",'[7]Retail Price List'!$A$3:$B$103,2,FALSE),"Special Order")</f>
        <v>Special Order</v>
      </c>
      <c r="E1463" s="494">
        <f>'[6]price list MAN'!E1463</f>
        <v>0</v>
      </c>
      <c r="F1463" s="11">
        <f>'[6]price list MAN'!F1463</f>
        <v>0</v>
      </c>
      <c r="G1463" s="32">
        <f>'[6]price list MAN'!G1463</f>
        <v>0</v>
      </c>
      <c r="H1463" s="26">
        <f>'[6]price list MAN'!H1463</f>
        <v>0</v>
      </c>
      <c r="I1463" s="51" t="str">
        <f t="shared" si="110"/>
        <v/>
      </c>
      <c r="J1463" s="177" t="e">
        <f>'[6]price list MAN'!J1463</f>
        <v>#N/A</v>
      </c>
      <c r="K1463" s="177" t="e">
        <f>'[6]price list MAN'!P1463</f>
        <v>#N/A</v>
      </c>
      <c r="L1463" s="177" t="e">
        <f>'[6]price list MAN'!R1463</f>
        <v>#N/A</v>
      </c>
      <c r="M1463" s="174" t="e">
        <f>'[6]price list MAN'!S1463</f>
        <v>#N/A</v>
      </c>
      <c r="N1463" s="174" t="e">
        <f>'[6]price list MAN'!Y1463</f>
        <v>#N/A</v>
      </c>
      <c r="O1463" s="174" t="e">
        <f>'[6]price list MAN'!AA1463</f>
        <v>#N/A</v>
      </c>
      <c r="P1463" s="68" t="e">
        <f t="shared" si="111"/>
        <v>#N/A</v>
      </c>
      <c r="Q1463" s="62" t="e">
        <f>O1463-#REF!</f>
        <v>#N/A</v>
      </c>
      <c r="AT1463" s="425" t="str">
        <f t="shared" si="112"/>
        <v>Special Order0</v>
      </c>
      <c r="AU1463" s="64" t="str">
        <f t="shared" si="113"/>
        <v>01-1900</v>
      </c>
      <c r="BA1463" s="428" t="str">
        <f t="shared" si="114"/>
        <v/>
      </c>
    </row>
    <row r="1464" spans="2:53">
      <c r="B1464" s="36">
        <f>'[6]price list MAN'!B1464</f>
        <v>0</v>
      </c>
      <c r="C1464" s="10">
        <f>'[6]price list MAN'!C1464</f>
        <v>0</v>
      </c>
      <c r="D1464" s="16" t="str">
        <f>IFERROR(VLOOKUP(C1464&amp;"",'[7]Retail Price List'!$A$3:$B$103,2,FALSE),"Special Order")</f>
        <v>Special Order</v>
      </c>
      <c r="E1464" s="494">
        <f>'[6]price list MAN'!E1464</f>
        <v>0</v>
      </c>
      <c r="F1464" s="11">
        <f>'[6]price list MAN'!F1464</f>
        <v>0</v>
      </c>
      <c r="G1464" s="32">
        <f>'[6]price list MAN'!G1464</f>
        <v>0</v>
      </c>
      <c r="H1464" s="26">
        <f>'[6]price list MAN'!H1464</f>
        <v>0</v>
      </c>
      <c r="I1464" s="51" t="str">
        <f t="shared" si="110"/>
        <v/>
      </c>
      <c r="J1464" s="177" t="e">
        <f>'[6]price list MAN'!J1464</f>
        <v>#N/A</v>
      </c>
      <c r="K1464" s="177" t="e">
        <f>'[6]price list MAN'!P1464</f>
        <v>#N/A</v>
      </c>
      <c r="L1464" s="177" t="e">
        <f>'[6]price list MAN'!R1464</f>
        <v>#N/A</v>
      </c>
      <c r="M1464" s="174" t="e">
        <f>'[6]price list MAN'!S1464</f>
        <v>#N/A</v>
      </c>
      <c r="N1464" s="174" t="e">
        <f>'[6]price list MAN'!Y1464</f>
        <v>#N/A</v>
      </c>
      <c r="O1464" s="174" t="e">
        <f>'[6]price list MAN'!AA1464</f>
        <v>#N/A</v>
      </c>
      <c r="P1464" s="68" t="e">
        <f t="shared" si="111"/>
        <v>#N/A</v>
      </c>
      <c r="Q1464" s="62" t="e">
        <f>O1464-#REF!</f>
        <v>#N/A</v>
      </c>
      <c r="AT1464" s="425" t="str">
        <f t="shared" si="112"/>
        <v>Special Order0</v>
      </c>
      <c r="AU1464" s="64" t="str">
        <f t="shared" si="113"/>
        <v>01-1900</v>
      </c>
      <c r="BA1464" s="428" t="str">
        <f t="shared" si="114"/>
        <v/>
      </c>
    </row>
    <row r="1465" spans="2:53">
      <c r="B1465" s="36">
        <f>'[6]price list MAN'!B1465</f>
        <v>0</v>
      </c>
      <c r="C1465" s="10">
        <f>'[6]price list MAN'!C1465</f>
        <v>0</v>
      </c>
      <c r="D1465" s="16" t="str">
        <f>IFERROR(VLOOKUP(C1465&amp;"",'[7]Retail Price List'!$A$3:$B$103,2,FALSE),"Special Order")</f>
        <v>Special Order</v>
      </c>
      <c r="E1465" s="494">
        <f>'[6]price list MAN'!E1465</f>
        <v>0</v>
      </c>
      <c r="F1465" s="11">
        <f>'[6]price list MAN'!F1465</f>
        <v>0</v>
      </c>
      <c r="G1465" s="32">
        <f>'[6]price list MAN'!G1465</f>
        <v>0</v>
      </c>
      <c r="H1465" s="26">
        <f>'[6]price list MAN'!H1465</f>
        <v>0</v>
      </c>
      <c r="I1465" s="51" t="str">
        <f t="shared" si="110"/>
        <v/>
      </c>
      <c r="J1465" s="177" t="e">
        <f>'[6]price list MAN'!J1465</f>
        <v>#N/A</v>
      </c>
      <c r="K1465" s="177" t="e">
        <f>'[6]price list MAN'!P1465</f>
        <v>#N/A</v>
      </c>
      <c r="L1465" s="177" t="e">
        <f>'[6]price list MAN'!R1465</f>
        <v>#N/A</v>
      </c>
      <c r="M1465" s="174" t="e">
        <f>'[6]price list MAN'!S1465</f>
        <v>#N/A</v>
      </c>
      <c r="N1465" s="174" t="e">
        <f>'[6]price list MAN'!Y1465</f>
        <v>#N/A</v>
      </c>
      <c r="O1465" s="174" t="e">
        <f>'[6]price list MAN'!AA1465</f>
        <v>#N/A</v>
      </c>
      <c r="P1465" s="68" t="e">
        <f t="shared" si="111"/>
        <v>#N/A</v>
      </c>
      <c r="Q1465" s="62" t="e">
        <f>O1465-#REF!</f>
        <v>#N/A</v>
      </c>
      <c r="AT1465" s="425" t="str">
        <f t="shared" si="112"/>
        <v>Special Order0</v>
      </c>
      <c r="AU1465" s="64" t="str">
        <f t="shared" si="113"/>
        <v>01-1900</v>
      </c>
      <c r="BA1465" s="428" t="str">
        <f t="shared" si="114"/>
        <v/>
      </c>
    </row>
    <row r="1466" spans="2:53">
      <c r="B1466" s="36">
        <f>'[6]price list MAN'!B1466</f>
        <v>0</v>
      </c>
      <c r="C1466" s="10">
        <f>'[6]price list MAN'!C1466</f>
        <v>0</v>
      </c>
      <c r="D1466" s="16" t="str">
        <f>IFERROR(VLOOKUP(C1466&amp;"",'[7]Retail Price List'!$A$3:$B$103,2,FALSE),"Special Order")</f>
        <v>Special Order</v>
      </c>
      <c r="E1466" s="494">
        <f>'[6]price list MAN'!E1466</f>
        <v>0</v>
      </c>
      <c r="F1466" s="11">
        <f>'[6]price list MAN'!F1466</f>
        <v>0</v>
      </c>
      <c r="G1466" s="32">
        <f>'[6]price list MAN'!G1466</f>
        <v>0</v>
      </c>
      <c r="H1466" s="26">
        <f>'[6]price list MAN'!H1466</f>
        <v>0</v>
      </c>
      <c r="I1466" s="51" t="str">
        <f t="shared" si="110"/>
        <v/>
      </c>
      <c r="J1466" s="177" t="e">
        <f>'[6]price list MAN'!J1466</f>
        <v>#N/A</v>
      </c>
      <c r="K1466" s="177" t="e">
        <f>'[6]price list MAN'!P1466</f>
        <v>#N/A</v>
      </c>
      <c r="L1466" s="177" t="e">
        <f>'[6]price list MAN'!R1466</f>
        <v>#N/A</v>
      </c>
      <c r="M1466" s="174" t="e">
        <f>'[6]price list MAN'!S1466</f>
        <v>#N/A</v>
      </c>
      <c r="N1466" s="174" t="e">
        <f>'[6]price list MAN'!Y1466</f>
        <v>#N/A</v>
      </c>
      <c r="O1466" s="174" t="e">
        <f>'[6]price list MAN'!AA1466</f>
        <v>#N/A</v>
      </c>
      <c r="P1466" s="68" t="e">
        <f t="shared" si="111"/>
        <v>#N/A</v>
      </c>
      <c r="Q1466" s="62" t="e">
        <f>O1466-#REF!</f>
        <v>#N/A</v>
      </c>
      <c r="AT1466" s="425" t="str">
        <f t="shared" si="112"/>
        <v>Special Order0</v>
      </c>
      <c r="AU1466" s="64" t="str">
        <f t="shared" si="113"/>
        <v>01-1900</v>
      </c>
      <c r="BA1466" s="428" t="str">
        <f t="shared" si="114"/>
        <v/>
      </c>
    </row>
    <row r="1467" spans="2:53">
      <c r="B1467" s="36">
        <f>'[6]price list MAN'!B1467</f>
        <v>0</v>
      </c>
      <c r="C1467" s="10">
        <f>'[6]price list MAN'!C1467</f>
        <v>0</v>
      </c>
      <c r="D1467" s="16" t="str">
        <f>IFERROR(VLOOKUP(C1467&amp;"",'[7]Retail Price List'!$A$3:$B$103,2,FALSE),"Special Order")</f>
        <v>Special Order</v>
      </c>
      <c r="E1467" s="494">
        <f>'[6]price list MAN'!E1467</f>
        <v>0</v>
      </c>
      <c r="F1467" s="11">
        <f>'[6]price list MAN'!F1467</f>
        <v>0</v>
      </c>
      <c r="G1467" s="32">
        <f>'[6]price list MAN'!G1467</f>
        <v>0</v>
      </c>
      <c r="H1467" s="26">
        <f>'[6]price list MAN'!H1467</f>
        <v>0</v>
      </c>
      <c r="I1467" s="51" t="str">
        <f t="shared" si="110"/>
        <v/>
      </c>
      <c r="J1467" s="177" t="e">
        <f>'[6]price list MAN'!J1467</f>
        <v>#N/A</v>
      </c>
      <c r="K1467" s="177" t="e">
        <f>'[6]price list MAN'!P1467</f>
        <v>#N/A</v>
      </c>
      <c r="L1467" s="177" t="e">
        <f>'[6]price list MAN'!R1467</f>
        <v>#N/A</v>
      </c>
      <c r="M1467" s="174" t="e">
        <f>'[6]price list MAN'!S1467</f>
        <v>#N/A</v>
      </c>
      <c r="N1467" s="174" t="e">
        <f>'[6]price list MAN'!Y1467</f>
        <v>#N/A</v>
      </c>
      <c r="O1467" s="174" t="e">
        <f>'[6]price list MAN'!AA1467</f>
        <v>#N/A</v>
      </c>
      <c r="P1467" s="68" t="e">
        <f t="shared" si="111"/>
        <v>#N/A</v>
      </c>
      <c r="Q1467" s="62" t="e">
        <f>O1467-#REF!</f>
        <v>#N/A</v>
      </c>
      <c r="AT1467" s="425" t="str">
        <f t="shared" si="112"/>
        <v>Special Order0</v>
      </c>
      <c r="AU1467" s="64" t="str">
        <f t="shared" si="113"/>
        <v>01-1900</v>
      </c>
      <c r="BA1467" s="428" t="str">
        <f t="shared" si="114"/>
        <v/>
      </c>
    </row>
    <row r="1468" spans="2:53">
      <c r="B1468" s="36">
        <f>'[6]price list MAN'!B1468</f>
        <v>0</v>
      </c>
      <c r="C1468" s="10">
        <f>'[6]price list MAN'!C1468</f>
        <v>0</v>
      </c>
      <c r="D1468" s="16" t="str">
        <f>IFERROR(VLOOKUP(C1468&amp;"",'[7]Retail Price List'!$A$3:$B$103,2,FALSE),"Special Order")</f>
        <v>Special Order</v>
      </c>
      <c r="E1468" s="494">
        <f>'[6]price list MAN'!E1468</f>
        <v>0</v>
      </c>
      <c r="F1468" s="11">
        <f>'[6]price list MAN'!F1468</f>
        <v>0</v>
      </c>
      <c r="G1468" s="32">
        <f>'[6]price list MAN'!G1468</f>
        <v>0</v>
      </c>
      <c r="H1468" s="26">
        <f>'[6]price list MAN'!H1468</f>
        <v>0</v>
      </c>
      <c r="I1468" s="51" t="str">
        <f t="shared" si="110"/>
        <v/>
      </c>
      <c r="J1468" s="177" t="e">
        <f>'[6]price list MAN'!J1468</f>
        <v>#N/A</v>
      </c>
      <c r="K1468" s="177" t="e">
        <f>'[6]price list MAN'!P1468</f>
        <v>#N/A</v>
      </c>
      <c r="L1468" s="177" t="e">
        <f>'[6]price list MAN'!R1468</f>
        <v>#N/A</v>
      </c>
      <c r="M1468" s="174" t="e">
        <f>'[6]price list MAN'!S1468</f>
        <v>#N/A</v>
      </c>
      <c r="N1468" s="174" t="e">
        <f>'[6]price list MAN'!Y1468</f>
        <v>#N/A</v>
      </c>
      <c r="O1468" s="174" t="e">
        <f>'[6]price list MAN'!AA1468</f>
        <v>#N/A</v>
      </c>
      <c r="P1468" s="68" t="e">
        <f t="shared" si="111"/>
        <v>#N/A</v>
      </c>
      <c r="Q1468" s="62" t="e">
        <f>O1468-#REF!</f>
        <v>#N/A</v>
      </c>
      <c r="AT1468" s="425" t="str">
        <f t="shared" si="112"/>
        <v>Special Order0</v>
      </c>
      <c r="AU1468" s="64" t="str">
        <f t="shared" si="113"/>
        <v>01-1900</v>
      </c>
      <c r="BA1468" s="428" t="str">
        <f t="shared" si="114"/>
        <v/>
      </c>
    </row>
    <row r="1469" spans="2:53">
      <c r="B1469" s="36">
        <f>'[6]price list MAN'!B1469</f>
        <v>0</v>
      </c>
      <c r="C1469" s="10">
        <f>'[6]price list MAN'!C1469</f>
        <v>0</v>
      </c>
      <c r="D1469" s="16" t="str">
        <f>IFERROR(VLOOKUP(C1469&amp;"",'[7]Retail Price List'!$A$3:$B$103,2,FALSE),"Special Order")</f>
        <v>Special Order</v>
      </c>
      <c r="E1469" s="494">
        <f>'[6]price list MAN'!E1469</f>
        <v>0</v>
      </c>
      <c r="F1469" s="11">
        <f>'[6]price list MAN'!F1469</f>
        <v>0</v>
      </c>
      <c r="G1469" s="32">
        <f>'[6]price list MAN'!G1469</f>
        <v>0</v>
      </c>
      <c r="H1469" s="26">
        <f>'[6]price list MAN'!H1469</f>
        <v>0</v>
      </c>
      <c r="I1469" s="51" t="str">
        <f t="shared" si="110"/>
        <v/>
      </c>
      <c r="J1469" s="177" t="e">
        <f>'[6]price list MAN'!J1469</f>
        <v>#N/A</v>
      </c>
      <c r="K1469" s="177" t="e">
        <f>'[6]price list MAN'!P1469</f>
        <v>#N/A</v>
      </c>
      <c r="L1469" s="177" t="e">
        <f>'[6]price list MAN'!R1469</f>
        <v>#N/A</v>
      </c>
      <c r="M1469" s="174" t="e">
        <f>'[6]price list MAN'!S1469</f>
        <v>#N/A</v>
      </c>
      <c r="N1469" s="174" t="e">
        <f>'[6]price list MAN'!Y1469</f>
        <v>#N/A</v>
      </c>
      <c r="O1469" s="174" t="e">
        <f>'[6]price list MAN'!AA1469</f>
        <v>#N/A</v>
      </c>
      <c r="P1469" s="68" t="e">
        <f t="shared" si="111"/>
        <v>#N/A</v>
      </c>
      <c r="Q1469" s="62" t="e">
        <f>O1469-#REF!</f>
        <v>#N/A</v>
      </c>
      <c r="AT1469" s="425" t="str">
        <f t="shared" si="112"/>
        <v>Special Order0</v>
      </c>
      <c r="AU1469" s="64" t="str">
        <f t="shared" si="113"/>
        <v>01-1900</v>
      </c>
      <c r="BA1469" s="428" t="str">
        <f t="shared" si="114"/>
        <v/>
      </c>
    </row>
    <row r="1470" spans="2:53">
      <c r="B1470" s="36">
        <f>'[6]price list MAN'!B1470</f>
        <v>0</v>
      </c>
      <c r="C1470" s="10">
        <f>'[6]price list MAN'!C1470</f>
        <v>0</v>
      </c>
      <c r="D1470" s="16" t="str">
        <f>IFERROR(VLOOKUP(C1470&amp;"",'[7]Retail Price List'!$A$3:$B$103,2,FALSE),"Special Order")</f>
        <v>Special Order</v>
      </c>
      <c r="E1470" s="494">
        <f>'[6]price list MAN'!E1470</f>
        <v>0</v>
      </c>
      <c r="F1470" s="11">
        <f>'[6]price list MAN'!F1470</f>
        <v>0</v>
      </c>
      <c r="G1470" s="32">
        <f>'[6]price list MAN'!G1470</f>
        <v>0</v>
      </c>
      <c r="H1470" s="26">
        <f>'[6]price list MAN'!H1470</f>
        <v>0</v>
      </c>
      <c r="I1470" s="51" t="str">
        <f t="shared" si="110"/>
        <v/>
      </c>
      <c r="J1470" s="177" t="e">
        <f>'[6]price list MAN'!J1470</f>
        <v>#N/A</v>
      </c>
      <c r="K1470" s="177" t="e">
        <f>'[6]price list MAN'!P1470</f>
        <v>#N/A</v>
      </c>
      <c r="L1470" s="177" t="e">
        <f>'[6]price list MAN'!R1470</f>
        <v>#N/A</v>
      </c>
      <c r="M1470" s="174" t="e">
        <f>'[6]price list MAN'!S1470</f>
        <v>#N/A</v>
      </c>
      <c r="N1470" s="174" t="e">
        <f>'[6]price list MAN'!Y1470</f>
        <v>#N/A</v>
      </c>
      <c r="O1470" s="174" t="e">
        <f>'[6]price list MAN'!AA1470</f>
        <v>#N/A</v>
      </c>
      <c r="P1470" s="68" t="e">
        <f t="shared" si="111"/>
        <v>#N/A</v>
      </c>
      <c r="Q1470" s="62" t="e">
        <f>O1470-#REF!</f>
        <v>#N/A</v>
      </c>
      <c r="AT1470" s="425" t="str">
        <f t="shared" si="112"/>
        <v>Special Order0</v>
      </c>
      <c r="AU1470" s="64" t="str">
        <f t="shared" si="113"/>
        <v>01-1900</v>
      </c>
      <c r="BA1470" s="428" t="str">
        <f t="shared" si="114"/>
        <v/>
      </c>
    </row>
    <row r="1471" spans="2:53">
      <c r="B1471" s="36">
        <f>'[6]price list MAN'!B1471</f>
        <v>0</v>
      </c>
      <c r="C1471" s="10">
        <f>'[6]price list MAN'!C1471</f>
        <v>0</v>
      </c>
      <c r="D1471" s="16" t="str">
        <f>IFERROR(VLOOKUP(C1471&amp;"",'[7]Retail Price List'!$A$3:$B$103,2,FALSE),"Special Order")</f>
        <v>Special Order</v>
      </c>
      <c r="E1471" s="494">
        <f>'[6]price list MAN'!E1471</f>
        <v>0</v>
      </c>
      <c r="F1471" s="11">
        <f>'[6]price list MAN'!F1471</f>
        <v>0</v>
      </c>
      <c r="G1471" s="32">
        <f>'[6]price list MAN'!G1471</f>
        <v>0</v>
      </c>
      <c r="H1471" s="26">
        <f>'[6]price list MAN'!H1471</f>
        <v>0</v>
      </c>
      <c r="I1471" s="51" t="str">
        <f t="shared" si="110"/>
        <v/>
      </c>
      <c r="J1471" s="177" t="e">
        <f>'[6]price list MAN'!J1471</f>
        <v>#N/A</v>
      </c>
      <c r="K1471" s="177" t="e">
        <f>'[6]price list MAN'!P1471</f>
        <v>#N/A</v>
      </c>
      <c r="L1471" s="177" t="e">
        <f>'[6]price list MAN'!R1471</f>
        <v>#N/A</v>
      </c>
      <c r="M1471" s="174" t="e">
        <f>'[6]price list MAN'!S1471</f>
        <v>#N/A</v>
      </c>
      <c r="N1471" s="174" t="e">
        <f>'[6]price list MAN'!Y1471</f>
        <v>#N/A</v>
      </c>
      <c r="O1471" s="174" t="e">
        <f>'[6]price list MAN'!AA1471</f>
        <v>#N/A</v>
      </c>
      <c r="P1471" s="68" t="e">
        <f t="shared" si="111"/>
        <v>#N/A</v>
      </c>
      <c r="Q1471" s="62" t="e">
        <f>O1471-#REF!</f>
        <v>#N/A</v>
      </c>
      <c r="AT1471" s="425" t="str">
        <f t="shared" si="112"/>
        <v>Special Order0</v>
      </c>
      <c r="AU1471" s="64" t="str">
        <f t="shared" si="113"/>
        <v>01-1900</v>
      </c>
      <c r="BA1471" s="428" t="str">
        <f t="shared" si="114"/>
        <v/>
      </c>
    </row>
    <row r="1472" spans="2:53">
      <c r="B1472" s="36">
        <f>'[6]price list MAN'!B1472</f>
        <v>0</v>
      </c>
      <c r="C1472" s="10">
        <f>'[6]price list MAN'!C1472</f>
        <v>0</v>
      </c>
      <c r="D1472" s="16" t="str">
        <f>IFERROR(VLOOKUP(C1472&amp;"",'[7]Retail Price List'!$A$3:$B$103,2,FALSE),"Special Order")</f>
        <v>Special Order</v>
      </c>
      <c r="E1472" s="494">
        <f>'[6]price list MAN'!E1472</f>
        <v>0</v>
      </c>
      <c r="F1472" s="11">
        <f>'[6]price list MAN'!F1472</f>
        <v>0</v>
      </c>
      <c r="G1472" s="32">
        <f>'[6]price list MAN'!G1472</f>
        <v>0</v>
      </c>
      <c r="H1472" s="26">
        <f>'[6]price list MAN'!H1472</f>
        <v>0</v>
      </c>
      <c r="I1472" s="51" t="str">
        <f t="shared" si="110"/>
        <v/>
      </c>
      <c r="J1472" s="177" t="e">
        <f>'[6]price list MAN'!J1472</f>
        <v>#N/A</v>
      </c>
      <c r="K1472" s="177" t="e">
        <f>'[6]price list MAN'!P1472</f>
        <v>#N/A</v>
      </c>
      <c r="L1472" s="177" t="e">
        <f>'[6]price list MAN'!R1472</f>
        <v>#N/A</v>
      </c>
      <c r="M1472" s="174" t="e">
        <f>'[6]price list MAN'!S1472</f>
        <v>#N/A</v>
      </c>
      <c r="N1472" s="174" t="e">
        <f>'[6]price list MAN'!Y1472</f>
        <v>#N/A</v>
      </c>
      <c r="O1472" s="174" t="e">
        <f>'[6]price list MAN'!AA1472</f>
        <v>#N/A</v>
      </c>
      <c r="P1472" s="68" t="e">
        <f t="shared" si="111"/>
        <v>#N/A</v>
      </c>
      <c r="Q1472" s="62" t="e">
        <f>O1472-#REF!</f>
        <v>#N/A</v>
      </c>
      <c r="AT1472" s="425" t="str">
        <f t="shared" si="112"/>
        <v>Special Order0</v>
      </c>
      <c r="AU1472" s="64" t="str">
        <f t="shared" si="113"/>
        <v>01-1900</v>
      </c>
      <c r="BA1472" s="428" t="str">
        <f t="shared" si="114"/>
        <v/>
      </c>
    </row>
    <row r="1473" spans="2:53">
      <c r="B1473" s="36">
        <f>'[6]price list MAN'!B1473</f>
        <v>0</v>
      </c>
      <c r="C1473" s="10">
        <f>'[6]price list MAN'!C1473</f>
        <v>0</v>
      </c>
      <c r="D1473" s="16" t="str">
        <f>IFERROR(VLOOKUP(C1473&amp;"",'[7]Retail Price List'!$A$3:$B$103,2,FALSE),"Special Order")</f>
        <v>Special Order</v>
      </c>
      <c r="E1473" s="494">
        <f>'[6]price list MAN'!E1473</f>
        <v>0</v>
      </c>
      <c r="F1473" s="11">
        <f>'[6]price list MAN'!F1473</f>
        <v>0</v>
      </c>
      <c r="G1473" s="32">
        <f>'[6]price list MAN'!G1473</f>
        <v>0</v>
      </c>
      <c r="H1473" s="26">
        <f>'[6]price list MAN'!H1473</f>
        <v>0</v>
      </c>
      <c r="I1473" s="51" t="str">
        <f t="shared" si="110"/>
        <v/>
      </c>
      <c r="J1473" s="177" t="e">
        <f>'[6]price list MAN'!J1473</f>
        <v>#N/A</v>
      </c>
      <c r="K1473" s="177" t="e">
        <f>'[6]price list MAN'!P1473</f>
        <v>#N/A</v>
      </c>
      <c r="L1473" s="177" t="e">
        <f>'[6]price list MAN'!R1473</f>
        <v>#N/A</v>
      </c>
      <c r="M1473" s="174" t="e">
        <f>'[6]price list MAN'!S1473</f>
        <v>#N/A</v>
      </c>
      <c r="N1473" s="174" t="e">
        <f>'[6]price list MAN'!Y1473</f>
        <v>#N/A</v>
      </c>
      <c r="O1473" s="174" t="e">
        <f>'[6]price list MAN'!AA1473</f>
        <v>#N/A</v>
      </c>
      <c r="P1473" s="68" t="e">
        <f t="shared" si="111"/>
        <v>#N/A</v>
      </c>
      <c r="Q1473" s="62" t="e">
        <f>O1473-#REF!</f>
        <v>#N/A</v>
      </c>
      <c r="AT1473" s="425" t="str">
        <f t="shared" si="112"/>
        <v>Special Order0</v>
      </c>
      <c r="AU1473" s="64" t="str">
        <f t="shared" si="113"/>
        <v>01-1900</v>
      </c>
      <c r="BA1473" s="428" t="str">
        <f t="shared" si="114"/>
        <v/>
      </c>
    </row>
    <row r="1474" spans="2:53">
      <c r="B1474" s="36">
        <f>'[6]price list MAN'!B1474</f>
        <v>0</v>
      </c>
      <c r="C1474" s="10">
        <f>'[6]price list MAN'!C1474</f>
        <v>0</v>
      </c>
      <c r="D1474" s="16" t="str">
        <f>IFERROR(VLOOKUP(C1474&amp;"",'[7]Retail Price List'!$A$3:$B$103,2,FALSE),"Special Order")</f>
        <v>Special Order</v>
      </c>
      <c r="E1474" s="494">
        <f>'[6]price list MAN'!E1474</f>
        <v>0</v>
      </c>
      <c r="F1474" s="11">
        <f>'[6]price list MAN'!F1474</f>
        <v>0</v>
      </c>
      <c r="G1474" s="32">
        <f>'[6]price list MAN'!G1474</f>
        <v>0</v>
      </c>
      <c r="H1474" s="26">
        <f>'[6]price list MAN'!H1474</f>
        <v>0</v>
      </c>
      <c r="I1474" s="51" t="str">
        <f t="shared" si="110"/>
        <v/>
      </c>
      <c r="J1474" s="177" t="e">
        <f>'[6]price list MAN'!J1474</f>
        <v>#N/A</v>
      </c>
      <c r="K1474" s="177" t="e">
        <f>'[6]price list MAN'!P1474</f>
        <v>#N/A</v>
      </c>
      <c r="L1474" s="177" t="e">
        <f>'[6]price list MAN'!R1474</f>
        <v>#N/A</v>
      </c>
      <c r="M1474" s="174" t="e">
        <f>'[6]price list MAN'!S1474</f>
        <v>#N/A</v>
      </c>
      <c r="N1474" s="174" t="e">
        <f>'[6]price list MAN'!Y1474</f>
        <v>#N/A</v>
      </c>
      <c r="O1474" s="174" t="e">
        <f>'[6]price list MAN'!AA1474</f>
        <v>#N/A</v>
      </c>
      <c r="P1474" s="68" t="e">
        <f t="shared" si="111"/>
        <v>#N/A</v>
      </c>
      <c r="Q1474" s="62" t="e">
        <f>O1474-#REF!</f>
        <v>#N/A</v>
      </c>
      <c r="AT1474" s="425" t="str">
        <f t="shared" si="112"/>
        <v>Special Order0</v>
      </c>
      <c r="AU1474" s="64" t="str">
        <f t="shared" si="113"/>
        <v>01-1900</v>
      </c>
      <c r="BA1474" s="428" t="str">
        <f t="shared" si="114"/>
        <v/>
      </c>
    </row>
    <row r="1475" spans="2:53">
      <c r="B1475" s="36">
        <f>'[6]price list MAN'!B1475</f>
        <v>0</v>
      </c>
      <c r="C1475" s="10">
        <f>'[6]price list MAN'!C1475</f>
        <v>0</v>
      </c>
      <c r="D1475" s="16" t="str">
        <f>IFERROR(VLOOKUP(C1475&amp;"",'[7]Retail Price List'!$A$3:$B$103,2,FALSE),"Special Order")</f>
        <v>Special Order</v>
      </c>
      <c r="E1475" s="494">
        <f>'[6]price list MAN'!E1475</f>
        <v>0</v>
      </c>
      <c r="F1475" s="11">
        <f>'[6]price list MAN'!F1475</f>
        <v>0</v>
      </c>
      <c r="G1475" s="32">
        <f>'[6]price list MAN'!G1475</f>
        <v>0</v>
      </c>
      <c r="H1475" s="26">
        <f>'[6]price list MAN'!H1475</f>
        <v>0</v>
      </c>
      <c r="I1475" s="51" t="str">
        <f t="shared" si="110"/>
        <v/>
      </c>
      <c r="J1475" s="177" t="e">
        <f>'[6]price list MAN'!J1475</f>
        <v>#N/A</v>
      </c>
      <c r="K1475" s="177" t="e">
        <f>'[6]price list MAN'!P1475</f>
        <v>#N/A</v>
      </c>
      <c r="L1475" s="177" t="e">
        <f>'[6]price list MAN'!R1475</f>
        <v>#N/A</v>
      </c>
      <c r="M1475" s="174" t="e">
        <f>'[6]price list MAN'!S1475</f>
        <v>#N/A</v>
      </c>
      <c r="N1475" s="174" t="e">
        <f>'[6]price list MAN'!Y1475</f>
        <v>#N/A</v>
      </c>
      <c r="O1475" s="174" t="e">
        <f>'[6]price list MAN'!AA1475</f>
        <v>#N/A</v>
      </c>
      <c r="P1475" s="68" t="e">
        <f t="shared" si="111"/>
        <v>#N/A</v>
      </c>
      <c r="Q1475" s="62" t="e">
        <f>O1475-#REF!</f>
        <v>#N/A</v>
      </c>
      <c r="AT1475" s="425" t="str">
        <f t="shared" si="112"/>
        <v>Special Order0</v>
      </c>
      <c r="AU1475" s="64" t="str">
        <f t="shared" si="113"/>
        <v>01-1900</v>
      </c>
      <c r="BA1475" s="428" t="str">
        <f t="shared" si="114"/>
        <v/>
      </c>
    </row>
    <row r="1476" spans="2:53">
      <c r="B1476" s="36">
        <f>'[6]price list MAN'!B1476</f>
        <v>0</v>
      </c>
      <c r="C1476" s="10">
        <f>'[6]price list MAN'!C1476</f>
        <v>0</v>
      </c>
      <c r="D1476" s="16" t="str">
        <f>IFERROR(VLOOKUP(C1476&amp;"",'[7]Retail Price List'!$A$3:$B$103,2,FALSE),"Special Order")</f>
        <v>Special Order</v>
      </c>
      <c r="E1476" s="494">
        <f>'[6]price list MAN'!E1476</f>
        <v>0</v>
      </c>
      <c r="F1476" s="11">
        <f>'[6]price list MAN'!F1476</f>
        <v>0</v>
      </c>
      <c r="G1476" s="32">
        <f>'[6]price list MAN'!G1476</f>
        <v>0</v>
      </c>
      <c r="H1476" s="26">
        <f>'[6]price list MAN'!H1476</f>
        <v>0</v>
      </c>
      <c r="I1476" s="51" t="str">
        <f t="shared" si="110"/>
        <v/>
      </c>
      <c r="J1476" s="177" t="e">
        <f>'[6]price list MAN'!J1476</f>
        <v>#N/A</v>
      </c>
      <c r="K1476" s="177" t="e">
        <f>'[6]price list MAN'!P1476</f>
        <v>#N/A</v>
      </c>
      <c r="L1476" s="177" t="e">
        <f>'[6]price list MAN'!R1476</f>
        <v>#N/A</v>
      </c>
      <c r="M1476" s="174" t="e">
        <f>'[6]price list MAN'!S1476</f>
        <v>#N/A</v>
      </c>
      <c r="N1476" s="174" t="e">
        <f>'[6]price list MAN'!Y1476</f>
        <v>#N/A</v>
      </c>
      <c r="O1476" s="174" t="e">
        <f>'[6]price list MAN'!AA1476</f>
        <v>#N/A</v>
      </c>
      <c r="P1476" s="68" t="e">
        <f t="shared" si="111"/>
        <v>#N/A</v>
      </c>
      <c r="Q1476" s="62" t="e">
        <f>O1476-#REF!</f>
        <v>#N/A</v>
      </c>
      <c r="AT1476" s="425" t="str">
        <f t="shared" si="112"/>
        <v>Special Order0</v>
      </c>
      <c r="AU1476" s="64" t="str">
        <f t="shared" si="113"/>
        <v>01-1900</v>
      </c>
      <c r="BA1476" s="428" t="str">
        <f t="shared" si="114"/>
        <v/>
      </c>
    </row>
    <row r="1477" spans="2:53">
      <c r="B1477" s="36">
        <f>'[6]price list MAN'!B1477</f>
        <v>0</v>
      </c>
      <c r="C1477" s="10">
        <f>'[6]price list MAN'!C1477</f>
        <v>0</v>
      </c>
      <c r="D1477" s="16" t="str">
        <f>IFERROR(VLOOKUP(C1477&amp;"",'[7]Retail Price List'!$A$3:$B$103,2,FALSE),"Special Order")</f>
        <v>Special Order</v>
      </c>
      <c r="E1477" s="494">
        <f>'[6]price list MAN'!E1477</f>
        <v>0</v>
      </c>
      <c r="F1477" s="11">
        <f>'[6]price list MAN'!F1477</f>
        <v>0</v>
      </c>
      <c r="G1477" s="32">
        <f>'[6]price list MAN'!G1477</f>
        <v>0</v>
      </c>
      <c r="H1477" s="26">
        <f>'[6]price list MAN'!H1477</f>
        <v>0</v>
      </c>
      <c r="I1477" s="51" t="str">
        <f t="shared" ref="I1477:I1540" si="115">IFERROR(VLOOKUP(AU1477,$AW$5:$AY$40,3,FALSE),"")</f>
        <v/>
      </c>
      <c r="J1477" s="177" t="e">
        <f>'[6]price list MAN'!J1477</f>
        <v>#N/A</v>
      </c>
      <c r="K1477" s="177" t="e">
        <f>'[6]price list MAN'!P1477</f>
        <v>#N/A</v>
      </c>
      <c r="L1477" s="177" t="e">
        <f>'[6]price list MAN'!R1477</f>
        <v>#N/A</v>
      </c>
      <c r="M1477" s="174" t="e">
        <f>'[6]price list MAN'!S1477</f>
        <v>#N/A</v>
      </c>
      <c r="N1477" s="174" t="e">
        <f>'[6]price list MAN'!Y1477</f>
        <v>#N/A</v>
      </c>
      <c r="O1477" s="174" t="e">
        <f>'[6]price list MAN'!AA1477</f>
        <v>#N/A</v>
      </c>
      <c r="P1477" s="68" t="e">
        <f t="shared" ref="P1477:P1540" si="116">(M1477-O1477)/M1477</f>
        <v>#N/A</v>
      </c>
      <c r="Q1477" s="62" t="e">
        <f>O1477-#REF!</f>
        <v>#N/A</v>
      </c>
      <c r="AT1477" s="425" t="str">
        <f t="shared" ref="AT1477:AT1540" si="117">D1477&amp;I1477&amp;G1477</f>
        <v>Special Order0</v>
      </c>
      <c r="AU1477" s="64" t="str">
        <f t="shared" ref="AU1477:AU1540" si="118">IF(MONTH(H1477)&lt;10,0&amp;MONTH(H1477)&amp;"-"&amp;YEAR(H1477),MONTH(H1477)&amp;"-"&amp;YEAR(H1477))</f>
        <v>01-1900</v>
      </c>
      <c r="BA1477" s="428" t="str">
        <f t="shared" ref="BA1477:BA1540" si="119">IF(B1477=0,"",IF(AND(F1477&gt;=31,F1477&lt;=120),"31-120 Days",IF(AND(F1477&gt;=121,F1477&lt;=365),"121-365 Days",IF(OR(E1477="CKD",F1477&lt;=30),"WIP - 30 Days","&gt;365 Days"))))</f>
        <v/>
      </c>
    </row>
    <row r="1478" spans="2:53">
      <c r="B1478" s="36">
        <f>'[6]price list MAN'!B1478</f>
        <v>0</v>
      </c>
      <c r="C1478" s="10">
        <f>'[6]price list MAN'!C1478</f>
        <v>0</v>
      </c>
      <c r="D1478" s="16" t="str">
        <f>IFERROR(VLOOKUP(C1478&amp;"",'[7]Retail Price List'!$A$3:$B$103,2,FALSE),"Special Order")</f>
        <v>Special Order</v>
      </c>
      <c r="E1478" s="494">
        <f>'[6]price list MAN'!E1478</f>
        <v>0</v>
      </c>
      <c r="F1478" s="11">
        <f>'[6]price list MAN'!F1478</f>
        <v>0</v>
      </c>
      <c r="G1478" s="32">
        <f>'[6]price list MAN'!G1478</f>
        <v>0</v>
      </c>
      <c r="H1478" s="26">
        <f>'[6]price list MAN'!H1478</f>
        <v>0</v>
      </c>
      <c r="I1478" s="51" t="str">
        <f t="shared" si="115"/>
        <v/>
      </c>
      <c r="J1478" s="177" t="e">
        <f>'[6]price list MAN'!J1478</f>
        <v>#N/A</v>
      </c>
      <c r="K1478" s="177" t="e">
        <f>'[6]price list MAN'!P1478</f>
        <v>#N/A</v>
      </c>
      <c r="L1478" s="177" t="e">
        <f>'[6]price list MAN'!R1478</f>
        <v>#N/A</v>
      </c>
      <c r="M1478" s="174" t="e">
        <f>'[6]price list MAN'!S1478</f>
        <v>#N/A</v>
      </c>
      <c r="N1478" s="174" t="e">
        <f>'[6]price list MAN'!Y1478</f>
        <v>#N/A</v>
      </c>
      <c r="O1478" s="174" t="e">
        <f>'[6]price list MAN'!AA1478</f>
        <v>#N/A</v>
      </c>
      <c r="P1478" s="68" t="e">
        <f t="shared" si="116"/>
        <v>#N/A</v>
      </c>
      <c r="Q1478" s="62" t="e">
        <f>O1478-#REF!</f>
        <v>#N/A</v>
      </c>
      <c r="AT1478" s="425" t="str">
        <f t="shared" si="117"/>
        <v>Special Order0</v>
      </c>
      <c r="AU1478" s="64" t="str">
        <f t="shared" si="118"/>
        <v>01-1900</v>
      </c>
      <c r="BA1478" s="428" t="str">
        <f t="shared" si="119"/>
        <v/>
      </c>
    </row>
    <row r="1479" spans="2:53">
      <c r="B1479" s="36">
        <f>'[6]price list MAN'!B1479</f>
        <v>0</v>
      </c>
      <c r="C1479" s="10">
        <f>'[6]price list MAN'!C1479</f>
        <v>0</v>
      </c>
      <c r="D1479" s="16" t="str">
        <f>IFERROR(VLOOKUP(C1479&amp;"",'[7]Retail Price List'!$A$3:$B$103,2,FALSE),"Special Order")</f>
        <v>Special Order</v>
      </c>
      <c r="E1479" s="494">
        <f>'[6]price list MAN'!E1479</f>
        <v>0</v>
      </c>
      <c r="F1479" s="11">
        <f>'[6]price list MAN'!F1479</f>
        <v>0</v>
      </c>
      <c r="G1479" s="32">
        <f>'[6]price list MAN'!G1479</f>
        <v>0</v>
      </c>
      <c r="H1479" s="26">
        <f>'[6]price list MAN'!H1479</f>
        <v>0</v>
      </c>
      <c r="I1479" s="51" t="str">
        <f t="shared" si="115"/>
        <v/>
      </c>
      <c r="J1479" s="177" t="e">
        <f>'[6]price list MAN'!J1479</f>
        <v>#N/A</v>
      </c>
      <c r="K1479" s="177" t="e">
        <f>'[6]price list MAN'!P1479</f>
        <v>#N/A</v>
      </c>
      <c r="L1479" s="177" t="e">
        <f>'[6]price list MAN'!R1479</f>
        <v>#N/A</v>
      </c>
      <c r="M1479" s="174" t="e">
        <f>'[6]price list MAN'!S1479</f>
        <v>#N/A</v>
      </c>
      <c r="N1479" s="174" t="e">
        <f>'[6]price list MAN'!Y1479</f>
        <v>#N/A</v>
      </c>
      <c r="O1479" s="174" t="e">
        <f>'[6]price list MAN'!AA1479</f>
        <v>#N/A</v>
      </c>
      <c r="P1479" s="68" t="e">
        <f t="shared" si="116"/>
        <v>#N/A</v>
      </c>
      <c r="Q1479" s="62" t="e">
        <f>O1479-#REF!</f>
        <v>#N/A</v>
      </c>
      <c r="AT1479" s="425" t="str">
        <f t="shared" si="117"/>
        <v>Special Order0</v>
      </c>
      <c r="AU1479" s="64" t="str">
        <f t="shared" si="118"/>
        <v>01-1900</v>
      </c>
      <c r="BA1479" s="428" t="str">
        <f t="shared" si="119"/>
        <v/>
      </c>
    </row>
    <row r="1480" spans="2:53">
      <c r="B1480" s="36">
        <f>'[6]price list MAN'!B1480</f>
        <v>0</v>
      </c>
      <c r="C1480" s="10">
        <f>'[6]price list MAN'!C1480</f>
        <v>0</v>
      </c>
      <c r="D1480" s="16" t="str">
        <f>IFERROR(VLOOKUP(C1480&amp;"",'[7]Retail Price List'!$A$3:$B$103,2,FALSE),"Special Order")</f>
        <v>Special Order</v>
      </c>
      <c r="E1480" s="494">
        <f>'[6]price list MAN'!E1480</f>
        <v>0</v>
      </c>
      <c r="F1480" s="11">
        <f>'[6]price list MAN'!F1480</f>
        <v>0</v>
      </c>
      <c r="G1480" s="32">
        <f>'[6]price list MAN'!G1480</f>
        <v>0</v>
      </c>
      <c r="H1480" s="26">
        <f>'[6]price list MAN'!H1480</f>
        <v>0</v>
      </c>
      <c r="I1480" s="51" t="str">
        <f t="shared" si="115"/>
        <v/>
      </c>
      <c r="J1480" s="177" t="e">
        <f>'[6]price list MAN'!J1480</f>
        <v>#N/A</v>
      </c>
      <c r="K1480" s="177" t="e">
        <f>'[6]price list MAN'!P1480</f>
        <v>#N/A</v>
      </c>
      <c r="L1480" s="177" t="e">
        <f>'[6]price list MAN'!R1480</f>
        <v>#N/A</v>
      </c>
      <c r="M1480" s="174" t="e">
        <f>'[6]price list MAN'!S1480</f>
        <v>#N/A</v>
      </c>
      <c r="N1480" s="174" t="e">
        <f>'[6]price list MAN'!Y1480</f>
        <v>#N/A</v>
      </c>
      <c r="O1480" s="174" t="e">
        <f>'[6]price list MAN'!AA1480</f>
        <v>#N/A</v>
      </c>
      <c r="P1480" s="68" t="e">
        <f t="shared" si="116"/>
        <v>#N/A</v>
      </c>
      <c r="Q1480" s="62" t="e">
        <f>O1480-#REF!</f>
        <v>#N/A</v>
      </c>
      <c r="AT1480" s="425" t="str">
        <f t="shared" si="117"/>
        <v>Special Order0</v>
      </c>
      <c r="AU1480" s="64" t="str">
        <f t="shared" si="118"/>
        <v>01-1900</v>
      </c>
      <c r="BA1480" s="428" t="str">
        <f t="shared" si="119"/>
        <v/>
      </c>
    </row>
    <row r="1481" spans="2:53">
      <c r="B1481" s="36">
        <f>'[6]price list MAN'!B1481</f>
        <v>0</v>
      </c>
      <c r="C1481" s="10">
        <f>'[6]price list MAN'!C1481</f>
        <v>0</v>
      </c>
      <c r="D1481" s="16" t="str">
        <f>IFERROR(VLOOKUP(C1481&amp;"",'[7]Retail Price List'!$A$3:$B$103,2,FALSE),"Special Order")</f>
        <v>Special Order</v>
      </c>
      <c r="E1481" s="494">
        <f>'[6]price list MAN'!E1481</f>
        <v>0</v>
      </c>
      <c r="F1481" s="11">
        <f>'[6]price list MAN'!F1481</f>
        <v>0</v>
      </c>
      <c r="G1481" s="32">
        <f>'[6]price list MAN'!G1481</f>
        <v>0</v>
      </c>
      <c r="H1481" s="26">
        <f>'[6]price list MAN'!H1481</f>
        <v>0</v>
      </c>
      <c r="I1481" s="51" t="str">
        <f t="shared" si="115"/>
        <v/>
      </c>
      <c r="J1481" s="177" t="e">
        <f>'[6]price list MAN'!J1481</f>
        <v>#N/A</v>
      </c>
      <c r="K1481" s="177" t="e">
        <f>'[6]price list MAN'!P1481</f>
        <v>#N/A</v>
      </c>
      <c r="L1481" s="177" t="e">
        <f>'[6]price list MAN'!R1481</f>
        <v>#N/A</v>
      </c>
      <c r="M1481" s="174" t="e">
        <f>'[6]price list MAN'!S1481</f>
        <v>#N/A</v>
      </c>
      <c r="N1481" s="174" t="e">
        <f>'[6]price list MAN'!Y1481</f>
        <v>#N/A</v>
      </c>
      <c r="O1481" s="174" t="e">
        <f>'[6]price list MAN'!AA1481</f>
        <v>#N/A</v>
      </c>
      <c r="P1481" s="68" t="e">
        <f t="shared" si="116"/>
        <v>#N/A</v>
      </c>
      <c r="Q1481" s="62" t="e">
        <f>O1481-#REF!</f>
        <v>#N/A</v>
      </c>
      <c r="AT1481" s="425" t="str">
        <f t="shared" si="117"/>
        <v>Special Order0</v>
      </c>
      <c r="AU1481" s="64" t="str">
        <f t="shared" si="118"/>
        <v>01-1900</v>
      </c>
      <c r="BA1481" s="428" t="str">
        <f t="shared" si="119"/>
        <v/>
      </c>
    </row>
    <row r="1482" spans="2:53">
      <c r="B1482" s="36">
        <f>'[6]price list MAN'!B1482</f>
        <v>0</v>
      </c>
      <c r="C1482" s="10">
        <f>'[6]price list MAN'!C1482</f>
        <v>0</v>
      </c>
      <c r="D1482" s="16" t="str">
        <f>IFERROR(VLOOKUP(C1482&amp;"",'[7]Retail Price List'!$A$3:$B$103,2,FALSE),"Special Order")</f>
        <v>Special Order</v>
      </c>
      <c r="E1482" s="494">
        <f>'[6]price list MAN'!E1482</f>
        <v>0</v>
      </c>
      <c r="F1482" s="11">
        <f>'[6]price list MAN'!F1482</f>
        <v>0</v>
      </c>
      <c r="G1482" s="32">
        <f>'[6]price list MAN'!G1482</f>
        <v>0</v>
      </c>
      <c r="H1482" s="26">
        <f>'[6]price list MAN'!H1482</f>
        <v>0</v>
      </c>
      <c r="I1482" s="51" t="str">
        <f t="shared" si="115"/>
        <v/>
      </c>
      <c r="J1482" s="177" t="e">
        <f>'[6]price list MAN'!J1482</f>
        <v>#N/A</v>
      </c>
      <c r="K1482" s="177" t="e">
        <f>'[6]price list MAN'!P1482</f>
        <v>#N/A</v>
      </c>
      <c r="L1482" s="177" t="e">
        <f>'[6]price list MAN'!R1482</f>
        <v>#N/A</v>
      </c>
      <c r="M1482" s="174" t="e">
        <f>'[6]price list MAN'!S1482</f>
        <v>#N/A</v>
      </c>
      <c r="N1482" s="174" t="e">
        <f>'[6]price list MAN'!Y1482</f>
        <v>#N/A</v>
      </c>
      <c r="O1482" s="174" t="e">
        <f>'[6]price list MAN'!AA1482</f>
        <v>#N/A</v>
      </c>
      <c r="P1482" s="68" t="e">
        <f t="shared" si="116"/>
        <v>#N/A</v>
      </c>
      <c r="Q1482" s="62" t="e">
        <f>O1482-#REF!</f>
        <v>#N/A</v>
      </c>
      <c r="AT1482" s="425" t="str">
        <f t="shared" si="117"/>
        <v>Special Order0</v>
      </c>
      <c r="AU1482" s="64" t="str">
        <f t="shared" si="118"/>
        <v>01-1900</v>
      </c>
      <c r="BA1482" s="428" t="str">
        <f t="shared" si="119"/>
        <v/>
      </c>
    </row>
    <row r="1483" spans="2:53">
      <c r="B1483" s="36">
        <f>'[6]price list MAN'!B1483</f>
        <v>0</v>
      </c>
      <c r="C1483" s="10">
        <f>'[6]price list MAN'!C1483</f>
        <v>0</v>
      </c>
      <c r="D1483" s="16" t="str">
        <f>IFERROR(VLOOKUP(C1483&amp;"",'[7]Retail Price List'!$A$3:$B$103,2,FALSE),"Special Order")</f>
        <v>Special Order</v>
      </c>
      <c r="E1483" s="494">
        <f>'[6]price list MAN'!E1483</f>
        <v>0</v>
      </c>
      <c r="F1483" s="11">
        <f>'[6]price list MAN'!F1483</f>
        <v>0</v>
      </c>
      <c r="G1483" s="32">
        <f>'[6]price list MAN'!G1483</f>
        <v>0</v>
      </c>
      <c r="H1483" s="26">
        <f>'[6]price list MAN'!H1483</f>
        <v>0</v>
      </c>
      <c r="I1483" s="51" t="str">
        <f t="shared" si="115"/>
        <v/>
      </c>
      <c r="J1483" s="177" t="e">
        <f>'[6]price list MAN'!J1483</f>
        <v>#N/A</v>
      </c>
      <c r="K1483" s="177" t="e">
        <f>'[6]price list MAN'!P1483</f>
        <v>#N/A</v>
      </c>
      <c r="L1483" s="177" t="e">
        <f>'[6]price list MAN'!R1483</f>
        <v>#N/A</v>
      </c>
      <c r="M1483" s="174" t="e">
        <f>'[6]price list MAN'!S1483</f>
        <v>#N/A</v>
      </c>
      <c r="N1483" s="174" t="e">
        <f>'[6]price list MAN'!Y1483</f>
        <v>#N/A</v>
      </c>
      <c r="O1483" s="174" t="e">
        <f>'[6]price list MAN'!AA1483</f>
        <v>#N/A</v>
      </c>
      <c r="P1483" s="68" t="e">
        <f t="shared" si="116"/>
        <v>#N/A</v>
      </c>
      <c r="Q1483" s="62" t="e">
        <f>O1483-#REF!</f>
        <v>#N/A</v>
      </c>
      <c r="AT1483" s="425" t="str">
        <f t="shared" si="117"/>
        <v>Special Order0</v>
      </c>
      <c r="AU1483" s="64" t="str">
        <f t="shared" si="118"/>
        <v>01-1900</v>
      </c>
      <c r="BA1483" s="428" t="str">
        <f t="shared" si="119"/>
        <v/>
      </c>
    </row>
    <row r="1484" spans="2:53">
      <c r="B1484" s="36">
        <f>'[6]price list MAN'!B1484</f>
        <v>0</v>
      </c>
      <c r="C1484" s="10">
        <f>'[6]price list MAN'!C1484</f>
        <v>0</v>
      </c>
      <c r="D1484" s="16" t="str">
        <f>IFERROR(VLOOKUP(C1484&amp;"",'[7]Retail Price List'!$A$3:$B$103,2,FALSE),"Special Order")</f>
        <v>Special Order</v>
      </c>
      <c r="E1484" s="494">
        <f>'[6]price list MAN'!E1484</f>
        <v>0</v>
      </c>
      <c r="F1484" s="11">
        <f>'[6]price list MAN'!F1484</f>
        <v>0</v>
      </c>
      <c r="G1484" s="32">
        <f>'[6]price list MAN'!G1484</f>
        <v>0</v>
      </c>
      <c r="H1484" s="26">
        <f>'[6]price list MAN'!H1484</f>
        <v>0</v>
      </c>
      <c r="I1484" s="51" t="str">
        <f t="shared" si="115"/>
        <v/>
      </c>
      <c r="J1484" s="177" t="e">
        <f>'[6]price list MAN'!J1484</f>
        <v>#N/A</v>
      </c>
      <c r="K1484" s="177" t="e">
        <f>'[6]price list MAN'!P1484</f>
        <v>#N/A</v>
      </c>
      <c r="L1484" s="177" t="e">
        <f>'[6]price list MAN'!R1484</f>
        <v>#N/A</v>
      </c>
      <c r="M1484" s="174" t="e">
        <f>'[6]price list MAN'!S1484</f>
        <v>#N/A</v>
      </c>
      <c r="N1484" s="174" t="e">
        <f>'[6]price list MAN'!Y1484</f>
        <v>#N/A</v>
      </c>
      <c r="O1484" s="174" t="e">
        <f>'[6]price list MAN'!AA1484</f>
        <v>#N/A</v>
      </c>
      <c r="P1484" s="68" t="e">
        <f t="shared" si="116"/>
        <v>#N/A</v>
      </c>
      <c r="Q1484" s="62" t="e">
        <f>O1484-#REF!</f>
        <v>#N/A</v>
      </c>
      <c r="AT1484" s="425" t="str">
        <f t="shared" si="117"/>
        <v>Special Order0</v>
      </c>
      <c r="AU1484" s="64" t="str">
        <f t="shared" si="118"/>
        <v>01-1900</v>
      </c>
      <c r="BA1484" s="428" t="str">
        <f t="shared" si="119"/>
        <v/>
      </c>
    </row>
    <row r="1485" spans="2:53">
      <c r="B1485" s="36">
        <f>'[6]price list MAN'!B1485</f>
        <v>0</v>
      </c>
      <c r="C1485" s="10">
        <f>'[6]price list MAN'!C1485</f>
        <v>0</v>
      </c>
      <c r="D1485" s="16" t="str">
        <f>IFERROR(VLOOKUP(C1485&amp;"",'[7]Retail Price List'!$A$3:$B$103,2,FALSE),"Special Order")</f>
        <v>Special Order</v>
      </c>
      <c r="E1485" s="494">
        <f>'[6]price list MAN'!E1485</f>
        <v>0</v>
      </c>
      <c r="F1485" s="11">
        <f>'[6]price list MAN'!F1485</f>
        <v>0</v>
      </c>
      <c r="G1485" s="32">
        <f>'[6]price list MAN'!G1485</f>
        <v>0</v>
      </c>
      <c r="H1485" s="26">
        <f>'[6]price list MAN'!H1485</f>
        <v>0</v>
      </c>
      <c r="I1485" s="51" t="str">
        <f t="shared" si="115"/>
        <v/>
      </c>
      <c r="J1485" s="177" t="e">
        <f>'[6]price list MAN'!J1485</f>
        <v>#N/A</v>
      </c>
      <c r="K1485" s="177" t="e">
        <f>'[6]price list MAN'!P1485</f>
        <v>#N/A</v>
      </c>
      <c r="L1485" s="177" t="e">
        <f>'[6]price list MAN'!R1485</f>
        <v>#N/A</v>
      </c>
      <c r="M1485" s="174" t="e">
        <f>'[6]price list MAN'!S1485</f>
        <v>#N/A</v>
      </c>
      <c r="N1485" s="174" t="e">
        <f>'[6]price list MAN'!Y1485</f>
        <v>#N/A</v>
      </c>
      <c r="O1485" s="174" t="e">
        <f>'[6]price list MAN'!AA1485</f>
        <v>#N/A</v>
      </c>
      <c r="P1485" s="68" t="e">
        <f t="shared" si="116"/>
        <v>#N/A</v>
      </c>
      <c r="Q1485" s="62" t="e">
        <f>O1485-#REF!</f>
        <v>#N/A</v>
      </c>
      <c r="AT1485" s="425" t="str">
        <f t="shared" si="117"/>
        <v>Special Order0</v>
      </c>
      <c r="AU1485" s="64" t="str">
        <f t="shared" si="118"/>
        <v>01-1900</v>
      </c>
      <c r="BA1485" s="428" t="str">
        <f t="shared" si="119"/>
        <v/>
      </c>
    </row>
    <row r="1486" spans="2:53">
      <c r="B1486" s="36">
        <f>'[6]price list MAN'!B1486</f>
        <v>0</v>
      </c>
      <c r="C1486" s="10">
        <f>'[6]price list MAN'!C1486</f>
        <v>0</v>
      </c>
      <c r="D1486" s="16" t="str">
        <f>IFERROR(VLOOKUP(C1486&amp;"",'[7]Retail Price List'!$A$3:$B$103,2,FALSE),"Special Order")</f>
        <v>Special Order</v>
      </c>
      <c r="E1486" s="494">
        <f>'[6]price list MAN'!E1486</f>
        <v>0</v>
      </c>
      <c r="F1486" s="11">
        <f>'[6]price list MAN'!F1486</f>
        <v>0</v>
      </c>
      <c r="G1486" s="32">
        <f>'[6]price list MAN'!G1486</f>
        <v>0</v>
      </c>
      <c r="H1486" s="26">
        <f>'[6]price list MAN'!H1486</f>
        <v>0</v>
      </c>
      <c r="I1486" s="51" t="str">
        <f t="shared" si="115"/>
        <v/>
      </c>
      <c r="J1486" s="177" t="e">
        <f>'[6]price list MAN'!J1486</f>
        <v>#N/A</v>
      </c>
      <c r="K1486" s="177" t="e">
        <f>'[6]price list MAN'!P1486</f>
        <v>#N/A</v>
      </c>
      <c r="L1486" s="177" t="e">
        <f>'[6]price list MAN'!R1486</f>
        <v>#N/A</v>
      </c>
      <c r="M1486" s="174" t="e">
        <f>'[6]price list MAN'!S1486</f>
        <v>#N/A</v>
      </c>
      <c r="N1486" s="174" t="e">
        <f>'[6]price list MAN'!Y1486</f>
        <v>#N/A</v>
      </c>
      <c r="O1486" s="174" t="e">
        <f>'[6]price list MAN'!AA1486</f>
        <v>#N/A</v>
      </c>
      <c r="P1486" s="68" t="e">
        <f t="shared" si="116"/>
        <v>#N/A</v>
      </c>
      <c r="Q1486" s="62" t="e">
        <f>O1486-#REF!</f>
        <v>#N/A</v>
      </c>
      <c r="AT1486" s="425" t="str">
        <f t="shared" si="117"/>
        <v>Special Order0</v>
      </c>
      <c r="AU1486" s="64" t="str">
        <f t="shared" si="118"/>
        <v>01-1900</v>
      </c>
      <c r="BA1486" s="428" t="str">
        <f t="shared" si="119"/>
        <v/>
      </c>
    </row>
    <row r="1487" spans="2:53">
      <c r="B1487" s="36">
        <f>'[6]price list MAN'!B1487</f>
        <v>0</v>
      </c>
      <c r="C1487" s="10">
        <f>'[6]price list MAN'!C1487</f>
        <v>0</v>
      </c>
      <c r="D1487" s="16" t="str">
        <f>IFERROR(VLOOKUP(C1487&amp;"",'[7]Retail Price List'!$A$3:$B$103,2,FALSE),"Special Order")</f>
        <v>Special Order</v>
      </c>
      <c r="E1487" s="494">
        <f>'[6]price list MAN'!E1487</f>
        <v>0</v>
      </c>
      <c r="F1487" s="11">
        <f>'[6]price list MAN'!F1487</f>
        <v>0</v>
      </c>
      <c r="G1487" s="32">
        <f>'[6]price list MAN'!G1487</f>
        <v>0</v>
      </c>
      <c r="H1487" s="26">
        <f>'[6]price list MAN'!H1487</f>
        <v>0</v>
      </c>
      <c r="I1487" s="51" t="str">
        <f t="shared" si="115"/>
        <v/>
      </c>
      <c r="J1487" s="177" t="e">
        <f>'[6]price list MAN'!J1487</f>
        <v>#N/A</v>
      </c>
      <c r="K1487" s="177" t="e">
        <f>'[6]price list MAN'!P1487</f>
        <v>#N/A</v>
      </c>
      <c r="L1487" s="177" t="e">
        <f>'[6]price list MAN'!R1487</f>
        <v>#N/A</v>
      </c>
      <c r="M1487" s="174" t="e">
        <f>'[6]price list MAN'!S1487</f>
        <v>#N/A</v>
      </c>
      <c r="N1487" s="174" t="e">
        <f>'[6]price list MAN'!Y1487</f>
        <v>#N/A</v>
      </c>
      <c r="O1487" s="174" t="e">
        <f>'[6]price list MAN'!AA1487</f>
        <v>#N/A</v>
      </c>
      <c r="P1487" s="68" t="e">
        <f t="shared" si="116"/>
        <v>#N/A</v>
      </c>
      <c r="Q1487" s="62" t="e">
        <f>O1487-#REF!</f>
        <v>#N/A</v>
      </c>
      <c r="AT1487" s="425" t="str">
        <f t="shared" si="117"/>
        <v>Special Order0</v>
      </c>
      <c r="AU1487" s="64" t="str">
        <f t="shared" si="118"/>
        <v>01-1900</v>
      </c>
      <c r="BA1487" s="428" t="str">
        <f t="shared" si="119"/>
        <v/>
      </c>
    </row>
    <row r="1488" spans="2:53">
      <c r="B1488" s="36">
        <f>'[6]price list MAN'!B1488</f>
        <v>0</v>
      </c>
      <c r="C1488" s="10">
        <f>'[6]price list MAN'!C1488</f>
        <v>0</v>
      </c>
      <c r="D1488" s="16" t="str">
        <f>IFERROR(VLOOKUP(C1488&amp;"",'[7]Retail Price List'!$A$3:$B$103,2,FALSE),"Special Order")</f>
        <v>Special Order</v>
      </c>
      <c r="E1488" s="494">
        <f>'[6]price list MAN'!E1488</f>
        <v>0</v>
      </c>
      <c r="F1488" s="11">
        <f>'[6]price list MAN'!F1488</f>
        <v>0</v>
      </c>
      <c r="G1488" s="32">
        <f>'[6]price list MAN'!G1488</f>
        <v>0</v>
      </c>
      <c r="H1488" s="26">
        <f>'[6]price list MAN'!H1488</f>
        <v>0</v>
      </c>
      <c r="I1488" s="51" t="str">
        <f t="shared" si="115"/>
        <v/>
      </c>
      <c r="J1488" s="177" t="e">
        <f>'[6]price list MAN'!J1488</f>
        <v>#N/A</v>
      </c>
      <c r="K1488" s="177" t="e">
        <f>'[6]price list MAN'!P1488</f>
        <v>#N/A</v>
      </c>
      <c r="L1488" s="177" t="e">
        <f>'[6]price list MAN'!R1488</f>
        <v>#N/A</v>
      </c>
      <c r="M1488" s="174" t="e">
        <f>'[6]price list MAN'!S1488</f>
        <v>#N/A</v>
      </c>
      <c r="N1488" s="174" t="e">
        <f>'[6]price list MAN'!Y1488</f>
        <v>#N/A</v>
      </c>
      <c r="O1488" s="174" t="e">
        <f>'[6]price list MAN'!AA1488</f>
        <v>#N/A</v>
      </c>
      <c r="P1488" s="68" t="e">
        <f t="shared" si="116"/>
        <v>#N/A</v>
      </c>
      <c r="Q1488" s="62" t="e">
        <f>O1488-#REF!</f>
        <v>#N/A</v>
      </c>
      <c r="AT1488" s="425" t="str">
        <f t="shared" si="117"/>
        <v>Special Order0</v>
      </c>
      <c r="AU1488" s="64" t="str">
        <f t="shared" si="118"/>
        <v>01-1900</v>
      </c>
      <c r="BA1488" s="428" t="str">
        <f t="shared" si="119"/>
        <v/>
      </c>
    </row>
    <row r="1489" spans="2:53">
      <c r="B1489" s="36">
        <f>'[6]price list MAN'!B1489</f>
        <v>0</v>
      </c>
      <c r="C1489" s="10">
        <f>'[6]price list MAN'!C1489</f>
        <v>0</v>
      </c>
      <c r="D1489" s="16" t="str">
        <f>IFERROR(VLOOKUP(C1489&amp;"",'[7]Retail Price List'!$A$3:$B$103,2,FALSE),"Special Order")</f>
        <v>Special Order</v>
      </c>
      <c r="E1489" s="494">
        <f>'[6]price list MAN'!E1489</f>
        <v>0</v>
      </c>
      <c r="F1489" s="11">
        <f>'[6]price list MAN'!F1489</f>
        <v>0</v>
      </c>
      <c r="G1489" s="32">
        <f>'[6]price list MAN'!G1489</f>
        <v>0</v>
      </c>
      <c r="H1489" s="26">
        <f>'[6]price list MAN'!H1489</f>
        <v>0</v>
      </c>
      <c r="I1489" s="51" t="str">
        <f t="shared" si="115"/>
        <v/>
      </c>
      <c r="J1489" s="177" t="e">
        <f>'[6]price list MAN'!J1489</f>
        <v>#N/A</v>
      </c>
      <c r="K1489" s="177" t="e">
        <f>'[6]price list MAN'!P1489</f>
        <v>#N/A</v>
      </c>
      <c r="L1489" s="177" t="e">
        <f>'[6]price list MAN'!R1489</f>
        <v>#N/A</v>
      </c>
      <c r="M1489" s="174" t="e">
        <f>'[6]price list MAN'!S1489</f>
        <v>#N/A</v>
      </c>
      <c r="N1489" s="174" t="e">
        <f>'[6]price list MAN'!Y1489</f>
        <v>#N/A</v>
      </c>
      <c r="O1489" s="174" t="e">
        <f>'[6]price list MAN'!AA1489</f>
        <v>#N/A</v>
      </c>
      <c r="P1489" s="68" t="e">
        <f t="shared" si="116"/>
        <v>#N/A</v>
      </c>
      <c r="Q1489" s="62" t="e">
        <f>O1489-#REF!</f>
        <v>#N/A</v>
      </c>
      <c r="AT1489" s="425" t="str">
        <f t="shared" si="117"/>
        <v>Special Order0</v>
      </c>
      <c r="AU1489" s="64" t="str">
        <f t="shared" si="118"/>
        <v>01-1900</v>
      </c>
      <c r="BA1489" s="428" t="str">
        <f t="shared" si="119"/>
        <v/>
      </c>
    </row>
    <row r="1490" spans="2:53">
      <c r="B1490" s="36">
        <f>'[6]price list MAN'!B1490</f>
        <v>0</v>
      </c>
      <c r="C1490" s="10">
        <f>'[6]price list MAN'!C1490</f>
        <v>0</v>
      </c>
      <c r="D1490" s="16" t="str">
        <f>IFERROR(VLOOKUP(C1490&amp;"",'[7]Retail Price List'!$A$3:$B$103,2,FALSE),"Special Order")</f>
        <v>Special Order</v>
      </c>
      <c r="E1490" s="494">
        <f>'[6]price list MAN'!E1490</f>
        <v>0</v>
      </c>
      <c r="F1490" s="11">
        <f>'[6]price list MAN'!F1490</f>
        <v>0</v>
      </c>
      <c r="G1490" s="32">
        <f>'[6]price list MAN'!G1490</f>
        <v>0</v>
      </c>
      <c r="H1490" s="26">
        <f>'[6]price list MAN'!H1490</f>
        <v>0</v>
      </c>
      <c r="I1490" s="51" t="str">
        <f t="shared" si="115"/>
        <v/>
      </c>
      <c r="J1490" s="177" t="e">
        <f>'[6]price list MAN'!J1490</f>
        <v>#N/A</v>
      </c>
      <c r="K1490" s="177" t="e">
        <f>'[6]price list MAN'!P1490</f>
        <v>#N/A</v>
      </c>
      <c r="L1490" s="177" t="e">
        <f>'[6]price list MAN'!R1490</f>
        <v>#N/A</v>
      </c>
      <c r="M1490" s="174" t="e">
        <f>'[6]price list MAN'!S1490</f>
        <v>#N/A</v>
      </c>
      <c r="N1490" s="174" t="e">
        <f>'[6]price list MAN'!Y1490</f>
        <v>#N/A</v>
      </c>
      <c r="O1490" s="174" t="e">
        <f>'[6]price list MAN'!AA1490</f>
        <v>#N/A</v>
      </c>
      <c r="P1490" s="68" t="e">
        <f t="shared" si="116"/>
        <v>#N/A</v>
      </c>
      <c r="Q1490" s="62" t="e">
        <f>O1490-#REF!</f>
        <v>#N/A</v>
      </c>
      <c r="AT1490" s="425" t="str">
        <f t="shared" si="117"/>
        <v>Special Order0</v>
      </c>
      <c r="AU1490" s="64" t="str">
        <f t="shared" si="118"/>
        <v>01-1900</v>
      </c>
      <c r="BA1490" s="428" t="str">
        <f t="shared" si="119"/>
        <v/>
      </c>
    </row>
    <row r="1491" spans="2:53">
      <c r="B1491" s="36">
        <f>'[6]price list MAN'!B1491</f>
        <v>0</v>
      </c>
      <c r="C1491" s="10">
        <f>'[6]price list MAN'!C1491</f>
        <v>0</v>
      </c>
      <c r="D1491" s="16" t="str">
        <f>IFERROR(VLOOKUP(C1491&amp;"",'[7]Retail Price List'!$A$3:$B$103,2,FALSE),"Special Order")</f>
        <v>Special Order</v>
      </c>
      <c r="E1491" s="494">
        <f>'[6]price list MAN'!E1491</f>
        <v>0</v>
      </c>
      <c r="F1491" s="11">
        <f>'[6]price list MAN'!F1491</f>
        <v>0</v>
      </c>
      <c r="G1491" s="32">
        <f>'[6]price list MAN'!G1491</f>
        <v>0</v>
      </c>
      <c r="H1491" s="26">
        <f>'[6]price list MAN'!H1491</f>
        <v>0</v>
      </c>
      <c r="I1491" s="51" t="str">
        <f t="shared" si="115"/>
        <v/>
      </c>
      <c r="J1491" s="177" t="e">
        <f>'[6]price list MAN'!J1491</f>
        <v>#N/A</v>
      </c>
      <c r="K1491" s="177" t="e">
        <f>'[6]price list MAN'!P1491</f>
        <v>#N/A</v>
      </c>
      <c r="L1491" s="177" t="e">
        <f>'[6]price list MAN'!R1491</f>
        <v>#N/A</v>
      </c>
      <c r="M1491" s="174" t="e">
        <f>'[6]price list MAN'!S1491</f>
        <v>#N/A</v>
      </c>
      <c r="N1491" s="174" t="e">
        <f>'[6]price list MAN'!Y1491</f>
        <v>#N/A</v>
      </c>
      <c r="O1491" s="174" t="e">
        <f>'[6]price list MAN'!AA1491</f>
        <v>#N/A</v>
      </c>
      <c r="P1491" s="68" t="e">
        <f t="shared" si="116"/>
        <v>#N/A</v>
      </c>
      <c r="Q1491" s="62" t="e">
        <f>O1491-#REF!</f>
        <v>#N/A</v>
      </c>
      <c r="AT1491" s="425" t="str">
        <f t="shared" si="117"/>
        <v>Special Order0</v>
      </c>
      <c r="AU1491" s="64" t="str">
        <f t="shared" si="118"/>
        <v>01-1900</v>
      </c>
      <c r="BA1491" s="428" t="str">
        <f t="shared" si="119"/>
        <v/>
      </c>
    </row>
    <row r="1492" spans="2:53">
      <c r="B1492" s="36">
        <f>'[6]price list MAN'!B1492</f>
        <v>0</v>
      </c>
      <c r="C1492" s="10">
        <f>'[6]price list MAN'!C1492</f>
        <v>0</v>
      </c>
      <c r="D1492" s="16" t="str">
        <f>IFERROR(VLOOKUP(C1492&amp;"",'[7]Retail Price List'!$A$3:$B$103,2,FALSE),"Special Order")</f>
        <v>Special Order</v>
      </c>
      <c r="E1492" s="494">
        <f>'[6]price list MAN'!E1492</f>
        <v>0</v>
      </c>
      <c r="F1492" s="11">
        <f>'[6]price list MAN'!F1492</f>
        <v>0</v>
      </c>
      <c r="G1492" s="32">
        <f>'[6]price list MAN'!G1492</f>
        <v>0</v>
      </c>
      <c r="H1492" s="26">
        <f>'[6]price list MAN'!H1492</f>
        <v>0</v>
      </c>
      <c r="I1492" s="51" t="str">
        <f t="shared" si="115"/>
        <v/>
      </c>
      <c r="J1492" s="177" t="e">
        <f>'[6]price list MAN'!J1492</f>
        <v>#N/A</v>
      </c>
      <c r="K1492" s="177" t="e">
        <f>'[6]price list MAN'!P1492</f>
        <v>#N/A</v>
      </c>
      <c r="L1492" s="177" t="e">
        <f>'[6]price list MAN'!R1492</f>
        <v>#N/A</v>
      </c>
      <c r="M1492" s="174" t="e">
        <f>'[6]price list MAN'!S1492</f>
        <v>#N/A</v>
      </c>
      <c r="N1492" s="174" t="e">
        <f>'[6]price list MAN'!Y1492</f>
        <v>#N/A</v>
      </c>
      <c r="O1492" s="174" t="e">
        <f>'[6]price list MAN'!AA1492</f>
        <v>#N/A</v>
      </c>
      <c r="P1492" s="68" t="e">
        <f t="shared" si="116"/>
        <v>#N/A</v>
      </c>
      <c r="Q1492" s="62" t="e">
        <f>O1492-#REF!</f>
        <v>#N/A</v>
      </c>
      <c r="AT1492" s="425" t="str">
        <f t="shared" si="117"/>
        <v>Special Order0</v>
      </c>
      <c r="AU1492" s="64" t="str">
        <f t="shared" si="118"/>
        <v>01-1900</v>
      </c>
      <c r="BA1492" s="428" t="str">
        <f t="shared" si="119"/>
        <v/>
      </c>
    </row>
    <row r="1493" spans="2:53">
      <c r="B1493" s="36">
        <f>'[6]price list MAN'!B1493</f>
        <v>0</v>
      </c>
      <c r="C1493" s="10">
        <f>'[6]price list MAN'!C1493</f>
        <v>0</v>
      </c>
      <c r="D1493" s="16" t="str">
        <f>IFERROR(VLOOKUP(C1493&amp;"",'[7]Retail Price List'!$A$3:$B$103,2,FALSE),"Special Order")</f>
        <v>Special Order</v>
      </c>
      <c r="E1493" s="494">
        <f>'[6]price list MAN'!E1493</f>
        <v>0</v>
      </c>
      <c r="F1493" s="11">
        <f>'[6]price list MAN'!F1493</f>
        <v>0</v>
      </c>
      <c r="G1493" s="32">
        <f>'[6]price list MAN'!G1493</f>
        <v>0</v>
      </c>
      <c r="H1493" s="26">
        <f>'[6]price list MAN'!H1493</f>
        <v>0</v>
      </c>
      <c r="I1493" s="51" t="str">
        <f t="shared" si="115"/>
        <v/>
      </c>
      <c r="J1493" s="177" t="e">
        <f>'[6]price list MAN'!J1493</f>
        <v>#N/A</v>
      </c>
      <c r="K1493" s="177" t="e">
        <f>'[6]price list MAN'!P1493</f>
        <v>#N/A</v>
      </c>
      <c r="L1493" s="177" t="e">
        <f>'[6]price list MAN'!R1493</f>
        <v>#N/A</v>
      </c>
      <c r="M1493" s="174" t="e">
        <f>'[6]price list MAN'!S1493</f>
        <v>#N/A</v>
      </c>
      <c r="N1493" s="174" t="e">
        <f>'[6]price list MAN'!Y1493</f>
        <v>#N/A</v>
      </c>
      <c r="O1493" s="174" t="e">
        <f>'[6]price list MAN'!AA1493</f>
        <v>#N/A</v>
      </c>
      <c r="P1493" s="68" t="e">
        <f t="shared" si="116"/>
        <v>#N/A</v>
      </c>
      <c r="Q1493" s="62" t="e">
        <f>O1493-#REF!</f>
        <v>#N/A</v>
      </c>
      <c r="AT1493" s="425" t="str">
        <f t="shared" si="117"/>
        <v>Special Order0</v>
      </c>
      <c r="AU1493" s="64" t="str">
        <f t="shared" si="118"/>
        <v>01-1900</v>
      </c>
      <c r="BA1493" s="428" t="str">
        <f t="shared" si="119"/>
        <v/>
      </c>
    </row>
    <row r="1494" spans="2:53">
      <c r="B1494" s="36">
        <f>'[6]price list MAN'!B1494</f>
        <v>0</v>
      </c>
      <c r="C1494" s="10">
        <f>'[6]price list MAN'!C1494</f>
        <v>0</v>
      </c>
      <c r="D1494" s="16" t="str">
        <f>IFERROR(VLOOKUP(C1494&amp;"",'[7]Retail Price List'!$A$3:$B$103,2,FALSE),"Special Order")</f>
        <v>Special Order</v>
      </c>
      <c r="E1494" s="494">
        <f>'[6]price list MAN'!E1494</f>
        <v>0</v>
      </c>
      <c r="F1494" s="11">
        <f>'[6]price list MAN'!F1494</f>
        <v>0</v>
      </c>
      <c r="G1494" s="32">
        <f>'[6]price list MAN'!G1494</f>
        <v>0</v>
      </c>
      <c r="H1494" s="26">
        <f>'[6]price list MAN'!H1494</f>
        <v>0</v>
      </c>
      <c r="I1494" s="51" t="str">
        <f t="shared" si="115"/>
        <v/>
      </c>
      <c r="J1494" s="177" t="e">
        <f>'[6]price list MAN'!J1494</f>
        <v>#N/A</v>
      </c>
      <c r="K1494" s="177" t="e">
        <f>'[6]price list MAN'!P1494</f>
        <v>#N/A</v>
      </c>
      <c r="L1494" s="177" t="e">
        <f>'[6]price list MAN'!R1494</f>
        <v>#N/A</v>
      </c>
      <c r="M1494" s="174" t="e">
        <f>'[6]price list MAN'!S1494</f>
        <v>#N/A</v>
      </c>
      <c r="N1494" s="174" t="e">
        <f>'[6]price list MAN'!Y1494</f>
        <v>#N/A</v>
      </c>
      <c r="O1494" s="174" t="e">
        <f>'[6]price list MAN'!AA1494</f>
        <v>#N/A</v>
      </c>
      <c r="P1494" s="68" t="e">
        <f t="shared" si="116"/>
        <v>#N/A</v>
      </c>
      <c r="Q1494" s="62" t="e">
        <f>O1494-#REF!</f>
        <v>#N/A</v>
      </c>
      <c r="AT1494" s="425" t="str">
        <f t="shared" si="117"/>
        <v>Special Order0</v>
      </c>
      <c r="AU1494" s="64" t="str">
        <f t="shared" si="118"/>
        <v>01-1900</v>
      </c>
      <c r="BA1494" s="428" t="str">
        <f t="shared" si="119"/>
        <v/>
      </c>
    </row>
    <row r="1495" spans="2:53">
      <c r="B1495" s="36">
        <f>'[6]price list MAN'!B1495</f>
        <v>0</v>
      </c>
      <c r="C1495" s="10">
        <f>'[6]price list MAN'!C1495</f>
        <v>0</v>
      </c>
      <c r="D1495" s="16" t="str">
        <f>IFERROR(VLOOKUP(C1495&amp;"",'[7]Retail Price List'!$A$3:$B$103,2,FALSE),"Special Order")</f>
        <v>Special Order</v>
      </c>
      <c r="E1495" s="494">
        <f>'[6]price list MAN'!E1495</f>
        <v>0</v>
      </c>
      <c r="F1495" s="11">
        <f>'[6]price list MAN'!F1495</f>
        <v>0</v>
      </c>
      <c r="G1495" s="32">
        <f>'[6]price list MAN'!G1495</f>
        <v>0</v>
      </c>
      <c r="H1495" s="26">
        <f>'[6]price list MAN'!H1495</f>
        <v>0</v>
      </c>
      <c r="I1495" s="51" t="str">
        <f t="shared" si="115"/>
        <v/>
      </c>
      <c r="J1495" s="177" t="e">
        <f>'[6]price list MAN'!J1495</f>
        <v>#N/A</v>
      </c>
      <c r="K1495" s="177" t="e">
        <f>'[6]price list MAN'!P1495</f>
        <v>#N/A</v>
      </c>
      <c r="L1495" s="177" t="e">
        <f>'[6]price list MAN'!R1495</f>
        <v>#N/A</v>
      </c>
      <c r="M1495" s="174" t="e">
        <f>'[6]price list MAN'!S1495</f>
        <v>#N/A</v>
      </c>
      <c r="N1495" s="174" t="e">
        <f>'[6]price list MAN'!Y1495</f>
        <v>#N/A</v>
      </c>
      <c r="O1495" s="174" t="e">
        <f>'[6]price list MAN'!AA1495</f>
        <v>#N/A</v>
      </c>
      <c r="P1495" s="68" t="e">
        <f t="shared" si="116"/>
        <v>#N/A</v>
      </c>
      <c r="Q1495" s="62" t="e">
        <f>O1495-#REF!</f>
        <v>#N/A</v>
      </c>
      <c r="AT1495" s="425" t="str">
        <f t="shared" si="117"/>
        <v>Special Order0</v>
      </c>
      <c r="AU1495" s="64" t="str">
        <f t="shared" si="118"/>
        <v>01-1900</v>
      </c>
      <c r="BA1495" s="428" t="str">
        <f t="shared" si="119"/>
        <v/>
      </c>
    </row>
    <row r="1496" spans="2:53">
      <c r="B1496" s="36">
        <f>'[6]price list MAN'!B1496</f>
        <v>0</v>
      </c>
      <c r="C1496" s="10">
        <f>'[6]price list MAN'!C1496</f>
        <v>0</v>
      </c>
      <c r="D1496" s="16" t="str">
        <f>IFERROR(VLOOKUP(C1496&amp;"",'[7]Retail Price List'!$A$3:$B$103,2,FALSE),"Special Order")</f>
        <v>Special Order</v>
      </c>
      <c r="E1496" s="494">
        <f>'[6]price list MAN'!E1496</f>
        <v>0</v>
      </c>
      <c r="F1496" s="11">
        <f>'[6]price list MAN'!F1496</f>
        <v>0</v>
      </c>
      <c r="G1496" s="32">
        <f>'[6]price list MAN'!G1496</f>
        <v>0</v>
      </c>
      <c r="H1496" s="26">
        <f>'[6]price list MAN'!H1496</f>
        <v>0</v>
      </c>
      <c r="I1496" s="51" t="str">
        <f t="shared" si="115"/>
        <v/>
      </c>
      <c r="J1496" s="177" t="e">
        <f>'[6]price list MAN'!J1496</f>
        <v>#N/A</v>
      </c>
      <c r="K1496" s="177" t="e">
        <f>'[6]price list MAN'!P1496</f>
        <v>#N/A</v>
      </c>
      <c r="L1496" s="177" t="e">
        <f>'[6]price list MAN'!R1496</f>
        <v>#N/A</v>
      </c>
      <c r="M1496" s="174" t="e">
        <f>'[6]price list MAN'!S1496</f>
        <v>#N/A</v>
      </c>
      <c r="N1496" s="174" t="e">
        <f>'[6]price list MAN'!Y1496</f>
        <v>#N/A</v>
      </c>
      <c r="O1496" s="174" t="e">
        <f>'[6]price list MAN'!AA1496</f>
        <v>#N/A</v>
      </c>
      <c r="P1496" s="68" t="e">
        <f t="shared" si="116"/>
        <v>#N/A</v>
      </c>
      <c r="Q1496" s="62" t="e">
        <f>O1496-#REF!</f>
        <v>#N/A</v>
      </c>
      <c r="AT1496" s="425" t="str">
        <f t="shared" si="117"/>
        <v>Special Order0</v>
      </c>
      <c r="AU1496" s="64" t="str">
        <f t="shared" si="118"/>
        <v>01-1900</v>
      </c>
      <c r="BA1496" s="428" t="str">
        <f t="shared" si="119"/>
        <v/>
      </c>
    </row>
    <row r="1497" spans="2:53">
      <c r="B1497" s="36">
        <f>'[6]price list MAN'!B1497</f>
        <v>0</v>
      </c>
      <c r="C1497" s="10">
        <f>'[6]price list MAN'!C1497</f>
        <v>0</v>
      </c>
      <c r="D1497" s="16" t="str">
        <f>IFERROR(VLOOKUP(C1497&amp;"",'[7]Retail Price List'!$A$3:$B$103,2,FALSE),"Special Order")</f>
        <v>Special Order</v>
      </c>
      <c r="E1497" s="494">
        <f>'[6]price list MAN'!E1497</f>
        <v>0</v>
      </c>
      <c r="F1497" s="11">
        <f>'[6]price list MAN'!F1497</f>
        <v>0</v>
      </c>
      <c r="G1497" s="32">
        <f>'[6]price list MAN'!G1497</f>
        <v>0</v>
      </c>
      <c r="H1497" s="26">
        <f>'[6]price list MAN'!H1497</f>
        <v>0</v>
      </c>
      <c r="I1497" s="51" t="str">
        <f t="shared" si="115"/>
        <v/>
      </c>
      <c r="J1497" s="177" t="e">
        <f>'[6]price list MAN'!J1497</f>
        <v>#N/A</v>
      </c>
      <c r="K1497" s="177" t="e">
        <f>'[6]price list MAN'!P1497</f>
        <v>#N/A</v>
      </c>
      <c r="L1497" s="177" t="e">
        <f>'[6]price list MAN'!R1497</f>
        <v>#N/A</v>
      </c>
      <c r="M1497" s="174" t="e">
        <f>'[6]price list MAN'!S1497</f>
        <v>#N/A</v>
      </c>
      <c r="N1497" s="174" t="e">
        <f>'[6]price list MAN'!Y1497</f>
        <v>#N/A</v>
      </c>
      <c r="O1497" s="174" t="e">
        <f>'[6]price list MAN'!AA1497</f>
        <v>#N/A</v>
      </c>
      <c r="P1497" s="68" t="e">
        <f t="shared" si="116"/>
        <v>#N/A</v>
      </c>
      <c r="Q1497" s="62" t="e">
        <f>O1497-#REF!</f>
        <v>#N/A</v>
      </c>
      <c r="AT1497" s="425" t="str">
        <f t="shared" si="117"/>
        <v>Special Order0</v>
      </c>
      <c r="AU1497" s="64" t="str">
        <f t="shared" si="118"/>
        <v>01-1900</v>
      </c>
      <c r="BA1497" s="428" t="str">
        <f t="shared" si="119"/>
        <v/>
      </c>
    </row>
    <row r="1498" spans="2:53">
      <c r="B1498" s="36">
        <f>'[6]price list MAN'!B1498</f>
        <v>0</v>
      </c>
      <c r="C1498" s="10">
        <f>'[6]price list MAN'!C1498</f>
        <v>0</v>
      </c>
      <c r="D1498" s="16" t="str">
        <f>IFERROR(VLOOKUP(C1498&amp;"",'[7]Retail Price List'!$A$3:$B$103,2,FALSE),"Special Order")</f>
        <v>Special Order</v>
      </c>
      <c r="E1498" s="494">
        <f>'[6]price list MAN'!E1498</f>
        <v>0</v>
      </c>
      <c r="F1498" s="11">
        <f>'[6]price list MAN'!F1498</f>
        <v>0</v>
      </c>
      <c r="G1498" s="32">
        <f>'[6]price list MAN'!G1498</f>
        <v>0</v>
      </c>
      <c r="H1498" s="26">
        <f>'[6]price list MAN'!H1498</f>
        <v>0</v>
      </c>
      <c r="I1498" s="51" t="str">
        <f t="shared" si="115"/>
        <v/>
      </c>
      <c r="J1498" s="177" t="e">
        <f>'[6]price list MAN'!J1498</f>
        <v>#N/A</v>
      </c>
      <c r="K1498" s="177" t="e">
        <f>'[6]price list MAN'!P1498</f>
        <v>#N/A</v>
      </c>
      <c r="L1498" s="177" t="e">
        <f>'[6]price list MAN'!R1498</f>
        <v>#N/A</v>
      </c>
      <c r="M1498" s="174" t="e">
        <f>'[6]price list MAN'!S1498</f>
        <v>#N/A</v>
      </c>
      <c r="N1498" s="174" t="e">
        <f>'[6]price list MAN'!Y1498</f>
        <v>#N/A</v>
      </c>
      <c r="O1498" s="174" t="e">
        <f>'[6]price list MAN'!AA1498</f>
        <v>#N/A</v>
      </c>
      <c r="P1498" s="68" t="e">
        <f t="shared" si="116"/>
        <v>#N/A</v>
      </c>
      <c r="Q1498" s="62" t="e">
        <f>O1498-#REF!</f>
        <v>#N/A</v>
      </c>
      <c r="AT1498" s="425" t="str">
        <f t="shared" si="117"/>
        <v>Special Order0</v>
      </c>
      <c r="AU1498" s="64" t="str">
        <f t="shared" si="118"/>
        <v>01-1900</v>
      </c>
      <c r="BA1498" s="428" t="str">
        <f t="shared" si="119"/>
        <v/>
      </c>
    </row>
    <row r="1499" spans="2:53">
      <c r="B1499" s="36">
        <f>'[6]price list MAN'!B1499</f>
        <v>0</v>
      </c>
      <c r="C1499" s="10">
        <f>'[6]price list MAN'!C1499</f>
        <v>0</v>
      </c>
      <c r="D1499" s="16" t="str">
        <f>IFERROR(VLOOKUP(C1499&amp;"",'[7]Retail Price List'!$A$3:$B$103,2,FALSE),"Special Order")</f>
        <v>Special Order</v>
      </c>
      <c r="E1499" s="494">
        <f>'[6]price list MAN'!E1499</f>
        <v>0</v>
      </c>
      <c r="F1499" s="11">
        <f>'[6]price list MAN'!F1499</f>
        <v>0</v>
      </c>
      <c r="G1499" s="32">
        <f>'[6]price list MAN'!G1499</f>
        <v>0</v>
      </c>
      <c r="H1499" s="26">
        <f>'[6]price list MAN'!H1499</f>
        <v>0</v>
      </c>
      <c r="I1499" s="51" t="str">
        <f t="shared" si="115"/>
        <v/>
      </c>
      <c r="J1499" s="177" t="e">
        <f>'[6]price list MAN'!J1499</f>
        <v>#N/A</v>
      </c>
      <c r="K1499" s="177" t="e">
        <f>'[6]price list MAN'!P1499</f>
        <v>#N/A</v>
      </c>
      <c r="L1499" s="177" t="e">
        <f>'[6]price list MAN'!R1499</f>
        <v>#N/A</v>
      </c>
      <c r="M1499" s="174" t="e">
        <f>'[6]price list MAN'!S1499</f>
        <v>#N/A</v>
      </c>
      <c r="N1499" s="174" t="e">
        <f>'[6]price list MAN'!Y1499</f>
        <v>#N/A</v>
      </c>
      <c r="O1499" s="174" t="e">
        <f>'[6]price list MAN'!AA1499</f>
        <v>#N/A</v>
      </c>
      <c r="P1499" s="68" t="e">
        <f t="shared" si="116"/>
        <v>#N/A</v>
      </c>
      <c r="Q1499" s="62" t="e">
        <f>O1499-#REF!</f>
        <v>#N/A</v>
      </c>
      <c r="AT1499" s="425" t="str">
        <f t="shared" si="117"/>
        <v>Special Order0</v>
      </c>
      <c r="AU1499" s="64" t="str">
        <f t="shared" si="118"/>
        <v>01-1900</v>
      </c>
      <c r="BA1499" s="428" t="str">
        <f t="shared" si="119"/>
        <v/>
      </c>
    </row>
    <row r="1500" spans="2:53">
      <c r="B1500" s="36">
        <f>'[6]price list MAN'!B1500</f>
        <v>0</v>
      </c>
      <c r="C1500" s="10">
        <f>'[6]price list MAN'!C1500</f>
        <v>0</v>
      </c>
      <c r="D1500" s="16" t="str">
        <f>IFERROR(VLOOKUP(C1500&amp;"",'[7]Retail Price List'!$A$3:$B$103,2,FALSE),"Special Order")</f>
        <v>Special Order</v>
      </c>
      <c r="E1500" s="494">
        <f>'[6]price list MAN'!E1500</f>
        <v>0</v>
      </c>
      <c r="F1500" s="11">
        <f>'[6]price list MAN'!F1500</f>
        <v>0</v>
      </c>
      <c r="G1500" s="32">
        <f>'[6]price list MAN'!G1500</f>
        <v>0</v>
      </c>
      <c r="H1500" s="26">
        <f>'[6]price list MAN'!H1500</f>
        <v>0</v>
      </c>
      <c r="I1500" s="51" t="str">
        <f t="shared" si="115"/>
        <v/>
      </c>
      <c r="J1500" s="177" t="e">
        <f>'[6]price list MAN'!J1500</f>
        <v>#N/A</v>
      </c>
      <c r="K1500" s="177" t="e">
        <f>'[6]price list MAN'!P1500</f>
        <v>#N/A</v>
      </c>
      <c r="L1500" s="177" t="e">
        <f>'[6]price list MAN'!R1500</f>
        <v>#N/A</v>
      </c>
      <c r="M1500" s="174" t="e">
        <f>'[6]price list MAN'!S1500</f>
        <v>#N/A</v>
      </c>
      <c r="N1500" s="174" t="e">
        <f>'[6]price list MAN'!Y1500</f>
        <v>#N/A</v>
      </c>
      <c r="O1500" s="174" t="e">
        <f>'[6]price list MAN'!AA1500</f>
        <v>#N/A</v>
      </c>
      <c r="P1500" s="68" t="e">
        <f t="shared" si="116"/>
        <v>#N/A</v>
      </c>
      <c r="Q1500" s="62" t="e">
        <f>O1500-#REF!</f>
        <v>#N/A</v>
      </c>
      <c r="AT1500" s="425" t="str">
        <f t="shared" si="117"/>
        <v>Special Order0</v>
      </c>
      <c r="AU1500" s="64" t="str">
        <f t="shared" si="118"/>
        <v>01-1900</v>
      </c>
      <c r="BA1500" s="428" t="str">
        <f t="shared" si="119"/>
        <v/>
      </c>
    </row>
    <row r="1501" spans="2:53">
      <c r="B1501" s="36">
        <f>'[6]price list MAN'!B1501</f>
        <v>0</v>
      </c>
      <c r="C1501" s="10">
        <f>'[6]price list MAN'!C1501</f>
        <v>0</v>
      </c>
      <c r="D1501" s="16" t="str">
        <f>IFERROR(VLOOKUP(C1501&amp;"",'[7]Retail Price List'!$A$3:$B$103,2,FALSE),"Special Order")</f>
        <v>Special Order</v>
      </c>
      <c r="E1501" s="494">
        <f>'[6]price list MAN'!E1501</f>
        <v>0</v>
      </c>
      <c r="F1501" s="11">
        <f>'[6]price list MAN'!F1501</f>
        <v>0</v>
      </c>
      <c r="G1501" s="32">
        <f>'[6]price list MAN'!G1501</f>
        <v>0</v>
      </c>
      <c r="H1501" s="26">
        <f>'[6]price list MAN'!H1501</f>
        <v>0</v>
      </c>
      <c r="I1501" s="51" t="str">
        <f t="shared" si="115"/>
        <v/>
      </c>
      <c r="J1501" s="177" t="e">
        <f>'[6]price list MAN'!J1501</f>
        <v>#N/A</v>
      </c>
      <c r="K1501" s="177" t="e">
        <f>'[6]price list MAN'!P1501</f>
        <v>#N/A</v>
      </c>
      <c r="L1501" s="177" t="e">
        <f>'[6]price list MAN'!R1501</f>
        <v>#N/A</v>
      </c>
      <c r="M1501" s="174" t="e">
        <f>'[6]price list MAN'!S1501</f>
        <v>#N/A</v>
      </c>
      <c r="N1501" s="174" t="e">
        <f>'[6]price list MAN'!Y1501</f>
        <v>#N/A</v>
      </c>
      <c r="O1501" s="174" t="e">
        <f>'[6]price list MAN'!AA1501</f>
        <v>#N/A</v>
      </c>
      <c r="P1501" s="68" t="e">
        <f t="shared" si="116"/>
        <v>#N/A</v>
      </c>
      <c r="Q1501" s="62" t="e">
        <f>O1501-#REF!</f>
        <v>#N/A</v>
      </c>
      <c r="AT1501" s="425" t="str">
        <f t="shared" si="117"/>
        <v>Special Order0</v>
      </c>
      <c r="AU1501" s="64" t="str">
        <f t="shared" si="118"/>
        <v>01-1900</v>
      </c>
      <c r="BA1501" s="428" t="str">
        <f t="shared" si="119"/>
        <v/>
      </c>
    </row>
    <row r="1502" spans="2:53">
      <c r="B1502" s="36">
        <f>'[6]price list MAN'!B1502</f>
        <v>0</v>
      </c>
      <c r="C1502" s="10">
        <f>'[6]price list MAN'!C1502</f>
        <v>0</v>
      </c>
      <c r="D1502" s="16" t="str">
        <f>IFERROR(VLOOKUP(C1502&amp;"",'[7]Retail Price List'!$A$3:$B$103,2,FALSE),"Special Order")</f>
        <v>Special Order</v>
      </c>
      <c r="E1502" s="494">
        <f>'[6]price list MAN'!E1502</f>
        <v>0</v>
      </c>
      <c r="F1502" s="11">
        <f>'[6]price list MAN'!F1502</f>
        <v>0</v>
      </c>
      <c r="G1502" s="32">
        <f>'[6]price list MAN'!G1502</f>
        <v>0</v>
      </c>
      <c r="H1502" s="26">
        <f>'[6]price list MAN'!H1502</f>
        <v>0</v>
      </c>
      <c r="I1502" s="51" t="str">
        <f t="shared" si="115"/>
        <v/>
      </c>
      <c r="J1502" s="177" t="e">
        <f>'[6]price list MAN'!J1502</f>
        <v>#N/A</v>
      </c>
      <c r="K1502" s="177" t="e">
        <f>'[6]price list MAN'!P1502</f>
        <v>#N/A</v>
      </c>
      <c r="L1502" s="177" t="e">
        <f>'[6]price list MAN'!R1502</f>
        <v>#N/A</v>
      </c>
      <c r="M1502" s="174" t="e">
        <f>'[6]price list MAN'!S1502</f>
        <v>#N/A</v>
      </c>
      <c r="N1502" s="174" t="e">
        <f>'[6]price list MAN'!Y1502</f>
        <v>#N/A</v>
      </c>
      <c r="O1502" s="174" t="e">
        <f>'[6]price list MAN'!AA1502</f>
        <v>#N/A</v>
      </c>
      <c r="P1502" s="68" t="e">
        <f t="shared" si="116"/>
        <v>#N/A</v>
      </c>
      <c r="Q1502" s="62" t="e">
        <f>O1502-#REF!</f>
        <v>#N/A</v>
      </c>
      <c r="AT1502" s="425" t="str">
        <f t="shared" si="117"/>
        <v>Special Order0</v>
      </c>
      <c r="AU1502" s="64" t="str">
        <f t="shared" si="118"/>
        <v>01-1900</v>
      </c>
      <c r="BA1502" s="428" t="str">
        <f t="shared" si="119"/>
        <v/>
      </c>
    </row>
    <row r="1503" spans="2:53">
      <c r="B1503" s="36">
        <f>'[6]price list MAN'!B1503</f>
        <v>0</v>
      </c>
      <c r="C1503" s="10">
        <f>'[6]price list MAN'!C1503</f>
        <v>0</v>
      </c>
      <c r="D1503" s="16" t="str">
        <f>IFERROR(VLOOKUP(C1503&amp;"",'[7]Retail Price List'!$A$3:$B$103,2,FALSE),"Special Order")</f>
        <v>Special Order</v>
      </c>
      <c r="E1503" s="494">
        <f>'[6]price list MAN'!E1503</f>
        <v>0</v>
      </c>
      <c r="F1503" s="11">
        <f>'[6]price list MAN'!F1503</f>
        <v>0</v>
      </c>
      <c r="G1503" s="32">
        <f>'[6]price list MAN'!G1503</f>
        <v>0</v>
      </c>
      <c r="H1503" s="26">
        <f>'[6]price list MAN'!H1503</f>
        <v>0</v>
      </c>
      <c r="I1503" s="51" t="str">
        <f t="shared" si="115"/>
        <v/>
      </c>
      <c r="J1503" s="177" t="e">
        <f>'[6]price list MAN'!J1503</f>
        <v>#N/A</v>
      </c>
      <c r="K1503" s="177" t="e">
        <f>'[6]price list MAN'!P1503</f>
        <v>#N/A</v>
      </c>
      <c r="L1503" s="177" t="e">
        <f>'[6]price list MAN'!R1503</f>
        <v>#N/A</v>
      </c>
      <c r="M1503" s="174" t="e">
        <f>'[6]price list MAN'!S1503</f>
        <v>#N/A</v>
      </c>
      <c r="N1503" s="174" t="e">
        <f>'[6]price list MAN'!Y1503</f>
        <v>#N/A</v>
      </c>
      <c r="O1503" s="174" t="e">
        <f>'[6]price list MAN'!AA1503</f>
        <v>#N/A</v>
      </c>
      <c r="P1503" s="68" t="e">
        <f t="shared" si="116"/>
        <v>#N/A</v>
      </c>
      <c r="Q1503" s="62" t="e">
        <f>O1503-#REF!</f>
        <v>#N/A</v>
      </c>
      <c r="AT1503" s="425" t="str">
        <f t="shared" si="117"/>
        <v>Special Order0</v>
      </c>
      <c r="AU1503" s="64" t="str">
        <f t="shared" si="118"/>
        <v>01-1900</v>
      </c>
      <c r="BA1503" s="428" t="str">
        <f t="shared" si="119"/>
        <v/>
      </c>
    </row>
    <row r="1504" spans="2:53">
      <c r="B1504" s="36">
        <f>'[6]price list MAN'!B1504</f>
        <v>0</v>
      </c>
      <c r="C1504" s="10">
        <f>'[6]price list MAN'!C1504</f>
        <v>0</v>
      </c>
      <c r="D1504" s="16" t="str">
        <f>IFERROR(VLOOKUP(C1504&amp;"",'[7]Retail Price List'!$A$3:$B$103,2,FALSE),"Special Order")</f>
        <v>Special Order</v>
      </c>
      <c r="E1504" s="494">
        <f>'[6]price list MAN'!E1504</f>
        <v>0</v>
      </c>
      <c r="F1504" s="11">
        <f>'[6]price list MAN'!F1504</f>
        <v>0</v>
      </c>
      <c r="G1504" s="32">
        <f>'[6]price list MAN'!G1504</f>
        <v>0</v>
      </c>
      <c r="H1504" s="26">
        <f>'[6]price list MAN'!H1504</f>
        <v>0</v>
      </c>
      <c r="I1504" s="51" t="str">
        <f t="shared" si="115"/>
        <v/>
      </c>
      <c r="J1504" s="177" t="e">
        <f>'[6]price list MAN'!J1504</f>
        <v>#N/A</v>
      </c>
      <c r="K1504" s="177" t="e">
        <f>'[6]price list MAN'!P1504</f>
        <v>#N/A</v>
      </c>
      <c r="L1504" s="177" t="e">
        <f>'[6]price list MAN'!R1504</f>
        <v>#N/A</v>
      </c>
      <c r="M1504" s="174" t="e">
        <f>'[6]price list MAN'!S1504</f>
        <v>#N/A</v>
      </c>
      <c r="N1504" s="174" t="e">
        <f>'[6]price list MAN'!Y1504</f>
        <v>#N/A</v>
      </c>
      <c r="O1504" s="174" t="e">
        <f>'[6]price list MAN'!AA1504</f>
        <v>#N/A</v>
      </c>
      <c r="P1504" s="68" t="e">
        <f t="shared" si="116"/>
        <v>#N/A</v>
      </c>
      <c r="Q1504" s="62" t="e">
        <f>O1504-#REF!</f>
        <v>#N/A</v>
      </c>
      <c r="AT1504" s="425" t="str">
        <f t="shared" si="117"/>
        <v>Special Order0</v>
      </c>
      <c r="AU1504" s="64" t="str">
        <f t="shared" si="118"/>
        <v>01-1900</v>
      </c>
      <c r="BA1504" s="428" t="str">
        <f t="shared" si="119"/>
        <v/>
      </c>
    </row>
    <row r="1505" spans="2:53">
      <c r="B1505" s="36">
        <f>'[6]price list MAN'!B1505</f>
        <v>0</v>
      </c>
      <c r="C1505" s="10">
        <f>'[6]price list MAN'!C1505</f>
        <v>0</v>
      </c>
      <c r="D1505" s="16" t="str">
        <f>IFERROR(VLOOKUP(C1505&amp;"",'[7]Retail Price List'!$A$3:$B$103,2,FALSE),"Special Order")</f>
        <v>Special Order</v>
      </c>
      <c r="E1505" s="494">
        <f>'[6]price list MAN'!E1505</f>
        <v>0</v>
      </c>
      <c r="F1505" s="11">
        <f>'[6]price list MAN'!F1505</f>
        <v>0</v>
      </c>
      <c r="G1505" s="32">
        <f>'[6]price list MAN'!G1505</f>
        <v>0</v>
      </c>
      <c r="H1505" s="26">
        <f>'[6]price list MAN'!H1505</f>
        <v>0</v>
      </c>
      <c r="I1505" s="51" t="str">
        <f t="shared" si="115"/>
        <v/>
      </c>
      <c r="J1505" s="177" t="e">
        <f>'[6]price list MAN'!J1505</f>
        <v>#N/A</v>
      </c>
      <c r="K1505" s="177" t="e">
        <f>'[6]price list MAN'!P1505</f>
        <v>#N/A</v>
      </c>
      <c r="L1505" s="177" t="e">
        <f>'[6]price list MAN'!R1505</f>
        <v>#N/A</v>
      </c>
      <c r="M1505" s="174" t="e">
        <f>'[6]price list MAN'!S1505</f>
        <v>#N/A</v>
      </c>
      <c r="N1505" s="174" t="e">
        <f>'[6]price list MAN'!Y1505</f>
        <v>#N/A</v>
      </c>
      <c r="O1505" s="174" t="e">
        <f>'[6]price list MAN'!AA1505</f>
        <v>#N/A</v>
      </c>
      <c r="P1505" s="68" t="e">
        <f t="shared" si="116"/>
        <v>#N/A</v>
      </c>
      <c r="Q1505" s="62" t="e">
        <f>O1505-#REF!</f>
        <v>#N/A</v>
      </c>
      <c r="AT1505" s="425" t="str">
        <f t="shared" si="117"/>
        <v>Special Order0</v>
      </c>
      <c r="AU1505" s="64" t="str">
        <f t="shared" si="118"/>
        <v>01-1900</v>
      </c>
      <c r="BA1505" s="428" t="str">
        <f t="shared" si="119"/>
        <v/>
      </c>
    </row>
    <row r="1506" spans="2:53">
      <c r="B1506" s="36">
        <f>'[6]price list MAN'!B1506</f>
        <v>0</v>
      </c>
      <c r="C1506" s="10">
        <f>'[6]price list MAN'!C1506</f>
        <v>0</v>
      </c>
      <c r="D1506" s="16" t="str">
        <f>IFERROR(VLOOKUP(C1506&amp;"",'[7]Retail Price List'!$A$3:$B$103,2,FALSE),"Special Order")</f>
        <v>Special Order</v>
      </c>
      <c r="E1506" s="494">
        <f>'[6]price list MAN'!E1506</f>
        <v>0</v>
      </c>
      <c r="F1506" s="11">
        <f>'[6]price list MAN'!F1506</f>
        <v>0</v>
      </c>
      <c r="G1506" s="32">
        <f>'[6]price list MAN'!G1506</f>
        <v>0</v>
      </c>
      <c r="H1506" s="26">
        <f>'[6]price list MAN'!H1506</f>
        <v>0</v>
      </c>
      <c r="I1506" s="51" t="str">
        <f t="shared" si="115"/>
        <v/>
      </c>
      <c r="J1506" s="177" t="e">
        <f>'[6]price list MAN'!J1506</f>
        <v>#N/A</v>
      </c>
      <c r="K1506" s="177" t="e">
        <f>'[6]price list MAN'!P1506</f>
        <v>#N/A</v>
      </c>
      <c r="L1506" s="177" t="e">
        <f>'[6]price list MAN'!R1506</f>
        <v>#N/A</v>
      </c>
      <c r="M1506" s="174" t="e">
        <f>'[6]price list MAN'!S1506</f>
        <v>#N/A</v>
      </c>
      <c r="N1506" s="174" t="e">
        <f>'[6]price list MAN'!Y1506</f>
        <v>#N/A</v>
      </c>
      <c r="O1506" s="174" t="e">
        <f>'[6]price list MAN'!AA1506</f>
        <v>#N/A</v>
      </c>
      <c r="P1506" s="68" t="e">
        <f t="shared" si="116"/>
        <v>#N/A</v>
      </c>
      <c r="Q1506" s="62" t="e">
        <f>O1506-#REF!</f>
        <v>#N/A</v>
      </c>
      <c r="AT1506" s="425" t="str">
        <f t="shared" si="117"/>
        <v>Special Order0</v>
      </c>
      <c r="AU1506" s="64" t="str">
        <f t="shared" si="118"/>
        <v>01-1900</v>
      </c>
      <c r="BA1506" s="428" t="str">
        <f t="shared" si="119"/>
        <v/>
      </c>
    </row>
    <row r="1507" spans="2:53">
      <c r="B1507" s="36">
        <f>'[6]price list MAN'!B1507</f>
        <v>0</v>
      </c>
      <c r="C1507" s="10">
        <f>'[6]price list MAN'!C1507</f>
        <v>0</v>
      </c>
      <c r="D1507" s="16" t="str">
        <f>IFERROR(VLOOKUP(C1507&amp;"",'[7]Retail Price List'!$A$3:$B$103,2,FALSE),"Special Order")</f>
        <v>Special Order</v>
      </c>
      <c r="E1507" s="494">
        <f>'[6]price list MAN'!E1507</f>
        <v>0</v>
      </c>
      <c r="F1507" s="11">
        <f>'[6]price list MAN'!F1507</f>
        <v>0</v>
      </c>
      <c r="G1507" s="32">
        <f>'[6]price list MAN'!G1507</f>
        <v>0</v>
      </c>
      <c r="H1507" s="26">
        <f>'[6]price list MAN'!H1507</f>
        <v>0</v>
      </c>
      <c r="I1507" s="51" t="str">
        <f t="shared" si="115"/>
        <v/>
      </c>
      <c r="J1507" s="177" t="e">
        <f>'[6]price list MAN'!J1507</f>
        <v>#N/A</v>
      </c>
      <c r="K1507" s="177" t="e">
        <f>'[6]price list MAN'!P1507</f>
        <v>#N/A</v>
      </c>
      <c r="L1507" s="177" t="e">
        <f>'[6]price list MAN'!R1507</f>
        <v>#N/A</v>
      </c>
      <c r="M1507" s="174" t="e">
        <f>'[6]price list MAN'!S1507</f>
        <v>#N/A</v>
      </c>
      <c r="N1507" s="174" t="e">
        <f>'[6]price list MAN'!Y1507</f>
        <v>#N/A</v>
      </c>
      <c r="O1507" s="174" t="e">
        <f>'[6]price list MAN'!AA1507</f>
        <v>#N/A</v>
      </c>
      <c r="P1507" s="68" t="e">
        <f t="shared" si="116"/>
        <v>#N/A</v>
      </c>
      <c r="Q1507" s="62" t="e">
        <f>O1507-#REF!</f>
        <v>#N/A</v>
      </c>
      <c r="AT1507" s="425" t="str">
        <f t="shared" si="117"/>
        <v>Special Order0</v>
      </c>
      <c r="AU1507" s="64" t="str">
        <f t="shared" si="118"/>
        <v>01-1900</v>
      </c>
      <c r="BA1507" s="428" t="str">
        <f t="shared" si="119"/>
        <v/>
      </c>
    </row>
    <row r="1508" spans="2:53">
      <c r="B1508" s="36">
        <f>'[6]price list MAN'!B1508</f>
        <v>0</v>
      </c>
      <c r="C1508" s="10">
        <f>'[6]price list MAN'!C1508</f>
        <v>0</v>
      </c>
      <c r="D1508" s="16" t="str">
        <f>IFERROR(VLOOKUP(C1508&amp;"",'[7]Retail Price List'!$A$3:$B$103,2,FALSE),"Special Order")</f>
        <v>Special Order</v>
      </c>
      <c r="E1508" s="494">
        <f>'[6]price list MAN'!E1508</f>
        <v>0</v>
      </c>
      <c r="F1508" s="11">
        <f>'[6]price list MAN'!F1508</f>
        <v>0</v>
      </c>
      <c r="G1508" s="32">
        <f>'[6]price list MAN'!G1508</f>
        <v>0</v>
      </c>
      <c r="H1508" s="26">
        <f>'[6]price list MAN'!H1508</f>
        <v>0</v>
      </c>
      <c r="I1508" s="51" t="str">
        <f t="shared" si="115"/>
        <v/>
      </c>
      <c r="J1508" s="177" t="e">
        <f>'[6]price list MAN'!J1508</f>
        <v>#N/A</v>
      </c>
      <c r="K1508" s="177" t="e">
        <f>'[6]price list MAN'!P1508</f>
        <v>#N/A</v>
      </c>
      <c r="L1508" s="177" t="e">
        <f>'[6]price list MAN'!R1508</f>
        <v>#N/A</v>
      </c>
      <c r="M1508" s="174" t="e">
        <f>'[6]price list MAN'!S1508</f>
        <v>#N/A</v>
      </c>
      <c r="N1508" s="174" t="e">
        <f>'[6]price list MAN'!Y1508</f>
        <v>#N/A</v>
      </c>
      <c r="O1508" s="174" t="e">
        <f>'[6]price list MAN'!AA1508</f>
        <v>#N/A</v>
      </c>
      <c r="P1508" s="68" t="e">
        <f t="shared" si="116"/>
        <v>#N/A</v>
      </c>
      <c r="Q1508" s="62" t="e">
        <f>O1508-#REF!</f>
        <v>#N/A</v>
      </c>
      <c r="AT1508" s="425" t="str">
        <f t="shared" si="117"/>
        <v>Special Order0</v>
      </c>
      <c r="AU1508" s="64" t="str">
        <f t="shared" si="118"/>
        <v>01-1900</v>
      </c>
      <c r="BA1508" s="428" t="str">
        <f t="shared" si="119"/>
        <v/>
      </c>
    </row>
    <row r="1509" spans="2:53">
      <c r="B1509" s="36">
        <f>'[6]price list MAN'!B1509</f>
        <v>0</v>
      </c>
      <c r="C1509" s="10">
        <f>'[6]price list MAN'!C1509</f>
        <v>0</v>
      </c>
      <c r="D1509" s="16" t="str">
        <f>IFERROR(VLOOKUP(C1509&amp;"",'[7]Retail Price List'!$A$3:$B$103,2,FALSE),"Special Order")</f>
        <v>Special Order</v>
      </c>
      <c r="E1509" s="494">
        <f>'[6]price list MAN'!E1509</f>
        <v>0</v>
      </c>
      <c r="F1509" s="11">
        <f>'[6]price list MAN'!F1509</f>
        <v>0</v>
      </c>
      <c r="G1509" s="32">
        <f>'[6]price list MAN'!G1509</f>
        <v>0</v>
      </c>
      <c r="H1509" s="26">
        <f>'[6]price list MAN'!H1509</f>
        <v>0</v>
      </c>
      <c r="I1509" s="51" t="str">
        <f t="shared" si="115"/>
        <v/>
      </c>
      <c r="J1509" s="177" t="e">
        <f>'[6]price list MAN'!J1509</f>
        <v>#N/A</v>
      </c>
      <c r="K1509" s="177" t="e">
        <f>'[6]price list MAN'!P1509</f>
        <v>#N/A</v>
      </c>
      <c r="L1509" s="177" t="e">
        <f>'[6]price list MAN'!R1509</f>
        <v>#N/A</v>
      </c>
      <c r="M1509" s="174" t="e">
        <f>'[6]price list MAN'!S1509</f>
        <v>#N/A</v>
      </c>
      <c r="N1509" s="174" t="e">
        <f>'[6]price list MAN'!Y1509</f>
        <v>#N/A</v>
      </c>
      <c r="O1509" s="174" t="e">
        <f>'[6]price list MAN'!AA1509</f>
        <v>#N/A</v>
      </c>
      <c r="P1509" s="68" t="e">
        <f t="shared" si="116"/>
        <v>#N/A</v>
      </c>
      <c r="Q1509" s="62" t="e">
        <f>O1509-#REF!</f>
        <v>#N/A</v>
      </c>
      <c r="AT1509" s="425" t="str">
        <f t="shared" si="117"/>
        <v>Special Order0</v>
      </c>
      <c r="AU1509" s="64" t="str">
        <f t="shared" si="118"/>
        <v>01-1900</v>
      </c>
      <c r="BA1509" s="428" t="str">
        <f t="shared" si="119"/>
        <v/>
      </c>
    </row>
    <row r="1510" spans="2:53">
      <c r="B1510" s="36">
        <f>'[6]price list MAN'!B1510</f>
        <v>0</v>
      </c>
      <c r="C1510" s="10">
        <f>'[6]price list MAN'!C1510</f>
        <v>0</v>
      </c>
      <c r="D1510" s="16" t="str">
        <f>IFERROR(VLOOKUP(C1510&amp;"",'[7]Retail Price List'!$A$3:$B$103,2,FALSE),"Special Order")</f>
        <v>Special Order</v>
      </c>
      <c r="E1510" s="494">
        <f>'[6]price list MAN'!E1510</f>
        <v>0</v>
      </c>
      <c r="F1510" s="11">
        <f>'[6]price list MAN'!F1510</f>
        <v>0</v>
      </c>
      <c r="G1510" s="32">
        <f>'[6]price list MAN'!G1510</f>
        <v>0</v>
      </c>
      <c r="H1510" s="26">
        <f>'[6]price list MAN'!H1510</f>
        <v>0</v>
      </c>
      <c r="I1510" s="51" t="str">
        <f t="shared" si="115"/>
        <v/>
      </c>
      <c r="J1510" s="177" t="e">
        <f>'[6]price list MAN'!J1510</f>
        <v>#N/A</v>
      </c>
      <c r="K1510" s="177" t="e">
        <f>'[6]price list MAN'!P1510</f>
        <v>#N/A</v>
      </c>
      <c r="L1510" s="177" t="e">
        <f>'[6]price list MAN'!R1510</f>
        <v>#N/A</v>
      </c>
      <c r="M1510" s="174" t="e">
        <f>'[6]price list MAN'!S1510</f>
        <v>#N/A</v>
      </c>
      <c r="N1510" s="174" t="e">
        <f>'[6]price list MAN'!Y1510</f>
        <v>#N/A</v>
      </c>
      <c r="O1510" s="174" t="e">
        <f>'[6]price list MAN'!AA1510</f>
        <v>#N/A</v>
      </c>
      <c r="P1510" s="68" t="e">
        <f t="shared" si="116"/>
        <v>#N/A</v>
      </c>
      <c r="Q1510" s="62" t="e">
        <f>O1510-#REF!</f>
        <v>#N/A</v>
      </c>
      <c r="AT1510" s="425" t="str">
        <f t="shared" si="117"/>
        <v>Special Order0</v>
      </c>
      <c r="AU1510" s="64" t="str">
        <f t="shared" si="118"/>
        <v>01-1900</v>
      </c>
      <c r="BA1510" s="428" t="str">
        <f t="shared" si="119"/>
        <v/>
      </c>
    </row>
    <row r="1511" spans="2:53">
      <c r="B1511" s="36">
        <f>'[6]price list MAN'!B1511</f>
        <v>0</v>
      </c>
      <c r="C1511" s="10">
        <f>'[6]price list MAN'!C1511</f>
        <v>0</v>
      </c>
      <c r="D1511" s="16" t="str">
        <f>IFERROR(VLOOKUP(C1511&amp;"",'[7]Retail Price List'!$A$3:$B$103,2,FALSE),"Special Order")</f>
        <v>Special Order</v>
      </c>
      <c r="E1511" s="494">
        <f>'[6]price list MAN'!E1511</f>
        <v>0</v>
      </c>
      <c r="F1511" s="11">
        <f>'[6]price list MAN'!F1511</f>
        <v>0</v>
      </c>
      <c r="G1511" s="32">
        <f>'[6]price list MAN'!G1511</f>
        <v>0</v>
      </c>
      <c r="H1511" s="26">
        <f>'[6]price list MAN'!H1511</f>
        <v>0</v>
      </c>
      <c r="I1511" s="51" t="str">
        <f t="shared" si="115"/>
        <v/>
      </c>
      <c r="J1511" s="177" t="e">
        <f>'[6]price list MAN'!J1511</f>
        <v>#N/A</v>
      </c>
      <c r="K1511" s="177" t="e">
        <f>'[6]price list MAN'!P1511</f>
        <v>#N/A</v>
      </c>
      <c r="L1511" s="177" t="e">
        <f>'[6]price list MAN'!R1511</f>
        <v>#N/A</v>
      </c>
      <c r="M1511" s="174" t="e">
        <f>'[6]price list MAN'!S1511</f>
        <v>#N/A</v>
      </c>
      <c r="N1511" s="174" t="e">
        <f>'[6]price list MAN'!Y1511</f>
        <v>#N/A</v>
      </c>
      <c r="O1511" s="174" t="e">
        <f>'[6]price list MAN'!AA1511</f>
        <v>#N/A</v>
      </c>
      <c r="P1511" s="68" t="e">
        <f t="shared" si="116"/>
        <v>#N/A</v>
      </c>
      <c r="Q1511" s="62" t="e">
        <f>O1511-#REF!</f>
        <v>#N/A</v>
      </c>
      <c r="AT1511" s="425" t="str">
        <f t="shared" si="117"/>
        <v>Special Order0</v>
      </c>
      <c r="AU1511" s="64" t="str">
        <f t="shared" si="118"/>
        <v>01-1900</v>
      </c>
      <c r="BA1511" s="428" t="str">
        <f t="shared" si="119"/>
        <v/>
      </c>
    </row>
    <row r="1512" spans="2:53">
      <c r="B1512" s="36">
        <f>'[6]price list MAN'!B1512</f>
        <v>0</v>
      </c>
      <c r="C1512" s="10">
        <f>'[6]price list MAN'!C1512</f>
        <v>0</v>
      </c>
      <c r="D1512" s="16" t="str">
        <f>IFERROR(VLOOKUP(C1512&amp;"",'[7]Retail Price List'!$A$3:$B$103,2,FALSE),"Special Order")</f>
        <v>Special Order</v>
      </c>
      <c r="E1512" s="494">
        <f>'[6]price list MAN'!E1512</f>
        <v>0</v>
      </c>
      <c r="F1512" s="11">
        <f>'[6]price list MAN'!F1512</f>
        <v>0</v>
      </c>
      <c r="G1512" s="32">
        <f>'[6]price list MAN'!G1512</f>
        <v>0</v>
      </c>
      <c r="H1512" s="26">
        <f>'[6]price list MAN'!H1512</f>
        <v>0</v>
      </c>
      <c r="I1512" s="51" t="str">
        <f t="shared" si="115"/>
        <v/>
      </c>
      <c r="J1512" s="177" t="e">
        <f>'[6]price list MAN'!J1512</f>
        <v>#N/A</v>
      </c>
      <c r="K1512" s="177" t="e">
        <f>'[6]price list MAN'!P1512</f>
        <v>#N/A</v>
      </c>
      <c r="L1512" s="177" t="e">
        <f>'[6]price list MAN'!R1512</f>
        <v>#N/A</v>
      </c>
      <c r="M1512" s="174" t="e">
        <f>'[6]price list MAN'!S1512</f>
        <v>#N/A</v>
      </c>
      <c r="N1512" s="174" t="e">
        <f>'[6]price list MAN'!Y1512</f>
        <v>#N/A</v>
      </c>
      <c r="O1512" s="174" t="e">
        <f>'[6]price list MAN'!AA1512</f>
        <v>#N/A</v>
      </c>
      <c r="P1512" s="68" t="e">
        <f t="shared" si="116"/>
        <v>#N/A</v>
      </c>
      <c r="Q1512" s="62" t="e">
        <f>O1512-#REF!</f>
        <v>#N/A</v>
      </c>
      <c r="AT1512" s="425" t="str">
        <f t="shared" si="117"/>
        <v>Special Order0</v>
      </c>
      <c r="AU1512" s="64" t="str">
        <f t="shared" si="118"/>
        <v>01-1900</v>
      </c>
      <c r="BA1512" s="428" t="str">
        <f t="shared" si="119"/>
        <v/>
      </c>
    </row>
    <row r="1513" spans="2:53">
      <c r="B1513" s="36">
        <f>'[6]price list MAN'!B1513</f>
        <v>0</v>
      </c>
      <c r="C1513" s="10">
        <f>'[6]price list MAN'!C1513</f>
        <v>0</v>
      </c>
      <c r="D1513" s="16" t="str">
        <f>IFERROR(VLOOKUP(C1513&amp;"",'[7]Retail Price List'!$A$3:$B$103,2,FALSE),"Special Order")</f>
        <v>Special Order</v>
      </c>
      <c r="E1513" s="494">
        <f>'[6]price list MAN'!E1513</f>
        <v>0</v>
      </c>
      <c r="F1513" s="11">
        <f>'[6]price list MAN'!F1513</f>
        <v>0</v>
      </c>
      <c r="G1513" s="32">
        <f>'[6]price list MAN'!G1513</f>
        <v>0</v>
      </c>
      <c r="H1513" s="26">
        <f>'[6]price list MAN'!H1513</f>
        <v>0</v>
      </c>
      <c r="I1513" s="51" t="str">
        <f t="shared" si="115"/>
        <v/>
      </c>
      <c r="J1513" s="177" t="e">
        <f>'[6]price list MAN'!J1513</f>
        <v>#N/A</v>
      </c>
      <c r="K1513" s="177" t="e">
        <f>'[6]price list MAN'!P1513</f>
        <v>#N/A</v>
      </c>
      <c r="L1513" s="177" t="e">
        <f>'[6]price list MAN'!R1513</f>
        <v>#N/A</v>
      </c>
      <c r="M1513" s="174" t="e">
        <f>'[6]price list MAN'!S1513</f>
        <v>#N/A</v>
      </c>
      <c r="N1513" s="174" t="e">
        <f>'[6]price list MAN'!Y1513</f>
        <v>#N/A</v>
      </c>
      <c r="O1513" s="174" t="e">
        <f>'[6]price list MAN'!AA1513</f>
        <v>#N/A</v>
      </c>
      <c r="P1513" s="68" t="e">
        <f t="shared" si="116"/>
        <v>#N/A</v>
      </c>
      <c r="Q1513" s="62" t="e">
        <f>O1513-#REF!</f>
        <v>#N/A</v>
      </c>
      <c r="AT1513" s="425" t="str">
        <f t="shared" si="117"/>
        <v>Special Order0</v>
      </c>
      <c r="AU1513" s="64" t="str">
        <f t="shared" si="118"/>
        <v>01-1900</v>
      </c>
      <c r="BA1513" s="428" t="str">
        <f t="shared" si="119"/>
        <v/>
      </c>
    </row>
    <row r="1514" spans="2:53">
      <c r="B1514" s="36">
        <f>'[6]price list MAN'!B1514</f>
        <v>0</v>
      </c>
      <c r="C1514" s="10">
        <f>'[6]price list MAN'!C1514</f>
        <v>0</v>
      </c>
      <c r="D1514" s="16" t="str">
        <f>IFERROR(VLOOKUP(C1514&amp;"",'[7]Retail Price List'!$A$3:$B$103,2,FALSE),"Special Order")</f>
        <v>Special Order</v>
      </c>
      <c r="E1514" s="494">
        <f>'[6]price list MAN'!E1514</f>
        <v>0</v>
      </c>
      <c r="F1514" s="11">
        <f>'[6]price list MAN'!F1514</f>
        <v>0</v>
      </c>
      <c r="G1514" s="32">
        <f>'[6]price list MAN'!G1514</f>
        <v>0</v>
      </c>
      <c r="H1514" s="26">
        <f>'[6]price list MAN'!H1514</f>
        <v>0</v>
      </c>
      <c r="I1514" s="51" t="str">
        <f t="shared" si="115"/>
        <v/>
      </c>
      <c r="J1514" s="177" t="e">
        <f>'[6]price list MAN'!J1514</f>
        <v>#N/A</v>
      </c>
      <c r="K1514" s="177" t="e">
        <f>'[6]price list MAN'!P1514</f>
        <v>#N/A</v>
      </c>
      <c r="L1514" s="177" t="e">
        <f>'[6]price list MAN'!R1514</f>
        <v>#N/A</v>
      </c>
      <c r="M1514" s="174" t="e">
        <f>'[6]price list MAN'!S1514</f>
        <v>#N/A</v>
      </c>
      <c r="N1514" s="174" t="e">
        <f>'[6]price list MAN'!Y1514</f>
        <v>#N/A</v>
      </c>
      <c r="O1514" s="174" t="e">
        <f>'[6]price list MAN'!AA1514</f>
        <v>#N/A</v>
      </c>
      <c r="P1514" s="68" t="e">
        <f t="shared" si="116"/>
        <v>#N/A</v>
      </c>
      <c r="Q1514" s="62" t="e">
        <f>O1514-#REF!</f>
        <v>#N/A</v>
      </c>
      <c r="AT1514" s="425" t="str">
        <f t="shared" si="117"/>
        <v>Special Order0</v>
      </c>
      <c r="AU1514" s="64" t="str">
        <f t="shared" si="118"/>
        <v>01-1900</v>
      </c>
      <c r="BA1514" s="428" t="str">
        <f t="shared" si="119"/>
        <v/>
      </c>
    </row>
    <row r="1515" spans="2:53">
      <c r="B1515" s="36">
        <f>'[6]price list MAN'!B1515</f>
        <v>0</v>
      </c>
      <c r="C1515" s="10">
        <f>'[6]price list MAN'!C1515</f>
        <v>0</v>
      </c>
      <c r="D1515" s="16" t="str">
        <f>IFERROR(VLOOKUP(C1515&amp;"",'[7]Retail Price List'!$A$3:$B$103,2,FALSE),"Special Order")</f>
        <v>Special Order</v>
      </c>
      <c r="E1515" s="494">
        <f>'[6]price list MAN'!E1515</f>
        <v>0</v>
      </c>
      <c r="F1515" s="11">
        <f>'[6]price list MAN'!F1515</f>
        <v>0</v>
      </c>
      <c r="G1515" s="32">
        <f>'[6]price list MAN'!G1515</f>
        <v>0</v>
      </c>
      <c r="H1515" s="26">
        <f>'[6]price list MAN'!H1515</f>
        <v>0</v>
      </c>
      <c r="I1515" s="51" t="str">
        <f t="shared" si="115"/>
        <v/>
      </c>
      <c r="J1515" s="177" t="e">
        <f>'[6]price list MAN'!J1515</f>
        <v>#N/A</v>
      </c>
      <c r="K1515" s="177" t="e">
        <f>'[6]price list MAN'!P1515</f>
        <v>#N/A</v>
      </c>
      <c r="L1515" s="177" t="e">
        <f>'[6]price list MAN'!R1515</f>
        <v>#N/A</v>
      </c>
      <c r="M1515" s="174" t="e">
        <f>'[6]price list MAN'!S1515</f>
        <v>#N/A</v>
      </c>
      <c r="N1515" s="174" t="e">
        <f>'[6]price list MAN'!Y1515</f>
        <v>#N/A</v>
      </c>
      <c r="O1515" s="174" t="e">
        <f>'[6]price list MAN'!AA1515</f>
        <v>#N/A</v>
      </c>
      <c r="P1515" s="68" t="e">
        <f t="shared" si="116"/>
        <v>#N/A</v>
      </c>
      <c r="Q1515" s="62" t="e">
        <f>O1515-#REF!</f>
        <v>#N/A</v>
      </c>
      <c r="AT1515" s="425" t="str">
        <f t="shared" si="117"/>
        <v>Special Order0</v>
      </c>
      <c r="AU1515" s="64" t="str">
        <f t="shared" si="118"/>
        <v>01-1900</v>
      </c>
      <c r="BA1515" s="428" t="str">
        <f t="shared" si="119"/>
        <v/>
      </c>
    </row>
    <row r="1516" spans="2:53">
      <c r="B1516" s="36">
        <f>'[6]price list MAN'!B1516</f>
        <v>0</v>
      </c>
      <c r="C1516" s="10">
        <f>'[6]price list MAN'!C1516</f>
        <v>0</v>
      </c>
      <c r="D1516" s="16" t="str">
        <f>IFERROR(VLOOKUP(C1516&amp;"",'[7]Retail Price List'!$A$3:$B$103,2,FALSE),"Special Order")</f>
        <v>Special Order</v>
      </c>
      <c r="E1516" s="494">
        <f>'[6]price list MAN'!E1516</f>
        <v>0</v>
      </c>
      <c r="F1516" s="11">
        <f>'[6]price list MAN'!F1516</f>
        <v>0</v>
      </c>
      <c r="G1516" s="32">
        <f>'[6]price list MAN'!G1516</f>
        <v>0</v>
      </c>
      <c r="H1516" s="26">
        <f>'[6]price list MAN'!H1516</f>
        <v>0</v>
      </c>
      <c r="I1516" s="51" t="str">
        <f t="shared" si="115"/>
        <v/>
      </c>
      <c r="J1516" s="177" t="e">
        <f>'[6]price list MAN'!J1516</f>
        <v>#N/A</v>
      </c>
      <c r="K1516" s="177" t="e">
        <f>'[6]price list MAN'!P1516</f>
        <v>#N/A</v>
      </c>
      <c r="L1516" s="177" t="e">
        <f>'[6]price list MAN'!R1516</f>
        <v>#N/A</v>
      </c>
      <c r="M1516" s="174" t="e">
        <f>'[6]price list MAN'!S1516</f>
        <v>#N/A</v>
      </c>
      <c r="N1516" s="174" t="e">
        <f>'[6]price list MAN'!Y1516</f>
        <v>#N/A</v>
      </c>
      <c r="O1516" s="174" t="e">
        <f>'[6]price list MAN'!AA1516</f>
        <v>#N/A</v>
      </c>
      <c r="P1516" s="68" t="e">
        <f t="shared" si="116"/>
        <v>#N/A</v>
      </c>
      <c r="Q1516" s="62" t="e">
        <f>O1516-#REF!</f>
        <v>#N/A</v>
      </c>
      <c r="AT1516" s="425" t="str">
        <f t="shared" si="117"/>
        <v>Special Order0</v>
      </c>
      <c r="AU1516" s="64" t="str">
        <f t="shared" si="118"/>
        <v>01-1900</v>
      </c>
      <c r="BA1516" s="428" t="str">
        <f t="shared" si="119"/>
        <v/>
      </c>
    </row>
    <row r="1517" spans="2:53">
      <c r="B1517" s="36">
        <f>'[6]price list MAN'!B1517</f>
        <v>0</v>
      </c>
      <c r="C1517" s="10">
        <f>'[6]price list MAN'!C1517</f>
        <v>0</v>
      </c>
      <c r="D1517" s="16" t="str">
        <f>IFERROR(VLOOKUP(C1517&amp;"",'[7]Retail Price List'!$A$3:$B$103,2,FALSE),"Special Order")</f>
        <v>Special Order</v>
      </c>
      <c r="E1517" s="494">
        <f>'[6]price list MAN'!E1517</f>
        <v>0</v>
      </c>
      <c r="F1517" s="11">
        <f>'[6]price list MAN'!F1517</f>
        <v>0</v>
      </c>
      <c r="G1517" s="32">
        <f>'[6]price list MAN'!G1517</f>
        <v>0</v>
      </c>
      <c r="H1517" s="26">
        <f>'[6]price list MAN'!H1517</f>
        <v>0</v>
      </c>
      <c r="I1517" s="51" t="str">
        <f t="shared" si="115"/>
        <v/>
      </c>
      <c r="J1517" s="177" t="e">
        <f>'[6]price list MAN'!J1517</f>
        <v>#N/A</v>
      </c>
      <c r="K1517" s="177" t="e">
        <f>'[6]price list MAN'!P1517</f>
        <v>#N/A</v>
      </c>
      <c r="L1517" s="177" t="e">
        <f>'[6]price list MAN'!R1517</f>
        <v>#N/A</v>
      </c>
      <c r="M1517" s="174" t="e">
        <f>'[6]price list MAN'!S1517</f>
        <v>#N/A</v>
      </c>
      <c r="N1517" s="174" t="e">
        <f>'[6]price list MAN'!Y1517</f>
        <v>#N/A</v>
      </c>
      <c r="O1517" s="174" t="e">
        <f>'[6]price list MAN'!AA1517</f>
        <v>#N/A</v>
      </c>
      <c r="P1517" s="68" t="e">
        <f t="shared" si="116"/>
        <v>#N/A</v>
      </c>
      <c r="Q1517" s="62" t="e">
        <f>O1517-#REF!</f>
        <v>#N/A</v>
      </c>
      <c r="AT1517" s="425" t="str">
        <f t="shared" si="117"/>
        <v>Special Order0</v>
      </c>
      <c r="AU1517" s="64" t="str">
        <f t="shared" si="118"/>
        <v>01-1900</v>
      </c>
      <c r="BA1517" s="428" t="str">
        <f t="shared" si="119"/>
        <v/>
      </c>
    </row>
    <row r="1518" spans="2:53">
      <c r="B1518" s="36">
        <f>'[6]price list MAN'!B1518</f>
        <v>0</v>
      </c>
      <c r="C1518" s="10">
        <f>'[6]price list MAN'!C1518</f>
        <v>0</v>
      </c>
      <c r="D1518" s="16" t="str">
        <f>IFERROR(VLOOKUP(C1518&amp;"",'[7]Retail Price List'!$A$3:$B$103,2,FALSE),"Special Order")</f>
        <v>Special Order</v>
      </c>
      <c r="E1518" s="494">
        <f>'[6]price list MAN'!E1518</f>
        <v>0</v>
      </c>
      <c r="F1518" s="11">
        <f>'[6]price list MAN'!F1518</f>
        <v>0</v>
      </c>
      <c r="G1518" s="32">
        <f>'[6]price list MAN'!G1518</f>
        <v>0</v>
      </c>
      <c r="H1518" s="26">
        <f>'[6]price list MAN'!H1518</f>
        <v>0</v>
      </c>
      <c r="I1518" s="51" t="str">
        <f t="shared" si="115"/>
        <v/>
      </c>
      <c r="J1518" s="177" t="e">
        <f>'[6]price list MAN'!J1518</f>
        <v>#N/A</v>
      </c>
      <c r="K1518" s="177" t="e">
        <f>'[6]price list MAN'!P1518</f>
        <v>#N/A</v>
      </c>
      <c r="L1518" s="177" t="e">
        <f>'[6]price list MAN'!R1518</f>
        <v>#N/A</v>
      </c>
      <c r="M1518" s="174" t="e">
        <f>'[6]price list MAN'!S1518</f>
        <v>#N/A</v>
      </c>
      <c r="N1518" s="174" t="e">
        <f>'[6]price list MAN'!Y1518</f>
        <v>#N/A</v>
      </c>
      <c r="O1518" s="174" t="e">
        <f>'[6]price list MAN'!AA1518</f>
        <v>#N/A</v>
      </c>
      <c r="P1518" s="68" t="e">
        <f t="shared" si="116"/>
        <v>#N/A</v>
      </c>
      <c r="Q1518" s="62" t="e">
        <f>O1518-#REF!</f>
        <v>#N/A</v>
      </c>
      <c r="AT1518" s="425" t="str">
        <f t="shared" si="117"/>
        <v>Special Order0</v>
      </c>
      <c r="AU1518" s="64" t="str">
        <f t="shared" si="118"/>
        <v>01-1900</v>
      </c>
      <c r="BA1518" s="428" t="str">
        <f t="shared" si="119"/>
        <v/>
      </c>
    </row>
    <row r="1519" spans="2:53">
      <c r="B1519" s="36">
        <f>'[6]price list MAN'!B1519</f>
        <v>0</v>
      </c>
      <c r="C1519" s="10">
        <f>'[6]price list MAN'!C1519</f>
        <v>0</v>
      </c>
      <c r="D1519" s="16" t="str">
        <f>IFERROR(VLOOKUP(C1519&amp;"",'[7]Retail Price List'!$A$3:$B$103,2,FALSE),"Special Order")</f>
        <v>Special Order</v>
      </c>
      <c r="E1519" s="494">
        <f>'[6]price list MAN'!E1519</f>
        <v>0</v>
      </c>
      <c r="F1519" s="11">
        <f>'[6]price list MAN'!F1519</f>
        <v>0</v>
      </c>
      <c r="G1519" s="32">
        <f>'[6]price list MAN'!G1519</f>
        <v>0</v>
      </c>
      <c r="H1519" s="26">
        <f>'[6]price list MAN'!H1519</f>
        <v>0</v>
      </c>
      <c r="I1519" s="51" t="str">
        <f t="shared" si="115"/>
        <v/>
      </c>
      <c r="J1519" s="177" t="e">
        <f>'[6]price list MAN'!J1519</f>
        <v>#N/A</v>
      </c>
      <c r="K1519" s="177" t="e">
        <f>'[6]price list MAN'!P1519</f>
        <v>#N/A</v>
      </c>
      <c r="L1519" s="177" t="e">
        <f>'[6]price list MAN'!R1519</f>
        <v>#N/A</v>
      </c>
      <c r="M1519" s="174" t="e">
        <f>'[6]price list MAN'!S1519</f>
        <v>#N/A</v>
      </c>
      <c r="N1519" s="174" t="e">
        <f>'[6]price list MAN'!Y1519</f>
        <v>#N/A</v>
      </c>
      <c r="O1519" s="174" t="e">
        <f>'[6]price list MAN'!AA1519</f>
        <v>#N/A</v>
      </c>
      <c r="P1519" s="68" t="e">
        <f t="shared" si="116"/>
        <v>#N/A</v>
      </c>
      <c r="Q1519" s="62" t="e">
        <f>O1519-#REF!</f>
        <v>#N/A</v>
      </c>
      <c r="AT1519" s="425" t="str">
        <f t="shared" si="117"/>
        <v>Special Order0</v>
      </c>
      <c r="AU1519" s="64" t="str">
        <f t="shared" si="118"/>
        <v>01-1900</v>
      </c>
      <c r="BA1519" s="428" t="str">
        <f t="shared" si="119"/>
        <v/>
      </c>
    </row>
    <row r="1520" spans="2:53">
      <c r="B1520" s="36">
        <f>'[6]price list MAN'!B1520</f>
        <v>0</v>
      </c>
      <c r="C1520" s="10">
        <f>'[6]price list MAN'!C1520</f>
        <v>0</v>
      </c>
      <c r="D1520" s="16" t="str">
        <f>IFERROR(VLOOKUP(C1520&amp;"",'[7]Retail Price List'!$A$3:$B$103,2,FALSE),"Special Order")</f>
        <v>Special Order</v>
      </c>
      <c r="E1520" s="494">
        <f>'[6]price list MAN'!E1520</f>
        <v>0</v>
      </c>
      <c r="F1520" s="11">
        <f>'[6]price list MAN'!F1520</f>
        <v>0</v>
      </c>
      <c r="G1520" s="32">
        <f>'[6]price list MAN'!G1520</f>
        <v>0</v>
      </c>
      <c r="H1520" s="26">
        <f>'[6]price list MAN'!H1520</f>
        <v>0</v>
      </c>
      <c r="I1520" s="51" t="str">
        <f t="shared" si="115"/>
        <v/>
      </c>
      <c r="J1520" s="177" t="e">
        <f>'[6]price list MAN'!J1520</f>
        <v>#N/A</v>
      </c>
      <c r="K1520" s="177" t="e">
        <f>'[6]price list MAN'!P1520</f>
        <v>#N/A</v>
      </c>
      <c r="L1520" s="177" t="e">
        <f>'[6]price list MAN'!R1520</f>
        <v>#N/A</v>
      </c>
      <c r="M1520" s="174" t="e">
        <f>'[6]price list MAN'!S1520</f>
        <v>#N/A</v>
      </c>
      <c r="N1520" s="174" t="e">
        <f>'[6]price list MAN'!Y1520</f>
        <v>#N/A</v>
      </c>
      <c r="O1520" s="174" t="e">
        <f>'[6]price list MAN'!AA1520</f>
        <v>#N/A</v>
      </c>
      <c r="P1520" s="68" t="e">
        <f t="shared" si="116"/>
        <v>#N/A</v>
      </c>
      <c r="Q1520" s="62" t="e">
        <f>O1520-#REF!</f>
        <v>#N/A</v>
      </c>
      <c r="AT1520" s="425" t="str">
        <f t="shared" si="117"/>
        <v>Special Order0</v>
      </c>
      <c r="AU1520" s="64" t="str">
        <f t="shared" si="118"/>
        <v>01-1900</v>
      </c>
      <c r="BA1520" s="428" t="str">
        <f t="shared" si="119"/>
        <v/>
      </c>
    </row>
    <row r="1521" spans="2:53">
      <c r="B1521" s="36">
        <f>'[6]price list MAN'!B1521</f>
        <v>0</v>
      </c>
      <c r="C1521" s="10">
        <f>'[6]price list MAN'!C1521</f>
        <v>0</v>
      </c>
      <c r="D1521" s="16" t="str">
        <f>IFERROR(VLOOKUP(C1521&amp;"",'[7]Retail Price List'!$A$3:$B$103,2,FALSE),"Special Order")</f>
        <v>Special Order</v>
      </c>
      <c r="E1521" s="494">
        <f>'[6]price list MAN'!E1521</f>
        <v>0</v>
      </c>
      <c r="F1521" s="11">
        <f>'[6]price list MAN'!F1521</f>
        <v>0</v>
      </c>
      <c r="G1521" s="32">
        <f>'[6]price list MAN'!G1521</f>
        <v>0</v>
      </c>
      <c r="H1521" s="26">
        <f>'[6]price list MAN'!H1521</f>
        <v>0</v>
      </c>
      <c r="I1521" s="51" t="str">
        <f t="shared" si="115"/>
        <v/>
      </c>
      <c r="J1521" s="177" t="e">
        <f>'[6]price list MAN'!J1521</f>
        <v>#N/A</v>
      </c>
      <c r="K1521" s="177" t="e">
        <f>'[6]price list MAN'!P1521</f>
        <v>#N/A</v>
      </c>
      <c r="L1521" s="177" t="e">
        <f>'[6]price list MAN'!R1521</f>
        <v>#N/A</v>
      </c>
      <c r="M1521" s="174" t="e">
        <f>'[6]price list MAN'!S1521</f>
        <v>#N/A</v>
      </c>
      <c r="N1521" s="174" t="e">
        <f>'[6]price list MAN'!Y1521</f>
        <v>#N/A</v>
      </c>
      <c r="O1521" s="174" t="e">
        <f>'[6]price list MAN'!AA1521</f>
        <v>#N/A</v>
      </c>
      <c r="P1521" s="68" t="e">
        <f t="shared" si="116"/>
        <v>#N/A</v>
      </c>
      <c r="Q1521" s="62" t="e">
        <f>O1521-#REF!</f>
        <v>#N/A</v>
      </c>
      <c r="AT1521" s="425" t="str">
        <f t="shared" si="117"/>
        <v>Special Order0</v>
      </c>
      <c r="AU1521" s="64" t="str">
        <f t="shared" si="118"/>
        <v>01-1900</v>
      </c>
      <c r="BA1521" s="428" t="str">
        <f t="shared" si="119"/>
        <v/>
      </c>
    </row>
    <row r="1522" spans="2:53">
      <c r="B1522" s="36">
        <f>'[6]price list MAN'!B1522</f>
        <v>0</v>
      </c>
      <c r="C1522" s="10">
        <f>'[6]price list MAN'!C1522</f>
        <v>0</v>
      </c>
      <c r="D1522" s="16" t="str">
        <f>IFERROR(VLOOKUP(C1522&amp;"",'[7]Retail Price List'!$A$3:$B$103,2,FALSE),"Special Order")</f>
        <v>Special Order</v>
      </c>
      <c r="E1522" s="494">
        <f>'[6]price list MAN'!E1522</f>
        <v>0</v>
      </c>
      <c r="F1522" s="11">
        <f>'[6]price list MAN'!F1522</f>
        <v>0</v>
      </c>
      <c r="G1522" s="32">
        <f>'[6]price list MAN'!G1522</f>
        <v>0</v>
      </c>
      <c r="H1522" s="26">
        <f>'[6]price list MAN'!H1522</f>
        <v>0</v>
      </c>
      <c r="I1522" s="51" t="str">
        <f t="shared" si="115"/>
        <v/>
      </c>
      <c r="J1522" s="177" t="e">
        <f>'[6]price list MAN'!J1522</f>
        <v>#N/A</v>
      </c>
      <c r="K1522" s="177" t="e">
        <f>'[6]price list MAN'!P1522</f>
        <v>#N/A</v>
      </c>
      <c r="L1522" s="177" t="e">
        <f>'[6]price list MAN'!R1522</f>
        <v>#N/A</v>
      </c>
      <c r="M1522" s="174" t="e">
        <f>'[6]price list MAN'!S1522</f>
        <v>#N/A</v>
      </c>
      <c r="N1522" s="174" t="e">
        <f>'[6]price list MAN'!Y1522</f>
        <v>#N/A</v>
      </c>
      <c r="O1522" s="174" t="e">
        <f>'[6]price list MAN'!AA1522</f>
        <v>#N/A</v>
      </c>
      <c r="P1522" s="68" t="e">
        <f t="shared" si="116"/>
        <v>#N/A</v>
      </c>
      <c r="Q1522" s="62" t="e">
        <f>O1522-#REF!</f>
        <v>#N/A</v>
      </c>
      <c r="AT1522" s="425" t="str">
        <f t="shared" si="117"/>
        <v>Special Order0</v>
      </c>
      <c r="AU1522" s="64" t="str">
        <f t="shared" si="118"/>
        <v>01-1900</v>
      </c>
      <c r="BA1522" s="428" t="str">
        <f t="shared" si="119"/>
        <v/>
      </c>
    </row>
    <row r="1523" spans="2:53">
      <c r="B1523" s="36">
        <f>'[6]price list MAN'!B1523</f>
        <v>0</v>
      </c>
      <c r="C1523" s="10">
        <f>'[6]price list MAN'!C1523</f>
        <v>0</v>
      </c>
      <c r="D1523" s="16" t="str">
        <f>IFERROR(VLOOKUP(C1523&amp;"",'[7]Retail Price List'!$A$3:$B$103,2,FALSE),"Special Order")</f>
        <v>Special Order</v>
      </c>
      <c r="E1523" s="494">
        <f>'[6]price list MAN'!E1523</f>
        <v>0</v>
      </c>
      <c r="F1523" s="11">
        <f>'[6]price list MAN'!F1523</f>
        <v>0</v>
      </c>
      <c r="G1523" s="32">
        <f>'[6]price list MAN'!G1523</f>
        <v>0</v>
      </c>
      <c r="H1523" s="26">
        <f>'[6]price list MAN'!H1523</f>
        <v>0</v>
      </c>
      <c r="I1523" s="51" t="str">
        <f t="shared" si="115"/>
        <v/>
      </c>
      <c r="J1523" s="177" t="e">
        <f>'[6]price list MAN'!J1523</f>
        <v>#N/A</v>
      </c>
      <c r="K1523" s="177" t="e">
        <f>'[6]price list MAN'!P1523</f>
        <v>#N/A</v>
      </c>
      <c r="L1523" s="177" t="e">
        <f>'[6]price list MAN'!R1523</f>
        <v>#N/A</v>
      </c>
      <c r="M1523" s="174" t="e">
        <f>'[6]price list MAN'!S1523</f>
        <v>#N/A</v>
      </c>
      <c r="N1523" s="174" t="e">
        <f>'[6]price list MAN'!Y1523</f>
        <v>#N/A</v>
      </c>
      <c r="O1523" s="174" t="e">
        <f>'[6]price list MAN'!AA1523</f>
        <v>#N/A</v>
      </c>
      <c r="P1523" s="68" t="e">
        <f t="shared" si="116"/>
        <v>#N/A</v>
      </c>
      <c r="Q1523" s="62" t="e">
        <f>O1523-#REF!</f>
        <v>#N/A</v>
      </c>
      <c r="AT1523" s="425" t="str">
        <f t="shared" si="117"/>
        <v>Special Order0</v>
      </c>
      <c r="AU1523" s="64" t="str">
        <f t="shared" si="118"/>
        <v>01-1900</v>
      </c>
      <c r="BA1523" s="428" t="str">
        <f t="shared" si="119"/>
        <v/>
      </c>
    </row>
    <row r="1524" spans="2:53">
      <c r="B1524" s="36">
        <f>'[6]price list MAN'!B1524</f>
        <v>0</v>
      </c>
      <c r="C1524" s="10">
        <f>'[6]price list MAN'!C1524</f>
        <v>0</v>
      </c>
      <c r="D1524" s="16" t="str">
        <f>IFERROR(VLOOKUP(C1524&amp;"",'[7]Retail Price List'!$A$3:$B$103,2,FALSE),"Special Order")</f>
        <v>Special Order</v>
      </c>
      <c r="E1524" s="494">
        <f>'[6]price list MAN'!E1524</f>
        <v>0</v>
      </c>
      <c r="F1524" s="11">
        <f>'[6]price list MAN'!F1524</f>
        <v>0</v>
      </c>
      <c r="G1524" s="32">
        <f>'[6]price list MAN'!G1524</f>
        <v>0</v>
      </c>
      <c r="H1524" s="26">
        <f>'[6]price list MAN'!H1524</f>
        <v>0</v>
      </c>
      <c r="I1524" s="51" t="str">
        <f t="shared" si="115"/>
        <v/>
      </c>
      <c r="J1524" s="177" t="e">
        <f>'[6]price list MAN'!J1524</f>
        <v>#N/A</v>
      </c>
      <c r="K1524" s="177" t="e">
        <f>'[6]price list MAN'!P1524</f>
        <v>#N/A</v>
      </c>
      <c r="L1524" s="177" t="e">
        <f>'[6]price list MAN'!R1524</f>
        <v>#N/A</v>
      </c>
      <c r="M1524" s="174" t="e">
        <f>'[6]price list MAN'!S1524</f>
        <v>#N/A</v>
      </c>
      <c r="N1524" s="174" t="e">
        <f>'[6]price list MAN'!Y1524</f>
        <v>#N/A</v>
      </c>
      <c r="O1524" s="174" t="e">
        <f>'[6]price list MAN'!AA1524</f>
        <v>#N/A</v>
      </c>
      <c r="P1524" s="68" t="e">
        <f t="shared" si="116"/>
        <v>#N/A</v>
      </c>
      <c r="Q1524" s="62" t="e">
        <f>O1524-#REF!</f>
        <v>#N/A</v>
      </c>
      <c r="AT1524" s="425" t="str">
        <f t="shared" si="117"/>
        <v>Special Order0</v>
      </c>
      <c r="AU1524" s="64" t="str">
        <f t="shared" si="118"/>
        <v>01-1900</v>
      </c>
      <c r="BA1524" s="428" t="str">
        <f t="shared" si="119"/>
        <v/>
      </c>
    </row>
    <row r="1525" spans="2:53">
      <c r="B1525" s="36">
        <f>'[6]price list MAN'!B1525</f>
        <v>0</v>
      </c>
      <c r="C1525" s="10">
        <f>'[6]price list MAN'!C1525</f>
        <v>0</v>
      </c>
      <c r="D1525" s="16" t="str">
        <f>IFERROR(VLOOKUP(C1525&amp;"",'[7]Retail Price List'!$A$3:$B$103,2,FALSE),"Special Order")</f>
        <v>Special Order</v>
      </c>
      <c r="E1525" s="494">
        <f>'[6]price list MAN'!E1525</f>
        <v>0</v>
      </c>
      <c r="F1525" s="11">
        <f>'[6]price list MAN'!F1525</f>
        <v>0</v>
      </c>
      <c r="G1525" s="32">
        <f>'[6]price list MAN'!G1525</f>
        <v>0</v>
      </c>
      <c r="H1525" s="26">
        <f>'[6]price list MAN'!H1525</f>
        <v>0</v>
      </c>
      <c r="I1525" s="51" t="str">
        <f t="shared" si="115"/>
        <v/>
      </c>
      <c r="J1525" s="177" t="e">
        <f>'[6]price list MAN'!J1525</f>
        <v>#N/A</v>
      </c>
      <c r="K1525" s="177" t="e">
        <f>'[6]price list MAN'!P1525</f>
        <v>#N/A</v>
      </c>
      <c r="L1525" s="177" t="e">
        <f>'[6]price list MAN'!R1525</f>
        <v>#N/A</v>
      </c>
      <c r="M1525" s="174" t="e">
        <f>'[6]price list MAN'!S1525</f>
        <v>#N/A</v>
      </c>
      <c r="N1525" s="174" t="e">
        <f>'[6]price list MAN'!Y1525</f>
        <v>#N/A</v>
      </c>
      <c r="O1525" s="174" t="e">
        <f>'[6]price list MAN'!AA1525</f>
        <v>#N/A</v>
      </c>
      <c r="P1525" s="68" t="e">
        <f t="shared" si="116"/>
        <v>#N/A</v>
      </c>
      <c r="Q1525" s="62" t="e">
        <f>O1525-#REF!</f>
        <v>#N/A</v>
      </c>
      <c r="AT1525" s="425" t="str">
        <f t="shared" si="117"/>
        <v>Special Order0</v>
      </c>
      <c r="AU1525" s="64" t="str">
        <f t="shared" si="118"/>
        <v>01-1900</v>
      </c>
      <c r="BA1525" s="428" t="str">
        <f t="shared" si="119"/>
        <v/>
      </c>
    </row>
    <row r="1526" spans="2:53">
      <c r="B1526" s="36">
        <f>'[6]price list MAN'!B1526</f>
        <v>0</v>
      </c>
      <c r="C1526" s="10">
        <f>'[6]price list MAN'!C1526</f>
        <v>0</v>
      </c>
      <c r="D1526" s="16" t="str">
        <f>IFERROR(VLOOKUP(C1526&amp;"",'[7]Retail Price List'!$A$3:$B$103,2,FALSE),"Special Order")</f>
        <v>Special Order</v>
      </c>
      <c r="E1526" s="494">
        <f>'[6]price list MAN'!E1526</f>
        <v>0</v>
      </c>
      <c r="F1526" s="11">
        <f>'[6]price list MAN'!F1526</f>
        <v>0</v>
      </c>
      <c r="G1526" s="32">
        <f>'[6]price list MAN'!G1526</f>
        <v>0</v>
      </c>
      <c r="H1526" s="26">
        <f>'[6]price list MAN'!H1526</f>
        <v>0</v>
      </c>
      <c r="I1526" s="51" t="str">
        <f t="shared" si="115"/>
        <v/>
      </c>
      <c r="J1526" s="177" t="e">
        <f>'[6]price list MAN'!J1526</f>
        <v>#N/A</v>
      </c>
      <c r="K1526" s="177" t="e">
        <f>'[6]price list MAN'!P1526</f>
        <v>#N/A</v>
      </c>
      <c r="L1526" s="177" t="e">
        <f>'[6]price list MAN'!R1526</f>
        <v>#N/A</v>
      </c>
      <c r="M1526" s="174" t="e">
        <f>'[6]price list MAN'!S1526</f>
        <v>#N/A</v>
      </c>
      <c r="N1526" s="174" t="e">
        <f>'[6]price list MAN'!Y1526</f>
        <v>#N/A</v>
      </c>
      <c r="O1526" s="174" t="e">
        <f>'[6]price list MAN'!AA1526</f>
        <v>#N/A</v>
      </c>
      <c r="P1526" s="68" t="e">
        <f t="shared" si="116"/>
        <v>#N/A</v>
      </c>
      <c r="Q1526" s="62" t="e">
        <f>O1526-#REF!</f>
        <v>#N/A</v>
      </c>
      <c r="AT1526" s="425" t="str">
        <f t="shared" si="117"/>
        <v>Special Order0</v>
      </c>
      <c r="AU1526" s="64" t="str">
        <f t="shared" si="118"/>
        <v>01-1900</v>
      </c>
      <c r="BA1526" s="428" t="str">
        <f t="shared" si="119"/>
        <v/>
      </c>
    </row>
    <row r="1527" spans="2:53">
      <c r="B1527" s="36">
        <f>'[6]price list MAN'!B1527</f>
        <v>0</v>
      </c>
      <c r="C1527" s="10">
        <f>'[6]price list MAN'!C1527</f>
        <v>0</v>
      </c>
      <c r="D1527" s="16" t="str">
        <f>IFERROR(VLOOKUP(C1527&amp;"",'[7]Retail Price List'!$A$3:$B$103,2,FALSE),"Special Order")</f>
        <v>Special Order</v>
      </c>
      <c r="E1527" s="494">
        <f>'[6]price list MAN'!E1527</f>
        <v>0</v>
      </c>
      <c r="F1527" s="11">
        <f>'[6]price list MAN'!F1527</f>
        <v>0</v>
      </c>
      <c r="G1527" s="32">
        <f>'[6]price list MAN'!G1527</f>
        <v>0</v>
      </c>
      <c r="H1527" s="26">
        <f>'[6]price list MAN'!H1527</f>
        <v>0</v>
      </c>
      <c r="I1527" s="51" t="str">
        <f t="shared" si="115"/>
        <v/>
      </c>
      <c r="J1527" s="177" t="e">
        <f>'[6]price list MAN'!J1527</f>
        <v>#N/A</v>
      </c>
      <c r="K1527" s="177" t="e">
        <f>'[6]price list MAN'!P1527</f>
        <v>#N/A</v>
      </c>
      <c r="L1527" s="177" t="e">
        <f>'[6]price list MAN'!R1527</f>
        <v>#N/A</v>
      </c>
      <c r="M1527" s="174" t="e">
        <f>'[6]price list MAN'!S1527</f>
        <v>#N/A</v>
      </c>
      <c r="N1527" s="174" t="e">
        <f>'[6]price list MAN'!Y1527</f>
        <v>#N/A</v>
      </c>
      <c r="O1527" s="174" t="e">
        <f>'[6]price list MAN'!AA1527</f>
        <v>#N/A</v>
      </c>
      <c r="P1527" s="68" t="e">
        <f t="shared" si="116"/>
        <v>#N/A</v>
      </c>
      <c r="Q1527" s="62" t="e">
        <f>O1527-#REF!</f>
        <v>#N/A</v>
      </c>
      <c r="AT1527" s="425" t="str">
        <f t="shared" si="117"/>
        <v>Special Order0</v>
      </c>
      <c r="AU1527" s="64" t="str">
        <f t="shared" si="118"/>
        <v>01-1900</v>
      </c>
      <c r="BA1527" s="428" t="str">
        <f t="shared" si="119"/>
        <v/>
      </c>
    </row>
    <row r="1528" spans="2:53">
      <c r="B1528" s="36">
        <f>'[6]price list MAN'!B1528</f>
        <v>0</v>
      </c>
      <c r="C1528" s="10">
        <f>'[6]price list MAN'!C1528</f>
        <v>0</v>
      </c>
      <c r="D1528" s="16" t="str">
        <f>IFERROR(VLOOKUP(C1528&amp;"",'[7]Retail Price List'!$A$3:$B$103,2,FALSE),"Special Order")</f>
        <v>Special Order</v>
      </c>
      <c r="E1528" s="494">
        <f>'[6]price list MAN'!E1528</f>
        <v>0</v>
      </c>
      <c r="F1528" s="11">
        <f>'[6]price list MAN'!F1528</f>
        <v>0</v>
      </c>
      <c r="G1528" s="32">
        <f>'[6]price list MAN'!G1528</f>
        <v>0</v>
      </c>
      <c r="H1528" s="26">
        <f>'[6]price list MAN'!H1528</f>
        <v>0</v>
      </c>
      <c r="I1528" s="51" t="str">
        <f t="shared" si="115"/>
        <v/>
      </c>
      <c r="J1528" s="177" t="e">
        <f>'[6]price list MAN'!J1528</f>
        <v>#N/A</v>
      </c>
      <c r="K1528" s="177" t="e">
        <f>'[6]price list MAN'!P1528</f>
        <v>#N/A</v>
      </c>
      <c r="L1528" s="177" t="e">
        <f>'[6]price list MAN'!R1528</f>
        <v>#N/A</v>
      </c>
      <c r="M1528" s="174" t="e">
        <f>'[6]price list MAN'!S1528</f>
        <v>#N/A</v>
      </c>
      <c r="N1528" s="174" t="e">
        <f>'[6]price list MAN'!Y1528</f>
        <v>#N/A</v>
      </c>
      <c r="O1528" s="174" t="e">
        <f>'[6]price list MAN'!AA1528</f>
        <v>#N/A</v>
      </c>
      <c r="P1528" s="68" t="e">
        <f t="shared" si="116"/>
        <v>#N/A</v>
      </c>
      <c r="Q1528" s="62" t="e">
        <f>O1528-#REF!</f>
        <v>#N/A</v>
      </c>
      <c r="AT1528" s="425" t="str">
        <f t="shared" si="117"/>
        <v>Special Order0</v>
      </c>
      <c r="AU1528" s="64" t="str">
        <f t="shared" si="118"/>
        <v>01-1900</v>
      </c>
      <c r="BA1528" s="428" t="str">
        <f t="shared" si="119"/>
        <v/>
      </c>
    </row>
    <row r="1529" spans="2:53">
      <c r="B1529" s="36">
        <f>'[6]price list MAN'!B1529</f>
        <v>0</v>
      </c>
      <c r="C1529" s="10">
        <f>'[6]price list MAN'!C1529</f>
        <v>0</v>
      </c>
      <c r="D1529" s="16" t="str">
        <f>IFERROR(VLOOKUP(C1529&amp;"",'[7]Retail Price List'!$A$3:$B$103,2,FALSE),"Special Order")</f>
        <v>Special Order</v>
      </c>
      <c r="E1529" s="494">
        <f>'[6]price list MAN'!E1529</f>
        <v>0</v>
      </c>
      <c r="F1529" s="11">
        <f>'[6]price list MAN'!F1529</f>
        <v>0</v>
      </c>
      <c r="G1529" s="32">
        <f>'[6]price list MAN'!G1529</f>
        <v>0</v>
      </c>
      <c r="H1529" s="26">
        <f>'[6]price list MAN'!H1529</f>
        <v>0</v>
      </c>
      <c r="I1529" s="51" t="str">
        <f t="shared" si="115"/>
        <v/>
      </c>
      <c r="J1529" s="177" t="e">
        <f>'[6]price list MAN'!J1529</f>
        <v>#N/A</v>
      </c>
      <c r="K1529" s="177" t="e">
        <f>'[6]price list MAN'!P1529</f>
        <v>#N/A</v>
      </c>
      <c r="L1529" s="177" t="e">
        <f>'[6]price list MAN'!R1529</f>
        <v>#N/A</v>
      </c>
      <c r="M1529" s="174" t="e">
        <f>'[6]price list MAN'!S1529</f>
        <v>#N/A</v>
      </c>
      <c r="N1529" s="174" t="e">
        <f>'[6]price list MAN'!Y1529</f>
        <v>#N/A</v>
      </c>
      <c r="O1529" s="174" t="e">
        <f>'[6]price list MAN'!AA1529</f>
        <v>#N/A</v>
      </c>
      <c r="P1529" s="68" t="e">
        <f t="shared" si="116"/>
        <v>#N/A</v>
      </c>
      <c r="Q1529" s="62" t="e">
        <f>O1529-#REF!</f>
        <v>#N/A</v>
      </c>
      <c r="AT1529" s="425" t="str">
        <f t="shared" si="117"/>
        <v>Special Order0</v>
      </c>
      <c r="AU1529" s="64" t="str">
        <f t="shared" si="118"/>
        <v>01-1900</v>
      </c>
      <c r="BA1529" s="428" t="str">
        <f t="shared" si="119"/>
        <v/>
      </c>
    </row>
    <row r="1530" spans="2:53">
      <c r="B1530" s="36">
        <f>'[6]price list MAN'!B1530</f>
        <v>0</v>
      </c>
      <c r="C1530" s="10">
        <f>'[6]price list MAN'!C1530</f>
        <v>0</v>
      </c>
      <c r="D1530" s="16" t="str">
        <f>IFERROR(VLOOKUP(C1530&amp;"",'[7]Retail Price List'!$A$3:$B$103,2,FALSE),"Special Order")</f>
        <v>Special Order</v>
      </c>
      <c r="E1530" s="494">
        <f>'[6]price list MAN'!E1530</f>
        <v>0</v>
      </c>
      <c r="F1530" s="11">
        <f>'[6]price list MAN'!F1530</f>
        <v>0</v>
      </c>
      <c r="G1530" s="32">
        <f>'[6]price list MAN'!G1530</f>
        <v>0</v>
      </c>
      <c r="H1530" s="26">
        <f>'[6]price list MAN'!H1530</f>
        <v>0</v>
      </c>
      <c r="I1530" s="51" t="str">
        <f t="shared" si="115"/>
        <v/>
      </c>
      <c r="J1530" s="177" t="e">
        <f>'[6]price list MAN'!J1530</f>
        <v>#N/A</v>
      </c>
      <c r="K1530" s="177" t="e">
        <f>'[6]price list MAN'!P1530</f>
        <v>#N/A</v>
      </c>
      <c r="L1530" s="177" t="e">
        <f>'[6]price list MAN'!R1530</f>
        <v>#N/A</v>
      </c>
      <c r="M1530" s="174" t="e">
        <f>'[6]price list MAN'!S1530</f>
        <v>#N/A</v>
      </c>
      <c r="N1530" s="174" t="e">
        <f>'[6]price list MAN'!Y1530</f>
        <v>#N/A</v>
      </c>
      <c r="O1530" s="174" t="e">
        <f>'[6]price list MAN'!AA1530</f>
        <v>#N/A</v>
      </c>
      <c r="P1530" s="68" t="e">
        <f t="shared" si="116"/>
        <v>#N/A</v>
      </c>
      <c r="Q1530" s="62" t="e">
        <f>O1530-#REF!</f>
        <v>#N/A</v>
      </c>
      <c r="AT1530" s="425" t="str">
        <f t="shared" si="117"/>
        <v>Special Order0</v>
      </c>
      <c r="AU1530" s="64" t="str">
        <f t="shared" si="118"/>
        <v>01-1900</v>
      </c>
      <c r="BA1530" s="428" t="str">
        <f t="shared" si="119"/>
        <v/>
      </c>
    </row>
    <row r="1531" spans="2:53">
      <c r="B1531" s="36">
        <f>'[6]price list MAN'!B1531</f>
        <v>0</v>
      </c>
      <c r="C1531" s="10">
        <f>'[6]price list MAN'!C1531</f>
        <v>0</v>
      </c>
      <c r="D1531" s="16" t="str">
        <f>IFERROR(VLOOKUP(C1531&amp;"",'[7]Retail Price List'!$A$3:$B$103,2,FALSE),"Special Order")</f>
        <v>Special Order</v>
      </c>
      <c r="E1531" s="494">
        <f>'[6]price list MAN'!E1531</f>
        <v>0</v>
      </c>
      <c r="F1531" s="11">
        <f>'[6]price list MAN'!F1531</f>
        <v>0</v>
      </c>
      <c r="G1531" s="32">
        <f>'[6]price list MAN'!G1531</f>
        <v>0</v>
      </c>
      <c r="H1531" s="26">
        <f>'[6]price list MAN'!H1531</f>
        <v>0</v>
      </c>
      <c r="I1531" s="51" t="str">
        <f t="shared" si="115"/>
        <v/>
      </c>
      <c r="J1531" s="177" t="e">
        <f>'[6]price list MAN'!J1531</f>
        <v>#N/A</v>
      </c>
      <c r="K1531" s="177" t="e">
        <f>'[6]price list MAN'!P1531</f>
        <v>#N/A</v>
      </c>
      <c r="L1531" s="177" t="e">
        <f>'[6]price list MAN'!R1531</f>
        <v>#N/A</v>
      </c>
      <c r="M1531" s="174" t="e">
        <f>'[6]price list MAN'!S1531</f>
        <v>#N/A</v>
      </c>
      <c r="N1531" s="174" t="e">
        <f>'[6]price list MAN'!Y1531</f>
        <v>#N/A</v>
      </c>
      <c r="O1531" s="174" t="e">
        <f>'[6]price list MAN'!AA1531</f>
        <v>#N/A</v>
      </c>
      <c r="P1531" s="68" t="e">
        <f t="shared" si="116"/>
        <v>#N/A</v>
      </c>
      <c r="Q1531" s="62" t="e">
        <f>O1531-#REF!</f>
        <v>#N/A</v>
      </c>
      <c r="AT1531" s="425" t="str">
        <f t="shared" si="117"/>
        <v>Special Order0</v>
      </c>
      <c r="AU1531" s="64" t="str">
        <f t="shared" si="118"/>
        <v>01-1900</v>
      </c>
      <c r="BA1531" s="428" t="str">
        <f t="shared" si="119"/>
        <v/>
      </c>
    </row>
    <row r="1532" spans="2:53">
      <c r="B1532" s="36">
        <f>'[6]price list MAN'!B1532</f>
        <v>0</v>
      </c>
      <c r="C1532" s="10">
        <f>'[6]price list MAN'!C1532</f>
        <v>0</v>
      </c>
      <c r="D1532" s="16" t="str">
        <f>IFERROR(VLOOKUP(C1532&amp;"",'[7]Retail Price List'!$A$3:$B$103,2,FALSE),"Special Order")</f>
        <v>Special Order</v>
      </c>
      <c r="E1532" s="494">
        <f>'[6]price list MAN'!E1532</f>
        <v>0</v>
      </c>
      <c r="F1532" s="11">
        <f>'[6]price list MAN'!F1532</f>
        <v>0</v>
      </c>
      <c r="G1532" s="32">
        <f>'[6]price list MAN'!G1532</f>
        <v>0</v>
      </c>
      <c r="H1532" s="26">
        <f>'[6]price list MAN'!H1532</f>
        <v>0</v>
      </c>
      <c r="I1532" s="51" t="str">
        <f t="shared" si="115"/>
        <v/>
      </c>
      <c r="J1532" s="177" t="e">
        <f>'[6]price list MAN'!J1532</f>
        <v>#N/A</v>
      </c>
      <c r="K1532" s="177" t="e">
        <f>'[6]price list MAN'!P1532</f>
        <v>#N/A</v>
      </c>
      <c r="L1532" s="177" t="e">
        <f>'[6]price list MAN'!R1532</f>
        <v>#N/A</v>
      </c>
      <c r="M1532" s="174" t="e">
        <f>'[6]price list MAN'!S1532</f>
        <v>#N/A</v>
      </c>
      <c r="N1532" s="174" t="e">
        <f>'[6]price list MAN'!Y1532</f>
        <v>#N/A</v>
      </c>
      <c r="O1532" s="174" t="e">
        <f>'[6]price list MAN'!AA1532</f>
        <v>#N/A</v>
      </c>
      <c r="P1532" s="68" t="e">
        <f t="shared" si="116"/>
        <v>#N/A</v>
      </c>
      <c r="Q1532" s="62" t="e">
        <f>O1532-#REF!</f>
        <v>#N/A</v>
      </c>
      <c r="AT1532" s="425" t="str">
        <f t="shared" si="117"/>
        <v>Special Order0</v>
      </c>
      <c r="AU1532" s="64" t="str">
        <f t="shared" si="118"/>
        <v>01-1900</v>
      </c>
      <c r="BA1532" s="428" t="str">
        <f t="shared" si="119"/>
        <v/>
      </c>
    </row>
    <row r="1533" spans="2:53">
      <c r="B1533" s="36">
        <f>'[6]price list MAN'!B1533</f>
        <v>0</v>
      </c>
      <c r="C1533" s="10">
        <f>'[6]price list MAN'!C1533</f>
        <v>0</v>
      </c>
      <c r="D1533" s="16" t="str">
        <f>IFERROR(VLOOKUP(C1533&amp;"",'[7]Retail Price List'!$A$3:$B$103,2,FALSE),"Special Order")</f>
        <v>Special Order</v>
      </c>
      <c r="E1533" s="494">
        <f>'[6]price list MAN'!E1533</f>
        <v>0</v>
      </c>
      <c r="F1533" s="11">
        <f>'[6]price list MAN'!F1533</f>
        <v>0</v>
      </c>
      <c r="G1533" s="32">
        <f>'[6]price list MAN'!G1533</f>
        <v>0</v>
      </c>
      <c r="H1533" s="26">
        <f>'[6]price list MAN'!H1533</f>
        <v>0</v>
      </c>
      <c r="I1533" s="51" t="str">
        <f t="shared" si="115"/>
        <v/>
      </c>
      <c r="J1533" s="177" t="e">
        <f>'[6]price list MAN'!J1533</f>
        <v>#N/A</v>
      </c>
      <c r="K1533" s="177" t="e">
        <f>'[6]price list MAN'!P1533</f>
        <v>#N/A</v>
      </c>
      <c r="L1533" s="177" t="e">
        <f>'[6]price list MAN'!R1533</f>
        <v>#N/A</v>
      </c>
      <c r="M1533" s="174" t="e">
        <f>'[6]price list MAN'!S1533</f>
        <v>#N/A</v>
      </c>
      <c r="N1533" s="174" t="e">
        <f>'[6]price list MAN'!Y1533</f>
        <v>#N/A</v>
      </c>
      <c r="O1533" s="174" t="e">
        <f>'[6]price list MAN'!AA1533</f>
        <v>#N/A</v>
      </c>
      <c r="P1533" s="68" t="e">
        <f t="shared" si="116"/>
        <v>#N/A</v>
      </c>
      <c r="Q1533" s="62" t="e">
        <f>O1533-#REF!</f>
        <v>#N/A</v>
      </c>
      <c r="AT1533" s="425" t="str">
        <f t="shared" si="117"/>
        <v>Special Order0</v>
      </c>
      <c r="AU1533" s="64" t="str">
        <f t="shared" si="118"/>
        <v>01-1900</v>
      </c>
      <c r="BA1533" s="428" t="str">
        <f t="shared" si="119"/>
        <v/>
      </c>
    </row>
    <row r="1534" spans="2:53">
      <c r="B1534" s="36">
        <f>'[6]price list MAN'!B1534</f>
        <v>0</v>
      </c>
      <c r="C1534" s="10">
        <f>'[6]price list MAN'!C1534</f>
        <v>0</v>
      </c>
      <c r="D1534" s="16" t="str">
        <f>IFERROR(VLOOKUP(C1534&amp;"",'[7]Retail Price List'!$A$3:$B$103,2,FALSE),"Special Order")</f>
        <v>Special Order</v>
      </c>
      <c r="E1534" s="494">
        <f>'[6]price list MAN'!E1534</f>
        <v>0</v>
      </c>
      <c r="F1534" s="11">
        <f>'[6]price list MAN'!F1534</f>
        <v>0</v>
      </c>
      <c r="G1534" s="32">
        <f>'[6]price list MAN'!G1534</f>
        <v>0</v>
      </c>
      <c r="H1534" s="26">
        <f>'[6]price list MAN'!H1534</f>
        <v>0</v>
      </c>
      <c r="I1534" s="51" t="str">
        <f t="shared" si="115"/>
        <v/>
      </c>
      <c r="J1534" s="177" t="e">
        <f>'[6]price list MAN'!J1534</f>
        <v>#N/A</v>
      </c>
      <c r="K1534" s="177" t="e">
        <f>'[6]price list MAN'!P1534</f>
        <v>#N/A</v>
      </c>
      <c r="L1534" s="177" t="e">
        <f>'[6]price list MAN'!R1534</f>
        <v>#N/A</v>
      </c>
      <c r="M1534" s="174" t="e">
        <f>'[6]price list MAN'!S1534</f>
        <v>#N/A</v>
      </c>
      <c r="N1534" s="174" t="e">
        <f>'[6]price list MAN'!Y1534</f>
        <v>#N/A</v>
      </c>
      <c r="O1534" s="174" t="e">
        <f>'[6]price list MAN'!AA1534</f>
        <v>#N/A</v>
      </c>
      <c r="P1534" s="68" t="e">
        <f t="shared" si="116"/>
        <v>#N/A</v>
      </c>
      <c r="Q1534" s="62" t="e">
        <f>O1534-#REF!</f>
        <v>#N/A</v>
      </c>
      <c r="AT1534" s="425" t="str">
        <f t="shared" si="117"/>
        <v>Special Order0</v>
      </c>
      <c r="AU1534" s="64" t="str">
        <f t="shared" si="118"/>
        <v>01-1900</v>
      </c>
      <c r="BA1534" s="428" t="str">
        <f t="shared" si="119"/>
        <v/>
      </c>
    </row>
    <row r="1535" spans="2:53">
      <c r="B1535" s="36">
        <f>'[6]price list MAN'!B1535</f>
        <v>0</v>
      </c>
      <c r="C1535" s="10">
        <f>'[6]price list MAN'!C1535</f>
        <v>0</v>
      </c>
      <c r="D1535" s="16" t="str">
        <f>IFERROR(VLOOKUP(C1535&amp;"",'[7]Retail Price List'!$A$3:$B$103,2,FALSE),"Special Order")</f>
        <v>Special Order</v>
      </c>
      <c r="E1535" s="494">
        <f>'[6]price list MAN'!E1535</f>
        <v>0</v>
      </c>
      <c r="F1535" s="11">
        <f>'[6]price list MAN'!F1535</f>
        <v>0</v>
      </c>
      <c r="G1535" s="32">
        <f>'[6]price list MAN'!G1535</f>
        <v>0</v>
      </c>
      <c r="H1535" s="26">
        <f>'[6]price list MAN'!H1535</f>
        <v>0</v>
      </c>
      <c r="I1535" s="51" t="str">
        <f t="shared" si="115"/>
        <v/>
      </c>
      <c r="J1535" s="177" t="e">
        <f>'[6]price list MAN'!J1535</f>
        <v>#N/A</v>
      </c>
      <c r="K1535" s="177" t="e">
        <f>'[6]price list MAN'!P1535</f>
        <v>#N/A</v>
      </c>
      <c r="L1535" s="177" t="e">
        <f>'[6]price list MAN'!R1535</f>
        <v>#N/A</v>
      </c>
      <c r="M1535" s="174" t="e">
        <f>'[6]price list MAN'!S1535</f>
        <v>#N/A</v>
      </c>
      <c r="N1535" s="174" t="e">
        <f>'[6]price list MAN'!Y1535</f>
        <v>#N/A</v>
      </c>
      <c r="O1535" s="174" t="e">
        <f>'[6]price list MAN'!AA1535</f>
        <v>#N/A</v>
      </c>
      <c r="P1535" s="68" t="e">
        <f t="shared" si="116"/>
        <v>#N/A</v>
      </c>
      <c r="Q1535" s="62" t="e">
        <f>O1535-#REF!</f>
        <v>#N/A</v>
      </c>
      <c r="AT1535" s="425" t="str">
        <f t="shared" si="117"/>
        <v>Special Order0</v>
      </c>
      <c r="AU1535" s="64" t="str">
        <f t="shared" si="118"/>
        <v>01-1900</v>
      </c>
      <c r="BA1535" s="428" t="str">
        <f t="shared" si="119"/>
        <v/>
      </c>
    </row>
    <row r="1536" spans="2:53">
      <c r="B1536" s="36">
        <f>'[6]price list MAN'!B1536</f>
        <v>0</v>
      </c>
      <c r="C1536" s="10">
        <f>'[6]price list MAN'!C1536</f>
        <v>0</v>
      </c>
      <c r="D1536" s="16" t="str">
        <f>IFERROR(VLOOKUP(C1536&amp;"",'[7]Retail Price List'!$A$3:$B$103,2,FALSE),"Special Order")</f>
        <v>Special Order</v>
      </c>
      <c r="E1536" s="494">
        <f>'[6]price list MAN'!E1536</f>
        <v>0</v>
      </c>
      <c r="F1536" s="11">
        <f>'[6]price list MAN'!F1536</f>
        <v>0</v>
      </c>
      <c r="G1536" s="32">
        <f>'[6]price list MAN'!G1536</f>
        <v>0</v>
      </c>
      <c r="H1536" s="26">
        <f>'[6]price list MAN'!H1536</f>
        <v>0</v>
      </c>
      <c r="I1536" s="51" t="str">
        <f t="shared" si="115"/>
        <v/>
      </c>
      <c r="J1536" s="177" t="e">
        <f>'[6]price list MAN'!J1536</f>
        <v>#N/A</v>
      </c>
      <c r="K1536" s="177" t="e">
        <f>'[6]price list MAN'!P1536</f>
        <v>#N/A</v>
      </c>
      <c r="L1536" s="177" t="e">
        <f>'[6]price list MAN'!R1536</f>
        <v>#N/A</v>
      </c>
      <c r="M1536" s="174" t="e">
        <f>'[6]price list MAN'!S1536</f>
        <v>#N/A</v>
      </c>
      <c r="N1536" s="174" t="e">
        <f>'[6]price list MAN'!Y1536</f>
        <v>#N/A</v>
      </c>
      <c r="O1536" s="174" t="e">
        <f>'[6]price list MAN'!AA1536</f>
        <v>#N/A</v>
      </c>
      <c r="P1536" s="68" t="e">
        <f t="shared" si="116"/>
        <v>#N/A</v>
      </c>
      <c r="Q1536" s="62" t="e">
        <f>O1536-#REF!</f>
        <v>#N/A</v>
      </c>
      <c r="AT1536" s="425" t="str">
        <f t="shared" si="117"/>
        <v>Special Order0</v>
      </c>
      <c r="AU1536" s="64" t="str">
        <f t="shared" si="118"/>
        <v>01-1900</v>
      </c>
      <c r="BA1536" s="428" t="str">
        <f t="shared" si="119"/>
        <v/>
      </c>
    </row>
    <row r="1537" spans="2:53">
      <c r="B1537" s="36">
        <f>'[6]price list MAN'!B1537</f>
        <v>0</v>
      </c>
      <c r="C1537" s="10">
        <f>'[6]price list MAN'!C1537</f>
        <v>0</v>
      </c>
      <c r="D1537" s="16" t="str">
        <f>IFERROR(VLOOKUP(C1537&amp;"",'[7]Retail Price List'!$A$3:$B$103,2,FALSE),"Special Order")</f>
        <v>Special Order</v>
      </c>
      <c r="E1537" s="494">
        <f>'[6]price list MAN'!E1537</f>
        <v>0</v>
      </c>
      <c r="F1537" s="11">
        <f>'[6]price list MAN'!F1537</f>
        <v>0</v>
      </c>
      <c r="G1537" s="32">
        <f>'[6]price list MAN'!G1537</f>
        <v>0</v>
      </c>
      <c r="H1537" s="26">
        <f>'[6]price list MAN'!H1537</f>
        <v>0</v>
      </c>
      <c r="I1537" s="51" t="str">
        <f t="shared" si="115"/>
        <v/>
      </c>
      <c r="J1537" s="177" t="e">
        <f>'[6]price list MAN'!J1537</f>
        <v>#N/A</v>
      </c>
      <c r="K1537" s="177" t="e">
        <f>'[6]price list MAN'!P1537</f>
        <v>#N/A</v>
      </c>
      <c r="L1537" s="177" t="e">
        <f>'[6]price list MAN'!R1537</f>
        <v>#N/A</v>
      </c>
      <c r="M1537" s="174" t="e">
        <f>'[6]price list MAN'!S1537</f>
        <v>#N/A</v>
      </c>
      <c r="N1537" s="174" t="e">
        <f>'[6]price list MAN'!Y1537</f>
        <v>#N/A</v>
      </c>
      <c r="O1537" s="174" t="e">
        <f>'[6]price list MAN'!AA1537</f>
        <v>#N/A</v>
      </c>
      <c r="P1537" s="68" t="e">
        <f t="shared" si="116"/>
        <v>#N/A</v>
      </c>
      <c r="Q1537" s="62" t="e">
        <f>O1537-#REF!</f>
        <v>#N/A</v>
      </c>
      <c r="AT1537" s="425" t="str">
        <f t="shared" si="117"/>
        <v>Special Order0</v>
      </c>
      <c r="AU1537" s="64" t="str">
        <f t="shared" si="118"/>
        <v>01-1900</v>
      </c>
      <c r="BA1537" s="428" t="str">
        <f t="shared" si="119"/>
        <v/>
      </c>
    </row>
    <row r="1538" spans="2:53">
      <c r="B1538" s="36">
        <f>'[6]price list MAN'!B1538</f>
        <v>0</v>
      </c>
      <c r="C1538" s="10">
        <f>'[6]price list MAN'!C1538</f>
        <v>0</v>
      </c>
      <c r="D1538" s="16" t="str">
        <f>IFERROR(VLOOKUP(C1538&amp;"",'[7]Retail Price List'!$A$3:$B$103,2,FALSE),"Special Order")</f>
        <v>Special Order</v>
      </c>
      <c r="E1538" s="494">
        <f>'[6]price list MAN'!E1538</f>
        <v>0</v>
      </c>
      <c r="F1538" s="11">
        <f>'[6]price list MAN'!F1538</f>
        <v>0</v>
      </c>
      <c r="G1538" s="32">
        <f>'[6]price list MAN'!G1538</f>
        <v>0</v>
      </c>
      <c r="H1538" s="26">
        <f>'[6]price list MAN'!H1538</f>
        <v>0</v>
      </c>
      <c r="I1538" s="51" t="str">
        <f t="shared" si="115"/>
        <v/>
      </c>
      <c r="J1538" s="177" t="e">
        <f>'[6]price list MAN'!J1538</f>
        <v>#N/A</v>
      </c>
      <c r="K1538" s="177" t="e">
        <f>'[6]price list MAN'!P1538</f>
        <v>#N/A</v>
      </c>
      <c r="L1538" s="177" t="e">
        <f>'[6]price list MAN'!R1538</f>
        <v>#N/A</v>
      </c>
      <c r="M1538" s="174" t="e">
        <f>'[6]price list MAN'!S1538</f>
        <v>#N/A</v>
      </c>
      <c r="N1538" s="174" t="e">
        <f>'[6]price list MAN'!Y1538</f>
        <v>#N/A</v>
      </c>
      <c r="O1538" s="174" t="e">
        <f>'[6]price list MAN'!AA1538</f>
        <v>#N/A</v>
      </c>
      <c r="P1538" s="68" t="e">
        <f t="shared" si="116"/>
        <v>#N/A</v>
      </c>
      <c r="Q1538" s="62" t="e">
        <f>O1538-#REF!</f>
        <v>#N/A</v>
      </c>
      <c r="AT1538" s="425" t="str">
        <f t="shared" si="117"/>
        <v>Special Order0</v>
      </c>
      <c r="AU1538" s="64" t="str">
        <f t="shared" si="118"/>
        <v>01-1900</v>
      </c>
      <c r="BA1538" s="428" t="str">
        <f t="shared" si="119"/>
        <v/>
      </c>
    </row>
    <row r="1539" spans="2:53">
      <c r="B1539" s="36">
        <f>'[6]price list MAN'!B1539</f>
        <v>0</v>
      </c>
      <c r="C1539" s="10">
        <f>'[6]price list MAN'!C1539</f>
        <v>0</v>
      </c>
      <c r="D1539" s="16" t="str">
        <f>IFERROR(VLOOKUP(C1539&amp;"",'[7]Retail Price List'!$A$3:$B$103,2,FALSE),"Special Order")</f>
        <v>Special Order</v>
      </c>
      <c r="E1539" s="494">
        <f>'[6]price list MAN'!E1539</f>
        <v>0</v>
      </c>
      <c r="F1539" s="11">
        <f>'[6]price list MAN'!F1539</f>
        <v>0</v>
      </c>
      <c r="G1539" s="32">
        <f>'[6]price list MAN'!G1539</f>
        <v>0</v>
      </c>
      <c r="H1539" s="26">
        <f>'[6]price list MAN'!H1539</f>
        <v>0</v>
      </c>
      <c r="I1539" s="51" t="str">
        <f t="shared" si="115"/>
        <v/>
      </c>
      <c r="J1539" s="177" t="e">
        <f>'[6]price list MAN'!J1539</f>
        <v>#N/A</v>
      </c>
      <c r="K1539" s="177" t="e">
        <f>'[6]price list MAN'!P1539</f>
        <v>#N/A</v>
      </c>
      <c r="L1539" s="177" t="e">
        <f>'[6]price list MAN'!R1539</f>
        <v>#N/A</v>
      </c>
      <c r="M1539" s="174" t="e">
        <f>'[6]price list MAN'!S1539</f>
        <v>#N/A</v>
      </c>
      <c r="N1539" s="174" t="e">
        <f>'[6]price list MAN'!Y1539</f>
        <v>#N/A</v>
      </c>
      <c r="O1539" s="174" t="e">
        <f>'[6]price list MAN'!AA1539</f>
        <v>#N/A</v>
      </c>
      <c r="P1539" s="68" t="e">
        <f t="shared" si="116"/>
        <v>#N/A</v>
      </c>
      <c r="Q1539" s="62" t="e">
        <f>O1539-#REF!</f>
        <v>#N/A</v>
      </c>
      <c r="AT1539" s="425" t="str">
        <f t="shared" si="117"/>
        <v>Special Order0</v>
      </c>
      <c r="AU1539" s="64" t="str">
        <f t="shared" si="118"/>
        <v>01-1900</v>
      </c>
      <c r="BA1539" s="428" t="str">
        <f t="shared" si="119"/>
        <v/>
      </c>
    </row>
    <row r="1540" spans="2:53">
      <c r="B1540" s="36">
        <f>'[6]price list MAN'!B1540</f>
        <v>0</v>
      </c>
      <c r="C1540" s="10">
        <f>'[6]price list MAN'!C1540</f>
        <v>0</v>
      </c>
      <c r="D1540" s="16" t="str">
        <f>IFERROR(VLOOKUP(C1540&amp;"",'[7]Retail Price List'!$A$3:$B$103,2,FALSE),"Special Order")</f>
        <v>Special Order</v>
      </c>
      <c r="E1540" s="494">
        <f>'[6]price list MAN'!E1540</f>
        <v>0</v>
      </c>
      <c r="F1540" s="11">
        <f>'[6]price list MAN'!F1540</f>
        <v>0</v>
      </c>
      <c r="G1540" s="32">
        <f>'[6]price list MAN'!G1540</f>
        <v>0</v>
      </c>
      <c r="H1540" s="26">
        <f>'[6]price list MAN'!H1540</f>
        <v>0</v>
      </c>
      <c r="I1540" s="51" t="str">
        <f t="shared" si="115"/>
        <v/>
      </c>
      <c r="J1540" s="177" t="e">
        <f>'[6]price list MAN'!J1540</f>
        <v>#N/A</v>
      </c>
      <c r="K1540" s="177" t="e">
        <f>'[6]price list MAN'!P1540</f>
        <v>#N/A</v>
      </c>
      <c r="L1540" s="177" t="e">
        <f>'[6]price list MAN'!R1540</f>
        <v>#N/A</v>
      </c>
      <c r="M1540" s="174" t="e">
        <f>'[6]price list MAN'!S1540</f>
        <v>#N/A</v>
      </c>
      <c r="N1540" s="174" t="e">
        <f>'[6]price list MAN'!Y1540</f>
        <v>#N/A</v>
      </c>
      <c r="O1540" s="174" t="e">
        <f>'[6]price list MAN'!AA1540</f>
        <v>#N/A</v>
      </c>
      <c r="P1540" s="68" t="e">
        <f t="shared" si="116"/>
        <v>#N/A</v>
      </c>
      <c r="Q1540" s="62" t="e">
        <f>O1540-#REF!</f>
        <v>#N/A</v>
      </c>
      <c r="AT1540" s="425" t="str">
        <f t="shared" si="117"/>
        <v>Special Order0</v>
      </c>
      <c r="AU1540" s="64" t="str">
        <f t="shared" si="118"/>
        <v>01-1900</v>
      </c>
      <c r="BA1540" s="428" t="str">
        <f t="shared" si="119"/>
        <v/>
      </c>
    </row>
    <row r="1541" spans="2:53">
      <c r="B1541" s="36">
        <f>'[6]price list MAN'!B1541</f>
        <v>0</v>
      </c>
      <c r="C1541" s="10">
        <f>'[6]price list MAN'!C1541</f>
        <v>0</v>
      </c>
      <c r="D1541" s="16" t="str">
        <f>IFERROR(VLOOKUP(C1541&amp;"",'[7]Retail Price List'!$A$3:$B$103,2,FALSE),"Special Order")</f>
        <v>Special Order</v>
      </c>
      <c r="E1541" s="494">
        <f>'[6]price list MAN'!E1541</f>
        <v>0</v>
      </c>
      <c r="F1541" s="11">
        <f>'[6]price list MAN'!F1541</f>
        <v>0</v>
      </c>
      <c r="G1541" s="32">
        <f>'[6]price list MAN'!G1541</f>
        <v>0</v>
      </c>
      <c r="H1541" s="26">
        <f>'[6]price list MAN'!H1541</f>
        <v>0</v>
      </c>
      <c r="I1541" s="51" t="str">
        <f t="shared" ref="I1541:I1604" si="120">IFERROR(VLOOKUP(AU1541,$AW$5:$AY$40,3,FALSE),"")</f>
        <v/>
      </c>
      <c r="J1541" s="177" t="e">
        <f>'[6]price list MAN'!J1541</f>
        <v>#N/A</v>
      </c>
      <c r="K1541" s="177" t="e">
        <f>'[6]price list MAN'!P1541</f>
        <v>#N/A</v>
      </c>
      <c r="L1541" s="177" t="e">
        <f>'[6]price list MAN'!R1541</f>
        <v>#N/A</v>
      </c>
      <c r="M1541" s="174" t="e">
        <f>'[6]price list MAN'!S1541</f>
        <v>#N/A</v>
      </c>
      <c r="N1541" s="174" t="e">
        <f>'[6]price list MAN'!Y1541</f>
        <v>#N/A</v>
      </c>
      <c r="O1541" s="174" t="e">
        <f>'[6]price list MAN'!AA1541</f>
        <v>#N/A</v>
      </c>
      <c r="P1541" s="68" t="e">
        <f t="shared" ref="P1541:P1604" si="121">(M1541-O1541)/M1541</f>
        <v>#N/A</v>
      </c>
      <c r="Q1541" s="62" t="e">
        <f>O1541-#REF!</f>
        <v>#N/A</v>
      </c>
      <c r="AT1541" s="425" t="str">
        <f t="shared" ref="AT1541:AT1604" si="122">D1541&amp;I1541&amp;G1541</f>
        <v>Special Order0</v>
      </c>
      <c r="AU1541" s="64" t="str">
        <f t="shared" ref="AU1541:AU1604" si="123">IF(MONTH(H1541)&lt;10,0&amp;MONTH(H1541)&amp;"-"&amp;YEAR(H1541),MONTH(H1541)&amp;"-"&amp;YEAR(H1541))</f>
        <v>01-1900</v>
      </c>
      <c r="BA1541" s="428" t="str">
        <f t="shared" ref="BA1541:BA1604" si="124">IF(B1541=0,"",IF(AND(F1541&gt;=31,F1541&lt;=120),"31-120 Days",IF(AND(F1541&gt;=121,F1541&lt;=365),"121-365 Days",IF(OR(E1541="CKD",F1541&lt;=30),"WIP - 30 Days","&gt;365 Days"))))</f>
        <v/>
      </c>
    </row>
    <row r="1542" spans="2:53">
      <c r="B1542" s="36">
        <f>'[6]price list MAN'!B1542</f>
        <v>0</v>
      </c>
      <c r="C1542" s="10">
        <f>'[6]price list MAN'!C1542</f>
        <v>0</v>
      </c>
      <c r="D1542" s="16" t="str">
        <f>IFERROR(VLOOKUP(C1542&amp;"",'[7]Retail Price List'!$A$3:$B$103,2,FALSE),"Special Order")</f>
        <v>Special Order</v>
      </c>
      <c r="E1542" s="494">
        <f>'[6]price list MAN'!E1542</f>
        <v>0</v>
      </c>
      <c r="F1542" s="11">
        <f>'[6]price list MAN'!F1542</f>
        <v>0</v>
      </c>
      <c r="G1542" s="32">
        <f>'[6]price list MAN'!G1542</f>
        <v>0</v>
      </c>
      <c r="H1542" s="26">
        <f>'[6]price list MAN'!H1542</f>
        <v>0</v>
      </c>
      <c r="I1542" s="51" t="str">
        <f t="shared" si="120"/>
        <v/>
      </c>
      <c r="J1542" s="177" t="e">
        <f>'[6]price list MAN'!J1542</f>
        <v>#N/A</v>
      </c>
      <c r="K1542" s="177" t="e">
        <f>'[6]price list MAN'!P1542</f>
        <v>#N/A</v>
      </c>
      <c r="L1542" s="177" t="e">
        <f>'[6]price list MAN'!R1542</f>
        <v>#N/A</v>
      </c>
      <c r="M1542" s="174" t="e">
        <f>'[6]price list MAN'!S1542</f>
        <v>#N/A</v>
      </c>
      <c r="N1542" s="174" t="e">
        <f>'[6]price list MAN'!Y1542</f>
        <v>#N/A</v>
      </c>
      <c r="O1542" s="174" t="e">
        <f>'[6]price list MAN'!AA1542</f>
        <v>#N/A</v>
      </c>
      <c r="P1542" s="68" t="e">
        <f t="shared" si="121"/>
        <v>#N/A</v>
      </c>
      <c r="Q1542" s="62" t="e">
        <f>O1542-#REF!</f>
        <v>#N/A</v>
      </c>
      <c r="AT1542" s="425" t="str">
        <f t="shared" si="122"/>
        <v>Special Order0</v>
      </c>
      <c r="AU1542" s="64" t="str">
        <f t="shared" si="123"/>
        <v>01-1900</v>
      </c>
      <c r="BA1542" s="428" t="str">
        <f t="shared" si="124"/>
        <v/>
      </c>
    </row>
    <row r="1543" spans="2:53">
      <c r="B1543" s="36">
        <f>'[6]price list MAN'!B1543</f>
        <v>0</v>
      </c>
      <c r="C1543" s="10">
        <f>'[6]price list MAN'!C1543</f>
        <v>0</v>
      </c>
      <c r="D1543" s="16" t="str">
        <f>IFERROR(VLOOKUP(C1543&amp;"",'[7]Retail Price List'!$A$3:$B$103,2,FALSE),"Special Order")</f>
        <v>Special Order</v>
      </c>
      <c r="E1543" s="494">
        <f>'[6]price list MAN'!E1543</f>
        <v>0</v>
      </c>
      <c r="F1543" s="11">
        <f>'[6]price list MAN'!F1543</f>
        <v>0</v>
      </c>
      <c r="G1543" s="32">
        <f>'[6]price list MAN'!G1543</f>
        <v>0</v>
      </c>
      <c r="H1543" s="26">
        <f>'[6]price list MAN'!H1543</f>
        <v>0</v>
      </c>
      <c r="I1543" s="51" t="str">
        <f t="shared" si="120"/>
        <v/>
      </c>
      <c r="J1543" s="177" t="e">
        <f>'[6]price list MAN'!J1543</f>
        <v>#N/A</v>
      </c>
      <c r="K1543" s="177" t="e">
        <f>'[6]price list MAN'!P1543</f>
        <v>#N/A</v>
      </c>
      <c r="L1543" s="177" t="e">
        <f>'[6]price list MAN'!R1543</f>
        <v>#N/A</v>
      </c>
      <c r="M1543" s="174" t="e">
        <f>'[6]price list MAN'!S1543</f>
        <v>#N/A</v>
      </c>
      <c r="N1543" s="174" t="e">
        <f>'[6]price list MAN'!Y1543</f>
        <v>#N/A</v>
      </c>
      <c r="O1543" s="174" t="e">
        <f>'[6]price list MAN'!AA1543</f>
        <v>#N/A</v>
      </c>
      <c r="P1543" s="68" t="e">
        <f t="shared" si="121"/>
        <v>#N/A</v>
      </c>
      <c r="Q1543" s="62" t="e">
        <f>O1543-#REF!</f>
        <v>#N/A</v>
      </c>
      <c r="AT1543" s="425" t="str">
        <f t="shared" si="122"/>
        <v>Special Order0</v>
      </c>
      <c r="AU1543" s="64" t="str">
        <f t="shared" si="123"/>
        <v>01-1900</v>
      </c>
      <c r="BA1543" s="428" t="str">
        <f t="shared" si="124"/>
        <v/>
      </c>
    </row>
    <row r="1544" spans="2:53">
      <c r="B1544" s="36">
        <f>'[6]price list MAN'!B1544</f>
        <v>0</v>
      </c>
      <c r="C1544" s="10">
        <f>'[6]price list MAN'!C1544</f>
        <v>0</v>
      </c>
      <c r="D1544" s="16" t="str">
        <f>IFERROR(VLOOKUP(C1544&amp;"",'[7]Retail Price List'!$A$3:$B$103,2,FALSE),"Special Order")</f>
        <v>Special Order</v>
      </c>
      <c r="E1544" s="494">
        <f>'[6]price list MAN'!E1544</f>
        <v>0</v>
      </c>
      <c r="F1544" s="11">
        <f>'[6]price list MAN'!F1544</f>
        <v>0</v>
      </c>
      <c r="G1544" s="32">
        <f>'[6]price list MAN'!G1544</f>
        <v>0</v>
      </c>
      <c r="H1544" s="26">
        <f>'[6]price list MAN'!H1544</f>
        <v>0</v>
      </c>
      <c r="I1544" s="51" t="str">
        <f t="shared" si="120"/>
        <v/>
      </c>
      <c r="J1544" s="177" t="e">
        <f>'[6]price list MAN'!J1544</f>
        <v>#N/A</v>
      </c>
      <c r="K1544" s="177" t="e">
        <f>'[6]price list MAN'!P1544</f>
        <v>#N/A</v>
      </c>
      <c r="L1544" s="177" t="e">
        <f>'[6]price list MAN'!R1544</f>
        <v>#N/A</v>
      </c>
      <c r="M1544" s="174" t="e">
        <f>'[6]price list MAN'!S1544</f>
        <v>#N/A</v>
      </c>
      <c r="N1544" s="174" t="e">
        <f>'[6]price list MAN'!Y1544</f>
        <v>#N/A</v>
      </c>
      <c r="O1544" s="174" t="e">
        <f>'[6]price list MAN'!AA1544</f>
        <v>#N/A</v>
      </c>
      <c r="P1544" s="68" t="e">
        <f t="shared" si="121"/>
        <v>#N/A</v>
      </c>
      <c r="Q1544" s="62" t="e">
        <f>O1544-#REF!</f>
        <v>#N/A</v>
      </c>
      <c r="AT1544" s="425" t="str">
        <f t="shared" si="122"/>
        <v>Special Order0</v>
      </c>
      <c r="AU1544" s="64" t="str">
        <f t="shared" si="123"/>
        <v>01-1900</v>
      </c>
      <c r="BA1544" s="428" t="str">
        <f t="shared" si="124"/>
        <v/>
      </c>
    </row>
    <row r="1545" spans="2:53">
      <c r="B1545" s="36">
        <f>'[6]price list MAN'!B1545</f>
        <v>0</v>
      </c>
      <c r="C1545" s="10">
        <f>'[6]price list MAN'!C1545</f>
        <v>0</v>
      </c>
      <c r="D1545" s="16" t="str">
        <f>IFERROR(VLOOKUP(C1545&amp;"",'[7]Retail Price List'!$A$3:$B$103,2,FALSE),"Special Order")</f>
        <v>Special Order</v>
      </c>
      <c r="E1545" s="494">
        <f>'[6]price list MAN'!E1545</f>
        <v>0</v>
      </c>
      <c r="F1545" s="11">
        <f>'[6]price list MAN'!F1545</f>
        <v>0</v>
      </c>
      <c r="G1545" s="32">
        <f>'[6]price list MAN'!G1545</f>
        <v>0</v>
      </c>
      <c r="H1545" s="26">
        <f>'[6]price list MAN'!H1545</f>
        <v>0</v>
      </c>
      <c r="I1545" s="51" t="str">
        <f t="shared" si="120"/>
        <v/>
      </c>
      <c r="J1545" s="177" t="e">
        <f>'[6]price list MAN'!J1545</f>
        <v>#N/A</v>
      </c>
      <c r="K1545" s="177" t="e">
        <f>'[6]price list MAN'!P1545</f>
        <v>#N/A</v>
      </c>
      <c r="L1545" s="177" t="e">
        <f>'[6]price list MAN'!R1545</f>
        <v>#N/A</v>
      </c>
      <c r="M1545" s="174" t="e">
        <f>'[6]price list MAN'!S1545</f>
        <v>#N/A</v>
      </c>
      <c r="N1545" s="174" t="e">
        <f>'[6]price list MAN'!Y1545</f>
        <v>#N/A</v>
      </c>
      <c r="O1545" s="174" t="e">
        <f>'[6]price list MAN'!AA1545</f>
        <v>#N/A</v>
      </c>
      <c r="P1545" s="68" t="e">
        <f t="shared" si="121"/>
        <v>#N/A</v>
      </c>
      <c r="Q1545" s="62" t="e">
        <f>O1545-#REF!</f>
        <v>#N/A</v>
      </c>
      <c r="AT1545" s="425" t="str">
        <f t="shared" si="122"/>
        <v>Special Order0</v>
      </c>
      <c r="AU1545" s="64" t="str">
        <f t="shared" si="123"/>
        <v>01-1900</v>
      </c>
      <c r="BA1545" s="428" t="str">
        <f t="shared" si="124"/>
        <v/>
      </c>
    </row>
    <row r="1546" spans="2:53">
      <c r="B1546" s="36">
        <f>'[6]price list MAN'!B1546</f>
        <v>0</v>
      </c>
      <c r="C1546" s="10">
        <f>'[6]price list MAN'!C1546</f>
        <v>0</v>
      </c>
      <c r="D1546" s="16" t="str">
        <f>IFERROR(VLOOKUP(C1546&amp;"",'[7]Retail Price List'!$A$3:$B$103,2,FALSE),"Special Order")</f>
        <v>Special Order</v>
      </c>
      <c r="E1546" s="494">
        <f>'[6]price list MAN'!E1546</f>
        <v>0</v>
      </c>
      <c r="F1546" s="11">
        <f>'[6]price list MAN'!F1546</f>
        <v>0</v>
      </c>
      <c r="G1546" s="32">
        <f>'[6]price list MAN'!G1546</f>
        <v>0</v>
      </c>
      <c r="H1546" s="26">
        <f>'[6]price list MAN'!H1546</f>
        <v>0</v>
      </c>
      <c r="I1546" s="51" t="str">
        <f t="shared" si="120"/>
        <v/>
      </c>
      <c r="J1546" s="177" t="e">
        <f>'[6]price list MAN'!J1546</f>
        <v>#N/A</v>
      </c>
      <c r="K1546" s="177" t="e">
        <f>'[6]price list MAN'!P1546</f>
        <v>#N/A</v>
      </c>
      <c r="L1546" s="177" t="e">
        <f>'[6]price list MAN'!R1546</f>
        <v>#N/A</v>
      </c>
      <c r="M1546" s="174" t="e">
        <f>'[6]price list MAN'!S1546</f>
        <v>#N/A</v>
      </c>
      <c r="N1546" s="174" t="e">
        <f>'[6]price list MAN'!Y1546</f>
        <v>#N/A</v>
      </c>
      <c r="O1546" s="174" t="e">
        <f>'[6]price list MAN'!AA1546</f>
        <v>#N/A</v>
      </c>
      <c r="P1546" s="68" t="e">
        <f t="shared" si="121"/>
        <v>#N/A</v>
      </c>
      <c r="Q1546" s="62" t="e">
        <f>O1546-#REF!</f>
        <v>#N/A</v>
      </c>
      <c r="AT1546" s="425" t="str">
        <f t="shared" si="122"/>
        <v>Special Order0</v>
      </c>
      <c r="AU1546" s="64" t="str">
        <f t="shared" si="123"/>
        <v>01-1900</v>
      </c>
      <c r="BA1546" s="428" t="str">
        <f t="shared" si="124"/>
        <v/>
      </c>
    </row>
    <row r="1547" spans="2:53">
      <c r="B1547" s="36">
        <f>'[6]price list MAN'!B1547</f>
        <v>0</v>
      </c>
      <c r="C1547" s="10">
        <f>'[6]price list MAN'!C1547</f>
        <v>0</v>
      </c>
      <c r="D1547" s="16" t="str">
        <f>IFERROR(VLOOKUP(C1547&amp;"",'[7]Retail Price List'!$A$3:$B$103,2,FALSE),"Special Order")</f>
        <v>Special Order</v>
      </c>
      <c r="E1547" s="494">
        <f>'[6]price list MAN'!E1547</f>
        <v>0</v>
      </c>
      <c r="F1547" s="11">
        <f>'[6]price list MAN'!F1547</f>
        <v>0</v>
      </c>
      <c r="G1547" s="32">
        <f>'[6]price list MAN'!G1547</f>
        <v>0</v>
      </c>
      <c r="H1547" s="26">
        <f>'[6]price list MAN'!H1547</f>
        <v>0</v>
      </c>
      <c r="I1547" s="51" t="str">
        <f t="shared" si="120"/>
        <v/>
      </c>
      <c r="J1547" s="177" t="e">
        <f>'[6]price list MAN'!J1547</f>
        <v>#N/A</v>
      </c>
      <c r="K1547" s="177" t="e">
        <f>'[6]price list MAN'!P1547</f>
        <v>#N/A</v>
      </c>
      <c r="L1547" s="177" t="e">
        <f>'[6]price list MAN'!R1547</f>
        <v>#N/A</v>
      </c>
      <c r="M1547" s="174" t="e">
        <f>'[6]price list MAN'!S1547</f>
        <v>#N/A</v>
      </c>
      <c r="N1547" s="174" t="e">
        <f>'[6]price list MAN'!Y1547</f>
        <v>#N/A</v>
      </c>
      <c r="O1547" s="174" t="e">
        <f>'[6]price list MAN'!AA1547</f>
        <v>#N/A</v>
      </c>
      <c r="P1547" s="68" t="e">
        <f t="shared" si="121"/>
        <v>#N/A</v>
      </c>
      <c r="Q1547" s="62" t="e">
        <f>O1547-#REF!</f>
        <v>#N/A</v>
      </c>
      <c r="AT1547" s="425" t="str">
        <f t="shared" si="122"/>
        <v>Special Order0</v>
      </c>
      <c r="AU1547" s="64" t="str">
        <f t="shared" si="123"/>
        <v>01-1900</v>
      </c>
      <c r="BA1547" s="428" t="str">
        <f t="shared" si="124"/>
        <v/>
      </c>
    </row>
    <row r="1548" spans="2:53">
      <c r="B1548" s="36">
        <f>'[6]price list MAN'!B1548</f>
        <v>0</v>
      </c>
      <c r="C1548" s="10">
        <f>'[6]price list MAN'!C1548</f>
        <v>0</v>
      </c>
      <c r="D1548" s="16" t="str">
        <f>IFERROR(VLOOKUP(C1548&amp;"",'[7]Retail Price List'!$A$3:$B$103,2,FALSE),"Special Order")</f>
        <v>Special Order</v>
      </c>
      <c r="E1548" s="494">
        <f>'[6]price list MAN'!E1548</f>
        <v>0</v>
      </c>
      <c r="F1548" s="11">
        <f>'[6]price list MAN'!F1548</f>
        <v>0</v>
      </c>
      <c r="G1548" s="32">
        <f>'[6]price list MAN'!G1548</f>
        <v>0</v>
      </c>
      <c r="H1548" s="26">
        <f>'[6]price list MAN'!H1548</f>
        <v>0</v>
      </c>
      <c r="I1548" s="51" t="str">
        <f t="shared" si="120"/>
        <v/>
      </c>
      <c r="J1548" s="177" t="e">
        <f>'[6]price list MAN'!J1548</f>
        <v>#N/A</v>
      </c>
      <c r="K1548" s="177" t="e">
        <f>'[6]price list MAN'!P1548</f>
        <v>#N/A</v>
      </c>
      <c r="L1548" s="177" t="e">
        <f>'[6]price list MAN'!R1548</f>
        <v>#N/A</v>
      </c>
      <c r="M1548" s="174" t="e">
        <f>'[6]price list MAN'!S1548</f>
        <v>#N/A</v>
      </c>
      <c r="N1548" s="174" t="e">
        <f>'[6]price list MAN'!Y1548</f>
        <v>#N/A</v>
      </c>
      <c r="O1548" s="174" t="e">
        <f>'[6]price list MAN'!AA1548</f>
        <v>#N/A</v>
      </c>
      <c r="P1548" s="68" t="e">
        <f t="shared" si="121"/>
        <v>#N/A</v>
      </c>
      <c r="Q1548" s="62" t="e">
        <f>O1548-#REF!</f>
        <v>#N/A</v>
      </c>
      <c r="AT1548" s="425" t="str">
        <f t="shared" si="122"/>
        <v>Special Order0</v>
      </c>
      <c r="AU1548" s="64" t="str">
        <f t="shared" si="123"/>
        <v>01-1900</v>
      </c>
      <c r="BA1548" s="428" t="str">
        <f t="shared" si="124"/>
        <v/>
      </c>
    </row>
    <row r="1549" spans="2:53">
      <c r="B1549" s="36">
        <f>'[6]price list MAN'!B1549</f>
        <v>0</v>
      </c>
      <c r="C1549" s="10">
        <f>'[6]price list MAN'!C1549</f>
        <v>0</v>
      </c>
      <c r="D1549" s="16" t="str">
        <f>IFERROR(VLOOKUP(C1549&amp;"",'[7]Retail Price List'!$A$3:$B$103,2,FALSE),"Special Order")</f>
        <v>Special Order</v>
      </c>
      <c r="E1549" s="494">
        <f>'[6]price list MAN'!E1549</f>
        <v>0</v>
      </c>
      <c r="F1549" s="11">
        <f>'[6]price list MAN'!F1549</f>
        <v>0</v>
      </c>
      <c r="G1549" s="32">
        <f>'[6]price list MAN'!G1549</f>
        <v>0</v>
      </c>
      <c r="H1549" s="26">
        <f>'[6]price list MAN'!H1549</f>
        <v>0</v>
      </c>
      <c r="I1549" s="51" t="str">
        <f t="shared" si="120"/>
        <v/>
      </c>
      <c r="J1549" s="177" t="e">
        <f>'[6]price list MAN'!J1549</f>
        <v>#N/A</v>
      </c>
      <c r="K1549" s="177" t="e">
        <f>'[6]price list MAN'!P1549</f>
        <v>#N/A</v>
      </c>
      <c r="L1549" s="177" t="e">
        <f>'[6]price list MAN'!R1549</f>
        <v>#N/A</v>
      </c>
      <c r="M1549" s="174" t="e">
        <f>'[6]price list MAN'!S1549</f>
        <v>#N/A</v>
      </c>
      <c r="N1549" s="174" t="e">
        <f>'[6]price list MAN'!Y1549</f>
        <v>#N/A</v>
      </c>
      <c r="O1549" s="174" t="e">
        <f>'[6]price list MAN'!AA1549</f>
        <v>#N/A</v>
      </c>
      <c r="P1549" s="68" t="e">
        <f t="shared" si="121"/>
        <v>#N/A</v>
      </c>
      <c r="Q1549" s="62" t="e">
        <f>O1549-#REF!</f>
        <v>#N/A</v>
      </c>
      <c r="AT1549" s="425" t="str">
        <f t="shared" si="122"/>
        <v>Special Order0</v>
      </c>
      <c r="AU1549" s="64" t="str">
        <f t="shared" si="123"/>
        <v>01-1900</v>
      </c>
      <c r="BA1549" s="428" t="str">
        <f t="shared" si="124"/>
        <v/>
      </c>
    </row>
    <row r="1550" spans="2:53">
      <c r="B1550" s="36">
        <f>'[6]price list MAN'!B1550</f>
        <v>0</v>
      </c>
      <c r="C1550" s="10">
        <f>'[6]price list MAN'!C1550</f>
        <v>0</v>
      </c>
      <c r="D1550" s="16" t="str">
        <f>IFERROR(VLOOKUP(C1550&amp;"",'[7]Retail Price List'!$A$3:$B$103,2,FALSE),"Special Order")</f>
        <v>Special Order</v>
      </c>
      <c r="E1550" s="494">
        <f>'[6]price list MAN'!E1550</f>
        <v>0</v>
      </c>
      <c r="F1550" s="11">
        <f>'[6]price list MAN'!F1550</f>
        <v>0</v>
      </c>
      <c r="G1550" s="32">
        <f>'[6]price list MAN'!G1550</f>
        <v>0</v>
      </c>
      <c r="H1550" s="26">
        <f>'[6]price list MAN'!H1550</f>
        <v>0</v>
      </c>
      <c r="I1550" s="51" t="str">
        <f t="shared" si="120"/>
        <v/>
      </c>
      <c r="J1550" s="177" t="e">
        <f>'[6]price list MAN'!J1550</f>
        <v>#N/A</v>
      </c>
      <c r="K1550" s="177" t="e">
        <f>'[6]price list MAN'!P1550</f>
        <v>#N/A</v>
      </c>
      <c r="L1550" s="177" t="e">
        <f>'[6]price list MAN'!R1550</f>
        <v>#N/A</v>
      </c>
      <c r="M1550" s="174" t="e">
        <f>'[6]price list MAN'!S1550</f>
        <v>#N/A</v>
      </c>
      <c r="N1550" s="174" t="e">
        <f>'[6]price list MAN'!Y1550</f>
        <v>#N/A</v>
      </c>
      <c r="O1550" s="174" t="e">
        <f>'[6]price list MAN'!AA1550</f>
        <v>#N/A</v>
      </c>
      <c r="P1550" s="68" t="e">
        <f t="shared" si="121"/>
        <v>#N/A</v>
      </c>
      <c r="Q1550" s="62" t="e">
        <f>O1550-#REF!</f>
        <v>#N/A</v>
      </c>
      <c r="AT1550" s="425" t="str">
        <f t="shared" si="122"/>
        <v>Special Order0</v>
      </c>
      <c r="AU1550" s="64" t="str">
        <f t="shared" si="123"/>
        <v>01-1900</v>
      </c>
      <c r="BA1550" s="428" t="str">
        <f t="shared" si="124"/>
        <v/>
      </c>
    </row>
    <row r="1551" spans="2:53">
      <c r="B1551" s="36">
        <f>'[6]price list MAN'!B1551</f>
        <v>0</v>
      </c>
      <c r="C1551" s="10">
        <f>'[6]price list MAN'!C1551</f>
        <v>0</v>
      </c>
      <c r="D1551" s="16" t="str">
        <f>IFERROR(VLOOKUP(C1551&amp;"",'[7]Retail Price List'!$A$3:$B$103,2,FALSE),"Special Order")</f>
        <v>Special Order</v>
      </c>
      <c r="E1551" s="494">
        <f>'[6]price list MAN'!E1551</f>
        <v>0</v>
      </c>
      <c r="F1551" s="11">
        <f>'[6]price list MAN'!F1551</f>
        <v>0</v>
      </c>
      <c r="G1551" s="32">
        <f>'[6]price list MAN'!G1551</f>
        <v>0</v>
      </c>
      <c r="H1551" s="26">
        <f>'[6]price list MAN'!H1551</f>
        <v>0</v>
      </c>
      <c r="I1551" s="51" t="str">
        <f t="shared" si="120"/>
        <v/>
      </c>
      <c r="J1551" s="177" t="e">
        <f>'[6]price list MAN'!J1551</f>
        <v>#N/A</v>
      </c>
      <c r="K1551" s="177" t="e">
        <f>'[6]price list MAN'!P1551</f>
        <v>#N/A</v>
      </c>
      <c r="L1551" s="177" t="e">
        <f>'[6]price list MAN'!R1551</f>
        <v>#N/A</v>
      </c>
      <c r="M1551" s="174" t="e">
        <f>'[6]price list MAN'!S1551</f>
        <v>#N/A</v>
      </c>
      <c r="N1551" s="174" t="e">
        <f>'[6]price list MAN'!Y1551</f>
        <v>#N/A</v>
      </c>
      <c r="O1551" s="174" t="e">
        <f>'[6]price list MAN'!AA1551</f>
        <v>#N/A</v>
      </c>
      <c r="P1551" s="68" t="e">
        <f t="shared" si="121"/>
        <v>#N/A</v>
      </c>
      <c r="Q1551" s="62" t="e">
        <f>O1551-#REF!</f>
        <v>#N/A</v>
      </c>
      <c r="AT1551" s="425" t="str">
        <f t="shared" si="122"/>
        <v>Special Order0</v>
      </c>
      <c r="AU1551" s="64" t="str">
        <f t="shared" si="123"/>
        <v>01-1900</v>
      </c>
      <c r="BA1551" s="428" t="str">
        <f t="shared" si="124"/>
        <v/>
      </c>
    </row>
    <row r="1552" spans="2:53">
      <c r="B1552" s="36">
        <f>'[6]price list MAN'!B1552</f>
        <v>0</v>
      </c>
      <c r="C1552" s="10">
        <f>'[6]price list MAN'!C1552</f>
        <v>0</v>
      </c>
      <c r="D1552" s="16" t="str">
        <f>IFERROR(VLOOKUP(C1552&amp;"",'[7]Retail Price List'!$A$3:$B$103,2,FALSE),"Special Order")</f>
        <v>Special Order</v>
      </c>
      <c r="E1552" s="494">
        <f>'[6]price list MAN'!E1552</f>
        <v>0</v>
      </c>
      <c r="F1552" s="11">
        <f>'[6]price list MAN'!F1552</f>
        <v>0</v>
      </c>
      <c r="G1552" s="32">
        <f>'[6]price list MAN'!G1552</f>
        <v>0</v>
      </c>
      <c r="H1552" s="26">
        <f>'[6]price list MAN'!H1552</f>
        <v>0</v>
      </c>
      <c r="I1552" s="51" t="str">
        <f t="shared" si="120"/>
        <v/>
      </c>
      <c r="J1552" s="177" t="e">
        <f>'[6]price list MAN'!J1552</f>
        <v>#N/A</v>
      </c>
      <c r="K1552" s="177" t="e">
        <f>'[6]price list MAN'!P1552</f>
        <v>#N/A</v>
      </c>
      <c r="L1552" s="177" t="e">
        <f>'[6]price list MAN'!R1552</f>
        <v>#N/A</v>
      </c>
      <c r="M1552" s="174" t="e">
        <f>'[6]price list MAN'!S1552</f>
        <v>#N/A</v>
      </c>
      <c r="N1552" s="174" t="e">
        <f>'[6]price list MAN'!Y1552</f>
        <v>#N/A</v>
      </c>
      <c r="O1552" s="174" t="e">
        <f>'[6]price list MAN'!AA1552</f>
        <v>#N/A</v>
      </c>
      <c r="P1552" s="68" t="e">
        <f t="shared" si="121"/>
        <v>#N/A</v>
      </c>
      <c r="Q1552" s="62" t="e">
        <f>O1552-#REF!</f>
        <v>#N/A</v>
      </c>
      <c r="AT1552" s="425" t="str">
        <f t="shared" si="122"/>
        <v>Special Order0</v>
      </c>
      <c r="AU1552" s="64" t="str">
        <f t="shared" si="123"/>
        <v>01-1900</v>
      </c>
      <c r="BA1552" s="428" t="str">
        <f t="shared" si="124"/>
        <v/>
      </c>
    </row>
    <row r="1553" spans="2:53">
      <c r="B1553" s="36">
        <f>'[6]price list MAN'!B1553</f>
        <v>0</v>
      </c>
      <c r="C1553" s="10">
        <f>'[6]price list MAN'!C1553</f>
        <v>0</v>
      </c>
      <c r="D1553" s="16" t="str">
        <f>IFERROR(VLOOKUP(C1553&amp;"",'[7]Retail Price List'!$A$3:$B$103,2,FALSE),"Special Order")</f>
        <v>Special Order</v>
      </c>
      <c r="E1553" s="494">
        <f>'[6]price list MAN'!E1553</f>
        <v>0</v>
      </c>
      <c r="F1553" s="11">
        <f>'[6]price list MAN'!F1553</f>
        <v>0</v>
      </c>
      <c r="G1553" s="32">
        <f>'[6]price list MAN'!G1553</f>
        <v>0</v>
      </c>
      <c r="H1553" s="26">
        <f>'[6]price list MAN'!H1553</f>
        <v>0</v>
      </c>
      <c r="I1553" s="51" t="str">
        <f t="shared" si="120"/>
        <v/>
      </c>
      <c r="J1553" s="177" t="e">
        <f>'[6]price list MAN'!J1553</f>
        <v>#N/A</v>
      </c>
      <c r="K1553" s="177" t="e">
        <f>'[6]price list MAN'!P1553</f>
        <v>#N/A</v>
      </c>
      <c r="L1553" s="177" t="e">
        <f>'[6]price list MAN'!R1553</f>
        <v>#N/A</v>
      </c>
      <c r="M1553" s="174" t="e">
        <f>'[6]price list MAN'!S1553</f>
        <v>#N/A</v>
      </c>
      <c r="N1553" s="174" t="e">
        <f>'[6]price list MAN'!Y1553</f>
        <v>#N/A</v>
      </c>
      <c r="O1553" s="174" t="e">
        <f>'[6]price list MAN'!AA1553</f>
        <v>#N/A</v>
      </c>
      <c r="P1553" s="68" t="e">
        <f t="shared" si="121"/>
        <v>#N/A</v>
      </c>
      <c r="Q1553" s="62" t="e">
        <f>O1553-#REF!</f>
        <v>#N/A</v>
      </c>
      <c r="AT1553" s="425" t="str">
        <f t="shared" si="122"/>
        <v>Special Order0</v>
      </c>
      <c r="AU1553" s="64" t="str">
        <f t="shared" si="123"/>
        <v>01-1900</v>
      </c>
      <c r="BA1553" s="428" t="str">
        <f t="shared" si="124"/>
        <v/>
      </c>
    </row>
    <row r="1554" spans="2:53">
      <c r="B1554" s="36">
        <f>'[6]price list MAN'!B1554</f>
        <v>0</v>
      </c>
      <c r="C1554" s="10">
        <f>'[6]price list MAN'!C1554</f>
        <v>0</v>
      </c>
      <c r="D1554" s="16" t="str">
        <f>IFERROR(VLOOKUP(C1554&amp;"",'[7]Retail Price List'!$A$3:$B$103,2,FALSE),"Special Order")</f>
        <v>Special Order</v>
      </c>
      <c r="E1554" s="494">
        <f>'[6]price list MAN'!E1554</f>
        <v>0</v>
      </c>
      <c r="F1554" s="11">
        <f>'[6]price list MAN'!F1554</f>
        <v>0</v>
      </c>
      <c r="G1554" s="32">
        <f>'[6]price list MAN'!G1554</f>
        <v>0</v>
      </c>
      <c r="H1554" s="26">
        <f>'[6]price list MAN'!H1554</f>
        <v>0</v>
      </c>
      <c r="I1554" s="51" t="str">
        <f t="shared" si="120"/>
        <v/>
      </c>
      <c r="J1554" s="177" t="e">
        <f>'[6]price list MAN'!J1554</f>
        <v>#N/A</v>
      </c>
      <c r="K1554" s="177" t="e">
        <f>'[6]price list MAN'!P1554</f>
        <v>#N/A</v>
      </c>
      <c r="L1554" s="177" t="e">
        <f>'[6]price list MAN'!R1554</f>
        <v>#N/A</v>
      </c>
      <c r="M1554" s="174" t="e">
        <f>'[6]price list MAN'!S1554</f>
        <v>#N/A</v>
      </c>
      <c r="N1554" s="174" t="e">
        <f>'[6]price list MAN'!Y1554</f>
        <v>#N/A</v>
      </c>
      <c r="O1554" s="174" t="e">
        <f>'[6]price list MAN'!AA1554</f>
        <v>#N/A</v>
      </c>
      <c r="P1554" s="68" t="e">
        <f t="shared" si="121"/>
        <v>#N/A</v>
      </c>
      <c r="Q1554" s="62" t="e">
        <f>O1554-#REF!</f>
        <v>#N/A</v>
      </c>
      <c r="AT1554" s="425" t="str">
        <f t="shared" si="122"/>
        <v>Special Order0</v>
      </c>
      <c r="AU1554" s="64" t="str">
        <f t="shared" si="123"/>
        <v>01-1900</v>
      </c>
      <c r="BA1554" s="428" t="str">
        <f t="shared" si="124"/>
        <v/>
      </c>
    </row>
    <row r="1555" spans="2:53">
      <c r="B1555" s="36">
        <f>'[6]price list MAN'!B1555</f>
        <v>0</v>
      </c>
      <c r="C1555" s="10">
        <f>'[6]price list MAN'!C1555</f>
        <v>0</v>
      </c>
      <c r="D1555" s="16" t="str">
        <f>IFERROR(VLOOKUP(C1555&amp;"",'[7]Retail Price List'!$A$3:$B$103,2,FALSE),"Special Order")</f>
        <v>Special Order</v>
      </c>
      <c r="E1555" s="494">
        <f>'[6]price list MAN'!E1555</f>
        <v>0</v>
      </c>
      <c r="F1555" s="11">
        <f>'[6]price list MAN'!F1555</f>
        <v>0</v>
      </c>
      <c r="G1555" s="32">
        <f>'[6]price list MAN'!G1555</f>
        <v>0</v>
      </c>
      <c r="H1555" s="26">
        <f>'[6]price list MAN'!H1555</f>
        <v>0</v>
      </c>
      <c r="I1555" s="51" t="str">
        <f t="shared" si="120"/>
        <v/>
      </c>
      <c r="J1555" s="177" t="e">
        <f>'[6]price list MAN'!J1555</f>
        <v>#N/A</v>
      </c>
      <c r="K1555" s="177" t="e">
        <f>'[6]price list MAN'!P1555</f>
        <v>#N/A</v>
      </c>
      <c r="L1555" s="177" t="e">
        <f>'[6]price list MAN'!R1555</f>
        <v>#N/A</v>
      </c>
      <c r="M1555" s="174" t="e">
        <f>'[6]price list MAN'!S1555</f>
        <v>#N/A</v>
      </c>
      <c r="N1555" s="174" t="e">
        <f>'[6]price list MAN'!Y1555</f>
        <v>#N/A</v>
      </c>
      <c r="O1555" s="174" t="e">
        <f>'[6]price list MAN'!AA1555</f>
        <v>#N/A</v>
      </c>
      <c r="P1555" s="68" t="e">
        <f t="shared" si="121"/>
        <v>#N/A</v>
      </c>
      <c r="Q1555" s="62" t="e">
        <f>O1555-#REF!</f>
        <v>#N/A</v>
      </c>
      <c r="AT1555" s="425" t="str">
        <f t="shared" si="122"/>
        <v>Special Order0</v>
      </c>
      <c r="AU1555" s="64" t="str">
        <f t="shared" si="123"/>
        <v>01-1900</v>
      </c>
      <c r="BA1555" s="428" t="str">
        <f t="shared" si="124"/>
        <v/>
      </c>
    </row>
    <row r="1556" spans="2:53">
      <c r="B1556" s="36">
        <f>'[6]price list MAN'!B1556</f>
        <v>0</v>
      </c>
      <c r="C1556" s="10">
        <f>'[6]price list MAN'!C1556</f>
        <v>0</v>
      </c>
      <c r="D1556" s="16" t="str">
        <f>IFERROR(VLOOKUP(C1556&amp;"",'[7]Retail Price List'!$A$3:$B$103,2,FALSE),"Special Order")</f>
        <v>Special Order</v>
      </c>
      <c r="E1556" s="494">
        <f>'[6]price list MAN'!E1556</f>
        <v>0</v>
      </c>
      <c r="F1556" s="11">
        <f>'[6]price list MAN'!F1556</f>
        <v>0</v>
      </c>
      <c r="G1556" s="32">
        <f>'[6]price list MAN'!G1556</f>
        <v>0</v>
      </c>
      <c r="H1556" s="26">
        <f>'[6]price list MAN'!H1556</f>
        <v>0</v>
      </c>
      <c r="I1556" s="51" t="str">
        <f t="shared" si="120"/>
        <v/>
      </c>
      <c r="J1556" s="177" t="e">
        <f>'[6]price list MAN'!J1556</f>
        <v>#N/A</v>
      </c>
      <c r="K1556" s="177" t="e">
        <f>'[6]price list MAN'!P1556</f>
        <v>#N/A</v>
      </c>
      <c r="L1556" s="177" t="e">
        <f>'[6]price list MAN'!R1556</f>
        <v>#N/A</v>
      </c>
      <c r="M1556" s="174" t="e">
        <f>'[6]price list MAN'!S1556</f>
        <v>#N/A</v>
      </c>
      <c r="N1556" s="174" t="e">
        <f>'[6]price list MAN'!Y1556</f>
        <v>#N/A</v>
      </c>
      <c r="O1556" s="174" t="e">
        <f>'[6]price list MAN'!AA1556</f>
        <v>#N/A</v>
      </c>
      <c r="P1556" s="68" t="e">
        <f t="shared" si="121"/>
        <v>#N/A</v>
      </c>
      <c r="Q1556" s="62" t="e">
        <f>O1556-#REF!</f>
        <v>#N/A</v>
      </c>
      <c r="AT1556" s="425" t="str">
        <f t="shared" si="122"/>
        <v>Special Order0</v>
      </c>
      <c r="AU1556" s="64" t="str">
        <f t="shared" si="123"/>
        <v>01-1900</v>
      </c>
      <c r="BA1556" s="428" t="str">
        <f t="shared" si="124"/>
        <v/>
      </c>
    </row>
    <row r="1557" spans="2:53">
      <c r="B1557" s="36">
        <f>'[6]price list MAN'!B1557</f>
        <v>0</v>
      </c>
      <c r="C1557" s="10">
        <f>'[6]price list MAN'!C1557</f>
        <v>0</v>
      </c>
      <c r="D1557" s="16" t="str">
        <f>IFERROR(VLOOKUP(C1557&amp;"",'[7]Retail Price List'!$A$3:$B$103,2,FALSE),"Special Order")</f>
        <v>Special Order</v>
      </c>
      <c r="E1557" s="494">
        <f>'[6]price list MAN'!E1557</f>
        <v>0</v>
      </c>
      <c r="F1557" s="11">
        <f>'[6]price list MAN'!F1557</f>
        <v>0</v>
      </c>
      <c r="G1557" s="32">
        <f>'[6]price list MAN'!G1557</f>
        <v>0</v>
      </c>
      <c r="H1557" s="26">
        <f>'[6]price list MAN'!H1557</f>
        <v>0</v>
      </c>
      <c r="I1557" s="51" t="str">
        <f t="shared" si="120"/>
        <v/>
      </c>
      <c r="J1557" s="177" t="e">
        <f>'[6]price list MAN'!J1557</f>
        <v>#N/A</v>
      </c>
      <c r="K1557" s="177" t="e">
        <f>'[6]price list MAN'!P1557</f>
        <v>#N/A</v>
      </c>
      <c r="L1557" s="177" t="e">
        <f>'[6]price list MAN'!R1557</f>
        <v>#N/A</v>
      </c>
      <c r="M1557" s="174" t="e">
        <f>'[6]price list MAN'!S1557</f>
        <v>#N/A</v>
      </c>
      <c r="N1557" s="174" t="e">
        <f>'[6]price list MAN'!Y1557</f>
        <v>#N/A</v>
      </c>
      <c r="O1557" s="174" t="e">
        <f>'[6]price list MAN'!AA1557</f>
        <v>#N/A</v>
      </c>
      <c r="P1557" s="68" t="e">
        <f t="shared" si="121"/>
        <v>#N/A</v>
      </c>
      <c r="Q1557" s="62" t="e">
        <f>O1557-#REF!</f>
        <v>#N/A</v>
      </c>
      <c r="AT1557" s="425" t="str">
        <f t="shared" si="122"/>
        <v>Special Order0</v>
      </c>
      <c r="AU1557" s="64" t="str">
        <f t="shared" si="123"/>
        <v>01-1900</v>
      </c>
      <c r="BA1557" s="428" t="str">
        <f t="shared" si="124"/>
        <v/>
      </c>
    </row>
    <row r="1558" spans="2:53">
      <c r="B1558" s="36">
        <f>'[6]price list MAN'!B1558</f>
        <v>0</v>
      </c>
      <c r="C1558" s="10">
        <f>'[6]price list MAN'!C1558</f>
        <v>0</v>
      </c>
      <c r="D1558" s="16" t="str">
        <f>IFERROR(VLOOKUP(C1558&amp;"",'[7]Retail Price List'!$A$3:$B$103,2,FALSE),"Special Order")</f>
        <v>Special Order</v>
      </c>
      <c r="E1558" s="494">
        <f>'[6]price list MAN'!E1558</f>
        <v>0</v>
      </c>
      <c r="F1558" s="11">
        <f>'[6]price list MAN'!F1558</f>
        <v>0</v>
      </c>
      <c r="G1558" s="32">
        <f>'[6]price list MAN'!G1558</f>
        <v>0</v>
      </c>
      <c r="H1558" s="26">
        <f>'[6]price list MAN'!H1558</f>
        <v>0</v>
      </c>
      <c r="I1558" s="51" t="str">
        <f t="shared" si="120"/>
        <v/>
      </c>
      <c r="J1558" s="177" t="e">
        <f>'[6]price list MAN'!J1558</f>
        <v>#N/A</v>
      </c>
      <c r="K1558" s="177" t="e">
        <f>'[6]price list MAN'!P1558</f>
        <v>#N/A</v>
      </c>
      <c r="L1558" s="177" t="e">
        <f>'[6]price list MAN'!R1558</f>
        <v>#N/A</v>
      </c>
      <c r="M1558" s="174" t="e">
        <f>'[6]price list MAN'!S1558</f>
        <v>#N/A</v>
      </c>
      <c r="N1558" s="174" t="e">
        <f>'[6]price list MAN'!Y1558</f>
        <v>#N/A</v>
      </c>
      <c r="O1558" s="174" t="e">
        <f>'[6]price list MAN'!AA1558</f>
        <v>#N/A</v>
      </c>
      <c r="P1558" s="68" t="e">
        <f t="shared" si="121"/>
        <v>#N/A</v>
      </c>
      <c r="Q1558" s="62" t="e">
        <f>O1558-#REF!</f>
        <v>#N/A</v>
      </c>
      <c r="AT1558" s="425" t="str">
        <f t="shared" si="122"/>
        <v>Special Order0</v>
      </c>
      <c r="AU1558" s="64" t="str">
        <f t="shared" si="123"/>
        <v>01-1900</v>
      </c>
      <c r="BA1558" s="428" t="str">
        <f t="shared" si="124"/>
        <v/>
      </c>
    </row>
    <row r="1559" spans="2:53">
      <c r="B1559" s="36">
        <f>'[6]price list MAN'!B1559</f>
        <v>0</v>
      </c>
      <c r="C1559" s="10">
        <f>'[6]price list MAN'!C1559</f>
        <v>0</v>
      </c>
      <c r="D1559" s="16" t="str">
        <f>IFERROR(VLOOKUP(C1559&amp;"",'[7]Retail Price List'!$A$3:$B$103,2,FALSE),"Special Order")</f>
        <v>Special Order</v>
      </c>
      <c r="E1559" s="494">
        <f>'[6]price list MAN'!E1559</f>
        <v>0</v>
      </c>
      <c r="F1559" s="11">
        <f>'[6]price list MAN'!F1559</f>
        <v>0</v>
      </c>
      <c r="G1559" s="32">
        <f>'[6]price list MAN'!G1559</f>
        <v>0</v>
      </c>
      <c r="H1559" s="26">
        <f>'[6]price list MAN'!H1559</f>
        <v>0</v>
      </c>
      <c r="I1559" s="51" t="str">
        <f t="shared" si="120"/>
        <v/>
      </c>
      <c r="J1559" s="177" t="e">
        <f>'[6]price list MAN'!J1559</f>
        <v>#N/A</v>
      </c>
      <c r="K1559" s="177" t="e">
        <f>'[6]price list MAN'!P1559</f>
        <v>#N/A</v>
      </c>
      <c r="L1559" s="177" t="e">
        <f>'[6]price list MAN'!R1559</f>
        <v>#N/A</v>
      </c>
      <c r="M1559" s="174" t="e">
        <f>'[6]price list MAN'!S1559</f>
        <v>#N/A</v>
      </c>
      <c r="N1559" s="174" t="e">
        <f>'[6]price list MAN'!Y1559</f>
        <v>#N/A</v>
      </c>
      <c r="O1559" s="174" t="e">
        <f>'[6]price list MAN'!AA1559</f>
        <v>#N/A</v>
      </c>
      <c r="P1559" s="68" t="e">
        <f t="shared" si="121"/>
        <v>#N/A</v>
      </c>
      <c r="Q1559" s="62" t="e">
        <f>O1559-#REF!</f>
        <v>#N/A</v>
      </c>
      <c r="AT1559" s="425" t="str">
        <f t="shared" si="122"/>
        <v>Special Order0</v>
      </c>
      <c r="AU1559" s="64" t="str">
        <f t="shared" si="123"/>
        <v>01-1900</v>
      </c>
      <c r="BA1559" s="428" t="str">
        <f t="shared" si="124"/>
        <v/>
      </c>
    </row>
    <row r="1560" spans="2:53">
      <c r="B1560" s="36">
        <f>'[6]price list MAN'!B1560</f>
        <v>0</v>
      </c>
      <c r="C1560" s="10">
        <f>'[6]price list MAN'!C1560</f>
        <v>0</v>
      </c>
      <c r="D1560" s="16" t="str">
        <f>IFERROR(VLOOKUP(C1560&amp;"",'[7]Retail Price List'!$A$3:$B$103,2,FALSE),"Special Order")</f>
        <v>Special Order</v>
      </c>
      <c r="E1560" s="494">
        <f>'[6]price list MAN'!E1560</f>
        <v>0</v>
      </c>
      <c r="F1560" s="11">
        <f>'[6]price list MAN'!F1560</f>
        <v>0</v>
      </c>
      <c r="G1560" s="32">
        <f>'[6]price list MAN'!G1560</f>
        <v>0</v>
      </c>
      <c r="H1560" s="26">
        <f>'[6]price list MAN'!H1560</f>
        <v>0</v>
      </c>
      <c r="I1560" s="51" t="str">
        <f t="shared" si="120"/>
        <v/>
      </c>
      <c r="J1560" s="177" t="e">
        <f>'[6]price list MAN'!J1560</f>
        <v>#N/A</v>
      </c>
      <c r="K1560" s="177" t="e">
        <f>'[6]price list MAN'!P1560</f>
        <v>#N/A</v>
      </c>
      <c r="L1560" s="177" t="e">
        <f>'[6]price list MAN'!R1560</f>
        <v>#N/A</v>
      </c>
      <c r="M1560" s="174" t="e">
        <f>'[6]price list MAN'!S1560</f>
        <v>#N/A</v>
      </c>
      <c r="N1560" s="174" t="e">
        <f>'[6]price list MAN'!Y1560</f>
        <v>#N/A</v>
      </c>
      <c r="O1560" s="174" t="e">
        <f>'[6]price list MAN'!AA1560</f>
        <v>#N/A</v>
      </c>
      <c r="P1560" s="68" t="e">
        <f t="shared" si="121"/>
        <v>#N/A</v>
      </c>
      <c r="Q1560" s="62" t="e">
        <f>O1560-#REF!</f>
        <v>#N/A</v>
      </c>
      <c r="AT1560" s="425" t="str">
        <f t="shared" si="122"/>
        <v>Special Order0</v>
      </c>
      <c r="AU1560" s="64" t="str">
        <f t="shared" si="123"/>
        <v>01-1900</v>
      </c>
      <c r="BA1560" s="428" t="str">
        <f t="shared" si="124"/>
        <v/>
      </c>
    </row>
    <row r="1561" spans="2:53">
      <c r="B1561" s="36">
        <f>'[6]price list MAN'!B1561</f>
        <v>0</v>
      </c>
      <c r="C1561" s="10">
        <f>'[6]price list MAN'!C1561</f>
        <v>0</v>
      </c>
      <c r="D1561" s="16" t="str">
        <f>IFERROR(VLOOKUP(C1561&amp;"",'[7]Retail Price List'!$A$3:$B$103,2,FALSE),"Special Order")</f>
        <v>Special Order</v>
      </c>
      <c r="E1561" s="494">
        <f>'[6]price list MAN'!E1561</f>
        <v>0</v>
      </c>
      <c r="F1561" s="11">
        <f>'[6]price list MAN'!F1561</f>
        <v>0</v>
      </c>
      <c r="G1561" s="32">
        <f>'[6]price list MAN'!G1561</f>
        <v>0</v>
      </c>
      <c r="H1561" s="26">
        <f>'[6]price list MAN'!H1561</f>
        <v>0</v>
      </c>
      <c r="I1561" s="51" t="str">
        <f t="shared" si="120"/>
        <v/>
      </c>
      <c r="J1561" s="177" t="e">
        <f>'[6]price list MAN'!J1561</f>
        <v>#N/A</v>
      </c>
      <c r="K1561" s="177" t="e">
        <f>'[6]price list MAN'!P1561</f>
        <v>#N/A</v>
      </c>
      <c r="L1561" s="177" t="e">
        <f>'[6]price list MAN'!R1561</f>
        <v>#N/A</v>
      </c>
      <c r="M1561" s="174" t="e">
        <f>'[6]price list MAN'!S1561</f>
        <v>#N/A</v>
      </c>
      <c r="N1561" s="174" t="e">
        <f>'[6]price list MAN'!Y1561</f>
        <v>#N/A</v>
      </c>
      <c r="O1561" s="174" t="e">
        <f>'[6]price list MAN'!AA1561</f>
        <v>#N/A</v>
      </c>
      <c r="P1561" s="68" t="e">
        <f t="shared" si="121"/>
        <v>#N/A</v>
      </c>
      <c r="Q1561" s="62" t="e">
        <f>O1561-#REF!</f>
        <v>#N/A</v>
      </c>
      <c r="AT1561" s="425" t="str">
        <f t="shared" si="122"/>
        <v>Special Order0</v>
      </c>
      <c r="AU1561" s="64" t="str">
        <f t="shared" si="123"/>
        <v>01-1900</v>
      </c>
      <c r="BA1561" s="428" t="str">
        <f t="shared" si="124"/>
        <v/>
      </c>
    </row>
    <row r="1562" spans="2:53">
      <c r="B1562" s="36">
        <f>'[6]price list MAN'!B1562</f>
        <v>0</v>
      </c>
      <c r="C1562" s="10">
        <f>'[6]price list MAN'!C1562</f>
        <v>0</v>
      </c>
      <c r="D1562" s="16" t="str">
        <f>IFERROR(VLOOKUP(C1562&amp;"",'[7]Retail Price List'!$A$3:$B$103,2,FALSE),"Special Order")</f>
        <v>Special Order</v>
      </c>
      <c r="E1562" s="494">
        <f>'[6]price list MAN'!E1562</f>
        <v>0</v>
      </c>
      <c r="F1562" s="11">
        <f>'[6]price list MAN'!F1562</f>
        <v>0</v>
      </c>
      <c r="G1562" s="32">
        <f>'[6]price list MAN'!G1562</f>
        <v>0</v>
      </c>
      <c r="H1562" s="26">
        <f>'[6]price list MAN'!H1562</f>
        <v>0</v>
      </c>
      <c r="I1562" s="51" t="str">
        <f t="shared" si="120"/>
        <v/>
      </c>
      <c r="J1562" s="177" t="e">
        <f>'[6]price list MAN'!J1562</f>
        <v>#N/A</v>
      </c>
      <c r="K1562" s="177" t="e">
        <f>'[6]price list MAN'!P1562</f>
        <v>#N/A</v>
      </c>
      <c r="L1562" s="177" t="e">
        <f>'[6]price list MAN'!R1562</f>
        <v>#N/A</v>
      </c>
      <c r="M1562" s="174" t="e">
        <f>'[6]price list MAN'!S1562</f>
        <v>#N/A</v>
      </c>
      <c r="N1562" s="174" t="e">
        <f>'[6]price list MAN'!Y1562</f>
        <v>#N/A</v>
      </c>
      <c r="O1562" s="174" t="e">
        <f>'[6]price list MAN'!AA1562</f>
        <v>#N/A</v>
      </c>
      <c r="P1562" s="68" t="e">
        <f t="shared" si="121"/>
        <v>#N/A</v>
      </c>
      <c r="Q1562" s="62" t="e">
        <f>O1562-#REF!</f>
        <v>#N/A</v>
      </c>
      <c r="AT1562" s="425" t="str">
        <f t="shared" si="122"/>
        <v>Special Order0</v>
      </c>
      <c r="AU1562" s="64" t="str">
        <f t="shared" si="123"/>
        <v>01-1900</v>
      </c>
      <c r="BA1562" s="428" t="str">
        <f t="shared" si="124"/>
        <v/>
      </c>
    </row>
    <row r="1563" spans="2:53">
      <c r="B1563" s="36">
        <f>'[6]price list MAN'!B1563</f>
        <v>0</v>
      </c>
      <c r="C1563" s="10">
        <f>'[6]price list MAN'!C1563</f>
        <v>0</v>
      </c>
      <c r="D1563" s="16" t="str">
        <f>IFERROR(VLOOKUP(C1563&amp;"",'[7]Retail Price List'!$A$3:$B$103,2,FALSE),"Special Order")</f>
        <v>Special Order</v>
      </c>
      <c r="E1563" s="494">
        <f>'[6]price list MAN'!E1563</f>
        <v>0</v>
      </c>
      <c r="F1563" s="11">
        <f>'[6]price list MAN'!F1563</f>
        <v>0</v>
      </c>
      <c r="G1563" s="32">
        <f>'[6]price list MAN'!G1563</f>
        <v>0</v>
      </c>
      <c r="H1563" s="26">
        <f>'[6]price list MAN'!H1563</f>
        <v>0</v>
      </c>
      <c r="I1563" s="51" t="str">
        <f t="shared" si="120"/>
        <v/>
      </c>
      <c r="J1563" s="177" t="e">
        <f>'[6]price list MAN'!J1563</f>
        <v>#N/A</v>
      </c>
      <c r="K1563" s="177" t="e">
        <f>'[6]price list MAN'!P1563</f>
        <v>#N/A</v>
      </c>
      <c r="L1563" s="177" t="e">
        <f>'[6]price list MAN'!R1563</f>
        <v>#N/A</v>
      </c>
      <c r="M1563" s="174" t="e">
        <f>'[6]price list MAN'!S1563</f>
        <v>#N/A</v>
      </c>
      <c r="N1563" s="174" t="e">
        <f>'[6]price list MAN'!Y1563</f>
        <v>#N/A</v>
      </c>
      <c r="O1563" s="174" t="e">
        <f>'[6]price list MAN'!AA1563</f>
        <v>#N/A</v>
      </c>
      <c r="P1563" s="68" t="e">
        <f t="shared" si="121"/>
        <v>#N/A</v>
      </c>
      <c r="Q1563" s="62" t="e">
        <f>O1563-#REF!</f>
        <v>#N/A</v>
      </c>
      <c r="AT1563" s="425" t="str">
        <f t="shared" si="122"/>
        <v>Special Order0</v>
      </c>
      <c r="AU1563" s="64" t="str">
        <f t="shared" si="123"/>
        <v>01-1900</v>
      </c>
      <c r="BA1563" s="428" t="str">
        <f t="shared" si="124"/>
        <v/>
      </c>
    </row>
    <row r="1564" spans="2:53">
      <c r="B1564" s="36">
        <f>'[6]price list MAN'!B1564</f>
        <v>0</v>
      </c>
      <c r="C1564" s="10">
        <f>'[6]price list MAN'!C1564</f>
        <v>0</v>
      </c>
      <c r="D1564" s="16" t="str">
        <f>IFERROR(VLOOKUP(C1564&amp;"",'[7]Retail Price List'!$A$3:$B$103,2,FALSE),"Special Order")</f>
        <v>Special Order</v>
      </c>
      <c r="E1564" s="494">
        <f>'[6]price list MAN'!E1564</f>
        <v>0</v>
      </c>
      <c r="F1564" s="11">
        <f>'[6]price list MAN'!F1564</f>
        <v>0</v>
      </c>
      <c r="G1564" s="32">
        <f>'[6]price list MAN'!G1564</f>
        <v>0</v>
      </c>
      <c r="H1564" s="26">
        <f>'[6]price list MAN'!H1564</f>
        <v>0</v>
      </c>
      <c r="I1564" s="51" t="str">
        <f t="shared" si="120"/>
        <v/>
      </c>
      <c r="J1564" s="177" t="e">
        <f>'[6]price list MAN'!J1564</f>
        <v>#N/A</v>
      </c>
      <c r="K1564" s="177" t="e">
        <f>'[6]price list MAN'!P1564</f>
        <v>#N/A</v>
      </c>
      <c r="L1564" s="177" t="e">
        <f>'[6]price list MAN'!R1564</f>
        <v>#N/A</v>
      </c>
      <c r="M1564" s="174" t="e">
        <f>'[6]price list MAN'!S1564</f>
        <v>#N/A</v>
      </c>
      <c r="N1564" s="174" t="e">
        <f>'[6]price list MAN'!Y1564</f>
        <v>#N/A</v>
      </c>
      <c r="O1564" s="174" t="e">
        <f>'[6]price list MAN'!AA1564</f>
        <v>#N/A</v>
      </c>
      <c r="P1564" s="68" t="e">
        <f t="shared" si="121"/>
        <v>#N/A</v>
      </c>
      <c r="Q1564" s="62" t="e">
        <f>O1564-#REF!</f>
        <v>#N/A</v>
      </c>
      <c r="AT1564" s="425" t="str">
        <f t="shared" si="122"/>
        <v>Special Order0</v>
      </c>
      <c r="AU1564" s="64" t="str">
        <f t="shared" si="123"/>
        <v>01-1900</v>
      </c>
      <c r="BA1564" s="428" t="str">
        <f t="shared" si="124"/>
        <v/>
      </c>
    </row>
    <row r="1565" spans="2:53">
      <c r="B1565" s="36">
        <f>'[6]price list MAN'!B1565</f>
        <v>0</v>
      </c>
      <c r="C1565" s="10">
        <f>'[6]price list MAN'!C1565</f>
        <v>0</v>
      </c>
      <c r="D1565" s="16" t="str">
        <f>IFERROR(VLOOKUP(C1565&amp;"",'[7]Retail Price List'!$A$3:$B$103,2,FALSE),"Special Order")</f>
        <v>Special Order</v>
      </c>
      <c r="E1565" s="494">
        <f>'[6]price list MAN'!E1565</f>
        <v>0</v>
      </c>
      <c r="F1565" s="11">
        <f>'[6]price list MAN'!F1565</f>
        <v>0</v>
      </c>
      <c r="G1565" s="32">
        <f>'[6]price list MAN'!G1565</f>
        <v>0</v>
      </c>
      <c r="H1565" s="26">
        <f>'[6]price list MAN'!H1565</f>
        <v>0</v>
      </c>
      <c r="I1565" s="51" t="str">
        <f t="shared" si="120"/>
        <v/>
      </c>
      <c r="J1565" s="177" t="e">
        <f>'[6]price list MAN'!J1565</f>
        <v>#N/A</v>
      </c>
      <c r="K1565" s="177" t="e">
        <f>'[6]price list MAN'!P1565</f>
        <v>#N/A</v>
      </c>
      <c r="L1565" s="177" t="e">
        <f>'[6]price list MAN'!R1565</f>
        <v>#N/A</v>
      </c>
      <c r="M1565" s="174" t="e">
        <f>'[6]price list MAN'!S1565</f>
        <v>#N/A</v>
      </c>
      <c r="N1565" s="174" t="e">
        <f>'[6]price list MAN'!Y1565</f>
        <v>#N/A</v>
      </c>
      <c r="O1565" s="174" t="e">
        <f>'[6]price list MAN'!AA1565</f>
        <v>#N/A</v>
      </c>
      <c r="P1565" s="68" t="e">
        <f t="shared" si="121"/>
        <v>#N/A</v>
      </c>
      <c r="Q1565" s="62" t="e">
        <f>O1565-#REF!</f>
        <v>#N/A</v>
      </c>
      <c r="AT1565" s="425" t="str">
        <f t="shared" si="122"/>
        <v>Special Order0</v>
      </c>
      <c r="AU1565" s="64" t="str">
        <f t="shared" si="123"/>
        <v>01-1900</v>
      </c>
      <c r="BA1565" s="428" t="str">
        <f t="shared" si="124"/>
        <v/>
      </c>
    </row>
    <row r="1566" spans="2:53">
      <c r="B1566" s="36">
        <f>'[6]price list MAN'!B1566</f>
        <v>0</v>
      </c>
      <c r="C1566" s="10">
        <f>'[6]price list MAN'!C1566</f>
        <v>0</v>
      </c>
      <c r="D1566" s="16" t="str">
        <f>IFERROR(VLOOKUP(C1566&amp;"",'[7]Retail Price List'!$A$3:$B$103,2,FALSE),"Special Order")</f>
        <v>Special Order</v>
      </c>
      <c r="E1566" s="494">
        <f>'[6]price list MAN'!E1566</f>
        <v>0</v>
      </c>
      <c r="F1566" s="11">
        <f>'[6]price list MAN'!F1566</f>
        <v>0</v>
      </c>
      <c r="G1566" s="32">
        <f>'[6]price list MAN'!G1566</f>
        <v>0</v>
      </c>
      <c r="H1566" s="26">
        <f>'[6]price list MAN'!H1566</f>
        <v>0</v>
      </c>
      <c r="I1566" s="51" t="str">
        <f t="shared" si="120"/>
        <v/>
      </c>
      <c r="J1566" s="177" t="e">
        <f>'[6]price list MAN'!J1566</f>
        <v>#N/A</v>
      </c>
      <c r="K1566" s="177" t="e">
        <f>'[6]price list MAN'!P1566</f>
        <v>#N/A</v>
      </c>
      <c r="L1566" s="177" t="e">
        <f>'[6]price list MAN'!R1566</f>
        <v>#N/A</v>
      </c>
      <c r="M1566" s="174" t="e">
        <f>'[6]price list MAN'!S1566</f>
        <v>#N/A</v>
      </c>
      <c r="N1566" s="174" t="e">
        <f>'[6]price list MAN'!Y1566</f>
        <v>#N/A</v>
      </c>
      <c r="O1566" s="174" t="e">
        <f>'[6]price list MAN'!AA1566</f>
        <v>#N/A</v>
      </c>
      <c r="P1566" s="68" t="e">
        <f t="shared" si="121"/>
        <v>#N/A</v>
      </c>
      <c r="Q1566" s="62" t="e">
        <f>O1566-#REF!</f>
        <v>#N/A</v>
      </c>
      <c r="AT1566" s="425" t="str">
        <f t="shared" si="122"/>
        <v>Special Order0</v>
      </c>
      <c r="AU1566" s="64" t="str">
        <f t="shared" si="123"/>
        <v>01-1900</v>
      </c>
      <c r="BA1566" s="428" t="str">
        <f t="shared" si="124"/>
        <v/>
      </c>
    </row>
    <row r="1567" spans="2:53">
      <c r="B1567" s="36">
        <f>'[6]price list MAN'!B1567</f>
        <v>0</v>
      </c>
      <c r="C1567" s="10">
        <f>'[6]price list MAN'!C1567</f>
        <v>0</v>
      </c>
      <c r="D1567" s="16" t="str">
        <f>IFERROR(VLOOKUP(C1567&amp;"",'[7]Retail Price List'!$A$3:$B$103,2,FALSE),"Special Order")</f>
        <v>Special Order</v>
      </c>
      <c r="E1567" s="494">
        <f>'[6]price list MAN'!E1567</f>
        <v>0</v>
      </c>
      <c r="F1567" s="11">
        <f>'[6]price list MAN'!F1567</f>
        <v>0</v>
      </c>
      <c r="G1567" s="32">
        <f>'[6]price list MAN'!G1567</f>
        <v>0</v>
      </c>
      <c r="H1567" s="26">
        <f>'[6]price list MAN'!H1567</f>
        <v>0</v>
      </c>
      <c r="I1567" s="51" t="str">
        <f t="shared" si="120"/>
        <v/>
      </c>
      <c r="J1567" s="177" t="e">
        <f>'[6]price list MAN'!J1567</f>
        <v>#N/A</v>
      </c>
      <c r="K1567" s="177" t="e">
        <f>'[6]price list MAN'!P1567</f>
        <v>#N/A</v>
      </c>
      <c r="L1567" s="177" t="e">
        <f>'[6]price list MAN'!R1567</f>
        <v>#N/A</v>
      </c>
      <c r="M1567" s="174" t="e">
        <f>'[6]price list MAN'!S1567</f>
        <v>#N/A</v>
      </c>
      <c r="N1567" s="174" t="e">
        <f>'[6]price list MAN'!Y1567</f>
        <v>#N/A</v>
      </c>
      <c r="O1567" s="174" t="e">
        <f>'[6]price list MAN'!AA1567</f>
        <v>#N/A</v>
      </c>
      <c r="P1567" s="68" t="e">
        <f t="shared" si="121"/>
        <v>#N/A</v>
      </c>
      <c r="Q1567" s="62" t="e">
        <f>O1567-#REF!</f>
        <v>#N/A</v>
      </c>
      <c r="AT1567" s="425" t="str">
        <f t="shared" si="122"/>
        <v>Special Order0</v>
      </c>
      <c r="AU1567" s="64" t="str">
        <f t="shared" si="123"/>
        <v>01-1900</v>
      </c>
      <c r="BA1567" s="428" t="str">
        <f t="shared" si="124"/>
        <v/>
      </c>
    </row>
    <row r="1568" spans="2:53">
      <c r="B1568" s="36">
        <f>'[6]price list MAN'!B1568</f>
        <v>0</v>
      </c>
      <c r="C1568" s="10">
        <f>'[6]price list MAN'!C1568</f>
        <v>0</v>
      </c>
      <c r="D1568" s="16" t="str">
        <f>IFERROR(VLOOKUP(C1568&amp;"",'[7]Retail Price List'!$A$3:$B$103,2,FALSE),"Special Order")</f>
        <v>Special Order</v>
      </c>
      <c r="E1568" s="494">
        <f>'[6]price list MAN'!E1568</f>
        <v>0</v>
      </c>
      <c r="F1568" s="11">
        <f>'[6]price list MAN'!F1568</f>
        <v>0</v>
      </c>
      <c r="G1568" s="32">
        <f>'[6]price list MAN'!G1568</f>
        <v>0</v>
      </c>
      <c r="H1568" s="26">
        <f>'[6]price list MAN'!H1568</f>
        <v>0</v>
      </c>
      <c r="I1568" s="51" t="str">
        <f t="shared" si="120"/>
        <v/>
      </c>
      <c r="J1568" s="177" t="e">
        <f>'[6]price list MAN'!J1568</f>
        <v>#N/A</v>
      </c>
      <c r="K1568" s="177" t="e">
        <f>'[6]price list MAN'!P1568</f>
        <v>#N/A</v>
      </c>
      <c r="L1568" s="177" t="e">
        <f>'[6]price list MAN'!R1568</f>
        <v>#N/A</v>
      </c>
      <c r="M1568" s="174" t="e">
        <f>'[6]price list MAN'!S1568</f>
        <v>#N/A</v>
      </c>
      <c r="N1568" s="174" t="e">
        <f>'[6]price list MAN'!Y1568</f>
        <v>#N/A</v>
      </c>
      <c r="O1568" s="174" t="e">
        <f>'[6]price list MAN'!AA1568</f>
        <v>#N/A</v>
      </c>
      <c r="P1568" s="68" t="e">
        <f t="shared" si="121"/>
        <v>#N/A</v>
      </c>
      <c r="Q1568" s="62" t="e">
        <f>O1568-#REF!</f>
        <v>#N/A</v>
      </c>
      <c r="AT1568" s="425" t="str">
        <f t="shared" si="122"/>
        <v>Special Order0</v>
      </c>
      <c r="AU1568" s="64" t="str">
        <f t="shared" si="123"/>
        <v>01-1900</v>
      </c>
      <c r="BA1568" s="428" t="str">
        <f t="shared" si="124"/>
        <v/>
      </c>
    </row>
    <row r="1569" spans="2:53">
      <c r="B1569" s="36">
        <f>'[6]price list MAN'!B1569</f>
        <v>0</v>
      </c>
      <c r="C1569" s="10">
        <f>'[6]price list MAN'!C1569</f>
        <v>0</v>
      </c>
      <c r="D1569" s="16" t="str">
        <f>IFERROR(VLOOKUP(C1569&amp;"",'[7]Retail Price List'!$A$3:$B$103,2,FALSE),"Special Order")</f>
        <v>Special Order</v>
      </c>
      <c r="E1569" s="494">
        <f>'[6]price list MAN'!E1569</f>
        <v>0</v>
      </c>
      <c r="F1569" s="11">
        <f>'[6]price list MAN'!F1569</f>
        <v>0</v>
      </c>
      <c r="G1569" s="32">
        <f>'[6]price list MAN'!G1569</f>
        <v>0</v>
      </c>
      <c r="H1569" s="26">
        <f>'[6]price list MAN'!H1569</f>
        <v>0</v>
      </c>
      <c r="I1569" s="51" t="str">
        <f t="shared" si="120"/>
        <v/>
      </c>
      <c r="J1569" s="177" t="e">
        <f>'[6]price list MAN'!J1569</f>
        <v>#N/A</v>
      </c>
      <c r="K1569" s="177" t="e">
        <f>'[6]price list MAN'!P1569</f>
        <v>#N/A</v>
      </c>
      <c r="L1569" s="177" t="e">
        <f>'[6]price list MAN'!R1569</f>
        <v>#N/A</v>
      </c>
      <c r="M1569" s="174" t="e">
        <f>'[6]price list MAN'!S1569</f>
        <v>#N/A</v>
      </c>
      <c r="N1569" s="174" t="e">
        <f>'[6]price list MAN'!Y1569</f>
        <v>#N/A</v>
      </c>
      <c r="O1569" s="174" t="e">
        <f>'[6]price list MAN'!AA1569</f>
        <v>#N/A</v>
      </c>
      <c r="P1569" s="68" t="e">
        <f t="shared" si="121"/>
        <v>#N/A</v>
      </c>
      <c r="Q1569" s="62" t="e">
        <f>O1569-#REF!</f>
        <v>#N/A</v>
      </c>
      <c r="AT1569" s="425" t="str">
        <f t="shared" si="122"/>
        <v>Special Order0</v>
      </c>
      <c r="AU1569" s="64" t="str">
        <f t="shared" si="123"/>
        <v>01-1900</v>
      </c>
      <c r="BA1569" s="428" t="str">
        <f t="shared" si="124"/>
        <v/>
      </c>
    </row>
    <row r="1570" spans="2:53">
      <c r="B1570" s="36">
        <f>'[6]price list MAN'!B1570</f>
        <v>0</v>
      </c>
      <c r="C1570" s="10">
        <f>'[6]price list MAN'!C1570</f>
        <v>0</v>
      </c>
      <c r="D1570" s="16" t="str">
        <f>IFERROR(VLOOKUP(C1570&amp;"",'[7]Retail Price List'!$A$3:$B$103,2,FALSE),"Special Order")</f>
        <v>Special Order</v>
      </c>
      <c r="E1570" s="494">
        <f>'[6]price list MAN'!E1570</f>
        <v>0</v>
      </c>
      <c r="F1570" s="11">
        <f>'[6]price list MAN'!F1570</f>
        <v>0</v>
      </c>
      <c r="G1570" s="32">
        <f>'[6]price list MAN'!G1570</f>
        <v>0</v>
      </c>
      <c r="H1570" s="26">
        <f>'[6]price list MAN'!H1570</f>
        <v>0</v>
      </c>
      <c r="I1570" s="51" t="str">
        <f t="shared" si="120"/>
        <v/>
      </c>
      <c r="J1570" s="177" t="e">
        <f>'[6]price list MAN'!J1570</f>
        <v>#N/A</v>
      </c>
      <c r="K1570" s="177" t="e">
        <f>'[6]price list MAN'!P1570</f>
        <v>#N/A</v>
      </c>
      <c r="L1570" s="177" t="e">
        <f>'[6]price list MAN'!R1570</f>
        <v>#N/A</v>
      </c>
      <c r="M1570" s="174" t="e">
        <f>'[6]price list MAN'!S1570</f>
        <v>#N/A</v>
      </c>
      <c r="N1570" s="174" t="e">
        <f>'[6]price list MAN'!Y1570</f>
        <v>#N/A</v>
      </c>
      <c r="O1570" s="174" t="e">
        <f>'[6]price list MAN'!AA1570</f>
        <v>#N/A</v>
      </c>
      <c r="P1570" s="68" t="e">
        <f t="shared" si="121"/>
        <v>#N/A</v>
      </c>
      <c r="Q1570" s="62" t="e">
        <f>O1570-#REF!</f>
        <v>#N/A</v>
      </c>
      <c r="AT1570" s="425" t="str">
        <f t="shared" si="122"/>
        <v>Special Order0</v>
      </c>
      <c r="AU1570" s="64" t="str">
        <f t="shared" si="123"/>
        <v>01-1900</v>
      </c>
      <c r="BA1570" s="428" t="str">
        <f t="shared" si="124"/>
        <v/>
      </c>
    </row>
    <row r="1571" spans="2:53">
      <c r="B1571" s="36">
        <f>'[6]price list MAN'!B1571</f>
        <v>0</v>
      </c>
      <c r="C1571" s="10">
        <f>'[6]price list MAN'!C1571</f>
        <v>0</v>
      </c>
      <c r="D1571" s="16" t="str">
        <f>IFERROR(VLOOKUP(C1571&amp;"",'[7]Retail Price List'!$A$3:$B$103,2,FALSE),"Special Order")</f>
        <v>Special Order</v>
      </c>
      <c r="E1571" s="494">
        <f>'[6]price list MAN'!E1571</f>
        <v>0</v>
      </c>
      <c r="F1571" s="11">
        <f>'[6]price list MAN'!F1571</f>
        <v>0</v>
      </c>
      <c r="G1571" s="32">
        <f>'[6]price list MAN'!G1571</f>
        <v>0</v>
      </c>
      <c r="H1571" s="26">
        <f>'[6]price list MAN'!H1571</f>
        <v>0</v>
      </c>
      <c r="I1571" s="51" t="str">
        <f t="shared" si="120"/>
        <v/>
      </c>
      <c r="J1571" s="177" t="e">
        <f>'[6]price list MAN'!J1571</f>
        <v>#N/A</v>
      </c>
      <c r="K1571" s="177" t="e">
        <f>'[6]price list MAN'!P1571</f>
        <v>#N/A</v>
      </c>
      <c r="L1571" s="177" t="e">
        <f>'[6]price list MAN'!R1571</f>
        <v>#N/A</v>
      </c>
      <c r="M1571" s="174" t="e">
        <f>'[6]price list MAN'!S1571</f>
        <v>#N/A</v>
      </c>
      <c r="N1571" s="174" t="e">
        <f>'[6]price list MAN'!Y1571</f>
        <v>#N/A</v>
      </c>
      <c r="O1571" s="174" t="e">
        <f>'[6]price list MAN'!AA1571</f>
        <v>#N/A</v>
      </c>
      <c r="P1571" s="68" t="e">
        <f t="shared" si="121"/>
        <v>#N/A</v>
      </c>
      <c r="Q1571" s="62" t="e">
        <f>O1571-#REF!</f>
        <v>#N/A</v>
      </c>
      <c r="AT1571" s="425" t="str">
        <f t="shared" si="122"/>
        <v>Special Order0</v>
      </c>
      <c r="AU1571" s="64" t="str">
        <f t="shared" si="123"/>
        <v>01-1900</v>
      </c>
      <c r="BA1571" s="428" t="str">
        <f t="shared" si="124"/>
        <v/>
      </c>
    </row>
    <row r="1572" spans="2:53">
      <c r="B1572" s="36">
        <f>'[6]price list MAN'!B1572</f>
        <v>0</v>
      </c>
      <c r="C1572" s="10">
        <f>'[6]price list MAN'!C1572</f>
        <v>0</v>
      </c>
      <c r="D1572" s="16" t="str">
        <f>IFERROR(VLOOKUP(C1572&amp;"",'[7]Retail Price List'!$A$3:$B$103,2,FALSE),"Special Order")</f>
        <v>Special Order</v>
      </c>
      <c r="E1572" s="494">
        <f>'[6]price list MAN'!E1572</f>
        <v>0</v>
      </c>
      <c r="F1572" s="11">
        <f>'[6]price list MAN'!F1572</f>
        <v>0</v>
      </c>
      <c r="G1572" s="32">
        <f>'[6]price list MAN'!G1572</f>
        <v>0</v>
      </c>
      <c r="H1572" s="26">
        <f>'[6]price list MAN'!H1572</f>
        <v>0</v>
      </c>
      <c r="I1572" s="51" t="str">
        <f t="shared" si="120"/>
        <v/>
      </c>
      <c r="J1572" s="177" t="e">
        <f>'[6]price list MAN'!J1572</f>
        <v>#N/A</v>
      </c>
      <c r="K1572" s="177" t="e">
        <f>'[6]price list MAN'!P1572</f>
        <v>#N/A</v>
      </c>
      <c r="L1572" s="177" t="e">
        <f>'[6]price list MAN'!R1572</f>
        <v>#N/A</v>
      </c>
      <c r="M1572" s="174" t="e">
        <f>'[6]price list MAN'!S1572</f>
        <v>#N/A</v>
      </c>
      <c r="N1572" s="174" t="e">
        <f>'[6]price list MAN'!Y1572</f>
        <v>#N/A</v>
      </c>
      <c r="O1572" s="174" t="e">
        <f>'[6]price list MAN'!AA1572</f>
        <v>#N/A</v>
      </c>
      <c r="P1572" s="68" t="e">
        <f t="shared" si="121"/>
        <v>#N/A</v>
      </c>
      <c r="Q1572" s="62" t="e">
        <f>O1572-#REF!</f>
        <v>#N/A</v>
      </c>
      <c r="AT1572" s="425" t="str">
        <f t="shared" si="122"/>
        <v>Special Order0</v>
      </c>
      <c r="AU1572" s="64" t="str">
        <f t="shared" si="123"/>
        <v>01-1900</v>
      </c>
      <c r="BA1572" s="428" t="str">
        <f t="shared" si="124"/>
        <v/>
      </c>
    </row>
    <row r="1573" spans="2:53">
      <c r="B1573" s="36">
        <f>'[6]price list MAN'!B1573</f>
        <v>0</v>
      </c>
      <c r="C1573" s="10">
        <f>'[6]price list MAN'!C1573</f>
        <v>0</v>
      </c>
      <c r="D1573" s="16" t="str">
        <f>IFERROR(VLOOKUP(C1573&amp;"",'[7]Retail Price List'!$A$3:$B$103,2,FALSE),"Special Order")</f>
        <v>Special Order</v>
      </c>
      <c r="E1573" s="494">
        <f>'[6]price list MAN'!E1573</f>
        <v>0</v>
      </c>
      <c r="F1573" s="11">
        <f>'[6]price list MAN'!F1573</f>
        <v>0</v>
      </c>
      <c r="G1573" s="32">
        <f>'[6]price list MAN'!G1573</f>
        <v>0</v>
      </c>
      <c r="H1573" s="26">
        <f>'[6]price list MAN'!H1573</f>
        <v>0</v>
      </c>
      <c r="I1573" s="51" t="str">
        <f t="shared" si="120"/>
        <v/>
      </c>
      <c r="J1573" s="177" t="e">
        <f>'[6]price list MAN'!J1573</f>
        <v>#N/A</v>
      </c>
      <c r="K1573" s="177" t="e">
        <f>'[6]price list MAN'!P1573</f>
        <v>#N/A</v>
      </c>
      <c r="L1573" s="177" t="e">
        <f>'[6]price list MAN'!R1573</f>
        <v>#N/A</v>
      </c>
      <c r="M1573" s="174" t="e">
        <f>'[6]price list MAN'!S1573</f>
        <v>#N/A</v>
      </c>
      <c r="N1573" s="174" t="e">
        <f>'[6]price list MAN'!Y1573</f>
        <v>#N/A</v>
      </c>
      <c r="O1573" s="174" t="e">
        <f>'[6]price list MAN'!AA1573</f>
        <v>#N/A</v>
      </c>
      <c r="P1573" s="68" t="e">
        <f t="shared" si="121"/>
        <v>#N/A</v>
      </c>
      <c r="Q1573" s="62" t="e">
        <f>O1573-#REF!</f>
        <v>#N/A</v>
      </c>
      <c r="AT1573" s="425" t="str">
        <f t="shared" si="122"/>
        <v>Special Order0</v>
      </c>
      <c r="AU1573" s="64" t="str">
        <f t="shared" si="123"/>
        <v>01-1900</v>
      </c>
      <c r="BA1573" s="428" t="str">
        <f t="shared" si="124"/>
        <v/>
      </c>
    </row>
    <row r="1574" spans="2:53">
      <c r="B1574" s="36">
        <f>'[6]price list MAN'!B1574</f>
        <v>0</v>
      </c>
      <c r="C1574" s="10">
        <f>'[6]price list MAN'!C1574</f>
        <v>0</v>
      </c>
      <c r="D1574" s="16" t="str">
        <f>IFERROR(VLOOKUP(C1574&amp;"",'[7]Retail Price List'!$A$3:$B$103,2,FALSE),"Special Order")</f>
        <v>Special Order</v>
      </c>
      <c r="E1574" s="494">
        <f>'[6]price list MAN'!E1574</f>
        <v>0</v>
      </c>
      <c r="F1574" s="11">
        <f>'[6]price list MAN'!F1574</f>
        <v>0</v>
      </c>
      <c r="G1574" s="32">
        <f>'[6]price list MAN'!G1574</f>
        <v>0</v>
      </c>
      <c r="H1574" s="26">
        <f>'[6]price list MAN'!H1574</f>
        <v>0</v>
      </c>
      <c r="I1574" s="51" t="str">
        <f t="shared" si="120"/>
        <v/>
      </c>
      <c r="J1574" s="177" t="e">
        <f>'[6]price list MAN'!J1574</f>
        <v>#N/A</v>
      </c>
      <c r="K1574" s="177" t="e">
        <f>'[6]price list MAN'!P1574</f>
        <v>#N/A</v>
      </c>
      <c r="L1574" s="177" t="e">
        <f>'[6]price list MAN'!R1574</f>
        <v>#N/A</v>
      </c>
      <c r="M1574" s="174" t="e">
        <f>'[6]price list MAN'!S1574</f>
        <v>#N/A</v>
      </c>
      <c r="N1574" s="174" t="e">
        <f>'[6]price list MAN'!Y1574</f>
        <v>#N/A</v>
      </c>
      <c r="O1574" s="174" t="e">
        <f>'[6]price list MAN'!AA1574</f>
        <v>#N/A</v>
      </c>
      <c r="P1574" s="68" t="e">
        <f t="shared" si="121"/>
        <v>#N/A</v>
      </c>
      <c r="Q1574" s="62" t="e">
        <f>O1574-#REF!</f>
        <v>#N/A</v>
      </c>
      <c r="AT1574" s="425" t="str">
        <f t="shared" si="122"/>
        <v>Special Order0</v>
      </c>
      <c r="AU1574" s="64" t="str">
        <f t="shared" si="123"/>
        <v>01-1900</v>
      </c>
      <c r="BA1574" s="428" t="str">
        <f t="shared" si="124"/>
        <v/>
      </c>
    </row>
    <row r="1575" spans="2:53">
      <c r="B1575" s="36">
        <f>'[6]price list MAN'!B1575</f>
        <v>0</v>
      </c>
      <c r="C1575" s="10">
        <f>'[6]price list MAN'!C1575</f>
        <v>0</v>
      </c>
      <c r="D1575" s="16" t="str">
        <f>IFERROR(VLOOKUP(C1575&amp;"",'[7]Retail Price List'!$A$3:$B$103,2,FALSE),"Special Order")</f>
        <v>Special Order</v>
      </c>
      <c r="E1575" s="494">
        <f>'[6]price list MAN'!E1575</f>
        <v>0</v>
      </c>
      <c r="F1575" s="11">
        <f>'[6]price list MAN'!F1575</f>
        <v>0</v>
      </c>
      <c r="G1575" s="32">
        <f>'[6]price list MAN'!G1575</f>
        <v>0</v>
      </c>
      <c r="H1575" s="26">
        <f>'[6]price list MAN'!H1575</f>
        <v>0</v>
      </c>
      <c r="I1575" s="51" t="str">
        <f t="shared" si="120"/>
        <v/>
      </c>
      <c r="J1575" s="177" t="e">
        <f>'[6]price list MAN'!J1575</f>
        <v>#N/A</v>
      </c>
      <c r="K1575" s="177" t="e">
        <f>'[6]price list MAN'!P1575</f>
        <v>#N/A</v>
      </c>
      <c r="L1575" s="177" t="e">
        <f>'[6]price list MAN'!R1575</f>
        <v>#N/A</v>
      </c>
      <c r="M1575" s="174" t="e">
        <f>'[6]price list MAN'!S1575</f>
        <v>#N/A</v>
      </c>
      <c r="N1575" s="174" t="e">
        <f>'[6]price list MAN'!Y1575</f>
        <v>#N/A</v>
      </c>
      <c r="O1575" s="174" t="e">
        <f>'[6]price list MAN'!AA1575</f>
        <v>#N/A</v>
      </c>
      <c r="P1575" s="68" t="e">
        <f t="shared" si="121"/>
        <v>#N/A</v>
      </c>
      <c r="Q1575" s="62" t="e">
        <f>O1575-#REF!</f>
        <v>#N/A</v>
      </c>
      <c r="AT1575" s="425" t="str">
        <f t="shared" si="122"/>
        <v>Special Order0</v>
      </c>
      <c r="AU1575" s="64" t="str">
        <f t="shared" si="123"/>
        <v>01-1900</v>
      </c>
      <c r="BA1575" s="428" t="str">
        <f t="shared" si="124"/>
        <v/>
      </c>
    </row>
    <row r="1576" spans="2:53">
      <c r="B1576" s="36">
        <f>'[6]price list MAN'!B1576</f>
        <v>0</v>
      </c>
      <c r="C1576" s="10">
        <f>'[6]price list MAN'!C1576</f>
        <v>0</v>
      </c>
      <c r="D1576" s="16" t="str">
        <f>IFERROR(VLOOKUP(C1576&amp;"",'[7]Retail Price List'!$A$3:$B$103,2,FALSE),"Special Order")</f>
        <v>Special Order</v>
      </c>
      <c r="E1576" s="494">
        <f>'[6]price list MAN'!E1576</f>
        <v>0</v>
      </c>
      <c r="F1576" s="11">
        <f>'[6]price list MAN'!F1576</f>
        <v>0</v>
      </c>
      <c r="G1576" s="32">
        <f>'[6]price list MAN'!G1576</f>
        <v>0</v>
      </c>
      <c r="H1576" s="26">
        <f>'[6]price list MAN'!H1576</f>
        <v>0</v>
      </c>
      <c r="I1576" s="51" t="str">
        <f t="shared" si="120"/>
        <v/>
      </c>
      <c r="J1576" s="177" t="e">
        <f>'[6]price list MAN'!J1576</f>
        <v>#N/A</v>
      </c>
      <c r="K1576" s="177" t="e">
        <f>'[6]price list MAN'!P1576</f>
        <v>#N/A</v>
      </c>
      <c r="L1576" s="177" t="e">
        <f>'[6]price list MAN'!R1576</f>
        <v>#N/A</v>
      </c>
      <c r="M1576" s="174" t="e">
        <f>'[6]price list MAN'!S1576</f>
        <v>#N/A</v>
      </c>
      <c r="N1576" s="174" t="e">
        <f>'[6]price list MAN'!Y1576</f>
        <v>#N/A</v>
      </c>
      <c r="O1576" s="174" t="e">
        <f>'[6]price list MAN'!AA1576</f>
        <v>#N/A</v>
      </c>
      <c r="P1576" s="68" t="e">
        <f t="shared" si="121"/>
        <v>#N/A</v>
      </c>
      <c r="Q1576" s="62" t="e">
        <f>O1576-#REF!</f>
        <v>#N/A</v>
      </c>
      <c r="AT1576" s="425" t="str">
        <f t="shared" si="122"/>
        <v>Special Order0</v>
      </c>
      <c r="AU1576" s="64" t="str">
        <f t="shared" si="123"/>
        <v>01-1900</v>
      </c>
      <c r="BA1576" s="428" t="str">
        <f t="shared" si="124"/>
        <v/>
      </c>
    </row>
    <row r="1577" spans="2:53">
      <c r="B1577" s="36">
        <f>'[6]price list MAN'!B1577</f>
        <v>0</v>
      </c>
      <c r="C1577" s="10">
        <f>'[6]price list MAN'!C1577</f>
        <v>0</v>
      </c>
      <c r="D1577" s="16" t="str">
        <f>IFERROR(VLOOKUP(C1577&amp;"",'[7]Retail Price List'!$A$3:$B$103,2,FALSE),"Special Order")</f>
        <v>Special Order</v>
      </c>
      <c r="E1577" s="494">
        <f>'[6]price list MAN'!E1577</f>
        <v>0</v>
      </c>
      <c r="F1577" s="11">
        <f>'[6]price list MAN'!F1577</f>
        <v>0</v>
      </c>
      <c r="G1577" s="32">
        <f>'[6]price list MAN'!G1577</f>
        <v>0</v>
      </c>
      <c r="H1577" s="26">
        <f>'[6]price list MAN'!H1577</f>
        <v>0</v>
      </c>
      <c r="I1577" s="51" t="str">
        <f t="shared" si="120"/>
        <v/>
      </c>
      <c r="J1577" s="177" t="e">
        <f>'[6]price list MAN'!J1577</f>
        <v>#N/A</v>
      </c>
      <c r="K1577" s="177" t="e">
        <f>'[6]price list MAN'!P1577</f>
        <v>#N/A</v>
      </c>
      <c r="L1577" s="177" t="e">
        <f>'[6]price list MAN'!R1577</f>
        <v>#N/A</v>
      </c>
      <c r="M1577" s="174" t="e">
        <f>'[6]price list MAN'!S1577</f>
        <v>#N/A</v>
      </c>
      <c r="N1577" s="174" t="e">
        <f>'[6]price list MAN'!Y1577</f>
        <v>#N/A</v>
      </c>
      <c r="O1577" s="174" t="e">
        <f>'[6]price list MAN'!AA1577</f>
        <v>#N/A</v>
      </c>
      <c r="P1577" s="68" t="e">
        <f t="shared" si="121"/>
        <v>#N/A</v>
      </c>
      <c r="Q1577" s="62" t="e">
        <f>O1577-#REF!</f>
        <v>#N/A</v>
      </c>
      <c r="AT1577" s="425" t="str">
        <f t="shared" si="122"/>
        <v>Special Order0</v>
      </c>
      <c r="AU1577" s="64" t="str">
        <f t="shared" si="123"/>
        <v>01-1900</v>
      </c>
      <c r="BA1577" s="428" t="str">
        <f t="shared" si="124"/>
        <v/>
      </c>
    </row>
    <row r="1578" spans="2:53">
      <c r="B1578" s="36">
        <f>'[6]price list MAN'!B1578</f>
        <v>0</v>
      </c>
      <c r="C1578" s="10">
        <f>'[6]price list MAN'!C1578</f>
        <v>0</v>
      </c>
      <c r="D1578" s="16" t="str">
        <f>IFERROR(VLOOKUP(C1578&amp;"",'[7]Retail Price List'!$A$3:$B$103,2,FALSE),"Special Order")</f>
        <v>Special Order</v>
      </c>
      <c r="E1578" s="494">
        <f>'[6]price list MAN'!E1578</f>
        <v>0</v>
      </c>
      <c r="F1578" s="11">
        <f>'[6]price list MAN'!F1578</f>
        <v>0</v>
      </c>
      <c r="G1578" s="32">
        <f>'[6]price list MAN'!G1578</f>
        <v>0</v>
      </c>
      <c r="H1578" s="26">
        <f>'[6]price list MAN'!H1578</f>
        <v>0</v>
      </c>
      <c r="I1578" s="51" t="str">
        <f t="shared" si="120"/>
        <v/>
      </c>
      <c r="J1578" s="177" t="e">
        <f>'[6]price list MAN'!J1578</f>
        <v>#N/A</v>
      </c>
      <c r="K1578" s="177" t="e">
        <f>'[6]price list MAN'!P1578</f>
        <v>#N/A</v>
      </c>
      <c r="L1578" s="177" t="e">
        <f>'[6]price list MAN'!R1578</f>
        <v>#N/A</v>
      </c>
      <c r="M1578" s="174" t="e">
        <f>'[6]price list MAN'!S1578</f>
        <v>#N/A</v>
      </c>
      <c r="N1578" s="174" t="e">
        <f>'[6]price list MAN'!Y1578</f>
        <v>#N/A</v>
      </c>
      <c r="O1578" s="174" t="e">
        <f>'[6]price list MAN'!AA1578</f>
        <v>#N/A</v>
      </c>
      <c r="P1578" s="68" t="e">
        <f t="shared" si="121"/>
        <v>#N/A</v>
      </c>
      <c r="Q1578" s="62" t="e">
        <f>O1578-#REF!</f>
        <v>#N/A</v>
      </c>
      <c r="AT1578" s="425" t="str">
        <f t="shared" si="122"/>
        <v>Special Order0</v>
      </c>
      <c r="AU1578" s="64" t="str">
        <f t="shared" si="123"/>
        <v>01-1900</v>
      </c>
      <c r="BA1578" s="428" t="str">
        <f t="shared" si="124"/>
        <v/>
      </c>
    </row>
    <row r="1579" spans="2:53">
      <c r="B1579" s="36">
        <f>'[6]price list MAN'!B1579</f>
        <v>0</v>
      </c>
      <c r="C1579" s="10">
        <f>'[6]price list MAN'!C1579</f>
        <v>0</v>
      </c>
      <c r="D1579" s="16" t="str">
        <f>IFERROR(VLOOKUP(C1579&amp;"",'[7]Retail Price List'!$A$3:$B$103,2,FALSE),"Special Order")</f>
        <v>Special Order</v>
      </c>
      <c r="E1579" s="494">
        <f>'[6]price list MAN'!E1579</f>
        <v>0</v>
      </c>
      <c r="F1579" s="11">
        <f>'[6]price list MAN'!F1579</f>
        <v>0</v>
      </c>
      <c r="G1579" s="32">
        <f>'[6]price list MAN'!G1579</f>
        <v>0</v>
      </c>
      <c r="H1579" s="26">
        <f>'[6]price list MAN'!H1579</f>
        <v>0</v>
      </c>
      <c r="I1579" s="51" t="str">
        <f t="shared" si="120"/>
        <v/>
      </c>
      <c r="J1579" s="177" t="e">
        <f>'[6]price list MAN'!J1579</f>
        <v>#N/A</v>
      </c>
      <c r="K1579" s="177" t="e">
        <f>'[6]price list MAN'!P1579</f>
        <v>#N/A</v>
      </c>
      <c r="L1579" s="177" t="e">
        <f>'[6]price list MAN'!R1579</f>
        <v>#N/A</v>
      </c>
      <c r="M1579" s="174" t="e">
        <f>'[6]price list MAN'!S1579</f>
        <v>#N/A</v>
      </c>
      <c r="N1579" s="174" t="e">
        <f>'[6]price list MAN'!Y1579</f>
        <v>#N/A</v>
      </c>
      <c r="O1579" s="174" t="e">
        <f>'[6]price list MAN'!AA1579</f>
        <v>#N/A</v>
      </c>
      <c r="P1579" s="68" t="e">
        <f t="shared" si="121"/>
        <v>#N/A</v>
      </c>
      <c r="Q1579" s="62" t="e">
        <f>O1579-#REF!</f>
        <v>#N/A</v>
      </c>
      <c r="AT1579" s="425" t="str">
        <f t="shared" si="122"/>
        <v>Special Order0</v>
      </c>
      <c r="AU1579" s="64" t="str">
        <f t="shared" si="123"/>
        <v>01-1900</v>
      </c>
      <c r="BA1579" s="428" t="str">
        <f t="shared" si="124"/>
        <v/>
      </c>
    </row>
    <row r="1580" spans="2:53">
      <c r="B1580" s="36">
        <f>'[6]price list MAN'!B1580</f>
        <v>0</v>
      </c>
      <c r="C1580" s="10">
        <f>'[6]price list MAN'!C1580</f>
        <v>0</v>
      </c>
      <c r="D1580" s="16" t="str">
        <f>IFERROR(VLOOKUP(C1580&amp;"",'[7]Retail Price List'!$A$3:$B$103,2,FALSE),"Special Order")</f>
        <v>Special Order</v>
      </c>
      <c r="E1580" s="494">
        <f>'[6]price list MAN'!E1580</f>
        <v>0</v>
      </c>
      <c r="F1580" s="11">
        <f>'[6]price list MAN'!F1580</f>
        <v>0</v>
      </c>
      <c r="G1580" s="32">
        <f>'[6]price list MAN'!G1580</f>
        <v>0</v>
      </c>
      <c r="H1580" s="26">
        <f>'[6]price list MAN'!H1580</f>
        <v>0</v>
      </c>
      <c r="I1580" s="51" t="str">
        <f t="shared" si="120"/>
        <v/>
      </c>
      <c r="J1580" s="177" t="e">
        <f>'[6]price list MAN'!J1580</f>
        <v>#N/A</v>
      </c>
      <c r="K1580" s="177" t="e">
        <f>'[6]price list MAN'!P1580</f>
        <v>#N/A</v>
      </c>
      <c r="L1580" s="177" t="e">
        <f>'[6]price list MAN'!R1580</f>
        <v>#N/A</v>
      </c>
      <c r="M1580" s="174" t="e">
        <f>'[6]price list MAN'!S1580</f>
        <v>#N/A</v>
      </c>
      <c r="N1580" s="174" t="e">
        <f>'[6]price list MAN'!Y1580</f>
        <v>#N/A</v>
      </c>
      <c r="O1580" s="174" t="e">
        <f>'[6]price list MAN'!AA1580</f>
        <v>#N/A</v>
      </c>
      <c r="P1580" s="68" t="e">
        <f t="shared" si="121"/>
        <v>#N/A</v>
      </c>
      <c r="Q1580" s="62" t="e">
        <f>O1580-#REF!</f>
        <v>#N/A</v>
      </c>
      <c r="AT1580" s="425" t="str">
        <f t="shared" si="122"/>
        <v>Special Order0</v>
      </c>
      <c r="AU1580" s="64" t="str">
        <f t="shared" si="123"/>
        <v>01-1900</v>
      </c>
      <c r="BA1580" s="428" t="str">
        <f t="shared" si="124"/>
        <v/>
      </c>
    </row>
    <row r="1581" spans="2:53">
      <c r="B1581" s="36">
        <f>'[6]price list MAN'!B1581</f>
        <v>0</v>
      </c>
      <c r="C1581" s="10">
        <f>'[6]price list MAN'!C1581</f>
        <v>0</v>
      </c>
      <c r="D1581" s="16" t="str">
        <f>IFERROR(VLOOKUP(C1581&amp;"",'[7]Retail Price List'!$A$3:$B$103,2,FALSE),"Special Order")</f>
        <v>Special Order</v>
      </c>
      <c r="E1581" s="494">
        <f>'[6]price list MAN'!E1581</f>
        <v>0</v>
      </c>
      <c r="F1581" s="11">
        <f>'[6]price list MAN'!F1581</f>
        <v>0</v>
      </c>
      <c r="G1581" s="32">
        <f>'[6]price list MAN'!G1581</f>
        <v>0</v>
      </c>
      <c r="H1581" s="26">
        <f>'[6]price list MAN'!H1581</f>
        <v>0</v>
      </c>
      <c r="I1581" s="51" t="str">
        <f t="shared" si="120"/>
        <v/>
      </c>
      <c r="J1581" s="177" t="e">
        <f>'[6]price list MAN'!J1581</f>
        <v>#N/A</v>
      </c>
      <c r="K1581" s="177" t="e">
        <f>'[6]price list MAN'!P1581</f>
        <v>#N/A</v>
      </c>
      <c r="L1581" s="177" t="e">
        <f>'[6]price list MAN'!R1581</f>
        <v>#N/A</v>
      </c>
      <c r="M1581" s="174" t="e">
        <f>'[6]price list MAN'!S1581</f>
        <v>#N/A</v>
      </c>
      <c r="N1581" s="174" t="e">
        <f>'[6]price list MAN'!Y1581</f>
        <v>#N/A</v>
      </c>
      <c r="O1581" s="174" t="e">
        <f>'[6]price list MAN'!AA1581</f>
        <v>#N/A</v>
      </c>
      <c r="P1581" s="68" t="e">
        <f t="shared" si="121"/>
        <v>#N/A</v>
      </c>
      <c r="Q1581" s="62" t="e">
        <f>O1581-#REF!</f>
        <v>#N/A</v>
      </c>
      <c r="AT1581" s="425" t="str">
        <f t="shared" si="122"/>
        <v>Special Order0</v>
      </c>
      <c r="AU1581" s="64" t="str">
        <f t="shared" si="123"/>
        <v>01-1900</v>
      </c>
      <c r="BA1581" s="428" t="str">
        <f t="shared" si="124"/>
        <v/>
      </c>
    </row>
    <row r="1582" spans="2:53">
      <c r="B1582" s="36">
        <f>'[6]price list MAN'!B1582</f>
        <v>0</v>
      </c>
      <c r="C1582" s="10">
        <f>'[6]price list MAN'!C1582</f>
        <v>0</v>
      </c>
      <c r="D1582" s="16" t="str">
        <f>IFERROR(VLOOKUP(C1582&amp;"",'[7]Retail Price List'!$A$3:$B$103,2,FALSE),"Special Order")</f>
        <v>Special Order</v>
      </c>
      <c r="E1582" s="494">
        <f>'[6]price list MAN'!E1582</f>
        <v>0</v>
      </c>
      <c r="F1582" s="11">
        <f>'[6]price list MAN'!F1582</f>
        <v>0</v>
      </c>
      <c r="G1582" s="32">
        <f>'[6]price list MAN'!G1582</f>
        <v>0</v>
      </c>
      <c r="H1582" s="26">
        <f>'[6]price list MAN'!H1582</f>
        <v>0</v>
      </c>
      <c r="I1582" s="51" t="str">
        <f t="shared" si="120"/>
        <v/>
      </c>
      <c r="J1582" s="177" t="e">
        <f>'[6]price list MAN'!J1582</f>
        <v>#N/A</v>
      </c>
      <c r="K1582" s="177" t="e">
        <f>'[6]price list MAN'!P1582</f>
        <v>#N/A</v>
      </c>
      <c r="L1582" s="177" t="e">
        <f>'[6]price list MAN'!R1582</f>
        <v>#N/A</v>
      </c>
      <c r="M1582" s="174" t="e">
        <f>'[6]price list MAN'!S1582</f>
        <v>#N/A</v>
      </c>
      <c r="N1582" s="174" t="e">
        <f>'[6]price list MAN'!Y1582</f>
        <v>#N/A</v>
      </c>
      <c r="O1582" s="174" t="e">
        <f>'[6]price list MAN'!AA1582</f>
        <v>#N/A</v>
      </c>
      <c r="P1582" s="68" t="e">
        <f t="shared" si="121"/>
        <v>#N/A</v>
      </c>
      <c r="Q1582" s="62" t="e">
        <f>O1582-#REF!</f>
        <v>#N/A</v>
      </c>
      <c r="AT1582" s="425" t="str">
        <f t="shared" si="122"/>
        <v>Special Order0</v>
      </c>
      <c r="AU1582" s="64" t="str">
        <f t="shared" si="123"/>
        <v>01-1900</v>
      </c>
      <c r="BA1582" s="428" t="str">
        <f t="shared" si="124"/>
        <v/>
      </c>
    </row>
    <row r="1583" spans="2:53">
      <c r="B1583" s="36">
        <f>'[6]price list MAN'!B1583</f>
        <v>0</v>
      </c>
      <c r="C1583" s="10">
        <f>'[6]price list MAN'!C1583</f>
        <v>0</v>
      </c>
      <c r="D1583" s="16" t="str">
        <f>IFERROR(VLOOKUP(C1583&amp;"",'[7]Retail Price List'!$A$3:$B$103,2,FALSE),"Special Order")</f>
        <v>Special Order</v>
      </c>
      <c r="E1583" s="494">
        <f>'[6]price list MAN'!E1583</f>
        <v>0</v>
      </c>
      <c r="F1583" s="11">
        <f>'[6]price list MAN'!F1583</f>
        <v>0</v>
      </c>
      <c r="G1583" s="32">
        <f>'[6]price list MAN'!G1583</f>
        <v>0</v>
      </c>
      <c r="H1583" s="26">
        <f>'[6]price list MAN'!H1583</f>
        <v>0</v>
      </c>
      <c r="I1583" s="51" t="str">
        <f t="shared" si="120"/>
        <v/>
      </c>
      <c r="J1583" s="177" t="e">
        <f>'[6]price list MAN'!J1583</f>
        <v>#N/A</v>
      </c>
      <c r="K1583" s="177" t="e">
        <f>'[6]price list MAN'!P1583</f>
        <v>#N/A</v>
      </c>
      <c r="L1583" s="177" t="e">
        <f>'[6]price list MAN'!R1583</f>
        <v>#N/A</v>
      </c>
      <c r="M1583" s="174" t="e">
        <f>'[6]price list MAN'!S1583</f>
        <v>#N/A</v>
      </c>
      <c r="N1583" s="174" t="e">
        <f>'[6]price list MAN'!Y1583</f>
        <v>#N/A</v>
      </c>
      <c r="O1583" s="174" t="e">
        <f>'[6]price list MAN'!AA1583</f>
        <v>#N/A</v>
      </c>
      <c r="P1583" s="68" t="e">
        <f t="shared" si="121"/>
        <v>#N/A</v>
      </c>
      <c r="Q1583" s="62" t="e">
        <f>O1583-#REF!</f>
        <v>#N/A</v>
      </c>
      <c r="AT1583" s="425" t="str">
        <f t="shared" si="122"/>
        <v>Special Order0</v>
      </c>
      <c r="AU1583" s="64" t="str">
        <f t="shared" si="123"/>
        <v>01-1900</v>
      </c>
      <c r="BA1583" s="428" t="str">
        <f t="shared" si="124"/>
        <v/>
      </c>
    </row>
    <row r="1584" spans="2:53">
      <c r="B1584" s="36">
        <f>'[6]price list MAN'!B1584</f>
        <v>0</v>
      </c>
      <c r="C1584" s="10">
        <f>'[6]price list MAN'!C1584</f>
        <v>0</v>
      </c>
      <c r="D1584" s="16" t="str">
        <f>IFERROR(VLOOKUP(C1584&amp;"",'[7]Retail Price List'!$A$3:$B$103,2,FALSE),"Special Order")</f>
        <v>Special Order</v>
      </c>
      <c r="E1584" s="494">
        <f>'[6]price list MAN'!E1584</f>
        <v>0</v>
      </c>
      <c r="F1584" s="11">
        <f>'[6]price list MAN'!F1584</f>
        <v>0</v>
      </c>
      <c r="G1584" s="32">
        <f>'[6]price list MAN'!G1584</f>
        <v>0</v>
      </c>
      <c r="H1584" s="26">
        <f>'[6]price list MAN'!H1584</f>
        <v>0</v>
      </c>
      <c r="I1584" s="51" t="str">
        <f t="shared" si="120"/>
        <v/>
      </c>
      <c r="J1584" s="177" t="e">
        <f>'[6]price list MAN'!J1584</f>
        <v>#N/A</v>
      </c>
      <c r="K1584" s="177" t="e">
        <f>'[6]price list MAN'!P1584</f>
        <v>#N/A</v>
      </c>
      <c r="L1584" s="177" t="e">
        <f>'[6]price list MAN'!R1584</f>
        <v>#N/A</v>
      </c>
      <c r="M1584" s="174" t="e">
        <f>'[6]price list MAN'!S1584</f>
        <v>#N/A</v>
      </c>
      <c r="N1584" s="174" t="e">
        <f>'[6]price list MAN'!Y1584</f>
        <v>#N/A</v>
      </c>
      <c r="O1584" s="174" t="e">
        <f>'[6]price list MAN'!AA1584</f>
        <v>#N/A</v>
      </c>
      <c r="P1584" s="68" t="e">
        <f t="shared" si="121"/>
        <v>#N/A</v>
      </c>
      <c r="Q1584" s="62" t="e">
        <f>O1584-#REF!</f>
        <v>#N/A</v>
      </c>
      <c r="AT1584" s="425" t="str">
        <f t="shared" si="122"/>
        <v>Special Order0</v>
      </c>
      <c r="AU1584" s="64" t="str">
        <f t="shared" si="123"/>
        <v>01-1900</v>
      </c>
      <c r="BA1584" s="428" t="str">
        <f t="shared" si="124"/>
        <v/>
      </c>
    </row>
    <row r="1585" spans="2:53">
      <c r="B1585" s="36">
        <f>'[6]price list MAN'!B1585</f>
        <v>0</v>
      </c>
      <c r="C1585" s="10">
        <f>'[6]price list MAN'!C1585</f>
        <v>0</v>
      </c>
      <c r="D1585" s="16" t="str">
        <f>IFERROR(VLOOKUP(C1585&amp;"",'[7]Retail Price List'!$A$3:$B$103,2,FALSE),"Special Order")</f>
        <v>Special Order</v>
      </c>
      <c r="E1585" s="494">
        <f>'[6]price list MAN'!E1585</f>
        <v>0</v>
      </c>
      <c r="F1585" s="11">
        <f>'[6]price list MAN'!F1585</f>
        <v>0</v>
      </c>
      <c r="G1585" s="32">
        <f>'[6]price list MAN'!G1585</f>
        <v>0</v>
      </c>
      <c r="H1585" s="26">
        <f>'[6]price list MAN'!H1585</f>
        <v>0</v>
      </c>
      <c r="I1585" s="51" t="str">
        <f t="shared" si="120"/>
        <v/>
      </c>
      <c r="J1585" s="177" t="e">
        <f>'[6]price list MAN'!J1585</f>
        <v>#N/A</v>
      </c>
      <c r="K1585" s="177" t="e">
        <f>'[6]price list MAN'!P1585</f>
        <v>#N/A</v>
      </c>
      <c r="L1585" s="177" t="e">
        <f>'[6]price list MAN'!R1585</f>
        <v>#N/A</v>
      </c>
      <c r="M1585" s="174" t="e">
        <f>'[6]price list MAN'!S1585</f>
        <v>#N/A</v>
      </c>
      <c r="N1585" s="174" t="e">
        <f>'[6]price list MAN'!Y1585</f>
        <v>#N/A</v>
      </c>
      <c r="O1585" s="174" t="e">
        <f>'[6]price list MAN'!AA1585</f>
        <v>#N/A</v>
      </c>
      <c r="P1585" s="68" t="e">
        <f t="shared" si="121"/>
        <v>#N/A</v>
      </c>
      <c r="Q1585" s="62" t="e">
        <f>O1585-#REF!</f>
        <v>#N/A</v>
      </c>
      <c r="AT1585" s="425" t="str">
        <f t="shared" si="122"/>
        <v>Special Order0</v>
      </c>
      <c r="AU1585" s="64" t="str">
        <f t="shared" si="123"/>
        <v>01-1900</v>
      </c>
      <c r="BA1585" s="428" t="str">
        <f t="shared" si="124"/>
        <v/>
      </c>
    </row>
    <row r="1586" spans="2:53">
      <c r="B1586" s="36">
        <f>'[6]price list MAN'!B1586</f>
        <v>0</v>
      </c>
      <c r="C1586" s="10">
        <f>'[6]price list MAN'!C1586</f>
        <v>0</v>
      </c>
      <c r="D1586" s="16" t="str">
        <f>IFERROR(VLOOKUP(C1586&amp;"",'[7]Retail Price List'!$A$3:$B$103,2,FALSE),"Special Order")</f>
        <v>Special Order</v>
      </c>
      <c r="E1586" s="494">
        <f>'[6]price list MAN'!E1586</f>
        <v>0</v>
      </c>
      <c r="F1586" s="11">
        <f>'[6]price list MAN'!F1586</f>
        <v>0</v>
      </c>
      <c r="G1586" s="32">
        <f>'[6]price list MAN'!G1586</f>
        <v>0</v>
      </c>
      <c r="H1586" s="26">
        <f>'[6]price list MAN'!H1586</f>
        <v>0</v>
      </c>
      <c r="I1586" s="51" t="str">
        <f t="shared" si="120"/>
        <v/>
      </c>
      <c r="J1586" s="177" t="e">
        <f>'[6]price list MAN'!J1586</f>
        <v>#N/A</v>
      </c>
      <c r="K1586" s="177" t="e">
        <f>'[6]price list MAN'!P1586</f>
        <v>#N/A</v>
      </c>
      <c r="L1586" s="177" t="e">
        <f>'[6]price list MAN'!R1586</f>
        <v>#N/A</v>
      </c>
      <c r="M1586" s="174" t="e">
        <f>'[6]price list MAN'!S1586</f>
        <v>#N/A</v>
      </c>
      <c r="N1586" s="174" t="e">
        <f>'[6]price list MAN'!Y1586</f>
        <v>#N/A</v>
      </c>
      <c r="O1586" s="174" t="e">
        <f>'[6]price list MAN'!AA1586</f>
        <v>#N/A</v>
      </c>
      <c r="P1586" s="68" t="e">
        <f t="shared" si="121"/>
        <v>#N/A</v>
      </c>
      <c r="Q1586" s="62" t="e">
        <f>O1586-#REF!</f>
        <v>#N/A</v>
      </c>
      <c r="AT1586" s="425" t="str">
        <f t="shared" si="122"/>
        <v>Special Order0</v>
      </c>
      <c r="AU1586" s="64" t="str">
        <f t="shared" si="123"/>
        <v>01-1900</v>
      </c>
      <c r="BA1586" s="428" t="str">
        <f t="shared" si="124"/>
        <v/>
      </c>
    </row>
    <row r="1587" spans="2:53">
      <c r="B1587" s="36">
        <f>'[6]price list MAN'!B1587</f>
        <v>0</v>
      </c>
      <c r="C1587" s="10">
        <f>'[6]price list MAN'!C1587</f>
        <v>0</v>
      </c>
      <c r="D1587" s="16" t="str">
        <f>IFERROR(VLOOKUP(C1587&amp;"",'[7]Retail Price List'!$A$3:$B$103,2,FALSE),"Special Order")</f>
        <v>Special Order</v>
      </c>
      <c r="E1587" s="494">
        <f>'[6]price list MAN'!E1587</f>
        <v>0</v>
      </c>
      <c r="F1587" s="11">
        <f>'[6]price list MAN'!F1587</f>
        <v>0</v>
      </c>
      <c r="G1587" s="32">
        <f>'[6]price list MAN'!G1587</f>
        <v>0</v>
      </c>
      <c r="H1587" s="26">
        <f>'[6]price list MAN'!H1587</f>
        <v>0</v>
      </c>
      <c r="I1587" s="51" t="str">
        <f t="shared" si="120"/>
        <v/>
      </c>
      <c r="J1587" s="177" t="e">
        <f>'[6]price list MAN'!J1587</f>
        <v>#N/A</v>
      </c>
      <c r="K1587" s="177" t="e">
        <f>'[6]price list MAN'!P1587</f>
        <v>#N/A</v>
      </c>
      <c r="L1587" s="177" t="e">
        <f>'[6]price list MAN'!R1587</f>
        <v>#N/A</v>
      </c>
      <c r="M1587" s="174" t="e">
        <f>'[6]price list MAN'!S1587</f>
        <v>#N/A</v>
      </c>
      <c r="N1587" s="174" t="e">
        <f>'[6]price list MAN'!Y1587</f>
        <v>#N/A</v>
      </c>
      <c r="O1587" s="174" t="e">
        <f>'[6]price list MAN'!AA1587</f>
        <v>#N/A</v>
      </c>
      <c r="P1587" s="68" t="e">
        <f t="shared" si="121"/>
        <v>#N/A</v>
      </c>
      <c r="Q1587" s="62" t="e">
        <f>O1587-#REF!</f>
        <v>#N/A</v>
      </c>
      <c r="AT1587" s="425" t="str">
        <f t="shared" si="122"/>
        <v>Special Order0</v>
      </c>
      <c r="AU1587" s="64" t="str">
        <f t="shared" si="123"/>
        <v>01-1900</v>
      </c>
      <c r="BA1587" s="428" t="str">
        <f t="shared" si="124"/>
        <v/>
      </c>
    </row>
    <row r="1588" spans="2:53">
      <c r="B1588" s="36">
        <f>'[6]price list MAN'!B1588</f>
        <v>0</v>
      </c>
      <c r="C1588" s="10">
        <f>'[6]price list MAN'!C1588</f>
        <v>0</v>
      </c>
      <c r="D1588" s="16" t="str">
        <f>IFERROR(VLOOKUP(C1588&amp;"",'[7]Retail Price List'!$A$3:$B$103,2,FALSE),"Special Order")</f>
        <v>Special Order</v>
      </c>
      <c r="E1588" s="494">
        <f>'[6]price list MAN'!E1588</f>
        <v>0</v>
      </c>
      <c r="F1588" s="11">
        <f>'[6]price list MAN'!F1588</f>
        <v>0</v>
      </c>
      <c r="G1588" s="32">
        <f>'[6]price list MAN'!G1588</f>
        <v>0</v>
      </c>
      <c r="H1588" s="26">
        <f>'[6]price list MAN'!H1588</f>
        <v>0</v>
      </c>
      <c r="I1588" s="51" t="str">
        <f t="shared" si="120"/>
        <v/>
      </c>
      <c r="J1588" s="177" t="e">
        <f>'[6]price list MAN'!J1588</f>
        <v>#N/A</v>
      </c>
      <c r="K1588" s="177" t="e">
        <f>'[6]price list MAN'!P1588</f>
        <v>#N/A</v>
      </c>
      <c r="L1588" s="177" t="e">
        <f>'[6]price list MAN'!R1588</f>
        <v>#N/A</v>
      </c>
      <c r="M1588" s="174" t="e">
        <f>'[6]price list MAN'!S1588</f>
        <v>#N/A</v>
      </c>
      <c r="N1588" s="174" t="e">
        <f>'[6]price list MAN'!Y1588</f>
        <v>#N/A</v>
      </c>
      <c r="O1588" s="174" t="e">
        <f>'[6]price list MAN'!AA1588</f>
        <v>#N/A</v>
      </c>
      <c r="P1588" s="68" t="e">
        <f t="shared" si="121"/>
        <v>#N/A</v>
      </c>
      <c r="Q1588" s="62" t="e">
        <f>O1588-#REF!</f>
        <v>#N/A</v>
      </c>
      <c r="AT1588" s="425" t="str">
        <f t="shared" si="122"/>
        <v>Special Order0</v>
      </c>
      <c r="AU1588" s="64" t="str">
        <f t="shared" si="123"/>
        <v>01-1900</v>
      </c>
      <c r="BA1588" s="428" t="str">
        <f t="shared" si="124"/>
        <v/>
      </c>
    </row>
    <row r="1589" spans="2:53">
      <c r="B1589" s="36">
        <f>'[6]price list MAN'!B1589</f>
        <v>0</v>
      </c>
      <c r="C1589" s="10">
        <f>'[6]price list MAN'!C1589</f>
        <v>0</v>
      </c>
      <c r="D1589" s="16" t="str">
        <f>IFERROR(VLOOKUP(C1589&amp;"",'[7]Retail Price List'!$A$3:$B$103,2,FALSE),"Special Order")</f>
        <v>Special Order</v>
      </c>
      <c r="E1589" s="494">
        <f>'[6]price list MAN'!E1589</f>
        <v>0</v>
      </c>
      <c r="F1589" s="11">
        <f>'[6]price list MAN'!F1589</f>
        <v>0</v>
      </c>
      <c r="G1589" s="32">
        <f>'[6]price list MAN'!G1589</f>
        <v>0</v>
      </c>
      <c r="H1589" s="26">
        <f>'[6]price list MAN'!H1589</f>
        <v>0</v>
      </c>
      <c r="I1589" s="51" t="str">
        <f t="shared" si="120"/>
        <v/>
      </c>
      <c r="J1589" s="177" t="e">
        <f>'[6]price list MAN'!J1589</f>
        <v>#N/A</v>
      </c>
      <c r="K1589" s="177" t="e">
        <f>'[6]price list MAN'!P1589</f>
        <v>#N/A</v>
      </c>
      <c r="L1589" s="177" t="e">
        <f>'[6]price list MAN'!R1589</f>
        <v>#N/A</v>
      </c>
      <c r="M1589" s="174" t="e">
        <f>'[6]price list MAN'!S1589</f>
        <v>#N/A</v>
      </c>
      <c r="N1589" s="174" t="e">
        <f>'[6]price list MAN'!Y1589</f>
        <v>#N/A</v>
      </c>
      <c r="O1589" s="174" t="e">
        <f>'[6]price list MAN'!AA1589</f>
        <v>#N/A</v>
      </c>
      <c r="P1589" s="68" t="e">
        <f t="shared" si="121"/>
        <v>#N/A</v>
      </c>
      <c r="Q1589" s="62" t="e">
        <f>O1589-#REF!</f>
        <v>#N/A</v>
      </c>
      <c r="AT1589" s="425" t="str">
        <f t="shared" si="122"/>
        <v>Special Order0</v>
      </c>
      <c r="AU1589" s="64" t="str">
        <f t="shared" si="123"/>
        <v>01-1900</v>
      </c>
      <c r="BA1589" s="428" t="str">
        <f t="shared" si="124"/>
        <v/>
      </c>
    </row>
    <row r="1590" spans="2:53">
      <c r="B1590" s="36">
        <f>'[6]price list MAN'!B1590</f>
        <v>0</v>
      </c>
      <c r="C1590" s="10">
        <f>'[6]price list MAN'!C1590</f>
        <v>0</v>
      </c>
      <c r="D1590" s="16" t="str">
        <f>IFERROR(VLOOKUP(C1590&amp;"",'[7]Retail Price List'!$A$3:$B$103,2,FALSE),"Special Order")</f>
        <v>Special Order</v>
      </c>
      <c r="E1590" s="494">
        <f>'[6]price list MAN'!E1590</f>
        <v>0</v>
      </c>
      <c r="F1590" s="11">
        <f>'[6]price list MAN'!F1590</f>
        <v>0</v>
      </c>
      <c r="G1590" s="32">
        <f>'[6]price list MAN'!G1590</f>
        <v>0</v>
      </c>
      <c r="H1590" s="26">
        <f>'[6]price list MAN'!H1590</f>
        <v>0</v>
      </c>
      <c r="I1590" s="51" t="str">
        <f t="shared" si="120"/>
        <v/>
      </c>
      <c r="J1590" s="177" t="e">
        <f>'[6]price list MAN'!J1590</f>
        <v>#N/A</v>
      </c>
      <c r="K1590" s="177" t="e">
        <f>'[6]price list MAN'!P1590</f>
        <v>#N/A</v>
      </c>
      <c r="L1590" s="177" t="e">
        <f>'[6]price list MAN'!R1590</f>
        <v>#N/A</v>
      </c>
      <c r="M1590" s="174" t="e">
        <f>'[6]price list MAN'!S1590</f>
        <v>#N/A</v>
      </c>
      <c r="N1590" s="174" t="e">
        <f>'[6]price list MAN'!Y1590</f>
        <v>#N/A</v>
      </c>
      <c r="O1590" s="174" t="e">
        <f>'[6]price list MAN'!AA1590</f>
        <v>#N/A</v>
      </c>
      <c r="P1590" s="68" t="e">
        <f t="shared" si="121"/>
        <v>#N/A</v>
      </c>
      <c r="Q1590" s="62" t="e">
        <f>O1590-#REF!</f>
        <v>#N/A</v>
      </c>
      <c r="AT1590" s="425" t="str">
        <f t="shared" si="122"/>
        <v>Special Order0</v>
      </c>
      <c r="AU1590" s="64" t="str">
        <f t="shared" si="123"/>
        <v>01-1900</v>
      </c>
      <c r="BA1590" s="428" t="str">
        <f t="shared" si="124"/>
        <v/>
      </c>
    </row>
    <row r="1591" spans="2:53">
      <c r="B1591" s="36">
        <f>'[6]price list MAN'!B1591</f>
        <v>0</v>
      </c>
      <c r="C1591" s="10">
        <f>'[6]price list MAN'!C1591</f>
        <v>0</v>
      </c>
      <c r="D1591" s="16" t="str">
        <f>IFERROR(VLOOKUP(C1591&amp;"",'[7]Retail Price List'!$A$3:$B$103,2,FALSE),"Special Order")</f>
        <v>Special Order</v>
      </c>
      <c r="E1591" s="494">
        <f>'[6]price list MAN'!E1591</f>
        <v>0</v>
      </c>
      <c r="F1591" s="11">
        <f>'[6]price list MAN'!F1591</f>
        <v>0</v>
      </c>
      <c r="G1591" s="32">
        <f>'[6]price list MAN'!G1591</f>
        <v>0</v>
      </c>
      <c r="H1591" s="26">
        <f>'[6]price list MAN'!H1591</f>
        <v>0</v>
      </c>
      <c r="I1591" s="51" t="str">
        <f t="shared" si="120"/>
        <v/>
      </c>
      <c r="J1591" s="177" t="e">
        <f>'[6]price list MAN'!J1591</f>
        <v>#N/A</v>
      </c>
      <c r="K1591" s="177" t="e">
        <f>'[6]price list MAN'!P1591</f>
        <v>#N/A</v>
      </c>
      <c r="L1591" s="177" t="e">
        <f>'[6]price list MAN'!R1591</f>
        <v>#N/A</v>
      </c>
      <c r="M1591" s="174" t="e">
        <f>'[6]price list MAN'!S1591</f>
        <v>#N/A</v>
      </c>
      <c r="N1591" s="174" t="e">
        <f>'[6]price list MAN'!Y1591</f>
        <v>#N/A</v>
      </c>
      <c r="O1591" s="174" t="e">
        <f>'[6]price list MAN'!AA1591</f>
        <v>#N/A</v>
      </c>
      <c r="P1591" s="68" t="e">
        <f t="shared" si="121"/>
        <v>#N/A</v>
      </c>
      <c r="Q1591" s="62" t="e">
        <f>O1591-#REF!</f>
        <v>#N/A</v>
      </c>
      <c r="AT1591" s="425" t="str">
        <f t="shared" si="122"/>
        <v>Special Order0</v>
      </c>
      <c r="AU1591" s="64" t="str">
        <f t="shared" si="123"/>
        <v>01-1900</v>
      </c>
      <c r="BA1591" s="428" t="str">
        <f t="shared" si="124"/>
        <v/>
      </c>
    </row>
    <row r="1592" spans="2:53">
      <c r="B1592" s="36">
        <f>'[6]price list MAN'!B1592</f>
        <v>0</v>
      </c>
      <c r="C1592" s="10">
        <f>'[6]price list MAN'!C1592</f>
        <v>0</v>
      </c>
      <c r="D1592" s="16" t="str">
        <f>IFERROR(VLOOKUP(C1592&amp;"",'[7]Retail Price List'!$A$3:$B$103,2,FALSE),"Special Order")</f>
        <v>Special Order</v>
      </c>
      <c r="E1592" s="494">
        <f>'[6]price list MAN'!E1592</f>
        <v>0</v>
      </c>
      <c r="F1592" s="11">
        <f>'[6]price list MAN'!F1592</f>
        <v>0</v>
      </c>
      <c r="G1592" s="32">
        <f>'[6]price list MAN'!G1592</f>
        <v>0</v>
      </c>
      <c r="H1592" s="26">
        <f>'[6]price list MAN'!H1592</f>
        <v>0</v>
      </c>
      <c r="I1592" s="51" t="str">
        <f t="shared" si="120"/>
        <v/>
      </c>
      <c r="J1592" s="177" t="e">
        <f>'[6]price list MAN'!J1592</f>
        <v>#N/A</v>
      </c>
      <c r="K1592" s="177" t="e">
        <f>'[6]price list MAN'!P1592</f>
        <v>#N/A</v>
      </c>
      <c r="L1592" s="177" t="e">
        <f>'[6]price list MAN'!R1592</f>
        <v>#N/A</v>
      </c>
      <c r="M1592" s="174" t="e">
        <f>'[6]price list MAN'!S1592</f>
        <v>#N/A</v>
      </c>
      <c r="N1592" s="174" t="e">
        <f>'[6]price list MAN'!Y1592</f>
        <v>#N/A</v>
      </c>
      <c r="O1592" s="174" t="e">
        <f>'[6]price list MAN'!AA1592</f>
        <v>#N/A</v>
      </c>
      <c r="P1592" s="68" t="e">
        <f t="shared" si="121"/>
        <v>#N/A</v>
      </c>
      <c r="Q1592" s="62" t="e">
        <f>O1592-#REF!</f>
        <v>#N/A</v>
      </c>
      <c r="AT1592" s="425" t="str">
        <f t="shared" si="122"/>
        <v>Special Order0</v>
      </c>
      <c r="AU1592" s="64" t="str">
        <f t="shared" si="123"/>
        <v>01-1900</v>
      </c>
      <c r="BA1592" s="428" t="str">
        <f t="shared" si="124"/>
        <v/>
      </c>
    </row>
    <row r="1593" spans="2:53">
      <c r="B1593" s="36">
        <f>'[6]price list MAN'!B1593</f>
        <v>0</v>
      </c>
      <c r="C1593" s="10">
        <f>'[6]price list MAN'!C1593</f>
        <v>0</v>
      </c>
      <c r="D1593" s="16" t="str">
        <f>IFERROR(VLOOKUP(C1593&amp;"",'[7]Retail Price List'!$A$3:$B$103,2,FALSE),"Special Order")</f>
        <v>Special Order</v>
      </c>
      <c r="E1593" s="494">
        <f>'[6]price list MAN'!E1593</f>
        <v>0</v>
      </c>
      <c r="F1593" s="11">
        <f>'[6]price list MAN'!F1593</f>
        <v>0</v>
      </c>
      <c r="G1593" s="32">
        <f>'[6]price list MAN'!G1593</f>
        <v>0</v>
      </c>
      <c r="H1593" s="26">
        <f>'[6]price list MAN'!H1593</f>
        <v>0</v>
      </c>
      <c r="I1593" s="51" t="str">
        <f t="shared" si="120"/>
        <v/>
      </c>
      <c r="J1593" s="177" t="e">
        <f>'[6]price list MAN'!J1593</f>
        <v>#N/A</v>
      </c>
      <c r="K1593" s="177" t="e">
        <f>'[6]price list MAN'!P1593</f>
        <v>#N/A</v>
      </c>
      <c r="L1593" s="177" t="e">
        <f>'[6]price list MAN'!R1593</f>
        <v>#N/A</v>
      </c>
      <c r="M1593" s="174" t="e">
        <f>'[6]price list MAN'!S1593</f>
        <v>#N/A</v>
      </c>
      <c r="N1593" s="174" t="e">
        <f>'[6]price list MAN'!Y1593</f>
        <v>#N/A</v>
      </c>
      <c r="O1593" s="174" t="e">
        <f>'[6]price list MAN'!AA1593</f>
        <v>#N/A</v>
      </c>
      <c r="P1593" s="68" t="e">
        <f t="shared" si="121"/>
        <v>#N/A</v>
      </c>
      <c r="Q1593" s="62" t="e">
        <f>O1593-#REF!</f>
        <v>#N/A</v>
      </c>
      <c r="AT1593" s="425" t="str">
        <f t="shared" si="122"/>
        <v>Special Order0</v>
      </c>
      <c r="AU1593" s="64" t="str">
        <f t="shared" si="123"/>
        <v>01-1900</v>
      </c>
      <c r="BA1593" s="428" t="str">
        <f t="shared" si="124"/>
        <v/>
      </c>
    </row>
    <row r="1594" spans="2:53">
      <c r="B1594" s="36">
        <f>'[6]price list MAN'!B1594</f>
        <v>0</v>
      </c>
      <c r="C1594" s="10">
        <f>'[6]price list MAN'!C1594</f>
        <v>0</v>
      </c>
      <c r="D1594" s="16" t="str">
        <f>IFERROR(VLOOKUP(C1594&amp;"",'[7]Retail Price List'!$A$3:$B$103,2,FALSE),"Special Order")</f>
        <v>Special Order</v>
      </c>
      <c r="E1594" s="494">
        <f>'[6]price list MAN'!E1594</f>
        <v>0</v>
      </c>
      <c r="F1594" s="11">
        <f>'[6]price list MAN'!F1594</f>
        <v>0</v>
      </c>
      <c r="G1594" s="32">
        <f>'[6]price list MAN'!G1594</f>
        <v>0</v>
      </c>
      <c r="H1594" s="26">
        <f>'[6]price list MAN'!H1594</f>
        <v>0</v>
      </c>
      <c r="I1594" s="51" t="str">
        <f t="shared" si="120"/>
        <v/>
      </c>
      <c r="J1594" s="177" t="e">
        <f>'[6]price list MAN'!J1594</f>
        <v>#N/A</v>
      </c>
      <c r="K1594" s="177" t="e">
        <f>'[6]price list MAN'!P1594</f>
        <v>#N/A</v>
      </c>
      <c r="L1594" s="177" t="e">
        <f>'[6]price list MAN'!R1594</f>
        <v>#N/A</v>
      </c>
      <c r="M1594" s="174" t="e">
        <f>'[6]price list MAN'!S1594</f>
        <v>#N/A</v>
      </c>
      <c r="N1594" s="174" t="e">
        <f>'[6]price list MAN'!Y1594</f>
        <v>#N/A</v>
      </c>
      <c r="O1594" s="174" t="e">
        <f>'[6]price list MAN'!AA1594</f>
        <v>#N/A</v>
      </c>
      <c r="P1594" s="68" t="e">
        <f t="shared" si="121"/>
        <v>#N/A</v>
      </c>
      <c r="Q1594" s="62" t="e">
        <f>O1594-#REF!</f>
        <v>#N/A</v>
      </c>
      <c r="AT1594" s="425" t="str">
        <f t="shared" si="122"/>
        <v>Special Order0</v>
      </c>
      <c r="AU1594" s="64" t="str">
        <f t="shared" si="123"/>
        <v>01-1900</v>
      </c>
      <c r="BA1594" s="428" t="str">
        <f t="shared" si="124"/>
        <v/>
      </c>
    </row>
    <row r="1595" spans="2:53">
      <c r="B1595" s="36">
        <f>'[6]price list MAN'!B1595</f>
        <v>0</v>
      </c>
      <c r="C1595" s="10">
        <f>'[6]price list MAN'!C1595</f>
        <v>0</v>
      </c>
      <c r="D1595" s="16" t="str">
        <f>IFERROR(VLOOKUP(C1595&amp;"",'[7]Retail Price List'!$A$3:$B$103,2,FALSE),"Special Order")</f>
        <v>Special Order</v>
      </c>
      <c r="E1595" s="494">
        <f>'[6]price list MAN'!E1595</f>
        <v>0</v>
      </c>
      <c r="F1595" s="11">
        <f>'[6]price list MAN'!F1595</f>
        <v>0</v>
      </c>
      <c r="G1595" s="32">
        <f>'[6]price list MAN'!G1595</f>
        <v>0</v>
      </c>
      <c r="H1595" s="26">
        <f>'[6]price list MAN'!H1595</f>
        <v>0</v>
      </c>
      <c r="I1595" s="51" t="str">
        <f t="shared" si="120"/>
        <v/>
      </c>
      <c r="J1595" s="177" t="e">
        <f>'[6]price list MAN'!J1595</f>
        <v>#N/A</v>
      </c>
      <c r="K1595" s="177" t="e">
        <f>'[6]price list MAN'!P1595</f>
        <v>#N/A</v>
      </c>
      <c r="L1595" s="177" t="e">
        <f>'[6]price list MAN'!R1595</f>
        <v>#N/A</v>
      </c>
      <c r="M1595" s="174" t="e">
        <f>'[6]price list MAN'!S1595</f>
        <v>#N/A</v>
      </c>
      <c r="N1595" s="174" t="e">
        <f>'[6]price list MAN'!Y1595</f>
        <v>#N/A</v>
      </c>
      <c r="O1595" s="174" t="e">
        <f>'[6]price list MAN'!AA1595</f>
        <v>#N/A</v>
      </c>
      <c r="P1595" s="68" t="e">
        <f t="shared" si="121"/>
        <v>#N/A</v>
      </c>
      <c r="Q1595" s="62" t="e">
        <f>O1595-#REF!</f>
        <v>#N/A</v>
      </c>
      <c r="AT1595" s="425" t="str">
        <f t="shared" si="122"/>
        <v>Special Order0</v>
      </c>
      <c r="AU1595" s="64" t="str">
        <f t="shared" si="123"/>
        <v>01-1900</v>
      </c>
      <c r="BA1595" s="428" t="str">
        <f t="shared" si="124"/>
        <v/>
      </c>
    </row>
    <row r="1596" spans="2:53">
      <c r="B1596" s="36">
        <f>'[6]price list MAN'!B1596</f>
        <v>0</v>
      </c>
      <c r="C1596" s="10">
        <f>'[6]price list MAN'!C1596</f>
        <v>0</v>
      </c>
      <c r="D1596" s="16" t="str">
        <f>IFERROR(VLOOKUP(C1596&amp;"",'[7]Retail Price List'!$A$3:$B$103,2,FALSE),"Special Order")</f>
        <v>Special Order</v>
      </c>
      <c r="E1596" s="494">
        <f>'[6]price list MAN'!E1596</f>
        <v>0</v>
      </c>
      <c r="F1596" s="11">
        <f>'[6]price list MAN'!F1596</f>
        <v>0</v>
      </c>
      <c r="G1596" s="32">
        <f>'[6]price list MAN'!G1596</f>
        <v>0</v>
      </c>
      <c r="H1596" s="26">
        <f>'[6]price list MAN'!H1596</f>
        <v>0</v>
      </c>
      <c r="I1596" s="51" t="str">
        <f t="shared" si="120"/>
        <v/>
      </c>
      <c r="J1596" s="177" t="e">
        <f>'[6]price list MAN'!J1596</f>
        <v>#N/A</v>
      </c>
      <c r="K1596" s="177" t="e">
        <f>'[6]price list MAN'!P1596</f>
        <v>#N/A</v>
      </c>
      <c r="L1596" s="177" t="e">
        <f>'[6]price list MAN'!R1596</f>
        <v>#N/A</v>
      </c>
      <c r="M1596" s="174" t="e">
        <f>'[6]price list MAN'!S1596</f>
        <v>#N/A</v>
      </c>
      <c r="N1596" s="174" t="e">
        <f>'[6]price list MAN'!Y1596</f>
        <v>#N/A</v>
      </c>
      <c r="O1596" s="174" t="e">
        <f>'[6]price list MAN'!AA1596</f>
        <v>#N/A</v>
      </c>
      <c r="P1596" s="68" t="e">
        <f t="shared" si="121"/>
        <v>#N/A</v>
      </c>
      <c r="Q1596" s="62" t="e">
        <f>O1596-#REF!</f>
        <v>#N/A</v>
      </c>
      <c r="AT1596" s="425" t="str">
        <f t="shared" si="122"/>
        <v>Special Order0</v>
      </c>
      <c r="AU1596" s="64" t="str">
        <f t="shared" si="123"/>
        <v>01-1900</v>
      </c>
      <c r="BA1596" s="428" t="str">
        <f t="shared" si="124"/>
        <v/>
      </c>
    </row>
    <row r="1597" spans="2:53">
      <c r="B1597" s="36">
        <f>'[6]price list MAN'!B1597</f>
        <v>0</v>
      </c>
      <c r="C1597" s="10">
        <f>'[6]price list MAN'!C1597</f>
        <v>0</v>
      </c>
      <c r="D1597" s="16" t="str">
        <f>IFERROR(VLOOKUP(C1597&amp;"",'[7]Retail Price List'!$A$3:$B$103,2,FALSE),"Special Order")</f>
        <v>Special Order</v>
      </c>
      <c r="E1597" s="494">
        <f>'[6]price list MAN'!E1597</f>
        <v>0</v>
      </c>
      <c r="F1597" s="11">
        <f>'[6]price list MAN'!F1597</f>
        <v>0</v>
      </c>
      <c r="G1597" s="32">
        <f>'[6]price list MAN'!G1597</f>
        <v>0</v>
      </c>
      <c r="H1597" s="26">
        <f>'[6]price list MAN'!H1597</f>
        <v>0</v>
      </c>
      <c r="I1597" s="51" t="str">
        <f t="shared" si="120"/>
        <v/>
      </c>
      <c r="J1597" s="177" t="e">
        <f>'[6]price list MAN'!J1597</f>
        <v>#N/A</v>
      </c>
      <c r="K1597" s="177" t="e">
        <f>'[6]price list MAN'!P1597</f>
        <v>#N/A</v>
      </c>
      <c r="L1597" s="177" t="e">
        <f>'[6]price list MAN'!R1597</f>
        <v>#N/A</v>
      </c>
      <c r="M1597" s="174" t="e">
        <f>'[6]price list MAN'!S1597</f>
        <v>#N/A</v>
      </c>
      <c r="N1597" s="174" t="e">
        <f>'[6]price list MAN'!Y1597</f>
        <v>#N/A</v>
      </c>
      <c r="O1597" s="174" t="e">
        <f>'[6]price list MAN'!AA1597</f>
        <v>#N/A</v>
      </c>
      <c r="P1597" s="68" t="e">
        <f t="shared" si="121"/>
        <v>#N/A</v>
      </c>
      <c r="Q1597" s="62" t="e">
        <f>O1597-#REF!</f>
        <v>#N/A</v>
      </c>
      <c r="AT1597" s="425" t="str">
        <f t="shared" si="122"/>
        <v>Special Order0</v>
      </c>
      <c r="AU1597" s="64" t="str">
        <f t="shared" si="123"/>
        <v>01-1900</v>
      </c>
      <c r="BA1597" s="428" t="str">
        <f t="shared" si="124"/>
        <v/>
      </c>
    </row>
    <row r="1598" spans="2:53">
      <c r="B1598" s="36">
        <f>'[6]price list MAN'!B1598</f>
        <v>0</v>
      </c>
      <c r="C1598" s="10">
        <f>'[6]price list MAN'!C1598</f>
        <v>0</v>
      </c>
      <c r="D1598" s="16" t="str">
        <f>IFERROR(VLOOKUP(C1598&amp;"",'[7]Retail Price List'!$A$3:$B$103,2,FALSE),"Special Order")</f>
        <v>Special Order</v>
      </c>
      <c r="E1598" s="494">
        <f>'[6]price list MAN'!E1598</f>
        <v>0</v>
      </c>
      <c r="F1598" s="11">
        <f>'[6]price list MAN'!F1598</f>
        <v>0</v>
      </c>
      <c r="G1598" s="32">
        <f>'[6]price list MAN'!G1598</f>
        <v>0</v>
      </c>
      <c r="H1598" s="26">
        <f>'[6]price list MAN'!H1598</f>
        <v>0</v>
      </c>
      <c r="I1598" s="51" t="str">
        <f t="shared" si="120"/>
        <v/>
      </c>
      <c r="J1598" s="177" t="e">
        <f>'[6]price list MAN'!J1598</f>
        <v>#N/A</v>
      </c>
      <c r="K1598" s="177" t="e">
        <f>'[6]price list MAN'!P1598</f>
        <v>#N/A</v>
      </c>
      <c r="L1598" s="177" t="e">
        <f>'[6]price list MAN'!R1598</f>
        <v>#N/A</v>
      </c>
      <c r="M1598" s="174" t="e">
        <f>'[6]price list MAN'!S1598</f>
        <v>#N/A</v>
      </c>
      <c r="N1598" s="174" t="e">
        <f>'[6]price list MAN'!Y1598</f>
        <v>#N/A</v>
      </c>
      <c r="O1598" s="174" t="e">
        <f>'[6]price list MAN'!AA1598</f>
        <v>#N/A</v>
      </c>
      <c r="P1598" s="68" t="e">
        <f t="shared" si="121"/>
        <v>#N/A</v>
      </c>
      <c r="Q1598" s="62" t="e">
        <f>O1598-#REF!</f>
        <v>#N/A</v>
      </c>
      <c r="AT1598" s="425" t="str">
        <f t="shared" si="122"/>
        <v>Special Order0</v>
      </c>
      <c r="AU1598" s="64" t="str">
        <f t="shared" si="123"/>
        <v>01-1900</v>
      </c>
      <c r="BA1598" s="428" t="str">
        <f t="shared" si="124"/>
        <v/>
      </c>
    </row>
    <row r="1599" spans="2:53">
      <c r="B1599" s="36">
        <f>'[6]price list MAN'!B1599</f>
        <v>0</v>
      </c>
      <c r="C1599" s="10">
        <f>'[6]price list MAN'!C1599</f>
        <v>0</v>
      </c>
      <c r="D1599" s="16" t="str">
        <f>IFERROR(VLOOKUP(C1599&amp;"",'[7]Retail Price List'!$A$3:$B$103,2,FALSE),"Special Order")</f>
        <v>Special Order</v>
      </c>
      <c r="E1599" s="494">
        <f>'[6]price list MAN'!E1599</f>
        <v>0</v>
      </c>
      <c r="F1599" s="11">
        <f>'[6]price list MAN'!F1599</f>
        <v>0</v>
      </c>
      <c r="G1599" s="32">
        <f>'[6]price list MAN'!G1599</f>
        <v>0</v>
      </c>
      <c r="H1599" s="26">
        <f>'[6]price list MAN'!H1599</f>
        <v>0</v>
      </c>
      <c r="I1599" s="51" t="str">
        <f t="shared" si="120"/>
        <v/>
      </c>
      <c r="J1599" s="177" t="e">
        <f>'[6]price list MAN'!J1599</f>
        <v>#N/A</v>
      </c>
      <c r="K1599" s="177" t="e">
        <f>'[6]price list MAN'!P1599</f>
        <v>#N/A</v>
      </c>
      <c r="L1599" s="177" t="e">
        <f>'[6]price list MAN'!R1599</f>
        <v>#N/A</v>
      </c>
      <c r="M1599" s="174" t="e">
        <f>'[6]price list MAN'!S1599</f>
        <v>#N/A</v>
      </c>
      <c r="N1599" s="174" t="e">
        <f>'[6]price list MAN'!Y1599</f>
        <v>#N/A</v>
      </c>
      <c r="O1599" s="174" t="e">
        <f>'[6]price list MAN'!AA1599</f>
        <v>#N/A</v>
      </c>
      <c r="P1599" s="68" t="e">
        <f t="shared" si="121"/>
        <v>#N/A</v>
      </c>
      <c r="Q1599" s="62" t="e">
        <f>O1599-#REF!</f>
        <v>#N/A</v>
      </c>
      <c r="AT1599" s="425" t="str">
        <f t="shared" si="122"/>
        <v>Special Order0</v>
      </c>
      <c r="AU1599" s="64" t="str">
        <f t="shared" si="123"/>
        <v>01-1900</v>
      </c>
      <c r="BA1599" s="428" t="str">
        <f t="shared" si="124"/>
        <v/>
      </c>
    </row>
    <row r="1600" spans="2:53">
      <c r="B1600" s="36">
        <f>'[6]price list MAN'!B1600</f>
        <v>0</v>
      </c>
      <c r="C1600" s="10">
        <f>'[6]price list MAN'!C1600</f>
        <v>0</v>
      </c>
      <c r="D1600" s="16" t="str">
        <f>IFERROR(VLOOKUP(C1600&amp;"",'[7]Retail Price List'!$A$3:$B$103,2,FALSE),"Special Order")</f>
        <v>Special Order</v>
      </c>
      <c r="E1600" s="494">
        <f>'[6]price list MAN'!E1600</f>
        <v>0</v>
      </c>
      <c r="F1600" s="11">
        <f>'[6]price list MAN'!F1600</f>
        <v>0</v>
      </c>
      <c r="G1600" s="32">
        <f>'[6]price list MAN'!G1600</f>
        <v>0</v>
      </c>
      <c r="H1600" s="26">
        <f>'[6]price list MAN'!H1600</f>
        <v>0</v>
      </c>
      <c r="I1600" s="51" t="str">
        <f t="shared" si="120"/>
        <v/>
      </c>
      <c r="J1600" s="177" t="e">
        <f>'[6]price list MAN'!J1600</f>
        <v>#N/A</v>
      </c>
      <c r="K1600" s="177" t="e">
        <f>'[6]price list MAN'!P1600</f>
        <v>#N/A</v>
      </c>
      <c r="L1600" s="177" t="e">
        <f>'[6]price list MAN'!R1600</f>
        <v>#N/A</v>
      </c>
      <c r="M1600" s="174" t="e">
        <f>'[6]price list MAN'!S1600</f>
        <v>#N/A</v>
      </c>
      <c r="N1600" s="174" t="e">
        <f>'[6]price list MAN'!Y1600</f>
        <v>#N/A</v>
      </c>
      <c r="O1600" s="174" t="e">
        <f>'[6]price list MAN'!AA1600</f>
        <v>#N/A</v>
      </c>
      <c r="P1600" s="68" t="e">
        <f t="shared" si="121"/>
        <v>#N/A</v>
      </c>
      <c r="Q1600" s="62" t="e">
        <f>O1600-#REF!</f>
        <v>#N/A</v>
      </c>
      <c r="AT1600" s="425" t="str">
        <f t="shared" si="122"/>
        <v>Special Order0</v>
      </c>
      <c r="AU1600" s="64" t="str">
        <f t="shared" si="123"/>
        <v>01-1900</v>
      </c>
      <c r="BA1600" s="428" t="str">
        <f t="shared" si="124"/>
        <v/>
      </c>
    </row>
    <row r="1601" spans="2:53">
      <c r="B1601" s="36">
        <f>'[6]price list MAN'!B1601</f>
        <v>0</v>
      </c>
      <c r="C1601" s="10">
        <f>'[6]price list MAN'!C1601</f>
        <v>0</v>
      </c>
      <c r="D1601" s="16" t="str">
        <f>IFERROR(VLOOKUP(C1601&amp;"",'[7]Retail Price List'!$A$3:$B$103,2,FALSE),"Special Order")</f>
        <v>Special Order</v>
      </c>
      <c r="E1601" s="494">
        <f>'[6]price list MAN'!E1601</f>
        <v>0</v>
      </c>
      <c r="F1601" s="11">
        <f>'[6]price list MAN'!F1601</f>
        <v>0</v>
      </c>
      <c r="G1601" s="32">
        <f>'[6]price list MAN'!G1601</f>
        <v>0</v>
      </c>
      <c r="H1601" s="26">
        <f>'[6]price list MAN'!H1601</f>
        <v>0</v>
      </c>
      <c r="I1601" s="51" t="str">
        <f t="shared" si="120"/>
        <v/>
      </c>
      <c r="J1601" s="177" t="e">
        <f>'[6]price list MAN'!J1601</f>
        <v>#N/A</v>
      </c>
      <c r="K1601" s="177" t="e">
        <f>'[6]price list MAN'!P1601</f>
        <v>#N/A</v>
      </c>
      <c r="L1601" s="177" t="e">
        <f>'[6]price list MAN'!R1601</f>
        <v>#N/A</v>
      </c>
      <c r="M1601" s="174" t="e">
        <f>'[6]price list MAN'!S1601</f>
        <v>#N/A</v>
      </c>
      <c r="N1601" s="174" t="e">
        <f>'[6]price list MAN'!Y1601</f>
        <v>#N/A</v>
      </c>
      <c r="O1601" s="174" t="e">
        <f>'[6]price list MAN'!AA1601</f>
        <v>#N/A</v>
      </c>
      <c r="P1601" s="68" t="e">
        <f t="shared" si="121"/>
        <v>#N/A</v>
      </c>
      <c r="Q1601" s="62" t="e">
        <f>O1601-#REF!</f>
        <v>#N/A</v>
      </c>
      <c r="AT1601" s="425" t="str">
        <f t="shared" si="122"/>
        <v>Special Order0</v>
      </c>
      <c r="AU1601" s="64" t="str">
        <f t="shared" si="123"/>
        <v>01-1900</v>
      </c>
      <c r="BA1601" s="428" t="str">
        <f t="shared" si="124"/>
        <v/>
      </c>
    </row>
    <row r="1602" spans="2:53">
      <c r="B1602" s="36">
        <f>'[6]price list MAN'!B1602</f>
        <v>0</v>
      </c>
      <c r="C1602" s="10">
        <f>'[6]price list MAN'!C1602</f>
        <v>0</v>
      </c>
      <c r="D1602" s="16" t="str">
        <f>IFERROR(VLOOKUP(C1602&amp;"",'[7]Retail Price List'!$A$3:$B$103,2,FALSE),"Special Order")</f>
        <v>Special Order</v>
      </c>
      <c r="E1602" s="494">
        <f>'[6]price list MAN'!E1602</f>
        <v>0</v>
      </c>
      <c r="F1602" s="11">
        <f>'[6]price list MAN'!F1602</f>
        <v>0</v>
      </c>
      <c r="G1602" s="32">
        <f>'[6]price list MAN'!G1602</f>
        <v>0</v>
      </c>
      <c r="H1602" s="26">
        <f>'[6]price list MAN'!H1602</f>
        <v>0</v>
      </c>
      <c r="I1602" s="51" t="str">
        <f t="shared" si="120"/>
        <v/>
      </c>
      <c r="J1602" s="177" t="e">
        <f>'[6]price list MAN'!J1602</f>
        <v>#N/A</v>
      </c>
      <c r="K1602" s="177" t="e">
        <f>'[6]price list MAN'!P1602</f>
        <v>#N/A</v>
      </c>
      <c r="L1602" s="177" t="e">
        <f>'[6]price list MAN'!R1602</f>
        <v>#N/A</v>
      </c>
      <c r="M1602" s="174" t="e">
        <f>'[6]price list MAN'!S1602</f>
        <v>#N/A</v>
      </c>
      <c r="N1602" s="174" t="e">
        <f>'[6]price list MAN'!Y1602</f>
        <v>#N/A</v>
      </c>
      <c r="O1602" s="174" t="e">
        <f>'[6]price list MAN'!AA1602</f>
        <v>#N/A</v>
      </c>
      <c r="P1602" s="68" t="e">
        <f t="shared" si="121"/>
        <v>#N/A</v>
      </c>
      <c r="Q1602" s="62" t="e">
        <f>O1602-#REF!</f>
        <v>#N/A</v>
      </c>
      <c r="AT1602" s="425" t="str">
        <f t="shared" si="122"/>
        <v>Special Order0</v>
      </c>
      <c r="AU1602" s="64" t="str">
        <f t="shared" si="123"/>
        <v>01-1900</v>
      </c>
      <c r="BA1602" s="428" t="str">
        <f t="shared" si="124"/>
        <v/>
      </c>
    </row>
    <row r="1603" spans="2:53">
      <c r="B1603" s="36">
        <f>'[6]price list MAN'!B1603</f>
        <v>0</v>
      </c>
      <c r="C1603" s="10">
        <f>'[6]price list MAN'!C1603</f>
        <v>0</v>
      </c>
      <c r="D1603" s="16" t="str">
        <f>IFERROR(VLOOKUP(C1603&amp;"",'[7]Retail Price List'!$A$3:$B$103,2,FALSE),"Special Order")</f>
        <v>Special Order</v>
      </c>
      <c r="E1603" s="494">
        <f>'[6]price list MAN'!E1603</f>
        <v>0</v>
      </c>
      <c r="F1603" s="11">
        <f>'[6]price list MAN'!F1603</f>
        <v>0</v>
      </c>
      <c r="G1603" s="32">
        <f>'[6]price list MAN'!G1603</f>
        <v>0</v>
      </c>
      <c r="H1603" s="26">
        <f>'[6]price list MAN'!H1603</f>
        <v>0</v>
      </c>
      <c r="I1603" s="51" t="str">
        <f t="shared" si="120"/>
        <v/>
      </c>
      <c r="J1603" s="177" t="e">
        <f>'[6]price list MAN'!J1603</f>
        <v>#N/A</v>
      </c>
      <c r="K1603" s="177" t="e">
        <f>'[6]price list MAN'!P1603</f>
        <v>#N/A</v>
      </c>
      <c r="L1603" s="177" t="e">
        <f>'[6]price list MAN'!R1603</f>
        <v>#N/A</v>
      </c>
      <c r="M1603" s="174" t="e">
        <f>'[6]price list MAN'!S1603</f>
        <v>#N/A</v>
      </c>
      <c r="N1603" s="174" t="e">
        <f>'[6]price list MAN'!Y1603</f>
        <v>#N/A</v>
      </c>
      <c r="O1603" s="174" t="e">
        <f>'[6]price list MAN'!AA1603</f>
        <v>#N/A</v>
      </c>
      <c r="P1603" s="68" t="e">
        <f t="shared" si="121"/>
        <v>#N/A</v>
      </c>
      <c r="Q1603" s="62" t="e">
        <f>O1603-#REF!</f>
        <v>#N/A</v>
      </c>
      <c r="AT1603" s="425" t="str">
        <f t="shared" si="122"/>
        <v>Special Order0</v>
      </c>
      <c r="AU1603" s="64" t="str">
        <f t="shared" si="123"/>
        <v>01-1900</v>
      </c>
      <c r="BA1603" s="428" t="str">
        <f t="shared" si="124"/>
        <v/>
      </c>
    </row>
    <row r="1604" spans="2:53">
      <c r="B1604" s="36">
        <f>'[6]price list MAN'!B1604</f>
        <v>0</v>
      </c>
      <c r="C1604" s="10">
        <f>'[6]price list MAN'!C1604</f>
        <v>0</v>
      </c>
      <c r="D1604" s="16" t="str">
        <f>IFERROR(VLOOKUP(C1604&amp;"",'[7]Retail Price List'!$A$3:$B$103,2,FALSE),"Special Order")</f>
        <v>Special Order</v>
      </c>
      <c r="E1604" s="494">
        <f>'[6]price list MAN'!E1604</f>
        <v>0</v>
      </c>
      <c r="F1604" s="11">
        <f>'[6]price list MAN'!F1604</f>
        <v>0</v>
      </c>
      <c r="G1604" s="32">
        <f>'[6]price list MAN'!G1604</f>
        <v>0</v>
      </c>
      <c r="H1604" s="26">
        <f>'[6]price list MAN'!H1604</f>
        <v>0</v>
      </c>
      <c r="I1604" s="51" t="str">
        <f t="shared" si="120"/>
        <v/>
      </c>
      <c r="J1604" s="177" t="e">
        <f>'[6]price list MAN'!J1604</f>
        <v>#N/A</v>
      </c>
      <c r="K1604" s="177" t="e">
        <f>'[6]price list MAN'!P1604</f>
        <v>#N/A</v>
      </c>
      <c r="L1604" s="177" t="e">
        <f>'[6]price list MAN'!R1604</f>
        <v>#N/A</v>
      </c>
      <c r="M1604" s="174" t="e">
        <f>'[6]price list MAN'!S1604</f>
        <v>#N/A</v>
      </c>
      <c r="N1604" s="174" t="e">
        <f>'[6]price list MAN'!Y1604</f>
        <v>#N/A</v>
      </c>
      <c r="O1604" s="174" t="e">
        <f>'[6]price list MAN'!AA1604</f>
        <v>#N/A</v>
      </c>
      <c r="P1604" s="68" t="e">
        <f t="shared" si="121"/>
        <v>#N/A</v>
      </c>
      <c r="Q1604" s="62" t="e">
        <f>O1604-#REF!</f>
        <v>#N/A</v>
      </c>
      <c r="AT1604" s="425" t="str">
        <f t="shared" si="122"/>
        <v>Special Order0</v>
      </c>
      <c r="AU1604" s="64" t="str">
        <f t="shared" si="123"/>
        <v>01-1900</v>
      </c>
      <c r="BA1604" s="428" t="str">
        <f t="shared" si="124"/>
        <v/>
      </c>
    </row>
    <row r="1605" spans="2:53">
      <c r="B1605" s="36">
        <f>'[6]price list MAN'!B1605</f>
        <v>0</v>
      </c>
      <c r="C1605" s="10">
        <f>'[6]price list MAN'!C1605</f>
        <v>0</v>
      </c>
      <c r="D1605" s="16" t="str">
        <f>IFERROR(VLOOKUP(C1605&amp;"",'[7]Retail Price List'!$A$3:$B$103,2,FALSE),"Special Order")</f>
        <v>Special Order</v>
      </c>
      <c r="E1605" s="494">
        <f>'[6]price list MAN'!E1605</f>
        <v>0</v>
      </c>
      <c r="F1605" s="11">
        <f>'[6]price list MAN'!F1605</f>
        <v>0</v>
      </c>
      <c r="G1605" s="32">
        <f>'[6]price list MAN'!G1605</f>
        <v>0</v>
      </c>
      <c r="H1605" s="26">
        <f>'[6]price list MAN'!H1605</f>
        <v>0</v>
      </c>
      <c r="I1605" s="51" t="str">
        <f t="shared" ref="I1605:I1668" si="125">IFERROR(VLOOKUP(AU1605,$AW$5:$AY$40,3,FALSE),"")</f>
        <v/>
      </c>
      <c r="J1605" s="177" t="e">
        <f>'[6]price list MAN'!J1605</f>
        <v>#N/A</v>
      </c>
      <c r="K1605" s="177" t="e">
        <f>'[6]price list MAN'!P1605</f>
        <v>#N/A</v>
      </c>
      <c r="L1605" s="177" t="e">
        <f>'[6]price list MAN'!R1605</f>
        <v>#N/A</v>
      </c>
      <c r="M1605" s="174" t="e">
        <f>'[6]price list MAN'!S1605</f>
        <v>#N/A</v>
      </c>
      <c r="N1605" s="174" t="e">
        <f>'[6]price list MAN'!Y1605</f>
        <v>#N/A</v>
      </c>
      <c r="O1605" s="174" t="e">
        <f>'[6]price list MAN'!AA1605</f>
        <v>#N/A</v>
      </c>
      <c r="P1605" s="68" t="e">
        <f t="shared" ref="P1605:P1668" si="126">(M1605-O1605)/M1605</f>
        <v>#N/A</v>
      </c>
      <c r="Q1605" s="62" t="e">
        <f>O1605-#REF!</f>
        <v>#N/A</v>
      </c>
      <c r="AT1605" s="425" t="str">
        <f t="shared" ref="AT1605:AT1668" si="127">D1605&amp;I1605&amp;G1605</f>
        <v>Special Order0</v>
      </c>
      <c r="AU1605" s="64" t="str">
        <f t="shared" ref="AU1605:AU1668" si="128">IF(MONTH(H1605)&lt;10,0&amp;MONTH(H1605)&amp;"-"&amp;YEAR(H1605),MONTH(H1605)&amp;"-"&amp;YEAR(H1605))</f>
        <v>01-1900</v>
      </c>
      <c r="BA1605" s="428" t="str">
        <f t="shared" ref="BA1605:BA1668" si="129">IF(B1605=0,"",IF(AND(F1605&gt;=31,F1605&lt;=120),"31-120 Days",IF(AND(F1605&gt;=121,F1605&lt;=365),"121-365 Days",IF(OR(E1605="CKD",F1605&lt;=30),"WIP - 30 Days","&gt;365 Days"))))</f>
        <v/>
      </c>
    </row>
    <row r="1606" spans="2:53">
      <c r="B1606" s="36">
        <f>'[6]price list MAN'!B1606</f>
        <v>0</v>
      </c>
      <c r="C1606" s="10">
        <f>'[6]price list MAN'!C1606</f>
        <v>0</v>
      </c>
      <c r="D1606" s="16" t="str">
        <f>IFERROR(VLOOKUP(C1606&amp;"",'[7]Retail Price List'!$A$3:$B$103,2,FALSE),"Special Order")</f>
        <v>Special Order</v>
      </c>
      <c r="E1606" s="494">
        <f>'[6]price list MAN'!E1606</f>
        <v>0</v>
      </c>
      <c r="F1606" s="11">
        <f>'[6]price list MAN'!F1606</f>
        <v>0</v>
      </c>
      <c r="G1606" s="32">
        <f>'[6]price list MAN'!G1606</f>
        <v>0</v>
      </c>
      <c r="H1606" s="26">
        <f>'[6]price list MAN'!H1606</f>
        <v>0</v>
      </c>
      <c r="I1606" s="51" t="str">
        <f t="shared" si="125"/>
        <v/>
      </c>
      <c r="J1606" s="177" t="e">
        <f>'[6]price list MAN'!J1606</f>
        <v>#N/A</v>
      </c>
      <c r="K1606" s="177" t="e">
        <f>'[6]price list MAN'!P1606</f>
        <v>#N/A</v>
      </c>
      <c r="L1606" s="177" t="e">
        <f>'[6]price list MAN'!R1606</f>
        <v>#N/A</v>
      </c>
      <c r="M1606" s="174" t="e">
        <f>'[6]price list MAN'!S1606</f>
        <v>#N/A</v>
      </c>
      <c r="N1606" s="174" t="e">
        <f>'[6]price list MAN'!Y1606</f>
        <v>#N/A</v>
      </c>
      <c r="O1606" s="174" t="e">
        <f>'[6]price list MAN'!AA1606</f>
        <v>#N/A</v>
      </c>
      <c r="P1606" s="68" t="e">
        <f t="shared" si="126"/>
        <v>#N/A</v>
      </c>
      <c r="Q1606" s="62" t="e">
        <f>O1606-#REF!</f>
        <v>#N/A</v>
      </c>
      <c r="AT1606" s="425" t="str">
        <f t="shared" si="127"/>
        <v>Special Order0</v>
      </c>
      <c r="AU1606" s="64" t="str">
        <f t="shared" si="128"/>
        <v>01-1900</v>
      </c>
      <c r="BA1606" s="428" t="str">
        <f t="shared" si="129"/>
        <v/>
      </c>
    </row>
    <row r="1607" spans="2:53">
      <c r="B1607" s="36">
        <f>'[6]price list MAN'!B1607</f>
        <v>0</v>
      </c>
      <c r="C1607" s="10">
        <f>'[6]price list MAN'!C1607</f>
        <v>0</v>
      </c>
      <c r="D1607" s="16" t="str">
        <f>IFERROR(VLOOKUP(C1607&amp;"",'[7]Retail Price List'!$A$3:$B$103,2,FALSE),"Special Order")</f>
        <v>Special Order</v>
      </c>
      <c r="E1607" s="494">
        <f>'[6]price list MAN'!E1607</f>
        <v>0</v>
      </c>
      <c r="F1607" s="11">
        <f>'[6]price list MAN'!F1607</f>
        <v>0</v>
      </c>
      <c r="G1607" s="32">
        <f>'[6]price list MAN'!G1607</f>
        <v>0</v>
      </c>
      <c r="H1607" s="26">
        <f>'[6]price list MAN'!H1607</f>
        <v>0</v>
      </c>
      <c r="I1607" s="51" t="str">
        <f t="shared" si="125"/>
        <v/>
      </c>
      <c r="J1607" s="177" t="e">
        <f>'[6]price list MAN'!J1607</f>
        <v>#N/A</v>
      </c>
      <c r="K1607" s="177" t="e">
        <f>'[6]price list MAN'!P1607</f>
        <v>#N/A</v>
      </c>
      <c r="L1607" s="177" t="e">
        <f>'[6]price list MAN'!R1607</f>
        <v>#N/A</v>
      </c>
      <c r="M1607" s="174" t="e">
        <f>'[6]price list MAN'!S1607</f>
        <v>#N/A</v>
      </c>
      <c r="N1607" s="174" t="e">
        <f>'[6]price list MAN'!Y1607</f>
        <v>#N/A</v>
      </c>
      <c r="O1607" s="174" t="e">
        <f>'[6]price list MAN'!AA1607</f>
        <v>#N/A</v>
      </c>
      <c r="P1607" s="68" t="e">
        <f t="shared" si="126"/>
        <v>#N/A</v>
      </c>
      <c r="Q1607" s="62" t="e">
        <f>O1607-#REF!</f>
        <v>#N/A</v>
      </c>
      <c r="AT1607" s="425" t="str">
        <f t="shared" si="127"/>
        <v>Special Order0</v>
      </c>
      <c r="AU1607" s="64" t="str">
        <f t="shared" si="128"/>
        <v>01-1900</v>
      </c>
      <c r="BA1607" s="428" t="str">
        <f t="shared" si="129"/>
        <v/>
      </c>
    </row>
    <row r="1608" spans="2:53">
      <c r="B1608" s="36">
        <f>'[6]price list MAN'!B1608</f>
        <v>0</v>
      </c>
      <c r="C1608" s="10">
        <f>'[6]price list MAN'!C1608</f>
        <v>0</v>
      </c>
      <c r="D1608" s="16" t="str">
        <f>IFERROR(VLOOKUP(C1608&amp;"",'[7]Retail Price List'!$A$3:$B$103,2,FALSE),"Special Order")</f>
        <v>Special Order</v>
      </c>
      <c r="E1608" s="494">
        <f>'[6]price list MAN'!E1608</f>
        <v>0</v>
      </c>
      <c r="F1608" s="11">
        <f>'[6]price list MAN'!F1608</f>
        <v>0</v>
      </c>
      <c r="G1608" s="32">
        <f>'[6]price list MAN'!G1608</f>
        <v>0</v>
      </c>
      <c r="H1608" s="26">
        <f>'[6]price list MAN'!H1608</f>
        <v>0</v>
      </c>
      <c r="I1608" s="51" t="str">
        <f t="shared" si="125"/>
        <v/>
      </c>
      <c r="J1608" s="177" t="e">
        <f>'[6]price list MAN'!J1608</f>
        <v>#N/A</v>
      </c>
      <c r="K1608" s="177" t="e">
        <f>'[6]price list MAN'!P1608</f>
        <v>#N/A</v>
      </c>
      <c r="L1608" s="177" t="e">
        <f>'[6]price list MAN'!R1608</f>
        <v>#N/A</v>
      </c>
      <c r="M1608" s="174" t="e">
        <f>'[6]price list MAN'!S1608</f>
        <v>#N/A</v>
      </c>
      <c r="N1608" s="174" t="e">
        <f>'[6]price list MAN'!Y1608</f>
        <v>#N/A</v>
      </c>
      <c r="O1608" s="174" t="e">
        <f>'[6]price list MAN'!AA1608</f>
        <v>#N/A</v>
      </c>
      <c r="P1608" s="68" t="e">
        <f t="shared" si="126"/>
        <v>#N/A</v>
      </c>
      <c r="Q1608" s="62" t="e">
        <f>O1608-#REF!</f>
        <v>#N/A</v>
      </c>
      <c r="AT1608" s="425" t="str">
        <f t="shared" si="127"/>
        <v>Special Order0</v>
      </c>
      <c r="AU1608" s="64" t="str">
        <f t="shared" si="128"/>
        <v>01-1900</v>
      </c>
      <c r="BA1608" s="428" t="str">
        <f t="shared" si="129"/>
        <v/>
      </c>
    </row>
    <row r="1609" spans="2:53">
      <c r="B1609" s="36">
        <f>'[6]price list MAN'!B1609</f>
        <v>0</v>
      </c>
      <c r="C1609" s="10">
        <f>'[6]price list MAN'!C1609</f>
        <v>0</v>
      </c>
      <c r="D1609" s="16" t="str">
        <f>IFERROR(VLOOKUP(C1609&amp;"",'[7]Retail Price List'!$A$3:$B$103,2,FALSE),"Special Order")</f>
        <v>Special Order</v>
      </c>
      <c r="E1609" s="494">
        <f>'[6]price list MAN'!E1609</f>
        <v>0</v>
      </c>
      <c r="F1609" s="11">
        <f>'[6]price list MAN'!F1609</f>
        <v>0</v>
      </c>
      <c r="G1609" s="32">
        <f>'[6]price list MAN'!G1609</f>
        <v>0</v>
      </c>
      <c r="H1609" s="26">
        <f>'[6]price list MAN'!H1609</f>
        <v>0</v>
      </c>
      <c r="I1609" s="51" t="str">
        <f t="shared" si="125"/>
        <v/>
      </c>
      <c r="J1609" s="177" t="e">
        <f>'[6]price list MAN'!J1609</f>
        <v>#N/A</v>
      </c>
      <c r="K1609" s="177" t="e">
        <f>'[6]price list MAN'!P1609</f>
        <v>#N/A</v>
      </c>
      <c r="L1609" s="177" t="e">
        <f>'[6]price list MAN'!R1609</f>
        <v>#N/A</v>
      </c>
      <c r="M1609" s="174" t="e">
        <f>'[6]price list MAN'!S1609</f>
        <v>#N/A</v>
      </c>
      <c r="N1609" s="174" t="e">
        <f>'[6]price list MAN'!Y1609</f>
        <v>#N/A</v>
      </c>
      <c r="O1609" s="174" t="e">
        <f>'[6]price list MAN'!AA1609</f>
        <v>#N/A</v>
      </c>
      <c r="P1609" s="68" t="e">
        <f t="shared" si="126"/>
        <v>#N/A</v>
      </c>
      <c r="Q1609" s="62" t="e">
        <f>O1609-#REF!</f>
        <v>#N/A</v>
      </c>
      <c r="AT1609" s="425" t="str">
        <f t="shared" si="127"/>
        <v>Special Order0</v>
      </c>
      <c r="AU1609" s="64" t="str">
        <f t="shared" si="128"/>
        <v>01-1900</v>
      </c>
      <c r="BA1609" s="428" t="str">
        <f t="shared" si="129"/>
        <v/>
      </c>
    </row>
    <row r="1610" spans="2:53">
      <c r="B1610" s="36">
        <f>'[6]price list MAN'!B1610</f>
        <v>0</v>
      </c>
      <c r="C1610" s="10">
        <f>'[6]price list MAN'!C1610</f>
        <v>0</v>
      </c>
      <c r="D1610" s="16" t="str">
        <f>IFERROR(VLOOKUP(C1610&amp;"",'[7]Retail Price List'!$A$3:$B$103,2,FALSE),"Special Order")</f>
        <v>Special Order</v>
      </c>
      <c r="E1610" s="494">
        <f>'[6]price list MAN'!E1610</f>
        <v>0</v>
      </c>
      <c r="F1610" s="11">
        <f>'[6]price list MAN'!F1610</f>
        <v>0</v>
      </c>
      <c r="G1610" s="32">
        <f>'[6]price list MAN'!G1610</f>
        <v>0</v>
      </c>
      <c r="H1610" s="26">
        <f>'[6]price list MAN'!H1610</f>
        <v>0</v>
      </c>
      <c r="I1610" s="51" t="str">
        <f t="shared" si="125"/>
        <v/>
      </c>
      <c r="J1610" s="177" t="e">
        <f>'[6]price list MAN'!J1610</f>
        <v>#N/A</v>
      </c>
      <c r="K1610" s="177" t="e">
        <f>'[6]price list MAN'!P1610</f>
        <v>#N/A</v>
      </c>
      <c r="L1610" s="177" t="e">
        <f>'[6]price list MAN'!R1610</f>
        <v>#N/A</v>
      </c>
      <c r="M1610" s="174" t="e">
        <f>'[6]price list MAN'!S1610</f>
        <v>#N/A</v>
      </c>
      <c r="N1610" s="174" t="e">
        <f>'[6]price list MAN'!Y1610</f>
        <v>#N/A</v>
      </c>
      <c r="O1610" s="174" t="e">
        <f>'[6]price list MAN'!AA1610</f>
        <v>#N/A</v>
      </c>
      <c r="P1610" s="68" t="e">
        <f t="shared" si="126"/>
        <v>#N/A</v>
      </c>
      <c r="Q1610" s="62" t="e">
        <f>O1610-#REF!</f>
        <v>#N/A</v>
      </c>
      <c r="AT1610" s="425" t="str">
        <f t="shared" si="127"/>
        <v>Special Order0</v>
      </c>
      <c r="AU1610" s="64" t="str">
        <f t="shared" si="128"/>
        <v>01-1900</v>
      </c>
      <c r="BA1610" s="428" t="str">
        <f t="shared" si="129"/>
        <v/>
      </c>
    </row>
    <row r="1611" spans="2:53">
      <c r="B1611" s="36">
        <f>'[6]price list MAN'!B1611</f>
        <v>0</v>
      </c>
      <c r="C1611" s="10">
        <f>'[6]price list MAN'!C1611</f>
        <v>0</v>
      </c>
      <c r="D1611" s="16" t="str">
        <f>IFERROR(VLOOKUP(C1611&amp;"",'[7]Retail Price List'!$A$3:$B$103,2,FALSE),"Special Order")</f>
        <v>Special Order</v>
      </c>
      <c r="E1611" s="494">
        <f>'[6]price list MAN'!E1611</f>
        <v>0</v>
      </c>
      <c r="F1611" s="11">
        <f>'[6]price list MAN'!F1611</f>
        <v>0</v>
      </c>
      <c r="G1611" s="32">
        <f>'[6]price list MAN'!G1611</f>
        <v>0</v>
      </c>
      <c r="H1611" s="26">
        <f>'[6]price list MAN'!H1611</f>
        <v>0</v>
      </c>
      <c r="I1611" s="51" t="str">
        <f t="shared" si="125"/>
        <v/>
      </c>
      <c r="J1611" s="177" t="e">
        <f>'[6]price list MAN'!J1611</f>
        <v>#N/A</v>
      </c>
      <c r="K1611" s="177" t="e">
        <f>'[6]price list MAN'!P1611</f>
        <v>#N/A</v>
      </c>
      <c r="L1611" s="177" t="e">
        <f>'[6]price list MAN'!R1611</f>
        <v>#N/A</v>
      </c>
      <c r="M1611" s="174" t="e">
        <f>'[6]price list MAN'!S1611</f>
        <v>#N/A</v>
      </c>
      <c r="N1611" s="174" t="e">
        <f>'[6]price list MAN'!Y1611</f>
        <v>#N/A</v>
      </c>
      <c r="O1611" s="174" t="e">
        <f>'[6]price list MAN'!AA1611</f>
        <v>#N/A</v>
      </c>
      <c r="P1611" s="68" t="e">
        <f t="shared" si="126"/>
        <v>#N/A</v>
      </c>
      <c r="Q1611" s="62" t="e">
        <f>O1611-#REF!</f>
        <v>#N/A</v>
      </c>
      <c r="AT1611" s="425" t="str">
        <f t="shared" si="127"/>
        <v>Special Order0</v>
      </c>
      <c r="AU1611" s="64" t="str">
        <f t="shared" si="128"/>
        <v>01-1900</v>
      </c>
      <c r="BA1611" s="428" t="str">
        <f t="shared" si="129"/>
        <v/>
      </c>
    </row>
    <row r="1612" spans="2:53">
      <c r="B1612" s="36">
        <f>'[6]price list MAN'!B1612</f>
        <v>0</v>
      </c>
      <c r="C1612" s="10">
        <f>'[6]price list MAN'!C1612</f>
        <v>0</v>
      </c>
      <c r="D1612" s="16" t="str">
        <f>IFERROR(VLOOKUP(C1612&amp;"",'[7]Retail Price List'!$A$3:$B$103,2,FALSE),"Special Order")</f>
        <v>Special Order</v>
      </c>
      <c r="E1612" s="494">
        <f>'[6]price list MAN'!E1612</f>
        <v>0</v>
      </c>
      <c r="F1612" s="11">
        <f>'[6]price list MAN'!F1612</f>
        <v>0</v>
      </c>
      <c r="G1612" s="32">
        <f>'[6]price list MAN'!G1612</f>
        <v>0</v>
      </c>
      <c r="H1612" s="26">
        <f>'[6]price list MAN'!H1612</f>
        <v>0</v>
      </c>
      <c r="I1612" s="51" t="str">
        <f t="shared" si="125"/>
        <v/>
      </c>
      <c r="J1612" s="177" t="e">
        <f>'[6]price list MAN'!J1612</f>
        <v>#N/A</v>
      </c>
      <c r="K1612" s="177" t="e">
        <f>'[6]price list MAN'!P1612</f>
        <v>#N/A</v>
      </c>
      <c r="L1612" s="177" t="e">
        <f>'[6]price list MAN'!R1612</f>
        <v>#N/A</v>
      </c>
      <c r="M1612" s="174" t="e">
        <f>'[6]price list MAN'!S1612</f>
        <v>#N/A</v>
      </c>
      <c r="N1612" s="174" t="e">
        <f>'[6]price list MAN'!Y1612</f>
        <v>#N/A</v>
      </c>
      <c r="O1612" s="174" t="e">
        <f>'[6]price list MAN'!AA1612</f>
        <v>#N/A</v>
      </c>
      <c r="P1612" s="68" t="e">
        <f t="shared" si="126"/>
        <v>#N/A</v>
      </c>
      <c r="Q1612" s="62" t="e">
        <f>O1612-#REF!</f>
        <v>#N/A</v>
      </c>
      <c r="AT1612" s="425" t="str">
        <f t="shared" si="127"/>
        <v>Special Order0</v>
      </c>
      <c r="AU1612" s="64" t="str">
        <f t="shared" si="128"/>
        <v>01-1900</v>
      </c>
      <c r="BA1612" s="428" t="str">
        <f t="shared" si="129"/>
        <v/>
      </c>
    </row>
    <row r="1613" spans="2:53">
      <c r="B1613" s="36">
        <f>'[6]price list MAN'!B1613</f>
        <v>0</v>
      </c>
      <c r="C1613" s="10">
        <f>'[6]price list MAN'!C1613</f>
        <v>0</v>
      </c>
      <c r="D1613" s="16" t="str">
        <f>IFERROR(VLOOKUP(C1613&amp;"",'[7]Retail Price List'!$A$3:$B$103,2,FALSE),"Special Order")</f>
        <v>Special Order</v>
      </c>
      <c r="E1613" s="494">
        <f>'[6]price list MAN'!E1613</f>
        <v>0</v>
      </c>
      <c r="F1613" s="11">
        <f>'[6]price list MAN'!F1613</f>
        <v>0</v>
      </c>
      <c r="G1613" s="32">
        <f>'[6]price list MAN'!G1613</f>
        <v>0</v>
      </c>
      <c r="H1613" s="26">
        <f>'[6]price list MAN'!H1613</f>
        <v>0</v>
      </c>
      <c r="I1613" s="51" t="str">
        <f t="shared" si="125"/>
        <v/>
      </c>
      <c r="J1613" s="177" t="e">
        <f>'[6]price list MAN'!J1613</f>
        <v>#N/A</v>
      </c>
      <c r="K1613" s="177" t="e">
        <f>'[6]price list MAN'!P1613</f>
        <v>#N/A</v>
      </c>
      <c r="L1613" s="177" t="e">
        <f>'[6]price list MAN'!R1613</f>
        <v>#N/A</v>
      </c>
      <c r="M1613" s="174" t="e">
        <f>'[6]price list MAN'!S1613</f>
        <v>#N/A</v>
      </c>
      <c r="N1613" s="174" t="e">
        <f>'[6]price list MAN'!Y1613</f>
        <v>#N/A</v>
      </c>
      <c r="O1613" s="174" t="e">
        <f>'[6]price list MAN'!AA1613</f>
        <v>#N/A</v>
      </c>
      <c r="P1613" s="68" t="e">
        <f t="shared" si="126"/>
        <v>#N/A</v>
      </c>
      <c r="Q1613" s="62" t="e">
        <f>O1613-#REF!</f>
        <v>#N/A</v>
      </c>
      <c r="AT1613" s="425" t="str">
        <f t="shared" si="127"/>
        <v>Special Order0</v>
      </c>
      <c r="AU1613" s="64" t="str">
        <f t="shared" si="128"/>
        <v>01-1900</v>
      </c>
      <c r="BA1613" s="428" t="str">
        <f t="shared" si="129"/>
        <v/>
      </c>
    </row>
    <row r="1614" spans="2:53">
      <c r="B1614" s="36">
        <f>'[6]price list MAN'!B1614</f>
        <v>0</v>
      </c>
      <c r="C1614" s="10">
        <f>'[6]price list MAN'!C1614</f>
        <v>0</v>
      </c>
      <c r="D1614" s="16" t="str">
        <f>IFERROR(VLOOKUP(C1614&amp;"",'[7]Retail Price List'!$A$3:$B$103,2,FALSE),"Special Order")</f>
        <v>Special Order</v>
      </c>
      <c r="E1614" s="494">
        <f>'[6]price list MAN'!E1614</f>
        <v>0</v>
      </c>
      <c r="F1614" s="11">
        <f>'[6]price list MAN'!F1614</f>
        <v>0</v>
      </c>
      <c r="G1614" s="32">
        <f>'[6]price list MAN'!G1614</f>
        <v>0</v>
      </c>
      <c r="H1614" s="26">
        <f>'[6]price list MAN'!H1614</f>
        <v>0</v>
      </c>
      <c r="I1614" s="51" t="str">
        <f t="shared" si="125"/>
        <v/>
      </c>
      <c r="J1614" s="177" t="e">
        <f>'[6]price list MAN'!J1614</f>
        <v>#N/A</v>
      </c>
      <c r="K1614" s="177" t="e">
        <f>'[6]price list MAN'!P1614</f>
        <v>#N/A</v>
      </c>
      <c r="L1614" s="177" t="e">
        <f>'[6]price list MAN'!R1614</f>
        <v>#N/A</v>
      </c>
      <c r="M1614" s="174" t="e">
        <f>'[6]price list MAN'!S1614</f>
        <v>#N/A</v>
      </c>
      <c r="N1614" s="174" t="e">
        <f>'[6]price list MAN'!Y1614</f>
        <v>#N/A</v>
      </c>
      <c r="O1614" s="174" t="e">
        <f>'[6]price list MAN'!AA1614</f>
        <v>#N/A</v>
      </c>
      <c r="P1614" s="68" t="e">
        <f t="shared" si="126"/>
        <v>#N/A</v>
      </c>
      <c r="Q1614" s="62" t="e">
        <f>O1614-#REF!</f>
        <v>#N/A</v>
      </c>
      <c r="AT1614" s="425" t="str">
        <f t="shared" si="127"/>
        <v>Special Order0</v>
      </c>
      <c r="AU1614" s="64" t="str">
        <f t="shared" si="128"/>
        <v>01-1900</v>
      </c>
      <c r="BA1614" s="428" t="str">
        <f t="shared" si="129"/>
        <v/>
      </c>
    </row>
    <row r="1615" spans="2:53">
      <c r="B1615" s="36">
        <f>'[6]price list MAN'!B1615</f>
        <v>0</v>
      </c>
      <c r="C1615" s="10">
        <f>'[6]price list MAN'!C1615</f>
        <v>0</v>
      </c>
      <c r="D1615" s="16" t="str">
        <f>IFERROR(VLOOKUP(C1615&amp;"",'[7]Retail Price List'!$A$3:$B$103,2,FALSE),"Special Order")</f>
        <v>Special Order</v>
      </c>
      <c r="E1615" s="494">
        <f>'[6]price list MAN'!E1615</f>
        <v>0</v>
      </c>
      <c r="F1615" s="11">
        <f>'[6]price list MAN'!F1615</f>
        <v>0</v>
      </c>
      <c r="G1615" s="32">
        <f>'[6]price list MAN'!G1615</f>
        <v>0</v>
      </c>
      <c r="H1615" s="26">
        <f>'[6]price list MAN'!H1615</f>
        <v>0</v>
      </c>
      <c r="I1615" s="51" t="str">
        <f t="shared" si="125"/>
        <v/>
      </c>
      <c r="J1615" s="177" t="e">
        <f>'[6]price list MAN'!J1615</f>
        <v>#N/A</v>
      </c>
      <c r="K1615" s="177" t="e">
        <f>'[6]price list MAN'!P1615</f>
        <v>#N/A</v>
      </c>
      <c r="L1615" s="177" t="e">
        <f>'[6]price list MAN'!R1615</f>
        <v>#N/A</v>
      </c>
      <c r="M1615" s="174" t="e">
        <f>'[6]price list MAN'!S1615</f>
        <v>#N/A</v>
      </c>
      <c r="N1615" s="174" t="e">
        <f>'[6]price list MAN'!Y1615</f>
        <v>#N/A</v>
      </c>
      <c r="O1615" s="174" t="e">
        <f>'[6]price list MAN'!AA1615</f>
        <v>#N/A</v>
      </c>
      <c r="P1615" s="68" t="e">
        <f t="shared" si="126"/>
        <v>#N/A</v>
      </c>
      <c r="Q1615" s="62" t="e">
        <f>O1615-#REF!</f>
        <v>#N/A</v>
      </c>
      <c r="AT1615" s="425" t="str">
        <f t="shared" si="127"/>
        <v>Special Order0</v>
      </c>
      <c r="AU1615" s="64" t="str">
        <f t="shared" si="128"/>
        <v>01-1900</v>
      </c>
      <c r="BA1615" s="428" t="str">
        <f t="shared" si="129"/>
        <v/>
      </c>
    </row>
    <row r="1616" spans="2:53">
      <c r="B1616" s="36">
        <f>'[6]price list MAN'!B1616</f>
        <v>0</v>
      </c>
      <c r="C1616" s="10">
        <f>'[6]price list MAN'!C1616</f>
        <v>0</v>
      </c>
      <c r="D1616" s="16" t="str">
        <f>IFERROR(VLOOKUP(C1616&amp;"",'[7]Retail Price List'!$A$3:$B$103,2,FALSE),"Special Order")</f>
        <v>Special Order</v>
      </c>
      <c r="E1616" s="494">
        <f>'[6]price list MAN'!E1616</f>
        <v>0</v>
      </c>
      <c r="F1616" s="11">
        <f>'[6]price list MAN'!F1616</f>
        <v>0</v>
      </c>
      <c r="G1616" s="32">
        <f>'[6]price list MAN'!G1616</f>
        <v>0</v>
      </c>
      <c r="H1616" s="26">
        <f>'[6]price list MAN'!H1616</f>
        <v>0</v>
      </c>
      <c r="I1616" s="51" t="str">
        <f t="shared" si="125"/>
        <v/>
      </c>
      <c r="J1616" s="177" t="e">
        <f>'[6]price list MAN'!J1616</f>
        <v>#N/A</v>
      </c>
      <c r="K1616" s="177" t="e">
        <f>'[6]price list MAN'!P1616</f>
        <v>#N/A</v>
      </c>
      <c r="L1616" s="177" t="e">
        <f>'[6]price list MAN'!R1616</f>
        <v>#N/A</v>
      </c>
      <c r="M1616" s="174" t="e">
        <f>'[6]price list MAN'!S1616</f>
        <v>#N/A</v>
      </c>
      <c r="N1616" s="174" t="e">
        <f>'[6]price list MAN'!Y1616</f>
        <v>#N/A</v>
      </c>
      <c r="O1616" s="174" t="e">
        <f>'[6]price list MAN'!AA1616</f>
        <v>#N/A</v>
      </c>
      <c r="P1616" s="68" t="e">
        <f t="shared" si="126"/>
        <v>#N/A</v>
      </c>
      <c r="Q1616" s="62" t="e">
        <f>O1616-#REF!</f>
        <v>#N/A</v>
      </c>
      <c r="AT1616" s="425" t="str">
        <f t="shared" si="127"/>
        <v>Special Order0</v>
      </c>
      <c r="AU1616" s="64" t="str">
        <f t="shared" si="128"/>
        <v>01-1900</v>
      </c>
      <c r="BA1616" s="428" t="str">
        <f t="shared" si="129"/>
        <v/>
      </c>
    </row>
    <row r="1617" spans="2:53">
      <c r="B1617" s="36">
        <f>'[6]price list MAN'!B1617</f>
        <v>0</v>
      </c>
      <c r="C1617" s="10">
        <f>'[6]price list MAN'!C1617</f>
        <v>0</v>
      </c>
      <c r="D1617" s="16" t="str">
        <f>IFERROR(VLOOKUP(C1617&amp;"",'[7]Retail Price List'!$A$3:$B$103,2,FALSE),"Special Order")</f>
        <v>Special Order</v>
      </c>
      <c r="E1617" s="494">
        <f>'[6]price list MAN'!E1617</f>
        <v>0</v>
      </c>
      <c r="F1617" s="11">
        <f>'[6]price list MAN'!F1617</f>
        <v>0</v>
      </c>
      <c r="G1617" s="32">
        <f>'[6]price list MAN'!G1617</f>
        <v>0</v>
      </c>
      <c r="H1617" s="26">
        <f>'[6]price list MAN'!H1617</f>
        <v>0</v>
      </c>
      <c r="I1617" s="51" t="str">
        <f t="shared" si="125"/>
        <v/>
      </c>
      <c r="J1617" s="177" t="e">
        <f>'[6]price list MAN'!J1617</f>
        <v>#N/A</v>
      </c>
      <c r="K1617" s="177" t="e">
        <f>'[6]price list MAN'!P1617</f>
        <v>#N/A</v>
      </c>
      <c r="L1617" s="177" t="e">
        <f>'[6]price list MAN'!R1617</f>
        <v>#N/A</v>
      </c>
      <c r="M1617" s="174" t="e">
        <f>'[6]price list MAN'!S1617</f>
        <v>#N/A</v>
      </c>
      <c r="N1617" s="174" t="e">
        <f>'[6]price list MAN'!Y1617</f>
        <v>#N/A</v>
      </c>
      <c r="O1617" s="174" t="e">
        <f>'[6]price list MAN'!AA1617</f>
        <v>#N/A</v>
      </c>
      <c r="P1617" s="68" t="e">
        <f t="shared" si="126"/>
        <v>#N/A</v>
      </c>
      <c r="Q1617" s="62" t="e">
        <f>O1617-#REF!</f>
        <v>#N/A</v>
      </c>
      <c r="AT1617" s="425" t="str">
        <f t="shared" si="127"/>
        <v>Special Order0</v>
      </c>
      <c r="AU1617" s="64" t="str">
        <f t="shared" si="128"/>
        <v>01-1900</v>
      </c>
      <c r="BA1617" s="428" t="str">
        <f t="shared" si="129"/>
        <v/>
      </c>
    </row>
    <row r="1618" spans="2:53">
      <c r="B1618" s="36">
        <f>'[6]price list MAN'!B1618</f>
        <v>0</v>
      </c>
      <c r="C1618" s="10">
        <f>'[6]price list MAN'!C1618</f>
        <v>0</v>
      </c>
      <c r="D1618" s="16" t="str">
        <f>IFERROR(VLOOKUP(C1618&amp;"",'[7]Retail Price List'!$A$3:$B$103,2,FALSE),"Special Order")</f>
        <v>Special Order</v>
      </c>
      <c r="E1618" s="494">
        <f>'[6]price list MAN'!E1618</f>
        <v>0</v>
      </c>
      <c r="F1618" s="11">
        <f>'[6]price list MAN'!F1618</f>
        <v>0</v>
      </c>
      <c r="G1618" s="32">
        <f>'[6]price list MAN'!G1618</f>
        <v>0</v>
      </c>
      <c r="H1618" s="26">
        <f>'[6]price list MAN'!H1618</f>
        <v>0</v>
      </c>
      <c r="I1618" s="51" t="str">
        <f t="shared" si="125"/>
        <v/>
      </c>
      <c r="J1618" s="177" t="e">
        <f>'[6]price list MAN'!J1618</f>
        <v>#N/A</v>
      </c>
      <c r="K1618" s="177" t="e">
        <f>'[6]price list MAN'!P1618</f>
        <v>#N/A</v>
      </c>
      <c r="L1618" s="177" t="e">
        <f>'[6]price list MAN'!R1618</f>
        <v>#N/A</v>
      </c>
      <c r="M1618" s="174" t="e">
        <f>'[6]price list MAN'!S1618</f>
        <v>#N/A</v>
      </c>
      <c r="N1618" s="174" t="e">
        <f>'[6]price list MAN'!Y1618</f>
        <v>#N/A</v>
      </c>
      <c r="O1618" s="174" t="e">
        <f>'[6]price list MAN'!AA1618</f>
        <v>#N/A</v>
      </c>
      <c r="P1618" s="68" t="e">
        <f t="shared" si="126"/>
        <v>#N/A</v>
      </c>
      <c r="Q1618" s="62" t="e">
        <f>O1618-#REF!</f>
        <v>#N/A</v>
      </c>
      <c r="AT1618" s="425" t="str">
        <f t="shared" si="127"/>
        <v>Special Order0</v>
      </c>
      <c r="AU1618" s="64" t="str">
        <f t="shared" si="128"/>
        <v>01-1900</v>
      </c>
      <c r="BA1618" s="428" t="str">
        <f t="shared" si="129"/>
        <v/>
      </c>
    </row>
    <row r="1619" spans="2:53">
      <c r="B1619" s="36">
        <f>'[6]price list MAN'!B1619</f>
        <v>0</v>
      </c>
      <c r="C1619" s="10">
        <f>'[6]price list MAN'!C1619</f>
        <v>0</v>
      </c>
      <c r="D1619" s="16" t="str">
        <f>IFERROR(VLOOKUP(C1619&amp;"",'[7]Retail Price List'!$A$3:$B$103,2,FALSE),"Special Order")</f>
        <v>Special Order</v>
      </c>
      <c r="E1619" s="494">
        <f>'[6]price list MAN'!E1619</f>
        <v>0</v>
      </c>
      <c r="F1619" s="11">
        <f>'[6]price list MAN'!F1619</f>
        <v>0</v>
      </c>
      <c r="G1619" s="32">
        <f>'[6]price list MAN'!G1619</f>
        <v>0</v>
      </c>
      <c r="H1619" s="26">
        <f>'[6]price list MAN'!H1619</f>
        <v>0</v>
      </c>
      <c r="I1619" s="51" t="str">
        <f t="shared" si="125"/>
        <v/>
      </c>
      <c r="J1619" s="177" t="e">
        <f>'[6]price list MAN'!J1619</f>
        <v>#N/A</v>
      </c>
      <c r="K1619" s="177" t="e">
        <f>'[6]price list MAN'!P1619</f>
        <v>#N/A</v>
      </c>
      <c r="L1619" s="177" t="e">
        <f>'[6]price list MAN'!R1619</f>
        <v>#N/A</v>
      </c>
      <c r="M1619" s="174" t="e">
        <f>'[6]price list MAN'!S1619</f>
        <v>#N/A</v>
      </c>
      <c r="N1619" s="174" t="e">
        <f>'[6]price list MAN'!Y1619</f>
        <v>#N/A</v>
      </c>
      <c r="O1619" s="174" t="e">
        <f>'[6]price list MAN'!AA1619</f>
        <v>#N/A</v>
      </c>
      <c r="P1619" s="68" t="e">
        <f t="shared" si="126"/>
        <v>#N/A</v>
      </c>
      <c r="Q1619" s="62" t="e">
        <f>O1619-#REF!</f>
        <v>#N/A</v>
      </c>
      <c r="AT1619" s="425" t="str">
        <f t="shared" si="127"/>
        <v>Special Order0</v>
      </c>
      <c r="AU1619" s="64" t="str">
        <f t="shared" si="128"/>
        <v>01-1900</v>
      </c>
      <c r="BA1619" s="428" t="str">
        <f t="shared" si="129"/>
        <v/>
      </c>
    </row>
    <row r="1620" spans="2:53">
      <c r="B1620" s="36">
        <f>'[6]price list MAN'!B1620</f>
        <v>0</v>
      </c>
      <c r="C1620" s="10">
        <f>'[6]price list MAN'!C1620</f>
        <v>0</v>
      </c>
      <c r="D1620" s="16" t="str">
        <f>IFERROR(VLOOKUP(C1620&amp;"",'[7]Retail Price List'!$A$3:$B$103,2,FALSE),"Special Order")</f>
        <v>Special Order</v>
      </c>
      <c r="E1620" s="494">
        <f>'[6]price list MAN'!E1620</f>
        <v>0</v>
      </c>
      <c r="F1620" s="11">
        <f>'[6]price list MAN'!F1620</f>
        <v>0</v>
      </c>
      <c r="G1620" s="32">
        <f>'[6]price list MAN'!G1620</f>
        <v>0</v>
      </c>
      <c r="H1620" s="26">
        <f>'[6]price list MAN'!H1620</f>
        <v>0</v>
      </c>
      <c r="I1620" s="51" t="str">
        <f t="shared" si="125"/>
        <v/>
      </c>
      <c r="J1620" s="177" t="e">
        <f>'[6]price list MAN'!J1620</f>
        <v>#N/A</v>
      </c>
      <c r="K1620" s="177" t="e">
        <f>'[6]price list MAN'!P1620</f>
        <v>#N/A</v>
      </c>
      <c r="L1620" s="177" t="e">
        <f>'[6]price list MAN'!R1620</f>
        <v>#N/A</v>
      </c>
      <c r="M1620" s="174" t="e">
        <f>'[6]price list MAN'!S1620</f>
        <v>#N/A</v>
      </c>
      <c r="N1620" s="174" t="e">
        <f>'[6]price list MAN'!Y1620</f>
        <v>#N/A</v>
      </c>
      <c r="O1620" s="174" t="e">
        <f>'[6]price list MAN'!AA1620</f>
        <v>#N/A</v>
      </c>
      <c r="P1620" s="68" t="e">
        <f t="shared" si="126"/>
        <v>#N/A</v>
      </c>
      <c r="Q1620" s="62" t="e">
        <f>O1620-#REF!</f>
        <v>#N/A</v>
      </c>
      <c r="AT1620" s="425" t="str">
        <f t="shared" si="127"/>
        <v>Special Order0</v>
      </c>
      <c r="AU1620" s="64" t="str">
        <f t="shared" si="128"/>
        <v>01-1900</v>
      </c>
      <c r="BA1620" s="428" t="str">
        <f t="shared" si="129"/>
        <v/>
      </c>
    </row>
    <row r="1621" spans="2:53">
      <c r="B1621" s="36">
        <f>'[6]price list MAN'!B1621</f>
        <v>0</v>
      </c>
      <c r="C1621" s="10">
        <f>'[6]price list MAN'!C1621</f>
        <v>0</v>
      </c>
      <c r="D1621" s="16" t="str">
        <f>IFERROR(VLOOKUP(C1621&amp;"",'[7]Retail Price List'!$A$3:$B$103,2,FALSE),"Special Order")</f>
        <v>Special Order</v>
      </c>
      <c r="E1621" s="494">
        <f>'[6]price list MAN'!E1621</f>
        <v>0</v>
      </c>
      <c r="F1621" s="11">
        <f>'[6]price list MAN'!F1621</f>
        <v>0</v>
      </c>
      <c r="G1621" s="32">
        <f>'[6]price list MAN'!G1621</f>
        <v>0</v>
      </c>
      <c r="H1621" s="26">
        <f>'[6]price list MAN'!H1621</f>
        <v>0</v>
      </c>
      <c r="I1621" s="51" t="str">
        <f t="shared" si="125"/>
        <v/>
      </c>
      <c r="J1621" s="177" t="e">
        <f>'[6]price list MAN'!J1621</f>
        <v>#N/A</v>
      </c>
      <c r="K1621" s="177" t="e">
        <f>'[6]price list MAN'!P1621</f>
        <v>#N/A</v>
      </c>
      <c r="L1621" s="177" t="e">
        <f>'[6]price list MAN'!R1621</f>
        <v>#N/A</v>
      </c>
      <c r="M1621" s="174" t="e">
        <f>'[6]price list MAN'!S1621</f>
        <v>#N/A</v>
      </c>
      <c r="N1621" s="174" t="e">
        <f>'[6]price list MAN'!Y1621</f>
        <v>#N/A</v>
      </c>
      <c r="O1621" s="174" t="e">
        <f>'[6]price list MAN'!AA1621</f>
        <v>#N/A</v>
      </c>
      <c r="P1621" s="68" t="e">
        <f t="shared" si="126"/>
        <v>#N/A</v>
      </c>
      <c r="Q1621" s="62" t="e">
        <f>O1621-#REF!</f>
        <v>#N/A</v>
      </c>
      <c r="AT1621" s="425" t="str">
        <f t="shared" si="127"/>
        <v>Special Order0</v>
      </c>
      <c r="AU1621" s="64" t="str">
        <f t="shared" si="128"/>
        <v>01-1900</v>
      </c>
      <c r="BA1621" s="428" t="str">
        <f t="shared" si="129"/>
        <v/>
      </c>
    </row>
    <row r="1622" spans="2:53">
      <c r="B1622" s="36">
        <f>'[6]price list MAN'!B1622</f>
        <v>0</v>
      </c>
      <c r="C1622" s="10">
        <f>'[6]price list MAN'!C1622</f>
        <v>0</v>
      </c>
      <c r="D1622" s="16" t="str">
        <f>IFERROR(VLOOKUP(C1622&amp;"",'[7]Retail Price List'!$A$3:$B$103,2,FALSE),"Special Order")</f>
        <v>Special Order</v>
      </c>
      <c r="E1622" s="494">
        <f>'[6]price list MAN'!E1622</f>
        <v>0</v>
      </c>
      <c r="F1622" s="11">
        <f>'[6]price list MAN'!F1622</f>
        <v>0</v>
      </c>
      <c r="G1622" s="32">
        <f>'[6]price list MAN'!G1622</f>
        <v>0</v>
      </c>
      <c r="H1622" s="26">
        <f>'[6]price list MAN'!H1622</f>
        <v>0</v>
      </c>
      <c r="I1622" s="51" t="str">
        <f t="shared" si="125"/>
        <v/>
      </c>
      <c r="J1622" s="177" t="e">
        <f>'[6]price list MAN'!J1622</f>
        <v>#N/A</v>
      </c>
      <c r="K1622" s="177" t="e">
        <f>'[6]price list MAN'!P1622</f>
        <v>#N/A</v>
      </c>
      <c r="L1622" s="177" t="e">
        <f>'[6]price list MAN'!R1622</f>
        <v>#N/A</v>
      </c>
      <c r="M1622" s="174" t="e">
        <f>'[6]price list MAN'!S1622</f>
        <v>#N/A</v>
      </c>
      <c r="N1622" s="174" t="e">
        <f>'[6]price list MAN'!Y1622</f>
        <v>#N/A</v>
      </c>
      <c r="O1622" s="174" t="e">
        <f>'[6]price list MAN'!AA1622</f>
        <v>#N/A</v>
      </c>
      <c r="P1622" s="68" t="e">
        <f t="shared" si="126"/>
        <v>#N/A</v>
      </c>
      <c r="Q1622" s="62" t="e">
        <f>O1622-#REF!</f>
        <v>#N/A</v>
      </c>
      <c r="AT1622" s="425" t="str">
        <f t="shared" si="127"/>
        <v>Special Order0</v>
      </c>
      <c r="AU1622" s="64" t="str">
        <f t="shared" si="128"/>
        <v>01-1900</v>
      </c>
      <c r="BA1622" s="428" t="str">
        <f t="shared" si="129"/>
        <v/>
      </c>
    </row>
    <row r="1623" spans="2:53">
      <c r="B1623" s="36">
        <f>'[6]price list MAN'!B1623</f>
        <v>0</v>
      </c>
      <c r="C1623" s="10">
        <f>'[6]price list MAN'!C1623</f>
        <v>0</v>
      </c>
      <c r="D1623" s="16" t="str">
        <f>IFERROR(VLOOKUP(C1623&amp;"",'[7]Retail Price List'!$A$3:$B$103,2,FALSE),"Special Order")</f>
        <v>Special Order</v>
      </c>
      <c r="E1623" s="494">
        <f>'[6]price list MAN'!E1623</f>
        <v>0</v>
      </c>
      <c r="F1623" s="11">
        <f>'[6]price list MAN'!F1623</f>
        <v>0</v>
      </c>
      <c r="G1623" s="32">
        <f>'[6]price list MAN'!G1623</f>
        <v>0</v>
      </c>
      <c r="H1623" s="26">
        <f>'[6]price list MAN'!H1623</f>
        <v>0</v>
      </c>
      <c r="I1623" s="51" t="str">
        <f t="shared" si="125"/>
        <v/>
      </c>
      <c r="J1623" s="177" t="e">
        <f>'[6]price list MAN'!J1623</f>
        <v>#N/A</v>
      </c>
      <c r="K1623" s="177" t="e">
        <f>'[6]price list MAN'!P1623</f>
        <v>#N/A</v>
      </c>
      <c r="L1623" s="177" t="e">
        <f>'[6]price list MAN'!R1623</f>
        <v>#N/A</v>
      </c>
      <c r="M1623" s="174" t="e">
        <f>'[6]price list MAN'!S1623</f>
        <v>#N/A</v>
      </c>
      <c r="N1623" s="174" t="e">
        <f>'[6]price list MAN'!Y1623</f>
        <v>#N/A</v>
      </c>
      <c r="O1623" s="174" t="e">
        <f>'[6]price list MAN'!AA1623</f>
        <v>#N/A</v>
      </c>
      <c r="P1623" s="68" t="e">
        <f t="shared" si="126"/>
        <v>#N/A</v>
      </c>
      <c r="Q1623" s="62" t="e">
        <f>O1623-#REF!</f>
        <v>#N/A</v>
      </c>
      <c r="AT1623" s="425" t="str">
        <f t="shared" si="127"/>
        <v>Special Order0</v>
      </c>
      <c r="AU1623" s="64" t="str">
        <f t="shared" si="128"/>
        <v>01-1900</v>
      </c>
      <c r="BA1623" s="428" t="str">
        <f t="shared" si="129"/>
        <v/>
      </c>
    </row>
    <row r="1624" spans="2:53">
      <c r="B1624" s="36">
        <f>'[6]price list MAN'!B1624</f>
        <v>0</v>
      </c>
      <c r="C1624" s="10">
        <f>'[6]price list MAN'!C1624</f>
        <v>0</v>
      </c>
      <c r="D1624" s="16" t="str">
        <f>IFERROR(VLOOKUP(C1624&amp;"",'[7]Retail Price List'!$A$3:$B$103,2,FALSE),"Special Order")</f>
        <v>Special Order</v>
      </c>
      <c r="E1624" s="494">
        <f>'[6]price list MAN'!E1624</f>
        <v>0</v>
      </c>
      <c r="F1624" s="11">
        <f>'[6]price list MAN'!F1624</f>
        <v>0</v>
      </c>
      <c r="G1624" s="32">
        <f>'[6]price list MAN'!G1624</f>
        <v>0</v>
      </c>
      <c r="H1624" s="26">
        <f>'[6]price list MAN'!H1624</f>
        <v>0</v>
      </c>
      <c r="I1624" s="51" t="str">
        <f t="shared" si="125"/>
        <v/>
      </c>
      <c r="J1624" s="177" t="e">
        <f>'[6]price list MAN'!J1624</f>
        <v>#N/A</v>
      </c>
      <c r="K1624" s="177" t="e">
        <f>'[6]price list MAN'!P1624</f>
        <v>#N/A</v>
      </c>
      <c r="L1624" s="177" t="e">
        <f>'[6]price list MAN'!R1624</f>
        <v>#N/A</v>
      </c>
      <c r="M1624" s="174" t="e">
        <f>'[6]price list MAN'!S1624</f>
        <v>#N/A</v>
      </c>
      <c r="N1624" s="174" t="e">
        <f>'[6]price list MAN'!Y1624</f>
        <v>#N/A</v>
      </c>
      <c r="O1624" s="174" t="e">
        <f>'[6]price list MAN'!AA1624</f>
        <v>#N/A</v>
      </c>
      <c r="P1624" s="68" t="e">
        <f t="shared" si="126"/>
        <v>#N/A</v>
      </c>
      <c r="Q1624" s="62" t="e">
        <f>O1624-#REF!</f>
        <v>#N/A</v>
      </c>
      <c r="AT1624" s="425" t="str">
        <f t="shared" si="127"/>
        <v>Special Order0</v>
      </c>
      <c r="AU1624" s="64" t="str">
        <f t="shared" si="128"/>
        <v>01-1900</v>
      </c>
      <c r="BA1624" s="428" t="str">
        <f t="shared" si="129"/>
        <v/>
      </c>
    </row>
    <row r="1625" spans="2:53">
      <c r="B1625" s="36">
        <f>'[6]price list MAN'!B1625</f>
        <v>0</v>
      </c>
      <c r="C1625" s="10">
        <f>'[6]price list MAN'!C1625</f>
        <v>0</v>
      </c>
      <c r="D1625" s="16" t="str">
        <f>IFERROR(VLOOKUP(C1625&amp;"",'[7]Retail Price List'!$A$3:$B$103,2,FALSE),"Special Order")</f>
        <v>Special Order</v>
      </c>
      <c r="E1625" s="494">
        <f>'[6]price list MAN'!E1625</f>
        <v>0</v>
      </c>
      <c r="F1625" s="11">
        <f>'[6]price list MAN'!F1625</f>
        <v>0</v>
      </c>
      <c r="G1625" s="32">
        <f>'[6]price list MAN'!G1625</f>
        <v>0</v>
      </c>
      <c r="H1625" s="26">
        <f>'[6]price list MAN'!H1625</f>
        <v>0</v>
      </c>
      <c r="I1625" s="51" t="str">
        <f t="shared" si="125"/>
        <v/>
      </c>
      <c r="J1625" s="177" t="e">
        <f>'[6]price list MAN'!J1625</f>
        <v>#N/A</v>
      </c>
      <c r="K1625" s="177" t="e">
        <f>'[6]price list MAN'!P1625</f>
        <v>#N/A</v>
      </c>
      <c r="L1625" s="177" t="e">
        <f>'[6]price list MAN'!R1625</f>
        <v>#N/A</v>
      </c>
      <c r="M1625" s="174" t="e">
        <f>'[6]price list MAN'!S1625</f>
        <v>#N/A</v>
      </c>
      <c r="N1625" s="174" t="e">
        <f>'[6]price list MAN'!Y1625</f>
        <v>#N/A</v>
      </c>
      <c r="O1625" s="174" t="e">
        <f>'[6]price list MAN'!AA1625</f>
        <v>#N/A</v>
      </c>
      <c r="P1625" s="68" t="e">
        <f t="shared" si="126"/>
        <v>#N/A</v>
      </c>
      <c r="Q1625" s="62" t="e">
        <f>O1625-#REF!</f>
        <v>#N/A</v>
      </c>
      <c r="AT1625" s="425" t="str">
        <f t="shared" si="127"/>
        <v>Special Order0</v>
      </c>
      <c r="AU1625" s="64" t="str">
        <f t="shared" si="128"/>
        <v>01-1900</v>
      </c>
      <c r="BA1625" s="428" t="str">
        <f t="shared" si="129"/>
        <v/>
      </c>
    </row>
    <row r="1626" spans="2:53">
      <c r="B1626" s="36">
        <f>'[6]price list MAN'!B1626</f>
        <v>0</v>
      </c>
      <c r="C1626" s="10">
        <f>'[6]price list MAN'!C1626</f>
        <v>0</v>
      </c>
      <c r="D1626" s="16" t="str">
        <f>IFERROR(VLOOKUP(C1626&amp;"",'[7]Retail Price List'!$A$3:$B$103,2,FALSE),"Special Order")</f>
        <v>Special Order</v>
      </c>
      <c r="E1626" s="494">
        <f>'[6]price list MAN'!E1626</f>
        <v>0</v>
      </c>
      <c r="F1626" s="11">
        <f>'[6]price list MAN'!F1626</f>
        <v>0</v>
      </c>
      <c r="G1626" s="32">
        <f>'[6]price list MAN'!G1626</f>
        <v>0</v>
      </c>
      <c r="H1626" s="26">
        <f>'[6]price list MAN'!H1626</f>
        <v>0</v>
      </c>
      <c r="I1626" s="51" t="str">
        <f t="shared" si="125"/>
        <v/>
      </c>
      <c r="J1626" s="177" t="e">
        <f>'[6]price list MAN'!J1626</f>
        <v>#N/A</v>
      </c>
      <c r="K1626" s="177" t="e">
        <f>'[6]price list MAN'!P1626</f>
        <v>#N/A</v>
      </c>
      <c r="L1626" s="177" t="e">
        <f>'[6]price list MAN'!R1626</f>
        <v>#N/A</v>
      </c>
      <c r="M1626" s="174" t="e">
        <f>'[6]price list MAN'!S1626</f>
        <v>#N/A</v>
      </c>
      <c r="N1626" s="174" t="e">
        <f>'[6]price list MAN'!Y1626</f>
        <v>#N/A</v>
      </c>
      <c r="O1626" s="174" t="e">
        <f>'[6]price list MAN'!AA1626</f>
        <v>#N/A</v>
      </c>
      <c r="P1626" s="68" t="e">
        <f t="shared" si="126"/>
        <v>#N/A</v>
      </c>
      <c r="Q1626" s="62" t="e">
        <f>O1626-#REF!</f>
        <v>#N/A</v>
      </c>
      <c r="AT1626" s="425" t="str">
        <f t="shared" si="127"/>
        <v>Special Order0</v>
      </c>
      <c r="AU1626" s="64" t="str">
        <f t="shared" si="128"/>
        <v>01-1900</v>
      </c>
      <c r="BA1626" s="428" t="str">
        <f t="shared" si="129"/>
        <v/>
      </c>
    </row>
    <row r="1627" spans="2:53">
      <c r="B1627" s="36">
        <f>'[6]price list MAN'!B1627</f>
        <v>0</v>
      </c>
      <c r="C1627" s="10">
        <f>'[6]price list MAN'!C1627</f>
        <v>0</v>
      </c>
      <c r="D1627" s="16" t="str">
        <f>IFERROR(VLOOKUP(C1627&amp;"",'[7]Retail Price List'!$A$3:$B$103,2,FALSE),"Special Order")</f>
        <v>Special Order</v>
      </c>
      <c r="E1627" s="494">
        <f>'[6]price list MAN'!E1627</f>
        <v>0</v>
      </c>
      <c r="F1627" s="11">
        <f>'[6]price list MAN'!F1627</f>
        <v>0</v>
      </c>
      <c r="G1627" s="32">
        <f>'[6]price list MAN'!G1627</f>
        <v>0</v>
      </c>
      <c r="H1627" s="26">
        <f>'[6]price list MAN'!H1627</f>
        <v>0</v>
      </c>
      <c r="I1627" s="51" t="str">
        <f t="shared" si="125"/>
        <v/>
      </c>
      <c r="J1627" s="177" t="e">
        <f>'[6]price list MAN'!J1627</f>
        <v>#N/A</v>
      </c>
      <c r="K1627" s="177" t="e">
        <f>'[6]price list MAN'!P1627</f>
        <v>#N/A</v>
      </c>
      <c r="L1627" s="177" t="e">
        <f>'[6]price list MAN'!R1627</f>
        <v>#N/A</v>
      </c>
      <c r="M1627" s="174" t="e">
        <f>'[6]price list MAN'!S1627</f>
        <v>#N/A</v>
      </c>
      <c r="N1627" s="174" t="e">
        <f>'[6]price list MAN'!Y1627</f>
        <v>#N/A</v>
      </c>
      <c r="O1627" s="174" t="e">
        <f>'[6]price list MAN'!AA1627</f>
        <v>#N/A</v>
      </c>
      <c r="P1627" s="68" t="e">
        <f t="shared" si="126"/>
        <v>#N/A</v>
      </c>
      <c r="Q1627" s="62" t="e">
        <f>O1627-#REF!</f>
        <v>#N/A</v>
      </c>
      <c r="AT1627" s="425" t="str">
        <f t="shared" si="127"/>
        <v>Special Order0</v>
      </c>
      <c r="AU1627" s="64" t="str">
        <f t="shared" si="128"/>
        <v>01-1900</v>
      </c>
      <c r="BA1627" s="428" t="str">
        <f t="shared" si="129"/>
        <v/>
      </c>
    </row>
    <row r="1628" spans="2:53">
      <c r="B1628" s="36">
        <f>'[6]price list MAN'!B1628</f>
        <v>0</v>
      </c>
      <c r="C1628" s="10">
        <f>'[6]price list MAN'!C1628</f>
        <v>0</v>
      </c>
      <c r="D1628" s="16" t="str">
        <f>IFERROR(VLOOKUP(C1628&amp;"",'[7]Retail Price List'!$A$3:$B$103,2,FALSE),"Special Order")</f>
        <v>Special Order</v>
      </c>
      <c r="E1628" s="494">
        <f>'[6]price list MAN'!E1628</f>
        <v>0</v>
      </c>
      <c r="F1628" s="11">
        <f>'[6]price list MAN'!F1628</f>
        <v>0</v>
      </c>
      <c r="G1628" s="32">
        <f>'[6]price list MAN'!G1628</f>
        <v>0</v>
      </c>
      <c r="H1628" s="26">
        <f>'[6]price list MAN'!H1628</f>
        <v>0</v>
      </c>
      <c r="I1628" s="51" t="str">
        <f t="shared" si="125"/>
        <v/>
      </c>
      <c r="J1628" s="177" t="e">
        <f>'[6]price list MAN'!J1628</f>
        <v>#N/A</v>
      </c>
      <c r="K1628" s="177" t="e">
        <f>'[6]price list MAN'!P1628</f>
        <v>#N/A</v>
      </c>
      <c r="L1628" s="177" t="e">
        <f>'[6]price list MAN'!R1628</f>
        <v>#N/A</v>
      </c>
      <c r="M1628" s="174" t="e">
        <f>'[6]price list MAN'!S1628</f>
        <v>#N/A</v>
      </c>
      <c r="N1628" s="174" t="e">
        <f>'[6]price list MAN'!Y1628</f>
        <v>#N/A</v>
      </c>
      <c r="O1628" s="174" t="e">
        <f>'[6]price list MAN'!AA1628</f>
        <v>#N/A</v>
      </c>
      <c r="P1628" s="68" t="e">
        <f t="shared" si="126"/>
        <v>#N/A</v>
      </c>
      <c r="Q1628" s="62" t="e">
        <f>O1628-#REF!</f>
        <v>#N/A</v>
      </c>
      <c r="AT1628" s="425" t="str">
        <f t="shared" si="127"/>
        <v>Special Order0</v>
      </c>
      <c r="AU1628" s="64" t="str">
        <f t="shared" si="128"/>
        <v>01-1900</v>
      </c>
      <c r="BA1628" s="428" t="str">
        <f t="shared" si="129"/>
        <v/>
      </c>
    </row>
    <row r="1629" spans="2:53">
      <c r="B1629" s="36">
        <f>'[6]price list MAN'!B1629</f>
        <v>0</v>
      </c>
      <c r="C1629" s="10">
        <f>'[6]price list MAN'!C1629</f>
        <v>0</v>
      </c>
      <c r="D1629" s="16" t="str">
        <f>IFERROR(VLOOKUP(C1629&amp;"",'[7]Retail Price List'!$A$3:$B$103,2,FALSE),"Special Order")</f>
        <v>Special Order</v>
      </c>
      <c r="E1629" s="494">
        <f>'[6]price list MAN'!E1629</f>
        <v>0</v>
      </c>
      <c r="F1629" s="11">
        <f>'[6]price list MAN'!F1629</f>
        <v>0</v>
      </c>
      <c r="G1629" s="32">
        <f>'[6]price list MAN'!G1629</f>
        <v>0</v>
      </c>
      <c r="H1629" s="26">
        <f>'[6]price list MAN'!H1629</f>
        <v>0</v>
      </c>
      <c r="I1629" s="51" t="str">
        <f t="shared" si="125"/>
        <v/>
      </c>
      <c r="J1629" s="177" t="e">
        <f>'[6]price list MAN'!J1629</f>
        <v>#N/A</v>
      </c>
      <c r="K1629" s="177" t="e">
        <f>'[6]price list MAN'!P1629</f>
        <v>#N/A</v>
      </c>
      <c r="L1629" s="177" t="e">
        <f>'[6]price list MAN'!R1629</f>
        <v>#N/A</v>
      </c>
      <c r="M1629" s="174" t="e">
        <f>'[6]price list MAN'!S1629</f>
        <v>#N/A</v>
      </c>
      <c r="N1629" s="174" t="e">
        <f>'[6]price list MAN'!Y1629</f>
        <v>#N/A</v>
      </c>
      <c r="O1629" s="174" t="e">
        <f>'[6]price list MAN'!AA1629</f>
        <v>#N/A</v>
      </c>
      <c r="P1629" s="68" t="e">
        <f t="shared" si="126"/>
        <v>#N/A</v>
      </c>
      <c r="Q1629" s="62" t="e">
        <f>O1629-#REF!</f>
        <v>#N/A</v>
      </c>
      <c r="AT1629" s="425" t="str">
        <f t="shared" si="127"/>
        <v>Special Order0</v>
      </c>
      <c r="AU1629" s="64" t="str">
        <f t="shared" si="128"/>
        <v>01-1900</v>
      </c>
      <c r="BA1629" s="428" t="str">
        <f t="shared" si="129"/>
        <v/>
      </c>
    </row>
    <row r="1630" spans="2:53">
      <c r="B1630" s="36">
        <f>'[6]price list MAN'!B1630</f>
        <v>0</v>
      </c>
      <c r="C1630" s="10">
        <f>'[6]price list MAN'!C1630</f>
        <v>0</v>
      </c>
      <c r="D1630" s="16" t="str">
        <f>IFERROR(VLOOKUP(C1630&amp;"",'[7]Retail Price List'!$A$3:$B$103,2,FALSE),"Special Order")</f>
        <v>Special Order</v>
      </c>
      <c r="E1630" s="494">
        <f>'[6]price list MAN'!E1630</f>
        <v>0</v>
      </c>
      <c r="F1630" s="11">
        <f>'[6]price list MAN'!F1630</f>
        <v>0</v>
      </c>
      <c r="G1630" s="32">
        <f>'[6]price list MAN'!G1630</f>
        <v>0</v>
      </c>
      <c r="H1630" s="26">
        <f>'[6]price list MAN'!H1630</f>
        <v>0</v>
      </c>
      <c r="I1630" s="51" t="str">
        <f t="shared" si="125"/>
        <v/>
      </c>
      <c r="J1630" s="177" t="e">
        <f>'[6]price list MAN'!J1630</f>
        <v>#N/A</v>
      </c>
      <c r="K1630" s="177" t="e">
        <f>'[6]price list MAN'!P1630</f>
        <v>#N/A</v>
      </c>
      <c r="L1630" s="177" t="e">
        <f>'[6]price list MAN'!R1630</f>
        <v>#N/A</v>
      </c>
      <c r="M1630" s="174" t="e">
        <f>'[6]price list MAN'!S1630</f>
        <v>#N/A</v>
      </c>
      <c r="N1630" s="174" t="e">
        <f>'[6]price list MAN'!Y1630</f>
        <v>#N/A</v>
      </c>
      <c r="O1630" s="174" t="e">
        <f>'[6]price list MAN'!AA1630</f>
        <v>#N/A</v>
      </c>
      <c r="P1630" s="68" t="e">
        <f t="shared" si="126"/>
        <v>#N/A</v>
      </c>
      <c r="Q1630" s="62" t="e">
        <f>O1630-#REF!</f>
        <v>#N/A</v>
      </c>
      <c r="AT1630" s="425" t="str">
        <f t="shared" si="127"/>
        <v>Special Order0</v>
      </c>
      <c r="AU1630" s="64" t="str">
        <f t="shared" si="128"/>
        <v>01-1900</v>
      </c>
      <c r="BA1630" s="428" t="str">
        <f t="shared" si="129"/>
        <v/>
      </c>
    </row>
    <row r="1631" spans="2:53">
      <c r="B1631" s="36">
        <f>'[6]price list MAN'!B1631</f>
        <v>0</v>
      </c>
      <c r="C1631" s="10">
        <f>'[6]price list MAN'!C1631</f>
        <v>0</v>
      </c>
      <c r="D1631" s="16" t="str">
        <f>IFERROR(VLOOKUP(C1631&amp;"",'[7]Retail Price List'!$A$3:$B$103,2,FALSE),"Special Order")</f>
        <v>Special Order</v>
      </c>
      <c r="E1631" s="494">
        <f>'[6]price list MAN'!E1631</f>
        <v>0</v>
      </c>
      <c r="F1631" s="11">
        <f>'[6]price list MAN'!F1631</f>
        <v>0</v>
      </c>
      <c r="G1631" s="32">
        <f>'[6]price list MAN'!G1631</f>
        <v>0</v>
      </c>
      <c r="H1631" s="26">
        <f>'[6]price list MAN'!H1631</f>
        <v>0</v>
      </c>
      <c r="I1631" s="51" t="str">
        <f t="shared" si="125"/>
        <v/>
      </c>
      <c r="J1631" s="177" t="e">
        <f>'[6]price list MAN'!J1631</f>
        <v>#N/A</v>
      </c>
      <c r="K1631" s="177" t="e">
        <f>'[6]price list MAN'!P1631</f>
        <v>#N/A</v>
      </c>
      <c r="L1631" s="177" t="e">
        <f>'[6]price list MAN'!R1631</f>
        <v>#N/A</v>
      </c>
      <c r="M1631" s="174" t="e">
        <f>'[6]price list MAN'!S1631</f>
        <v>#N/A</v>
      </c>
      <c r="N1631" s="174" t="e">
        <f>'[6]price list MAN'!Y1631</f>
        <v>#N/A</v>
      </c>
      <c r="O1631" s="174" t="e">
        <f>'[6]price list MAN'!AA1631</f>
        <v>#N/A</v>
      </c>
      <c r="P1631" s="68" t="e">
        <f t="shared" si="126"/>
        <v>#N/A</v>
      </c>
      <c r="Q1631" s="62" t="e">
        <f>O1631-#REF!</f>
        <v>#N/A</v>
      </c>
      <c r="AT1631" s="425" t="str">
        <f t="shared" si="127"/>
        <v>Special Order0</v>
      </c>
      <c r="AU1631" s="64" t="str">
        <f t="shared" si="128"/>
        <v>01-1900</v>
      </c>
      <c r="BA1631" s="428" t="str">
        <f t="shared" si="129"/>
        <v/>
      </c>
    </row>
    <row r="1632" spans="2:53">
      <c r="B1632" s="36">
        <f>'[6]price list MAN'!B1632</f>
        <v>0</v>
      </c>
      <c r="C1632" s="10">
        <f>'[6]price list MAN'!C1632</f>
        <v>0</v>
      </c>
      <c r="D1632" s="16" t="str">
        <f>IFERROR(VLOOKUP(C1632&amp;"",'[7]Retail Price List'!$A$3:$B$103,2,FALSE),"Special Order")</f>
        <v>Special Order</v>
      </c>
      <c r="E1632" s="494">
        <f>'[6]price list MAN'!E1632</f>
        <v>0</v>
      </c>
      <c r="F1632" s="11">
        <f>'[6]price list MAN'!F1632</f>
        <v>0</v>
      </c>
      <c r="G1632" s="32">
        <f>'[6]price list MAN'!G1632</f>
        <v>0</v>
      </c>
      <c r="H1632" s="26">
        <f>'[6]price list MAN'!H1632</f>
        <v>0</v>
      </c>
      <c r="I1632" s="51" t="str">
        <f t="shared" si="125"/>
        <v/>
      </c>
      <c r="J1632" s="177" t="e">
        <f>'[6]price list MAN'!J1632</f>
        <v>#N/A</v>
      </c>
      <c r="K1632" s="177" t="e">
        <f>'[6]price list MAN'!P1632</f>
        <v>#N/A</v>
      </c>
      <c r="L1632" s="177" t="e">
        <f>'[6]price list MAN'!R1632</f>
        <v>#N/A</v>
      </c>
      <c r="M1632" s="174" t="e">
        <f>'[6]price list MAN'!S1632</f>
        <v>#N/A</v>
      </c>
      <c r="N1632" s="174" t="e">
        <f>'[6]price list MAN'!Y1632</f>
        <v>#N/A</v>
      </c>
      <c r="O1632" s="174" t="e">
        <f>'[6]price list MAN'!AA1632</f>
        <v>#N/A</v>
      </c>
      <c r="P1632" s="68" t="e">
        <f t="shared" si="126"/>
        <v>#N/A</v>
      </c>
      <c r="Q1632" s="62" t="e">
        <f>O1632-#REF!</f>
        <v>#N/A</v>
      </c>
      <c r="AT1632" s="425" t="str">
        <f t="shared" si="127"/>
        <v>Special Order0</v>
      </c>
      <c r="AU1632" s="64" t="str">
        <f t="shared" si="128"/>
        <v>01-1900</v>
      </c>
      <c r="BA1632" s="428" t="str">
        <f t="shared" si="129"/>
        <v/>
      </c>
    </row>
    <row r="1633" spans="2:53">
      <c r="B1633" s="36">
        <f>'[6]price list MAN'!B1633</f>
        <v>0</v>
      </c>
      <c r="C1633" s="10">
        <f>'[6]price list MAN'!C1633</f>
        <v>0</v>
      </c>
      <c r="D1633" s="16" t="str">
        <f>IFERROR(VLOOKUP(C1633&amp;"",'[7]Retail Price List'!$A$3:$B$103,2,FALSE),"Special Order")</f>
        <v>Special Order</v>
      </c>
      <c r="E1633" s="494">
        <f>'[6]price list MAN'!E1633</f>
        <v>0</v>
      </c>
      <c r="F1633" s="11">
        <f>'[6]price list MAN'!F1633</f>
        <v>0</v>
      </c>
      <c r="G1633" s="32">
        <f>'[6]price list MAN'!G1633</f>
        <v>0</v>
      </c>
      <c r="H1633" s="26">
        <f>'[6]price list MAN'!H1633</f>
        <v>0</v>
      </c>
      <c r="I1633" s="51" t="str">
        <f t="shared" si="125"/>
        <v/>
      </c>
      <c r="J1633" s="177" t="e">
        <f>'[6]price list MAN'!J1633</f>
        <v>#N/A</v>
      </c>
      <c r="K1633" s="177" t="e">
        <f>'[6]price list MAN'!P1633</f>
        <v>#N/A</v>
      </c>
      <c r="L1633" s="177" t="e">
        <f>'[6]price list MAN'!R1633</f>
        <v>#N/A</v>
      </c>
      <c r="M1633" s="174" t="e">
        <f>'[6]price list MAN'!S1633</f>
        <v>#N/A</v>
      </c>
      <c r="N1633" s="174" t="e">
        <f>'[6]price list MAN'!Y1633</f>
        <v>#N/A</v>
      </c>
      <c r="O1633" s="174" t="e">
        <f>'[6]price list MAN'!AA1633</f>
        <v>#N/A</v>
      </c>
      <c r="P1633" s="68" t="e">
        <f t="shared" si="126"/>
        <v>#N/A</v>
      </c>
      <c r="Q1633" s="62" t="e">
        <f>O1633-#REF!</f>
        <v>#N/A</v>
      </c>
      <c r="AT1633" s="425" t="str">
        <f t="shared" si="127"/>
        <v>Special Order0</v>
      </c>
      <c r="AU1633" s="64" t="str">
        <f t="shared" si="128"/>
        <v>01-1900</v>
      </c>
      <c r="BA1633" s="428" t="str">
        <f t="shared" si="129"/>
        <v/>
      </c>
    </row>
    <row r="1634" spans="2:53">
      <c r="B1634" s="36">
        <f>'[6]price list MAN'!B1634</f>
        <v>0</v>
      </c>
      <c r="C1634" s="10">
        <f>'[6]price list MAN'!C1634</f>
        <v>0</v>
      </c>
      <c r="D1634" s="16" t="str">
        <f>IFERROR(VLOOKUP(C1634&amp;"",'[7]Retail Price List'!$A$3:$B$103,2,FALSE),"Special Order")</f>
        <v>Special Order</v>
      </c>
      <c r="E1634" s="494">
        <f>'[6]price list MAN'!E1634</f>
        <v>0</v>
      </c>
      <c r="F1634" s="11">
        <f>'[6]price list MAN'!F1634</f>
        <v>0</v>
      </c>
      <c r="G1634" s="32">
        <f>'[6]price list MAN'!G1634</f>
        <v>0</v>
      </c>
      <c r="H1634" s="26">
        <f>'[6]price list MAN'!H1634</f>
        <v>0</v>
      </c>
      <c r="I1634" s="51" t="str">
        <f t="shared" si="125"/>
        <v/>
      </c>
      <c r="J1634" s="177" t="e">
        <f>'[6]price list MAN'!J1634</f>
        <v>#N/A</v>
      </c>
      <c r="K1634" s="177" t="e">
        <f>'[6]price list MAN'!P1634</f>
        <v>#N/A</v>
      </c>
      <c r="L1634" s="177" t="e">
        <f>'[6]price list MAN'!R1634</f>
        <v>#N/A</v>
      </c>
      <c r="M1634" s="174" t="e">
        <f>'[6]price list MAN'!S1634</f>
        <v>#N/A</v>
      </c>
      <c r="N1634" s="174" t="e">
        <f>'[6]price list MAN'!Y1634</f>
        <v>#N/A</v>
      </c>
      <c r="O1634" s="174" t="e">
        <f>'[6]price list MAN'!AA1634</f>
        <v>#N/A</v>
      </c>
      <c r="P1634" s="68" t="e">
        <f t="shared" si="126"/>
        <v>#N/A</v>
      </c>
      <c r="Q1634" s="62" t="e">
        <f>O1634-#REF!</f>
        <v>#N/A</v>
      </c>
      <c r="AT1634" s="425" t="str">
        <f t="shared" si="127"/>
        <v>Special Order0</v>
      </c>
      <c r="AU1634" s="64" t="str">
        <f t="shared" si="128"/>
        <v>01-1900</v>
      </c>
      <c r="BA1634" s="428" t="str">
        <f t="shared" si="129"/>
        <v/>
      </c>
    </row>
    <row r="1635" spans="2:53">
      <c r="B1635" s="36">
        <f>'[6]price list MAN'!B1635</f>
        <v>0</v>
      </c>
      <c r="C1635" s="10">
        <f>'[6]price list MAN'!C1635</f>
        <v>0</v>
      </c>
      <c r="D1635" s="16" t="str">
        <f>IFERROR(VLOOKUP(C1635&amp;"",'[7]Retail Price List'!$A$3:$B$103,2,FALSE),"Special Order")</f>
        <v>Special Order</v>
      </c>
      <c r="E1635" s="494">
        <f>'[6]price list MAN'!E1635</f>
        <v>0</v>
      </c>
      <c r="F1635" s="11">
        <f>'[6]price list MAN'!F1635</f>
        <v>0</v>
      </c>
      <c r="G1635" s="32">
        <f>'[6]price list MAN'!G1635</f>
        <v>0</v>
      </c>
      <c r="H1635" s="26">
        <f>'[6]price list MAN'!H1635</f>
        <v>0</v>
      </c>
      <c r="I1635" s="51" t="str">
        <f t="shared" si="125"/>
        <v/>
      </c>
      <c r="J1635" s="177" t="e">
        <f>'[6]price list MAN'!J1635</f>
        <v>#N/A</v>
      </c>
      <c r="K1635" s="177" t="e">
        <f>'[6]price list MAN'!P1635</f>
        <v>#N/A</v>
      </c>
      <c r="L1635" s="177" t="e">
        <f>'[6]price list MAN'!R1635</f>
        <v>#N/A</v>
      </c>
      <c r="M1635" s="174" t="e">
        <f>'[6]price list MAN'!S1635</f>
        <v>#N/A</v>
      </c>
      <c r="N1635" s="174" t="e">
        <f>'[6]price list MAN'!Y1635</f>
        <v>#N/A</v>
      </c>
      <c r="O1635" s="174" t="e">
        <f>'[6]price list MAN'!AA1635</f>
        <v>#N/A</v>
      </c>
      <c r="P1635" s="68" t="e">
        <f t="shared" si="126"/>
        <v>#N/A</v>
      </c>
      <c r="Q1635" s="62" t="e">
        <f>O1635-#REF!</f>
        <v>#N/A</v>
      </c>
      <c r="AT1635" s="425" t="str">
        <f t="shared" si="127"/>
        <v>Special Order0</v>
      </c>
      <c r="AU1635" s="64" t="str">
        <f t="shared" si="128"/>
        <v>01-1900</v>
      </c>
      <c r="BA1635" s="428" t="str">
        <f t="shared" si="129"/>
        <v/>
      </c>
    </row>
    <row r="1636" spans="2:53">
      <c r="B1636" s="36">
        <f>'[6]price list MAN'!B1636</f>
        <v>0</v>
      </c>
      <c r="C1636" s="10">
        <f>'[6]price list MAN'!C1636</f>
        <v>0</v>
      </c>
      <c r="D1636" s="16" t="str">
        <f>IFERROR(VLOOKUP(C1636&amp;"",'[7]Retail Price List'!$A$3:$B$103,2,FALSE),"Special Order")</f>
        <v>Special Order</v>
      </c>
      <c r="E1636" s="494">
        <f>'[6]price list MAN'!E1636</f>
        <v>0</v>
      </c>
      <c r="F1636" s="11">
        <f>'[6]price list MAN'!F1636</f>
        <v>0</v>
      </c>
      <c r="G1636" s="32">
        <f>'[6]price list MAN'!G1636</f>
        <v>0</v>
      </c>
      <c r="H1636" s="26">
        <f>'[6]price list MAN'!H1636</f>
        <v>0</v>
      </c>
      <c r="I1636" s="51" t="str">
        <f t="shared" si="125"/>
        <v/>
      </c>
      <c r="J1636" s="177" t="e">
        <f>'[6]price list MAN'!J1636</f>
        <v>#N/A</v>
      </c>
      <c r="K1636" s="177" t="e">
        <f>'[6]price list MAN'!P1636</f>
        <v>#N/A</v>
      </c>
      <c r="L1636" s="177" t="e">
        <f>'[6]price list MAN'!R1636</f>
        <v>#N/A</v>
      </c>
      <c r="M1636" s="174" t="e">
        <f>'[6]price list MAN'!S1636</f>
        <v>#N/A</v>
      </c>
      <c r="N1636" s="174" t="e">
        <f>'[6]price list MAN'!Y1636</f>
        <v>#N/A</v>
      </c>
      <c r="O1636" s="174" t="e">
        <f>'[6]price list MAN'!AA1636</f>
        <v>#N/A</v>
      </c>
      <c r="P1636" s="68" t="e">
        <f t="shared" si="126"/>
        <v>#N/A</v>
      </c>
      <c r="Q1636" s="62" t="e">
        <f>O1636-#REF!</f>
        <v>#N/A</v>
      </c>
      <c r="AT1636" s="425" t="str">
        <f t="shared" si="127"/>
        <v>Special Order0</v>
      </c>
      <c r="AU1636" s="64" t="str">
        <f t="shared" si="128"/>
        <v>01-1900</v>
      </c>
      <c r="BA1636" s="428" t="str">
        <f t="shared" si="129"/>
        <v/>
      </c>
    </row>
    <row r="1637" spans="2:53">
      <c r="B1637" s="36">
        <f>'[6]price list MAN'!B1637</f>
        <v>0</v>
      </c>
      <c r="C1637" s="10">
        <f>'[6]price list MAN'!C1637</f>
        <v>0</v>
      </c>
      <c r="D1637" s="16" t="str">
        <f>IFERROR(VLOOKUP(C1637&amp;"",'[7]Retail Price List'!$A$3:$B$103,2,FALSE),"Special Order")</f>
        <v>Special Order</v>
      </c>
      <c r="E1637" s="494">
        <f>'[6]price list MAN'!E1637</f>
        <v>0</v>
      </c>
      <c r="F1637" s="11">
        <f>'[6]price list MAN'!F1637</f>
        <v>0</v>
      </c>
      <c r="G1637" s="32">
        <f>'[6]price list MAN'!G1637</f>
        <v>0</v>
      </c>
      <c r="H1637" s="26">
        <f>'[6]price list MAN'!H1637</f>
        <v>0</v>
      </c>
      <c r="I1637" s="51" t="str">
        <f t="shared" si="125"/>
        <v/>
      </c>
      <c r="J1637" s="177" t="e">
        <f>'[6]price list MAN'!J1637</f>
        <v>#N/A</v>
      </c>
      <c r="K1637" s="177" t="e">
        <f>'[6]price list MAN'!P1637</f>
        <v>#N/A</v>
      </c>
      <c r="L1637" s="177" t="e">
        <f>'[6]price list MAN'!R1637</f>
        <v>#N/A</v>
      </c>
      <c r="M1637" s="174" t="e">
        <f>'[6]price list MAN'!S1637</f>
        <v>#N/A</v>
      </c>
      <c r="N1637" s="174" t="e">
        <f>'[6]price list MAN'!Y1637</f>
        <v>#N/A</v>
      </c>
      <c r="O1637" s="174" t="e">
        <f>'[6]price list MAN'!AA1637</f>
        <v>#N/A</v>
      </c>
      <c r="P1637" s="68" t="e">
        <f t="shared" si="126"/>
        <v>#N/A</v>
      </c>
      <c r="Q1637" s="62" t="e">
        <f>O1637-#REF!</f>
        <v>#N/A</v>
      </c>
      <c r="AT1637" s="425" t="str">
        <f t="shared" si="127"/>
        <v>Special Order0</v>
      </c>
      <c r="AU1637" s="64" t="str">
        <f t="shared" si="128"/>
        <v>01-1900</v>
      </c>
      <c r="BA1637" s="428" t="str">
        <f t="shared" si="129"/>
        <v/>
      </c>
    </row>
    <row r="1638" spans="2:53">
      <c r="B1638" s="36">
        <f>'[6]price list MAN'!B1638</f>
        <v>0</v>
      </c>
      <c r="C1638" s="10">
        <f>'[6]price list MAN'!C1638</f>
        <v>0</v>
      </c>
      <c r="D1638" s="16" t="str">
        <f>IFERROR(VLOOKUP(C1638&amp;"",'[7]Retail Price List'!$A$3:$B$103,2,FALSE),"Special Order")</f>
        <v>Special Order</v>
      </c>
      <c r="E1638" s="494">
        <f>'[6]price list MAN'!E1638</f>
        <v>0</v>
      </c>
      <c r="F1638" s="11">
        <f>'[6]price list MAN'!F1638</f>
        <v>0</v>
      </c>
      <c r="G1638" s="32">
        <f>'[6]price list MAN'!G1638</f>
        <v>0</v>
      </c>
      <c r="H1638" s="26">
        <f>'[6]price list MAN'!H1638</f>
        <v>0</v>
      </c>
      <c r="I1638" s="51" t="str">
        <f t="shared" si="125"/>
        <v/>
      </c>
      <c r="J1638" s="177" t="e">
        <f>'[6]price list MAN'!J1638</f>
        <v>#N/A</v>
      </c>
      <c r="K1638" s="177" t="e">
        <f>'[6]price list MAN'!P1638</f>
        <v>#N/A</v>
      </c>
      <c r="L1638" s="177" t="e">
        <f>'[6]price list MAN'!R1638</f>
        <v>#N/A</v>
      </c>
      <c r="M1638" s="174" t="e">
        <f>'[6]price list MAN'!S1638</f>
        <v>#N/A</v>
      </c>
      <c r="N1638" s="174" t="e">
        <f>'[6]price list MAN'!Y1638</f>
        <v>#N/A</v>
      </c>
      <c r="O1638" s="174" t="e">
        <f>'[6]price list MAN'!AA1638</f>
        <v>#N/A</v>
      </c>
      <c r="P1638" s="68" t="e">
        <f t="shared" si="126"/>
        <v>#N/A</v>
      </c>
      <c r="Q1638" s="62" t="e">
        <f>O1638-#REF!</f>
        <v>#N/A</v>
      </c>
      <c r="AT1638" s="425" t="str">
        <f t="shared" si="127"/>
        <v>Special Order0</v>
      </c>
      <c r="AU1638" s="64" t="str">
        <f t="shared" si="128"/>
        <v>01-1900</v>
      </c>
      <c r="BA1638" s="428" t="str">
        <f t="shared" si="129"/>
        <v/>
      </c>
    </row>
    <row r="1639" spans="2:53">
      <c r="B1639" s="36">
        <f>'[6]price list MAN'!B1639</f>
        <v>0</v>
      </c>
      <c r="C1639" s="10">
        <f>'[6]price list MAN'!C1639</f>
        <v>0</v>
      </c>
      <c r="D1639" s="16" t="str">
        <f>IFERROR(VLOOKUP(C1639&amp;"",'[7]Retail Price List'!$A$3:$B$103,2,FALSE),"Special Order")</f>
        <v>Special Order</v>
      </c>
      <c r="E1639" s="494">
        <f>'[6]price list MAN'!E1639</f>
        <v>0</v>
      </c>
      <c r="F1639" s="11">
        <f>'[6]price list MAN'!F1639</f>
        <v>0</v>
      </c>
      <c r="G1639" s="32">
        <f>'[6]price list MAN'!G1639</f>
        <v>0</v>
      </c>
      <c r="H1639" s="26">
        <f>'[6]price list MAN'!H1639</f>
        <v>0</v>
      </c>
      <c r="I1639" s="51" t="str">
        <f t="shared" si="125"/>
        <v/>
      </c>
      <c r="J1639" s="177" t="e">
        <f>'[6]price list MAN'!J1639</f>
        <v>#N/A</v>
      </c>
      <c r="K1639" s="177" t="e">
        <f>'[6]price list MAN'!P1639</f>
        <v>#N/A</v>
      </c>
      <c r="L1639" s="177" t="e">
        <f>'[6]price list MAN'!R1639</f>
        <v>#N/A</v>
      </c>
      <c r="M1639" s="174" t="e">
        <f>'[6]price list MAN'!S1639</f>
        <v>#N/A</v>
      </c>
      <c r="N1639" s="174" t="e">
        <f>'[6]price list MAN'!Y1639</f>
        <v>#N/A</v>
      </c>
      <c r="O1639" s="174" t="e">
        <f>'[6]price list MAN'!AA1639</f>
        <v>#N/A</v>
      </c>
      <c r="P1639" s="68" t="e">
        <f t="shared" si="126"/>
        <v>#N/A</v>
      </c>
      <c r="Q1639" s="62" t="e">
        <f>O1639-#REF!</f>
        <v>#N/A</v>
      </c>
      <c r="AT1639" s="425" t="str">
        <f t="shared" si="127"/>
        <v>Special Order0</v>
      </c>
      <c r="AU1639" s="64" t="str">
        <f t="shared" si="128"/>
        <v>01-1900</v>
      </c>
      <c r="BA1639" s="428" t="str">
        <f t="shared" si="129"/>
        <v/>
      </c>
    </row>
    <row r="1640" spans="2:53">
      <c r="B1640" s="36">
        <f>'[6]price list MAN'!B1640</f>
        <v>0</v>
      </c>
      <c r="C1640" s="10">
        <f>'[6]price list MAN'!C1640</f>
        <v>0</v>
      </c>
      <c r="D1640" s="16" t="str">
        <f>IFERROR(VLOOKUP(C1640&amp;"",'[7]Retail Price List'!$A$3:$B$103,2,FALSE),"Special Order")</f>
        <v>Special Order</v>
      </c>
      <c r="E1640" s="494">
        <f>'[6]price list MAN'!E1640</f>
        <v>0</v>
      </c>
      <c r="F1640" s="11">
        <f>'[6]price list MAN'!F1640</f>
        <v>0</v>
      </c>
      <c r="G1640" s="32">
        <f>'[6]price list MAN'!G1640</f>
        <v>0</v>
      </c>
      <c r="H1640" s="26">
        <f>'[6]price list MAN'!H1640</f>
        <v>0</v>
      </c>
      <c r="I1640" s="51" t="str">
        <f t="shared" si="125"/>
        <v/>
      </c>
      <c r="J1640" s="177" t="e">
        <f>'[6]price list MAN'!J1640</f>
        <v>#N/A</v>
      </c>
      <c r="K1640" s="177" t="e">
        <f>'[6]price list MAN'!P1640</f>
        <v>#N/A</v>
      </c>
      <c r="L1640" s="177" t="e">
        <f>'[6]price list MAN'!R1640</f>
        <v>#N/A</v>
      </c>
      <c r="M1640" s="174" t="e">
        <f>'[6]price list MAN'!S1640</f>
        <v>#N/A</v>
      </c>
      <c r="N1640" s="174" t="e">
        <f>'[6]price list MAN'!Y1640</f>
        <v>#N/A</v>
      </c>
      <c r="O1640" s="174" t="e">
        <f>'[6]price list MAN'!AA1640</f>
        <v>#N/A</v>
      </c>
      <c r="P1640" s="68" t="e">
        <f t="shared" si="126"/>
        <v>#N/A</v>
      </c>
      <c r="Q1640" s="62" t="e">
        <f>O1640-#REF!</f>
        <v>#N/A</v>
      </c>
      <c r="AT1640" s="425" t="str">
        <f t="shared" si="127"/>
        <v>Special Order0</v>
      </c>
      <c r="AU1640" s="64" t="str">
        <f t="shared" si="128"/>
        <v>01-1900</v>
      </c>
      <c r="BA1640" s="428" t="str">
        <f t="shared" si="129"/>
        <v/>
      </c>
    </row>
    <row r="1641" spans="2:53">
      <c r="B1641" s="36">
        <f>'[6]price list MAN'!B1641</f>
        <v>0</v>
      </c>
      <c r="C1641" s="10">
        <f>'[6]price list MAN'!C1641</f>
        <v>0</v>
      </c>
      <c r="D1641" s="16" t="str">
        <f>IFERROR(VLOOKUP(C1641&amp;"",'[7]Retail Price List'!$A$3:$B$103,2,FALSE),"Special Order")</f>
        <v>Special Order</v>
      </c>
      <c r="E1641" s="494">
        <f>'[6]price list MAN'!E1641</f>
        <v>0</v>
      </c>
      <c r="F1641" s="11">
        <f>'[6]price list MAN'!F1641</f>
        <v>0</v>
      </c>
      <c r="G1641" s="32">
        <f>'[6]price list MAN'!G1641</f>
        <v>0</v>
      </c>
      <c r="H1641" s="26">
        <f>'[6]price list MAN'!H1641</f>
        <v>0</v>
      </c>
      <c r="I1641" s="51" t="str">
        <f t="shared" si="125"/>
        <v/>
      </c>
      <c r="J1641" s="177" t="e">
        <f>'[6]price list MAN'!J1641</f>
        <v>#N/A</v>
      </c>
      <c r="K1641" s="177" t="e">
        <f>'[6]price list MAN'!P1641</f>
        <v>#N/A</v>
      </c>
      <c r="L1641" s="177" t="e">
        <f>'[6]price list MAN'!R1641</f>
        <v>#N/A</v>
      </c>
      <c r="M1641" s="174" t="e">
        <f>'[6]price list MAN'!S1641</f>
        <v>#N/A</v>
      </c>
      <c r="N1641" s="174" t="e">
        <f>'[6]price list MAN'!Y1641</f>
        <v>#N/A</v>
      </c>
      <c r="O1641" s="174" t="e">
        <f>'[6]price list MAN'!AA1641</f>
        <v>#N/A</v>
      </c>
      <c r="P1641" s="68" t="e">
        <f t="shared" si="126"/>
        <v>#N/A</v>
      </c>
      <c r="Q1641" s="62" t="e">
        <f>O1641-#REF!</f>
        <v>#N/A</v>
      </c>
      <c r="AT1641" s="425" t="str">
        <f t="shared" si="127"/>
        <v>Special Order0</v>
      </c>
      <c r="AU1641" s="64" t="str">
        <f t="shared" si="128"/>
        <v>01-1900</v>
      </c>
      <c r="BA1641" s="428" t="str">
        <f t="shared" si="129"/>
        <v/>
      </c>
    </row>
    <row r="1642" spans="2:53">
      <c r="B1642" s="36">
        <f>'[6]price list MAN'!B1642</f>
        <v>0</v>
      </c>
      <c r="C1642" s="10">
        <f>'[6]price list MAN'!C1642</f>
        <v>0</v>
      </c>
      <c r="D1642" s="16" t="str">
        <f>IFERROR(VLOOKUP(C1642&amp;"",'[7]Retail Price List'!$A$3:$B$103,2,FALSE),"Special Order")</f>
        <v>Special Order</v>
      </c>
      <c r="E1642" s="494">
        <f>'[6]price list MAN'!E1642</f>
        <v>0</v>
      </c>
      <c r="F1642" s="11">
        <f>'[6]price list MAN'!F1642</f>
        <v>0</v>
      </c>
      <c r="G1642" s="32">
        <f>'[6]price list MAN'!G1642</f>
        <v>0</v>
      </c>
      <c r="H1642" s="26">
        <f>'[6]price list MAN'!H1642</f>
        <v>0</v>
      </c>
      <c r="I1642" s="51" t="str">
        <f t="shared" si="125"/>
        <v/>
      </c>
      <c r="J1642" s="177" t="e">
        <f>'[6]price list MAN'!J1642</f>
        <v>#N/A</v>
      </c>
      <c r="K1642" s="177" t="e">
        <f>'[6]price list MAN'!P1642</f>
        <v>#N/A</v>
      </c>
      <c r="L1642" s="177" t="e">
        <f>'[6]price list MAN'!R1642</f>
        <v>#N/A</v>
      </c>
      <c r="M1642" s="174" t="e">
        <f>'[6]price list MAN'!S1642</f>
        <v>#N/A</v>
      </c>
      <c r="N1642" s="174" t="e">
        <f>'[6]price list MAN'!Y1642</f>
        <v>#N/A</v>
      </c>
      <c r="O1642" s="174" t="e">
        <f>'[6]price list MAN'!AA1642</f>
        <v>#N/A</v>
      </c>
      <c r="P1642" s="68" t="e">
        <f t="shared" si="126"/>
        <v>#N/A</v>
      </c>
      <c r="Q1642" s="62" t="e">
        <f>O1642-#REF!</f>
        <v>#N/A</v>
      </c>
      <c r="AT1642" s="425" t="str">
        <f t="shared" si="127"/>
        <v>Special Order0</v>
      </c>
      <c r="AU1642" s="64" t="str">
        <f t="shared" si="128"/>
        <v>01-1900</v>
      </c>
      <c r="BA1642" s="428" t="str">
        <f t="shared" si="129"/>
        <v/>
      </c>
    </row>
    <row r="1643" spans="2:53">
      <c r="B1643" s="36">
        <f>'[6]price list MAN'!B1643</f>
        <v>0</v>
      </c>
      <c r="C1643" s="10">
        <f>'[6]price list MAN'!C1643</f>
        <v>0</v>
      </c>
      <c r="D1643" s="16" t="str">
        <f>IFERROR(VLOOKUP(C1643&amp;"",'[7]Retail Price List'!$A$3:$B$103,2,FALSE),"Special Order")</f>
        <v>Special Order</v>
      </c>
      <c r="E1643" s="494">
        <f>'[6]price list MAN'!E1643</f>
        <v>0</v>
      </c>
      <c r="F1643" s="11">
        <f>'[6]price list MAN'!F1643</f>
        <v>0</v>
      </c>
      <c r="G1643" s="32">
        <f>'[6]price list MAN'!G1643</f>
        <v>0</v>
      </c>
      <c r="H1643" s="26">
        <f>'[6]price list MAN'!H1643</f>
        <v>0</v>
      </c>
      <c r="I1643" s="51" t="str">
        <f t="shared" si="125"/>
        <v/>
      </c>
      <c r="J1643" s="177" t="e">
        <f>'[6]price list MAN'!J1643</f>
        <v>#N/A</v>
      </c>
      <c r="K1643" s="177" t="e">
        <f>'[6]price list MAN'!P1643</f>
        <v>#N/A</v>
      </c>
      <c r="L1643" s="177" t="e">
        <f>'[6]price list MAN'!R1643</f>
        <v>#N/A</v>
      </c>
      <c r="M1643" s="174" t="e">
        <f>'[6]price list MAN'!S1643</f>
        <v>#N/A</v>
      </c>
      <c r="N1643" s="174" t="e">
        <f>'[6]price list MAN'!Y1643</f>
        <v>#N/A</v>
      </c>
      <c r="O1643" s="174" t="e">
        <f>'[6]price list MAN'!AA1643</f>
        <v>#N/A</v>
      </c>
      <c r="P1643" s="68" t="e">
        <f t="shared" si="126"/>
        <v>#N/A</v>
      </c>
      <c r="Q1643" s="62" t="e">
        <f>O1643-#REF!</f>
        <v>#N/A</v>
      </c>
      <c r="AT1643" s="425" t="str">
        <f t="shared" si="127"/>
        <v>Special Order0</v>
      </c>
      <c r="AU1643" s="64" t="str">
        <f t="shared" si="128"/>
        <v>01-1900</v>
      </c>
      <c r="BA1643" s="428" t="str">
        <f t="shared" si="129"/>
        <v/>
      </c>
    </row>
    <row r="1644" spans="2:53">
      <c r="B1644" s="36">
        <f>'[6]price list MAN'!B1644</f>
        <v>0</v>
      </c>
      <c r="C1644" s="10">
        <f>'[6]price list MAN'!C1644</f>
        <v>0</v>
      </c>
      <c r="D1644" s="16" t="str">
        <f>IFERROR(VLOOKUP(C1644&amp;"",'[7]Retail Price List'!$A$3:$B$103,2,FALSE),"Special Order")</f>
        <v>Special Order</v>
      </c>
      <c r="E1644" s="494">
        <f>'[6]price list MAN'!E1644</f>
        <v>0</v>
      </c>
      <c r="F1644" s="11">
        <f>'[6]price list MAN'!F1644</f>
        <v>0</v>
      </c>
      <c r="G1644" s="32">
        <f>'[6]price list MAN'!G1644</f>
        <v>0</v>
      </c>
      <c r="H1644" s="26">
        <f>'[6]price list MAN'!H1644</f>
        <v>0</v>
      </c>
      <c r="I1644" s="51" t="str">
        <f t="shared" si="125"/>
        <v/>
      </c>
      <c r="J1644" s="177" t="e">
        <f>'[6]price list MAN'!J1644</f>
        <v>#N/A</v>
      </c>
      <c r="K1644" s="177" t="e">
        <f>'[6]price list MAN'!P1644</f>
        <v>#N/A</v>
      </c>
      <c r="L1644" s="177" t="e">
        <f>'[6]price list MAN'!R1644</f>
        <v>#N/A</v>
      </c>
      <c r="M1644" s="174" t="e">
        <f>'[6]price list MAN'!S1644</f>
        <v>#N/A</v>
      </c>
      <c r="N1644" s="174" t="e">
        <f>'[6]price list MAN'!Y1644</f>
        <v>#N/A</v>
      </c>
      <c r="O1644" s="174" t="e">
        <f>'[6]price list MAN'!AA1644</f>
        <v>#N/A</v>
      </c>
      <c r="P1644" s="68" t="e">
        <f t="shared" si="126"/>
        <v>#N/A</v>
      </c>
      <c r="Q1644" s="62" t="e">
        <f>O1644-#REF!</f>
        <v>#N/A</v>
      </c>
      <c r="AT1644" s="425" t="str">
        <f t="shared" si="127"/>
        <v>Special Order0</v>
      </c>
      <c r="AU1644" s="64" t="str">
        <f t="shared" si="128"/>
        <v>01-1900</v>
      </c>
      <c r="BA1644" s="428" t="str">
        <f t="shared" si="129"/>
        <v/>
      </c>
    </row>
    <row r="1645" spans="2:53">
      <c r="B1645" s="36">
        <f>'[6]price list MAN'!B1645</f>
        <v>0</v>
      </c>
      <c r="C1645" s="10">
        <f>'[6]price list MAN'!C1645</f>
        <v>0</v>
      </c>
      <c r="D1645" s="16" t="str">
        <f>IFERROR(VLOOKUP(C1645&amp;"",'[7]Retail Price List'!$A$3:$B$103,2,FALSE),"Special Order")</f>
        <v>Special Order</v>
      </c>
      <c r="E1645" s="494">
        <f>'[6]price list MAN'!E1645</f>
        <v>0</v>
      </c>
      <c r="F1645" s="11">
        <f>'[6]price list MAN'!F1645</f>
        <v>0</v>
      </c>
      <c r="G1645" s="32">
        <f>'[6]price list MAN'!G1645</f>
        <v>0</v>
      </c>
      <c r="H1645" s="26">
        <f>'[6]price list MAN'!H1645</f>
        <v>0</v>
      </c>
      <c r="I1645" s="51" t="str">
        <f t="shared" si="125"/>
        <v/>
      </c>
      <c r="J1645" s="177" t="e">
        <f>'[6]price list MAN'!J1645</f>
        <v>#N/A</v>
      </c>
      <c r="K1645" s="177" t="e">
        <f>'[6]price list MAN'!P1645</f>
        <v>#N/A</v>
      </c>
      <c r="L1645" s="177" t="e">
        <f>'[6]price list MAN'!R1645</f>
        <v>#N/A</v>
      </c>
      <c r="M1645" s="174" t="e">
        <f>'[6]price list MAN'!S1645</f>
        <v>#N/A</v>
      </c>
      <c r="N1645" s="174" t="e">
        <f>'[6]price list MAN'!Y1645</f>
        <v>#N/A</v>
      </c>
      <c r="O1645" s="174" t="e">
        <f>'[6]price list MAN'!AA1645</f>
        <v>#N/A</v>
      </c>
      <c r="P1645" s="68" t="e">
        <f t="shared" si="126"/>
        <v>#N/A</v>
      </c>
      <c r="Q1645" s="62" t="e">
        <f>O1645-#REF!</f>
        <v>#N/A</v>
      </c>
      <c r="AT1645" s="425" t="str">
        <f t="shared" si="127"/>
        <v>Special Order0</v>
      </c>
      <c r="AU1645" s="64" t="str">
        <f t="shared" si="128"/>
        <v>01-1900</v>
      </c>
      <c r="BA1645" s="428" t="str">
        <f t="shared" si="129"/>
        <v/>
      </c>
    </row>
    <row r="1646" spans="2:53">
      <c r="B1646" s="36">
        <f>'[6]price list MAN'!B1646</f>
        <v>0</v>
      </c>
      <c r="C1646" s="10">
        <f>'[6]price list MAN'!C1646</f>
        <v>0</v>
      </c>
      <c r="D1646" s="16" t="str">
        <f>IFERROR(VLOOKUP(C1646&amp;"",'[7]Retail Price List'!$A$3:$B$103,2,FALSE),"Special Order")</f>
        <v>Special Order</v>
      </c>
      <c r="E1646" s="494">
        <f>'[6]price list MAN'!E1646</f>
        <v>0</v>
      </c>
      <c r="F1646" s="11">
        <f>'[6]price list MAN'!F1646</f>
        <v>0</v>
      </c>
      <c r="G1646" s="32">
        <f>'[6]price list MAN'!G1646</f>
        <v>0</v>
      </c>
      <c r="H1646" s="26">
        <f>'[6]price list MAN'!H1646</f>
        <v>0</v>
      </c>
      <c r="I1646" s="51" t="str">
        <f t="shared" si="125"/>
        <v/>
      </c>
      <c r="J1646" s="177" t="e">
        <f>'[6]price list MAN'!J1646</f>
        <v>#N/A</v>
      </c>
      <c r="K1646" s="177" t="e">
        <f>'[6]price list MAN'!P1646</f>
        <v>#N/A</v>
      </c>
      <c r="L1646" s="177" t="e">
        <f>'[6]price list MAN'!R1646</f>
        <v>#N/A</v>
      </c>
      <c r="M1646" s="174" t="e">
        <f>'[6]price list MAN'!S1646</f>
        <v>#N/A</v>
      </c>
      <c r="N1646" s="174" t="e">
        <f>'[6]price list MAN'!Y1646</f>
        <v>#N/A</v>
      </c>
      <c r="O1646" s="174" t="e">
        <f>'[6]price list MAN'!AA1646</f>
        <v>#N/A</v>
      </c>
      <c r="P1646" s="68" t="e">
        <f t="shared" si="126"/>
        <v>#N/A</v>
      </c>
      <c r="Q1646" s="62" t="e">
        <f>O1646-#REF!</f>
        <v>#N/A</v>
      </c>
      <c r="AT1646" s="425" t="str">
        <f t="shared" si="127"/>
        <v>Special Order0</v>
      </c>
      <c r="AU1646" s="64" t="str">
        <f t="shared" si="128"/>
        <v>01-1900</v>
      </c>
      <c r="BA1646" s="428" t="str">
        <f t="shared" si="129"/>
        <v/>
      </c>
    </row>
    <row r="1647" spans="2:53">
      <c r="B1647" s="36">
        <f>'[6]price list MAN'!B1647</f>
        <v>0</v>
      </c>
      <c r="C1647" s="10">
        <f>'[6]price list MAN'!C1647</f>
        <v>0</v>
      </c>
      <c r="D1647" s="16" t="str">
        <f>IFERROR(VLOOKUP(C1647&amp;"",'[7]Retail Price List'!$A$3:$B$103,2,FALSE),"Special Order")</f>
        <v>Special Order</v>
      </c>
      <c r="E1647" s="494">
        <f>'[6]price list MAN'!E1647</f>
        <v>0</v>
      </c>
      <c r="F1647" s="11">
        <f>'[6]price list MAN'!F1647</f>
        <v>0</v>
      </c>
      <c r="G1647" s="32">
        <f>'[6]price list MAN'!G1647</f>
        <v>0</v>
      </c>
      <c r="H1647" s="26">
        <f>'[6]price list MAN'!H1647</f>
        <v>0</v>
      </c>
      <c r="I1647" s="51" t="str">
        <f t="shared" si="125"/>
        <v/>
      </c>
      <c r="J1647" s="177" t="e">
        <f>'[6]price list MAN'!J1647</f>
        <v>#N/A</v>
      </c>
      <c r="K1647" s="177" t="e">
        <f>'[6]price list MAN'!P1647</f>
        <v>#N/A</v>
      </c>
      <c r="L1647" s="177" t="e">
        <f>'[6]price list MAN'!R1647</f>
        <v>#N/A</v>
      </c>
      <c r="M1647" s="174" t="e">
        <f>'[6]price list MAN'!S1647</f>
        <v>#N/A</v>
      </c>
      <c r="N1647" s="174" t="e">
        <f>'[6]price list MAN'!Y1647</f>
        <v>#N/A</v>
      </c>
      <c r="O1647" s="174" t="e">
        <f>'[6]price list MAN'!AA1647</f>
        <v>#N/A</v>
      </c>
      <c r="P1647" s="68" t="e">
        <f t="shared" si="126"/>
        <v>#N/A</v>
      </c>
      <c r="Q1647" s="62" t="e">
        <f>O1647-#REF!</f>
        <v>#N/A</v>
      </c>
      <c r="AT1647" s="425" t="str">
        <f t="shared" si="127"/>
        <v>Special Order0</v>
      </c>
      <c r="AU1647" s="64" t="str">
        <f t="shared" si="128"/>
        <v>01-1900</v>
      </c>
      <c r="BA1647" s="428" t="str">
        <f t="shared" si="129"/>
        <v/>
      </c>
    </row>
    <row r="1648" spans="2:53">
      <c r="B1648" s="36">
        <f>'[6]price list MAN'!B1648</f>
        <v>0</v>
      </c>
      <c r="C1648" s="10">
        <f>'[6]price list MAN'!C1648</f>
        <v>0</v>
      </c>
      <c r="D1648" s="16" t="str">
        <f>IFERROR(VLOOKUP(C1648&amp;"",'[7]Retail Price List'!$A$3:$B$103,2,FALSE),"Special Order")</f>
        <v>Special Order</v>
      </c>
      <c r="E1648" s="494">
        <f>'[6]price list MAN'!E1648</f>
        <v>0</v>
      </c>
      <c r="F1648" s="11">
        <f>'[6]price list MAN'!F1648</f>
        <v>0</v>
      </c>
      <c r="G1648" s="32">
        <f>'[6]price list MAN'!G1648</f>
        <v>0</v>
      </c>
      <c r="H1648" s="26">
        <f>'[6]price list MAN'!H1648</f>
        <v>0</v>
      </c>
      <c r="I1648" s="51" t="str">
        <f t="shared" si="125"/>
        <v/>
      </c>
      <c r="J1648" s="177" t="e">
        <f>'[6]price list MAN'!J1648</f>
        <v>#N/A</v>
      </c>
      <c r="K1648" s="177" t="e">
        <f>'[6]price list MAN'!P1648</f>
        <v>#N/A</v>
      </c>
      <c r="L1648" s="177" t="e">
        <f>'[6]price list MAN'!R1648</f>
        <v>#N/A</v>
      </c>
      <c r="M1648" s="174" t="e">
        <f>'[6]price list MAN'!S1648</f>
        <v>#N/A</v>
      </c>
      <c r="N1648" s="174" t="e">
        <f>'[6]price list MAN'!Y1648</f>
        <v>#N/A</v>
      </c>
      <c r="O1648" s="174" t="e">
        <f>'[6]price list MAN'!AA1648</f>
        <v>#N/A</v>
      </c>
      <c r="P1648" s="68" t="e">
        <f t="shared" si="126"/>
        <v>#N/A</v>
      </c>
      <c r="Q1648" s="62" t="e">
        <f>O1648-#REF!</f>
        <v>#N/A</v>
      </c>
      <c r="AT1648" s="425" t="str">
        <f t="shared" si="127"/>
        <v>Special Order0</v>
      </c>
      <c r="AU1648" s="64" t="str">
        <f t="shared" si="128"/>
        <v>01-1900</v>
      </c>
      <c r="BA1648" s="428" t="str">
        <f t="shared" si="129"/>
        <v/>
      </c>
    </row>
    <row r="1649" spans="2:53">
      <c r="B1649" s="36">
        <f>'[6]price list MAN'!B1649</f>
        <v>0</v>
      </c>
      <c r="C1649" s="10">
        <f>'[6]price list MAN'!C1649</f>
        <v>0</v>
      </c>
      <c r="D1649" s="16" t="str">
        <f>IFERROR(VLOOKUP(C1649&amp;"",'[7]Retail Price List'!$A$3:$B$103,2,FALSE),"Special Order")</f>
        <v>Special Order</v>
      </c>
      <c r="E1649" s="494">
        <f>'[6]price list MAN'!E1649</f>
        <v>0</v>
      </c>
      <c r="F1649" s="11">
        <f>'[6]price list MAN'!F1649</f>
        <v>0</v>
      </c>
      <c r="G1649" s="32">
        <f>'[6]price list MAN'!G1649</f>
        <v>0</v>
      </c>
      <c r="H1649" s="26">
        <f>'[6]price list MAN'!H1649</f>
        <v>0</v>
      </c>
      <c r="I1649" s="51" t="str">
        <f t="shared" si="125"/>
        <v/>
      </c>
      <c r="J1649" s="177" t="e">
        <f>'[6]price list MAN'!J1649</f>
        <v>#N/A</v>
      </c>
      <c r="K1649" s="177" t="e">
        <f>'[6]price list MAN'!P1649</f>
        <v>#N/A</v>
      </c>
      <c r="L1649" s="177" t="e">
        <f>'[6]price list MAN'!R1649</f>
        <v>#N/A</v>
      </c>
      <c r="M1649" s="174" t="e">
        <f>'[6]price list MAN'!S1649</f>
        <v>#N/A</v>
      </c>
      <c r="N1649" s="174" t="e">
        <f>'[6]price list MAN'!Y1649</f>
        <v>#N/A</v>
      </c>
      <c r="O1649" s="174" t="e">
        <f>'[6]price list MAN'!AA1649</f>
        <v>#N/A</v>
      </c>
      <c r="P1649" s="68" t="e">
        <f t="shared" si="126"/>
        <v>#N/A</v>
      </c>
      <c r="Q1649" s="62" t="e">
        <f>O1649-#REF!</f>
        <v>#N/A</v>
      </c>
      <c r="AT1649" s="425" t="str">
        <f t="shared" si="127"/>
        <v>Special Order0</v>
      </c>
      <c r="AU1649" s="64" t="str">
        <f t="shared" si="128"/>
        <v>01-1900</v>
      </c>
      <c r="BA1649" s="428" t="str">
        <f t="shared" si="129"/>
        <v/>
      </c>
    </row>
    <row r="1650" spans="2:53">
      <c r="B1650" s="36">
        <f>'[6]price list MAN'!B1650</f>
        <v>0</v>
      </c>
      <c r="C1650" s="10">
        <f>'[6]price list MAN'!C1650</f>
        <v>0</v>
      </c>
      <c r="D1650" s="16" t="str">
        <f>IFERROR(VLOOKUP(C1650&amp;"",'[7]Retail Price List'!$A$3:$B$103,2,FALSE),"Special Order")</f>
        <v>Special Order</v>
      </c>
      <c r="E1650" s="494">
        <f>'[6]price list MAN'!E1650</f>
        <v>0</v>
      </c>
      <c r="F1650" s="11">
        <f>'[6]price list MAN'!F1650</f>
        <v>0</v>
      </c>
      <c r="G1650" s="32">
        <f>'[6]price list MAN'!G1650</f>
        <v>0</v>
      </c>
      <c r="H1650" s="26">
        <f>'[6]price list MAN'!H1650</f>
        <v>0</v>
      </c>
      <c r="I1650" s="51" t="str">
        <f t="shared" si="125"/>
        <v/>
      </c>
      <c r="J1650" s="177" t="e">
        <f>'[6]price list MAN'!J1650</f>
        <v>#N/A</v>
      </c>
      <c r="K1650" s="177" t="e">
        <f>'[6]price list MAN'!P1650</f>
        <v>#N/A</v>
      </c>
      <c r="L1650" s="177" t="e">
        <f>'[6]price list MAN'!R1650</f>
        <v>#N/A</v>
      </c>
      <c r="M1650" s="174" t="e">
        <f>'[6]price list MAN'!S1650</f>
        <v>#N/A</v>
      </c>
      <c r="N1650" s="174" t="e">
        <f>'[6]price list MAN'!Y1650</f>
        <v>#N/A</v>
      </c>
      <c r="O1650" s="174" t="e">
        <f>'[6]price list MAN'!AA1650</f>
        <v>#N/A</v>
      </c>
      <c r="P1650" s="68" t="e">
        <f t="shared" si="126"/>
        <v>#N/A</v>
      </c>
      <c r="Q1650" s="62" t="e">
        <f>O1650-#REF!</f>
        <v>#N/A</v>
      </c>
      <c r="AT1650" s="425" t="str">
        <f t="shared" si="127"/>
        <v>Special Order0</v>
      </c>
      <c r="AU1650" s="64" t="str">
        <f t="shared" si="128"/>
        <v>01-1900</v>
      </c>
      <c r="BA1650" s="428" t="str">
        <f t="shared" si="129"/>
        <v/>
      </c>
    </row>
    <row r="1651" spans="2:53">
      <c r="B1651" s="36">
        <f>'[6]price list MAN'!B1651</f>
        <v>0</v>
      </c>
      <c r="C1651" s="10">
        <f>'[6]price list MAN'!C1651</f>
        <v>0</v>
      </c>
      <c r="D1651" s="16" t="str">
        <f>IFERROR(VLOOKUP(C1651&amp;"",'[7]Retail Price List'!$A$3:$B$103,2,FALSE),"Special Order")</f>
        <v>Special Order</v>
      </c>
      <c r="E1651" s="494">
        <f>'[6]price list MAN'!E1651</f>
        <v>0</v>
      </c>
      <c r="F1651" s="11">
        <f>'[6]price list MAN'!F1651</f>
        <v>0</v>
      </c>
      <c r="G1651" s="32">
        <f>'[6]price list MAN'!G1651</f>
        <v>0</v>
      </c>
      <c r="H1651" s="26">
        <f>'[6]price list MAN'!H1651</f>
        <v>0</v>
      </c>
      <c r="I1651" s="51" t="str">
        <f t="shared" si="125"/>
        <v/>
      </c>
      <c r="J1651" s="177" t="e">
        <f>'[6]price list MAN'!J1651</f>
        <v>#N/A</v>
      </c>
      <c r="K1651" s="177" t="e">
        <f>'[6]price list MAN'!P1651</f>
        <v>#N/A</v>
      </c>
      <c r="L1651" s="177" t="e">
        <f>'[6]price list MAN'!R1651</f>
        <v>#N/A</v>
      </c>
      <c r="M1651" s="174" t="e">
        <f>'[6]price list MAN'!S1651</f>
        <v>#N/A</v>
      </c>
      <c r="N1651" s="174" t="e">
        <f>'[6]price list MAN'!Y1651</f>
        <v>#N/A</v>
      </c>
      <c r="O1651" s="174" t="e">
        <f>'[6]price list MAN'!AA1651</f>
        <v>#N/A</v>
      </c>
      <c r="P1651" s="68" t="e">
        <f t="shared" si="126"/>
        <v>#N/A</v>
      </c>
      <c r="Q1651" s="62" t="e">
        <f>O1651-#REF!</f>
        <v>#N/A</v>
      </c>
      <c r="AT1651" s="425" t="str">
        <f t="shared" si="127"/>
        <v>Special Order0</v>
      </c>
      <c r="AU1651" s="64" t="str">
        <f t="shared" si="128"/>
        <v>01-1900</v>
      </c>
      <c r="BA1651" s="428" t="str">
        <f t="shared" si="129"/>
        <v/>
      </c>
    </row>
    <row r="1652" spans="2:53">
      <c r="B1652" s="36">
        <f>'[6]price list MAN'!B1652</f>
        <v>0</v>
      </c>
      <c r="C1652" s="10">
        <f>'[6]price list MAN'!C1652</f>
        <v>0</v>
      </c>
      <c r="D1652" s="16" t="str">
        <f>IFERROR(VLOOKUP(C1652&amp;"",'[7]Retail Price List'!$A$3:$B$103,2,FALSE),"Special Order")</f>
        <v>Special Order</v>
      </c>
      <c r="E1652" s="494">
        <f>'[6]price list MAN'!E1652</f>
        <v>0</v>
      </c>
      <c r="F1652" s="11">
        <f>'[6]price list MAN'!F1652</f>
        <v>0</v>
      </c>
      <c r="G1652" s="32">
        <f>'[6]price list MAN'!G1652</f>
        <v>0</v>
      </c>
      <c r="H1652" s="26">
        <f>'[6]price list MAN'!H1652</f>
        <v>0</v>
      </c>
      <c r="I1652" s="51" t="str">
        <f t="shared" si="125"/>
        <v/>
      </c>
      <c r="J1652" s="177" t="e">
        <f>'[6]price list MAN'!J1652</f>
        <v>#N/A</v>
      </c>
      <c r="K1652" s="177" t="e">
        <f>'[6]price list MAN'!P1652</f>
        <v>#N/A</v>
      </c>
      <c r="L1652" s="177" t="e">
        <f>'[6]price list MAN'!R1652</f>
        <v>#N/A</v>
      </c>
      <c r="M1652" s="174" t="e">
        <f>'[6]price list MAN'!S1652</f>
        <v>#N/A</v>
      </c>
      <c r="N1652" s="174" t="e">
        <f>'[6]price list MAN'!Y1652</f>
        <v>#N/A</v>
      </c>
      <c r="O1652" s="174" t="e">
        <f>'[6]price list MAN'!AA1652</f>
        <v>#N/A</v>
      </c>
      <c r="P1652" s="68" t="e">
        <f t="shared" si="126"/>
        <v>#N/A</v>
      </c>
      <c r="Q1652" s="62" t="e">
        <f>O1652-#REF!</f>
        <v>#N/A</v>
      </c>
      <c r="AT1652" s="425" t="str">
        <f t="shared" si="127"/>
        <v>Special Order0</v>
      </c>
      <c r="AU1652" s="64" t="str">
        <f t="shared" si="128"/>
        <v>01-1900</v>
      </c>
      <c r="BA1652" s="428" t="str">
        <f t="shared" si="129"/>
        <v/>
      </c>
    </row>
    <row r="1653" spans="2:53">
      <c r="B1653" s="36">
        <f>'[6]price list MAN'!B1653</f>
        <v>0</v>
      </c>
      <c r="C1653" s="10">
        <f>'[6]price list MAN'!C1653</f>
        <v>0</v>
      </c>
      <c r="D1653" s="16" t="str">
        <f>IFERROR(VLOOKUP(C1653&amp;"",'[7]Retail Price List'!$A$3:$B$103,2,FALSE),"Special Order")</f>
        <v>Special Order</v>
      </c>
      <c r="E1653" s="494">
        <f>'[6]price list MAN'!E1653</f>
        <v>0</v>
      </c>
      <c r="F1653" s="11">
        <f>'[6]price list MAN'!F1653</f>
        <v>0</v>
      </c>
      <c r="G1653" s="32">
        <f>'[6]price list MAN'!G1653</f>
        <v>0</v>
      </c>
      <c r="H1653" s="26">
        <f>'[6]price list MAN'!H1653</f>
        <v>0</v>
      </c>
      <c r="I1653" s="51" t="str">
        <f t="shared" si="125"/>
        <v/>
      </c>
      <c r="J1653" s="177" t="e">
        <f>'[6]price list MAN'!J1653</f>
        <v>#N/A</v>
      </c>
      <c r="K1653" s="177" t="e">
        <f>'[6]price list MAN'!P1653</f>
        <v>#N/A</v>
      </c>
      <c r="L1653" s="177" t="e">
        <f>'[6]price list MAN'!R1653</f>
        <v>#N/A</v>
      </c>
      <c r="M1653" s="174" t="e">
        <f>'[6]price list MAN'!S1653</f>
        <v>#N/A</v>
      </c>
      <c r="N1653" s="174" t="e">
        <f>'[6]price list MAN'!Y1653</f>
        <v>#N/A</v>
      </c>
      <c r="O1653" s="174" t="e">
        <f>'[6]price list MAN'!AA1653</f>
        <v>#N/A</v>
      </c>
      <c r="P1653" s="68" t="e">
        <f t="shared" si="126"/>
        <v>#N/A</v>
      </c>
      <c r="Q1653" s="62" t="e">
        <f>O1653-#REF!</f>
        <v>#N/A</v>
      </c>
      <c r="AT1653" s="425" t="str">
        <f t="shared" si="127"/>
        <v>Special Order0</v>
      </c>
      <c r="AU1653" s="64" t="str">
        <f t="shared" si="128"/>
        <v>01-1900</v>
      </c>
      <c r="BA1653" s="428" t="str">
        <f t="shared" si="129"/>
        <v/>
      </c>
    </row>
    <row r="1654" spans="2:53">
      <c r="B1654" s="36">
        <f>'[6]price list MAN'!B1654</f>
        <v>0</v>
      </c>
      <c r="C1654" s="10">
        <f>'[6]price list MAN'!C1654</f>
        <v>0</v>
      </c>
      <c r="D1654" s="16" t="str">
        <f>IFERROR(VLOOKUP(C1654&amp;"",'[7]Retail Price List'!$A$3:$B$103,2,FALSE),"Special Order")</f>
        <v>Special Order</v>
      </c>
      <c r="E1654" s="494">
        <f>'[6]price list MAN'!E1654</f>
        <v>0</v>
      </c>
      <c r="F1654" s="11">
        <f>'[6]price list MAN'!F1654</f>
        <v>0</v>
      </c>
      <c r="G1654" s="32">
        <f>'[6]price list MAN'!G1654</f>
        <v>0</v>
      </c>
      <c r="H1654" s="26">
        <f>'[6]price list MAN'!H1654</f>
        <v>0</v>
      </c>
      <c r="I1654" s="51" t="str">
        <f t="shared" si="125"/>
        <v/>
      </c>
      <c r="J1654" s="177" t="e">
        <f>'[6]price list MAN'!J1654</f>
        <v>#N/A</v>
      </c>
      <c r="K1654" s="177" t="e">
        <f>'[6]price list MAN'!P1654</f>
        <v>#N/A</v>
      </c>
      <c r="L1654" s="177" t="e">
        <f>'[6]price list MAN'!R1654</f>
        <v>#N/A</v>
      </c>
      <c r="M1654" s="174" t="e">
        <f>'[6]price list MAN'!S1654</f>
        <v>#N/A</v>
      </c>
      <c r="N1654" s="174" t="e">
        <f>'[6]price list MAN'!Y1654</f>
        <v>#N/A</v>
      </c>
      <c r="O1654" s="174" t="e">
        <f>'[6]price list MAN'!AA1654</f>
        <v>#N/A</v>
      </c>
      <c r="P1654" s="68" t="e">
        <f t="shared" si="126"/>
        <v>#N/A</v>
      </c>
      <c r="Q1654" s="62" t="e">
        <f>O1654-#REF!</f>
        <v>#N/A</v>
      </c>
      <c r="AT1654" s="425" t="str">
        <f t="shared" si="127"/>
        <v>Special Order0</v>
      </c>
      <c r="AU1654" s="64" t="str">
        <f t="shared" si="128"/>
        <v>01-1900</v>
      </c>
      <c r="BA1654" s="428" t="str">
        <f t="shared" si="129"/>
        <v/>
      </c>
    </row>
    <row r="1655" spans="2:53">
      <c r="B1655" s="36">
        <f>'[6]price list MAN'!B1655</f>
        <v>0</v>
      </c>
      <c r="C1655" s="10">
        <f>'[6]price list MAN'!C1655</f>
        <v>0</v>
      </c>
      <c r="D1655" s="16" t="str">
        <f>IFERROR(VLOOKUP(C1655&amp;"",'[7]Retail Price List'!$A$3:$B$103,2,FALSE),"Special Order")</f>
        <v>Special Order</v>
      </c>
      <c r="E1655" s="494">
        <f>'[6]price list MAN'!E1655</f>
        <v>0</v>
      </c>
      <c r="F1655" s="11">
        <f>'[6]price list MAN'!F1655</f>
        <v>0</v>
      </c>
      <c r="G1655" s="32">
        <f>'[6]price list MAN'!G1655</f>
        <v>0</v>
      </c>
      <c r="H1655" s="26">
        <f>'[6]price list MAN'!H1655</f>
        <v>0</v>
      </c>
      <c r="I1655" s="51" t="str">
        <f t="shared" si="125"/>
        <v/>
      </c>
      <c r="J1655" s="177" t="e">
        <f>'[6]price list MAN'!J1655</f>
        <v>#N/A</v>
      </c>
      <c r="K1655" s="177" t="e">
        <f>'[6]price list MAN'!P1655</f>
        <v>#N/A</v>
      </c>
      <c r="L1655" s="177" t="e">
        <f>'[6]price list MAN'!R1655</f>
        <v>#N/A</v>
      </c>
      <c r="M1655" s="174" t="e">
        <f>'[6]price list MAN'!S1655</f>
        <v>#N/A</v>
      </c>
      <c r="N1655" s="174" t="e">
        <f>'[6]price list MAN'!Y1655</f>
        <v>#N/A</v>
      </c>
      <c r="O1655" s="174" t="e">
        <f>'[6]price list MAN'!AA1655</f>
        <v>#N/A</v>
      </c>
      <c r="P1655" s="68" t="e">
        <f t="shared" si="126"/>
        <v>#N/A</v>
      </c>
      <c r="Q1655" s="62" t="e">
        <f>O1655-#REF!</f>
        <v>#N/A</v>
      </c>
      <c r="AT1655" s="425" t="str">
        <f t="shared" si="127"/>
        <v>Special Order0</v>
      </c>
      <c r="AU1655" s="64" t="str">
        <f t="shared" si="128"/>
        <v>01-1900</v>
      </c>
      <c r="BA1655" s="428" t="str">
        <f t="shared" si="129"/>
        <v/>
      </c>
    </row>
    <row r="1656" spans="2:53">
      <c r="B1656" s="36">
        <f>'[6]price list MAN'!B1656</f>
        <v>0</v>
      </c>
      <c r="C1656" s="10">
        <f>'[6]price list MAN'!C1656</f>
        <v>0</v>
      </c>
      <c r="D1656" s="16" t="str">
        <f>IFERROR(VLOOKUP(C1656&amp;"",'[7]Retail Price List'!$A$3:$B$103,2,FALSE),"Special Order")</f>
        <v>Special Order</v>
      </c>
      <c r="E1656" s="494">
        <f>'[6]price list MAN'!E1656</f>
        <v>0</v>
      </c>
      <c r="F1656" s="11">
        <f>'[6]price list MAN'!F1656</f>
        <v>0</v>
      </c>
      <c r="G1656" s="32">
        <f>'[6]price list MAN'!G1656</f>
        <v>0</v>
      </c>
      <c r="H1656" s="26">
        <f>'[6]price list MAN'!H1656</f>
        <v>0</v>
      </c>
      <c r="I1656" s="51" t="str">
        <f t="shared" si="125"/>
        <v/>
      </c>
      <c r="J1656" s="177" t="e">
        <f>'[6]price list MAN'!J1656</f>
        <v>#N/A</v>
      </c>
      <c r="K1656" s="177" t="e">
        <f>'[6]price list MAN'!P1656</f>
        <v>#N/A</v>
      </c>
      <c r="L1656" s="177" t="e">
        <f>'[6]price list MAN'!R1656</f>
        <v>#N/A</v>
      </c>
      <c r="M1656" s="174" t="e">
        <f>'[6]price list MAN'!S1656</f>
        <v>#N/A</v>
      </c>
      <c r="N1656" s="174" t="e">
        <f>'[6]price list MAN'!Y1656</f>
        <v>#N/A</v>
      </c>
      <c r="O1656" s="174" t="e">
        <f>'[6]price list MAN'!AA1656</f>
        <v>#N/A</v>
      </c>
      <c r="P1656" s="68" t="e">
        <f t="shared" si="126"/>
        <v>#N/A</v>
      </c>
      <c r="Q1656" s="62" t="e">
        <f>O1656-#REF!</f>
        <v>#N/A</v>
      </c>
      <c r="AT1656" s="425" t="str">
        <f t="shared" si="127"/>
        <v>Special Order0</v>
      </c>
      <c r="AU1656" s="64" t="str">
        <f t="shared" si="128"/>
        <v>01-1900</v>
      </c>
      <c r="BA1656" s="428" t="str">
        <f t="shared" si="129"/>
        <v/>
      </c>
    </row>
    <row r="1657" spans="2:53">
      <c r="B1657" s="36">
        <f>'[6]price list MAN'!B1657</f>
        <v>0</v>
      </c>
      <c r="C1657" s="10">
        <f>'[6]price list MAN'!C1657</f>
        <v>0</v>
      </c>
      <c r="D1657" s="16" t="str">
        <f>IFERROR(VLOOKUP(C1657&amp;"",'[7]Retail Price List'!$A$3:$B$103,2,FALSE),"Special Order")</f>
        <v>Special Order</v>
      </c>
      <c r="E1657" s="494">
        <f>'[6]price list MAN'!E1657</f>
        <v>0</v>
      </c>
      <c r="F1657" s="11">
        <f>'[6]price list MAN'!F1657</f>
        <v>0</v>
      </c>
      <c r="G1657" s="32">
        <f>'[6]price list MAN'!G1657</f>
        <v>0</v>
      </c>
      <c r="H1657" s="26">
        <f>'[6]price list MAN'!H1657</f>
        <v>0</v>
      </c>
      <c r="I1657" s="51" t="str">
        <f t="shared" si="125"/>
        <v/>
      </c>
      <c r="J1657" s="177" t="e">
        <f>'[6]price list MAN'!J1657</f>
        <v>#N/A</v>
      </c>
      <c r="K1657" s="177" t="e">
        <f>'[6]price list MAN'!P1657</f>
        <v>#N/A</v>
      </c>
      <c r="L1657" s="177" t="e">
        <f>'[6]price list MAN'!R1657</f>
        <v>#N/A</v>
      </c>
      <c r="M1657" s="174" t="e">
        <f>'[6]price list MAN'!S1657</f>
        <v>#N/A</v>
      </c>
      <c r="N1657" s="174" t="e">
        <f>'[6]price list MAN'!Y1657</f>
        <v>#N/A</v>
      </c>
      <c r="O1657" s="174" t="e">
        <f>'[6]price list MAN'!AA1657</f>
        <v>#N/A</v>
      </c>
      <c r="P1657" s="68" t="e">
        <f t="shared" si="126"/>
        <v>#N/A</v>
      </c>
      <c r="Q1657" s="62" t="e">
        <f>O1657-#REF!</f>
        <v>#N/A</v>
      </c>
      <c r="AT1657" s="425" t="str">
        <f t="shared" si="127"/>
        <v>Special Order0</v>
      </c>
      <c r="AU1657" s="64" t="str">
        <f t="shared" si="128"/>
        <v>01-1900</v>
      </c>
      <c r="BA1657" s="428" t="str">
        <f t="shared" si="129"/>
        <v/>
      </c>
    </row>
    <row r="1658" spans="2:53">
      <c r="B1658" s="36">
        <f>'[6]price list MAN'!B1658</f>
        <v>0</v>
      </c>
      <c r="C1658" s="10">
        <f>'[6]price list MAN'!C1658</f>
        <v>0</v>
      </c>
      <c r="D1658" s="16" t="str">
        <f>IFERROR(VLOOKUP(C1658&amp;"",'[7]Retail Price List'!$A$3:$B$103,2,FALSE),"Special Order")</f>
        <v>Special Order</v>
      </c>
      <c r="E1658" s="494">
        <f>'[6]price list MAN'!E1658</f>
        <v>0</v>
      </c>
      <c r="F1658" s="11">
        <f>'[6]price list MAN'!F1658</f>
        <v>0</v>
      </c>
      <c r="G1658" s="32">
        <f>'[6]price list MAN'!G1658</f>
        <v>0</v>
      </c>
      <c r="H1658" s="26">
        <f>'[6]price list MAN'!H1658</f>
        <v>0</v>
      </c>
      <c r="I1658" s="51" t="str">
        <f t="shared" si="125"/>
        <v/>
      </c>
      <c r="J1658" s="177" t="e">
        <f>'[6]price list MAN'!J1658</f>
        <v>#N/A</v>
      </c>
      <c r="K1658" s="177" t="e">
        <f>'[6]price list MAN'!P1658</f>
        <v>#N/A</v>
      </c>
      <c r="L1658" s="177" t="e">
        <f>'[6]price list MAN'!R1658</f>
        <v>#N/A</v>
      </c>
      <c r="M1658" s="174" t="e">
        <f>'[6]price list MAN'!S1658</f>
        <v>#N/A</v>
      </c>
      <c r="N1658" s="174" t="e">
        <f>'[6]price list MAN'!Y1658</f>
        <v>#N/A</v>
      </c>
      <c r="O1658" s="174" t="e">
        <f>'[6]price list MAN'!AA1658</f>
        <v>#N/A</v>
      </c>
      <c r="P1658" s="68" t="e">
        <f t="shared" si="126"/>
        <v>#N/A</v>
      </c>
      <c r="Q1658" s="62" t="e">
        <f>O1658-#REF!</f>
        <v>#N/A</v>
      </c>
      <c r="AT1658" s="425" t="str">
        <f t="shared" si="127"/>
        <v>Special Order0</v>
      </c>
      <c r="AU1658" s="64" t="str">
        <f t="shared" si="128"/>
        <v>01-1900</v>
      </c>
      <c r="BA1658" s="428" t="str">
        <f t="shared" si="129"/>
        <v/>
      </c>
    </row>
    <row r="1659" spans="2:53">
      <c r="B1659" s="36">
        <f>'[6]price list MAN'!B1659</f>
        <v>0</v>
      </c>
      <c r="C1659" s="10">
        <f>'[6]price list MAN'!C1659</f>
        <v>0</v>
      </c>
      <c r="D1659" s="16" t="str">
        <f>IFERROR(VLOOKUP(C1659&amp;"",'[7]Retail Price List'!$A$3:$B$103,2,FALSE),"Special Order")</f>
        <v>Special Order</v>
      </c>
      <c r="E1659" s="494">
        <f>'[6]price list MAN'!E1659</f>
        <v>0</v>
      </c>
      <c r="F1659" s="11">
        <f>'[6]price list MAN'!F1659</f>
        <v>0</v>
      </c>
      <c r="G1659" s="32">
        <f>'[6]price list MAN'!G1659</f>
        <v>0</v>
      </c>
      <c r="H1659" s="26">
        <f>'[6]price list MAN'!H1659</f>
        <v>0</v>
      </c>
      <c r="I1659" s="51" t="str">
        <f t="shared" si="125"/>
        <v/>
      </c>
      <c r="J1659" s="177" t="e">
        <f>'[6]price list MAN'!J1659</f>
        <v>#N/A</v>
      </c>
      <c r="K1659" s="177" t="e">
        <f>'[6]price list MAN'!P1659</f>
        <v>#N/A</v>
      </c>
      <c r="L1659" s="177" t="e">
        <f>'[6]price list MAN'!R1659</f>
        <v>#N/A</v>
      </c>
      <c r="M1659" s="174" t="e">
        <f>'[6]price list MAN'!S1659</f>
        <v>#N/A</v>
      </c>
      <c r="N1659" s="174" t="e">
        <f>'[6]price list MAN'!Y1659</f>
        <v>#N/A</v>
      </c>
      <c r="O1659" s="174" t="e">
        <f>'[6]price list MAN'!AA1659</f>
        <v>#N/A</v>
      </c>
      <c r="P1659" s="68" t="e">
        <f t="shared" si="126"/>
        <v>#N/A</v>
      </c>
      <c r="Q1659" s="62" t="e">
        <f>O1659-#REF!</f>
        <v>#N/A</v>
      </c>
      <c r="AT1659" s="425" t="str">
        <f t="shared" si="127"/>
        <v>Special Order0</v>
      </c>
      <c r="AU1659" s="64" t="str">
        <f t="shared" si="128"/>
        <v>01-1900</v>
      </c>
      <c r="BA1659" s="428" t="str">
        <f t="shared" si="129"/>
        <v/>
      </c>
    </row>
    <row r="1660" spans="2:53">
      <c r="B1660" s="36">
        <f>'[6]price list MAN'!B1660</f>
        <v>0</v>
      </c>
      <c r="C1660" s="10">
        <f>'[6]price list MAN'!C1660</f>
        <v>0</v>
      </c>
      <c r="D1660" s="16" t="str">
        <f>IFERROR(VLOOKUP(C1660&amp;"",'[7]Retail Price List'!$A$3:$B$103,2,FALSE),"Special Order")</f>
        <v>Special Order</v>
      </c>
      <c r="E1660" s="494">
        <f>'[6]price list MAN'!E1660</f>
        <v>0</v>
      </c>
      <c r="F1660" s="11">
        <f>'[6]price list MAN'!F1660</f>
        <v>0</v>
      </c>
      <c r="G1660" s="32">
        <f>'[6]price list MAN'!G1660</f>
        <v>0</v>
      </c>
      <c r="H1660" s="26">
        <f>'[6]price list MAN'!H1660</f>
        <v>0</v>
      </c>
      <c r="I1660" s="51" t="str">
        <f t="shared" si="125"/>
        <v/>
      </c>
      <c r="J1660" s="177" t="e">
        <f>'[6]price list MAN'!J1660</f>
        <v>#N/A</v>
      </c>
      <c r="K1660" s="177" t="e">
        <f>'[6]price list MAN'!P1660</f>
        <v>#N/A</v>
      </c>
      <c r="L1660" s="177" t="e">
        <f>'[6]price list MAN'!R1660</f>
        <v>#N/A</v>
      </c>
      <c r="M1660" s="174" t="e">
        <f>'[6]price list MAN'!S1660</f>
        <v>#N/A</v>
      </c>
      <c r="N1660" s="174" t="e">
        <f>'[6]price list MAN'!Y1660</f>
        <v>#N/A</v>
      </c>
      <c r="O1660" s="174" t="e">
        <f>'[6]price list MAN'!AA1660</f>
        <v>#N/A</v>
      </c>
      <c r="P1660" s="68" t="e">
        <f t="shared" si="126"/>
        <v>#N/A</v>
      </c>
      <c r="Q1660" s="62" t="e">
        <f>O1660-#REF!</f>
        <v>#N/A</v>
      </c>
      <c r="AT1660" s="425" t="str">
        <f t="shared" si="127"/>
        <v>Special Order0</v>
      </c>
      <c r="AU1660" s="64" t="str">
        <f t="shared" si="128"/>
        <v>01-1900</v>
      </c>
      <c r="BA1660" s="428" t="str">
        <f t="shared" si="129"/>
        <v/>
      </c>
    </row>
    <row r="1661" spans="2:53">
      <c r="B1661" s="36">
        <f>'[6]price list MAN'!B1661</f>
        <v>0</v>
      </c>
      <c r="C1661" s="10">
        <f>'[6]price list MAN'!C1661</f>
        <v>0</v>
      </c>
      <c r="D1661" s="16" t="str">
        <f>IFERROR(VLOOKUP(C1661&amp;"",'[7]Retail Price List'!$A$3:$B$103,2,FALSE),"Special Order")</f>
        <v>Special Order</v>
      </c>
      <c r="E1661" s="494">
        <f>'[6]price list MAN'!E1661</f>
        <v>0</v>
      </c>
      <c r="F1661" s="11">
        <f>'[6]price list MAN'!F1661</f>
        <v>0</v>
      </c>
      <c r="G1661" s="32">
        <f>'[6]price list MAN'!G1661</f>
        <v>0</v>
      </c>
      <c r="H1661" s="26">
        <f>'[6]price list MAN'!H1661</f>
        <v>0</v>
      </c>
      <c r="I1661" s="51" t="str">
        <f t="shared" si="125"/>
        <v/>
      </c>
      <c r="J1661" s="177" t="e">
        <f>'[6]price list MAN'!J1661</f>
        <v>#N/A</v>
      </c>
      <c r="K1661" s="177" t="e">
        <f>'[6]price list MAN'!P1661</f>
        <v>#N/A</v>
      </c>
      <c r="L1661" s="177" t="e">
        <f>'[6]price list MAN'!R1661</f>
        <v>#N/A</v>
      </c>
      <c r="M1661" s="174" t="e">
        <f>'[6]price list MAN'!S1661</f>
        <v>#N/A</v>
      </c>
      <c r="N1661" s="174" t="e">
        <f>'[6]price list MAN'!Y1661</f>
        <v>#N/A</v>
      </c>
      <c r="O1661" s="174" t="e">
        <f>'[6]price list MAN'!AA1661</f>
        <v>#N/A</v>
      </c>
      <c r="P1661" s="68" t="e">
        <f t="shared" si="126"/>
        <v>#N/A</v>
      </c>
      <c r="Q1661" s="62" t="e">
        <f>O1661-#REF!</f>
        <v>#N/A</v>
      </c>
      <c r="AT1661" s="425" t="str">
        <f t="shared" si="127"/>
        <v>Special Order0</v>
      </c>
      <c r="AU1661" s="64" t="str">
        <f t="shared" si="128"/>
        <v>01-1900</v>
      </c>
      <c r="BA1661" s="428" t="str">
        <f t="shared" si="129"/>
        <v/>
      </c>
    </row>
    <row r="1662" spans="2:53">
      <c r="B1662" s="36">
        <f>'[6]price list MAN'!B1662</f>
        <v>0</v>
      </c>
      <c r="C1662" s="10">
        <f>'[6]price list MAN'!C1662</f>
        <v>0</v>
      </c>
      <c r="D1662" s="16" t="str">
        <f>IFERROR(VLOOKUP(C1662&amp;"",'[7]Retail Price List'!$A$3:$B$103,2,FALSE),"Special Order")</f>
        <v>Special Order</v>
      </c>
      <c r="E1662" s="494">
        <f>'[6]price list MAN'!E1662</f>
        <v>0</v>
      </c>
      <c r="F1662" s="11">
        <f>'[6]price list MAN'!F1662</f>
        <v>0</v>
      </c>
      <c r="G1662" s="32">
        <f>'[6]price list MAN'!G1662</f>
        <v>0</v>
      </c>
      <c r="H1662" s="26">
        <f>'[6]price list MAN'!H1662</f>
        <v>0</v>
      </c>
      <c r="I1662" s="51" t="str">
        <f t="shared" si="125"/>
        <v/>
      </c>
      <c r="J1662" s="177" t="e">
        <f>'[6]price list MAN'!J1662</f>
        <v>#N/A</v>
      </c>
      <c r="K1662" s="177" t="e">
        <f>'[6]price list MAN'!P1662</f>
        <v>#N/A</v>
      </c>
      <c r="L1662" s="177" t="e">
        <f>'[6]price list MAN'!R1662</f>
        <v>#N/A</v>
      </c>
      <c r="M1662" s="174" t="e">
        <f>'[6]price list MAN'!S1662</f>
        <v>#N/A</v>
      </c>
      <c r="N1662" s="174" t="e">
        <f>'[6]price list MAN'!Y1662</f>
        <v>#N/A</v>
      </c>
      <c r="O1662" s="174" t="e">
        <f>'[6]price list MAN'!AA1662</f>
        <v>#N/A</v>
      </c>
      <c r="P1662" s="68" t="e">
        <f t="shared" si="126"/>
        <v>#N/A</v>
      </c>
      <c r="Q1662" s="62" t="e">
        <f>O1662-#REF!</f>
        <v>#N/A</v>
      </c>
      <c r="AT1662" s="425" t="str">
        <f t="shared" si="127"/>
        <v>Special Order0</v>
      </c>
      <c r="AU1662" s="64" t="str">
        <f t="shared" si="128"/>
        <v>01-1900</v>
      </c>
      <c r="BA1662" s="428" t="str">
        <f t="shared" si="129"/>
        <v/>
      </c>
    </row>
    <row r="1663" spans="2:53">
      <c r="B1663" s="36">
        <f>'[6]price list MAN'!B1663</f>
        <v>0</v>
      </c>
      <c r="C1663" s="10">
        <f>'[6]price list MAN'!C1663</f>
        <v>0</v>
      </c>
      <c r="D1663" s="16" t="str">
        <f>IFERROR(VLOOKUP(C1663&amp;"",'[7]Retail Price List'!$A$3:$B$103,2,FALSE),"Special Order")</f>
        <v>Special Order</v>
      </c>
      <c r="E1663" s="494">
        <f>'[6]price list MAN'!E1663</f>
        <v>0</v>
      </c>
      <c r="F1663" s="11">
        <f>'[6]price list MAN'!F1663</f>
        <v>0</v>
      </c>
      <c r="G1663" s="32">
        <f>'[6]price list MAN'!G1663</f>
        <v>0</v>
      </c>
      <c r="H1663" s="26">
        <f>'[6]price list MAN'!H1663</f>
        <v>0</v>
      </c>
      <c r="I1663" s="51" t="str">
        <f t="shared" si="125"/>
        <v/>
      </c>
      <c r="J1663" s="177" t="e">
        <f>'[6]price list MAN'!J1663</f>
        <v>#N/A</v>
      </c>
      <c r="K1663" s="177" t="e">
        <f>'[6]price list MAN'!P1663</f>
        <v>#N/A</v>
      </c>
      <c r="L1663" s="177" t="e">
        <f>'[6]price list MAN'!R1663</f>
        <v>#N/A</v>
      </c>
      <c r="M1663" s="174" t="e">
        <f>'[6]price list MAN'!S1663</f>
        <v>#N/A</v>
      </c>
      <c r="N1663" s="174" t="e">
        <f>'[6]price list MAN'!Y1663</f>
        <v>#N/A</v>
      </c>
      <c r="O1663" s="174" t="e">
        <f>'[6]price list MAN'!AA1663</f>
        <v>#N/A</v>
      </c>
      <c r="P1663" s="68" t="e">
        <f t="shared" si="126"/>
        <v>#N/A</v>
      </c>
      <c r="Q1663" s="62" t="e">
        <f>O1663-#REF!</f>
        <v>#N/A</v>
      </c>
      <c r="AT1663" s="425" t="str">
        <f t="shared" si="127"/>
        <v>Special Order0</v>
      </c>
      <c r="AU1663" s="64" t="str">
        <f t="shared" si="128"/>
        <v>01-1900</v>
      </c>
      <c r="BA1663" s="428" t="str">
        <f t="shared" si="129"/>
        <v/>
      </c>
    </row>
    <row r="1664" spans="2:53">
      <c r="B1664" s="36">
        <f>'[6]price list MAN'!B1664</f>
        <v>0</v>
      </c>
      <c r="C1664" s="10">
        <f>'[6]price list MAN'!C1664</f>
        <v>0</v>
      </c>
      <c r="D1664" s="16" t="str">
        <f>IFERROR(VLOOKUP(C1664&amp;"",'[7]Retail Price List'!$A$3:$B$103,2,FALSE),"Special Order")</f>
        <v>Special Order</v>
      </c>
      <c r="E1664" s="494">
        <f>'[6]price list MAN'!E1664</f>
        <v>0</v>
      </c>
      <c r="F1664" s="11">
        <f>'[6]price list MAN'!F1664</f>
        <v>0</v>
      </c>
      <c r="G1664" s="32">
        <f>'[6]price list MAN'!G1664</f>
        <v>0</v>
      </c>
      <c r="H1664" s="26">
        <f>'[6]price list MAN'!H1664</f>
        <v>0</v>
      </c>
      <c r="I1664" s="51" t="str">
        <f t="shared" si="125"/>
        <v/>
      </c>
      <c r="J1664" s="177" t="e">
        <f>'[6]price list MAN'!J1664</f>
        <v>#N/A</v>
      </c>
      <c r="K1664" s="177" t="e">
        <f>'[6]price list MAN'!P1664</f>
        <v>#N/A</v>
      </c>
      <c r="L1664" s="177" t="e">
        <f>'[6]price list MAN'!R1664</f>
        <v>#N/A</v>
      </c>
      <c r="M1664" s="174" t="e">
        <f>'[6]price list MAN'!S1664</f>
        <v>#N/A</v>
      </c>
      <c r="N1664" s="174" t="e">
        <f>'[6]price list MAN'!Y1664</f>
        <v>#N/A</v>
      </c>
      <c r="O1664" s="174" t="e">
        <f>'[6]price list MAN'!AA1664</f>
        <v>#N/A</v>
      </c>
      <c r="P1664" s="68" t="e">
        <f t="shared" si="126"/>
        <v>#N/A</v>
      </c>
      <c r="Q1664" s="62" t="e">
        <f>O1664-#REF!</f>
        <v>#N/A</v>
      </c>
      <c r="AT1664" s="425" t="str">
        <f t="shared" si="127"/>
        <v>Special Order0</v>
      </c>
      <c r="AU1664" s="64" t="str">
        <f t="shared" si="128"/>
        <v>01-1900</v>
      </c>
      <c r="BA1664" s="428" t="str">
        <f t="shared" si="129"/>
        <v/>
      </c>
    </row>
    <row r="1665" spans="2:53">
      <c r="B1665" s="36">
        <f>'[6]price list MAN'!B1665</f>
        <v>0</v>
      </c>
      <c r="C1665" s="10">
        <f>'[6]price list MAN'!C1665</f>
        <v>0</v>
      </c>
      <c r="D1665" s="16" t="str">
        <f>IFERROR(VLOOKUP(C1665&amp;"",'[7]Retail Price List'!$A$3:$B$103,2,FALSE),"Special Order")</f>
        <v>Special Order</v>
      </c>
      <c r="E1665" s="494">
        <f>'[6]price list MAN'!E1665</f>
        <v>0</v>
      </c>
      <c r="F1665" s="11">
        <f>'[6]price list MAN'!F1665</f>
        <v>0</v>
      </c>
      <c r="G1665" s="32">
        <f>'[6]price list MAN'!G1665</f>
        <v>0</v>
      </c>
      <c r="H1665" s="26">
        <f>'[6]price list MAN'!H1665</f>
        <v>0</v>
      </c>
      <c r="I1665" s="51" t="str">
        <f t="shared" si="125"/>
        <v/>
      </c>
      <c r="J1665" s="177" t="e">
        <f>'[6]price list MAN'!J1665</f>
        <v>#N/A</v>
      </c>
      <c r="K1665" s="177" t="e">
        <f>'[6]price list MAN'!P1665</f>
        <v>#N/A</v>
      </c>
      <c r="L1665" s="177" t="e">
        <f>'[6]price list MAN'!R1665</f>
        <v>#N/A</v>
      </c>
      <c r="M1665" s="174" t="e">
        <f>'[6]price list MAN'!S1665</f>
        <v>#N/A</v>
      </c>
      <c r="N1665" s="174" t="e">
        <f>'[6]price list MAN'!Y1665</f>
        <v>#N/A</v>
      </c>
      <c r="O1665" s="174" t="e">
        <f>'[6]price list MAN'!AA1665</f>
        <v>#N/A</v>
      </c>
      <c r="P1665" s="68" t="e">
        <f t="shared" si="126"/>
        <v>#N/A</v>
      </c>
      <c r="Q1665" s="62" t="e">
        <f>O1665-#REF!</f>
        <v>#N/A</v>
      </c>
      <c r="AT1665" s="425" t="str">
        <f t="shared" si="127"/>
        <v>Special Order0</v>
      </c>
      <c r="AU1665" s="64" t="str">
        <f t="shared" si="128"/>
        <v>01-1900</v>
      </c>
      <c r="BA1665" s="428" t="str">
        <f t="shared" si="129"/>
        <v/>
      </c>
    </row>
    <row r="1666" spans="2:53">
      <c r="B1666" s="36">
        <f>'[6]price list MAN'!B1666</f>
        <v>0</v>
      </c>
      <c r="C1666" s="10">
        <f>'[6]price list MAN'!C1666</f>
        <v>0</v>
      </c>
      <c r="D1666" s="16" t="str">
        <f>IFERROR(VLOOKUP(C1666&amp;"",'[7]Retail Price List'!$A$3:$B$103,2,FALSE),"Special Order")</f>
        <v>Special Order</v>
      </c>
      <c r="E1666" s="494">
        <f>'[6]price list MAN'!E1666</f>
        <v>0</v>
      </c>
      <c r="F1666" s="11">
        <f>'[6]price list MAN'!F1666</f>
        <v>0</v>
      </c>
      <c r="G1666" s="32">
        <f>'[6]price list MAN'!G1666</f>
        <v>0</v>
      </c>
      <c r="H1666" s="26">
        <f>'[6]price list MAN'!H1666</f>
        <v>0</v>
      </c>
      <c r="I1666" s="51" t="str">
        <f t="shared" si="125"/>
        <v/>
      </c>
      <c r="J1666" s="177" t="e">
        <f>'[6]price list MAN'!J1666</f>
        <v>#N/A</v>
      </c>
      <c r="K1666" s="177" t="e">
        <f>'[6]price list MAN'!P1666</f>
        <v>#N/A</v>
      </c>
      <c r="L1666" s="177" t="e">
        <f>'[6]price list MAN'!R1666</f>
        <v>#N/A</v>
      </c>
      <c r="M1666" s="174" t="e">
        <f>'[6]price list MAN'!S1666</f>
        <v>#N/A</v>
      </c>
      <c r="N1666" s="174" t="e">
        <f>'[6]price list MAN'!Y1666</f>
        <v>#N/A</v>
      </c>
      <c r="O1666" s="174" t="e">
        <f>'[6]price list MAN'!AA1666</f>
        <v>#N/A</v>
      </c>
      <c r="P1666" s="68" t="e">
        <f t="shared" si="126"/>
        <v>#N/A</v>
      </c>
      <c r="Q1666" s="62" t="e">
        <f>O1666-#REF!</f>
        <v>#N/A</v>
      </c>
      <c r="AT1666" s="425" t="str">
        <f t="shared" si="127"/>
        <v>Special Order0</v>
      </c>
      <c r="AU1666" s="64" t="str">
        <f t="shared" si="128"/>
        <v>01-1900</v>
      </c>
      <c r="BA1666" s="428" t="str">
        <f t="shared" si="129"/>
        <v/>
      </c>
    </row>
    <row r="1667" spans="2:53">
      <c r="B1667" s="36">
        <f>'[6]price list MAN'!B1667</f>
        <v>0</v>
      </c>
      <c r="C1667" s="10">
        <f>'[6]price list MAN'!C1667</f>
        <v>0</v>
      </c>
      <c r="D1667" s="16" t="str">
        <f>IFERROR(VLOOKUP(C1667&amp;"",'[7]Retail Price List'!$A$3:$B$103,2,FALSE),"Special Order")</f>
        <v>Special Order</v>
      </c>
      <c r="E1667" s="494">
        <f>'[6]price list MAN'!E1667</f>
        <v>0</v>
      </c>
      <c r="F1667" s="11">
        <f>'[6]price list MAN'!F1667</f>
        <v>0</v>
      </c>
      <c r="G1667" s="32">
        <f>'[6]price list MAN'!G1667</f>
        <v>0</v>
      </c>
      <c r="H1667" s="26">
        <f>'[6]price list MAN'!H1667</f>
        <v>0</v>
      </c>
      <c r="I1667" s="51" t="str">
        <f t="shared" si="125"/>
        <v/>
      </c>
      <c r="J1667" s="177" t="e">
        <f>'[6]price list MAN'!J1667</f>
        <v>#N/A</v>
      </c>
      <c r="K1667" s="177" t="e">
        <f>'[6]price list MAN'!P1667</f>
        <v>#N/A</v>
      </c>
      <c r="L1667" s="177" t="e">
        <f>'[6]price list MAN'!R1667</f>
        <v>#N/A</v>
      </c>
      <c r="M1667" s="174" t="e">
        <f>'[6]price list MAN'!S1667</f>
        <v>#N/A</v>
      </c>
      <c r="N1667" s="174" t="e">
        <f>'[6]price list MAN'!Y1667</f>
        <v>#N/A</v>
      </c>
      <c r="O1667" s="174" t="e">
        <f>'[6]price list MAN'!AA1667</f>
        <v>#N/A</v>
      </c>
      <c r="P1667" s="68" t="e">
        <f t="shared" si="126"/>
        <v>#N/A</v>
      </c>
      <c r="Q1667" s="62" t="e">
        <f>O1667-#REF!</f>
        <v>#N/A</v>
      </c>
      <c r="AT1667" s="425" t="str">
        <f t="shared" si="127"/>
        <v>Special Order0</v>
      </c>
      <c r="AU1667" s="64" t="str">
        <f t="shared" si="128"/>
        <v>01-1900</v>
      </c>
      <c r="BA1667" s="428" t="str">
        <f t="shared" si="129"/>
        <v/>
      </c>
    </row>
    <row r="1668" spans="2:53">
      <c r="B1668" s="36">
        <f>'[6]price list MAN'!B1668</f>
        <v>0</v>
      </c>
      <c r="C1668" s="10">
        <f>'[6]price list MAN'!C1668</f>
        <v>0</v>
      </c>
      <c r="D1668" s="16" t="str">
        <f>IFERROR(VLOOKUP(C1668&amp;"",'[7]Retail Price List'!$A$3:$B$103,2,FALSE),"Special Order")</f>
        <v>Special Order</v>
      </c>
      <c r="E1668" s="494">
        <f>'[6]price list MAN'!E1668</f>
        <v>0</v>
      </c>
      <c r="F1668" s="11">
        <f>'[6]price list MAN'!F1668</f>
        <v>0</v>
      </c>
      <c r="G1668" s="32">
        <f>'[6]price list MAN'!G1668</f>
        <v>0</v>
      </c>
      <c r="H1668" s="26">
        <f>'[6]price list MAN'!H1668</f>
        <v>0</v>
      </c>
      <c r="I1668" s="51" t="str">
        <f t="shared" si="125"/>
        <v/>
      </c>
      <c r="J1668" s="177" t="e">
        <f>'[6]price list MAN'!J1668</f>
        <v>#N/A</v>
      </c>
      <c r="K1668" s="177" t="e">
        <f>'[6]price list MAN'!P1668</f>
        <v>#N/A</v>
      </c>
      <c r="L1668" s="177" t="e">
        <f>'[6]price list MAN'!R1668</f>
        <v>#N/A</v>
      </c>
      <c r="M1668" s="174" t="e">
        <f>'[6]price list MAN'!S1668</f>
        <v>#N/A</v>
      </c>
      <c r="N1668" s="174" t="e">
        <f>'[6]price list MAN'!Y1668</f>
        <v>#N/A</v>
      </c>
      <c r="O1668" s="174" t="e">
        <f>'[6]price list MAN'!AA1668</f>
        <v>#N/A</v>
      </c>
      <c r="P1668" s="68" t="e">
        <f t="shared" si="126"/>
        <v>#N/A</v>
      </c>
      <c r="Q1668" s="62" t="e">
        <f>O1668-#REF!</f>
        <v>#N/A</v>
      </c>
      <c r="AT1668" s="425" t="str">
        <f t="shared" si="127"/>
        <v>Special Order0</v>
      </c>
      <c r="AU1668" s="64" t="str">
        <f t="shared" si="128"/>
        <v>01-1900</v>
      </c>
      <c r="BA1668" s="428" t="str">
        <f t="shared" si="129"/>
        <v/>
      </c>
    </row>
    <row r="1669" spans="2:53">
      <c r="B1669" s="36">
        <f>'[6]price list MAN'!B1669</f>
        <v>0</v>
      </c>
      <c r="C1669" s="10">
        <f>'[6]price list MAN'!C1669</f>
        <v>0</v>
      </c>
      <c r="D1669" s="16" t="str">
        <f>IFERROR(VLOOKUP(C1669&amp;"",'[7]Retail Price List'!$A$3:$B$103,2,FALSE),"Special Order")</f>
        <v>Special Order</v>
      </c>
      <c r="E1669" s="494">
        <f>'[6]price list MAN'!E1669</f>
        <v>0</v>
      </c>
      <c r="F1669" s="11">
        <f>'[6]price list MAN'!F1669</f>
        <v>0</v>
      </c>
      <c r="G1669" s="32">
        <f>'[6]price list MAN'!G1669</f>
        <v>0</v>
      </c>
      <c r="H1669" s="26">
        <f>'[6]price list MAN'!H1669</f>
        <v>0</v>
      </c>
      <c r="I1669" s="51" t="str">
        <f t="shared" ref="I1669:I1732" si="130">IFERROR(VLOOKUP(AU1669,$AW$5:$AY$40,3,FALSE),"")</f>
        <v/>
      </c>
      <c r="J1669" s="177" t="e">
        <f>'[6]price list MAN'!J1669</f>
        <v>#N/A</v>
      </c>
      <c r="K1669" s="177" t="e">
        <f>'[6]price list MAN'!P1669</f>
        <v>#N/A</v>
      </c>
      <c r="L1669" s="177" t="e">
        <f>'[6]price list MAN'!R1669</f>
        <v>#N/A</v>
      </c>
      <c r="M1669" s="174" t="e">
        <f>'[6]price list MAN'!S1669</f>
        <v>#N/A</v>
      </c>
      <c r="N1669" s="174" t="e">
        <f>'[6]price list MAN'!Y1669</f>
        <v>#N/A</v>
      </c>
      <c r="O1669" s="174" t="e">
        <f>'[6]price list MAN'!AA1669</f>
        <v>#N/A</v>
      </c>
      <c r="P1669" s="68" t="e">
        <f t="shared" ref="P1669:P1732" si="131">(M1669-O1669)/M1669</f>
        <v>#N/A</v>
      </c>
      <c r="Q1669" s="62" t="e">
        <f>O1669-#REF!</f>
        <v>#N/A</v>
      </c>
      <c r="AT1669" s="425" t="str">
        <f t="shared" ref="AT1669:AT1732" si="132">D1669&amp;I1669&amp;G1669</f>
        <v>Special Order0</v>
      </c>
      <c r="AU1669" s="64" t="str">
        <f t="shared" ref="AU1669:AU1732" si="133">IF(MONTH(H1669)&lt;10,0&amp;MONTH(H1669)&amp;"-"&amp;YEAR(H1669),MONTH(H1669)&amp;"-"&amp;YEAR(H1669))</f>
        <v>01-1900</v>
      </c>
      <c r="BA1669" s="428" t="str">
        <f t="shared" ref="BA1669:BA1732" si="134">IF(B1669=0,"",IF(AND(F1669&gt;=31,F1669&lt;=120),"31-120 Days",IF(AND(F1669&gt;=121,F1669&lt;=365),"121-365 Days",IF(OR(E1669="CKD",F1669&lt;=30),"WIP - 30 Days","&gt;365 Days"))))</f>
        <v/>
      </c>
    </row>
    <row r="1670" spans="2:53">
      <c r="B1670" s="36">
        <f>'[6]price list MAN'!B1670</f>
        <v>0</v>
      </c>
      <c r="C1670" s="10">
        <f>'[6]price list MAN'!C1670</f>
        <v>0</v>
      </c>
      <c r="D1670" s="16" t="str">
        <f>IFERROR(VLOOKUP(C1670&amp;"",'[7]Retail Price List'!$A$3:$B$103,2,FALSE),"Special Order")</f>
        <v>Special Order</v>
      </c>
      <c r="E1670" s="494">
        <f>'[6]price list MAN'!E1670</f>
        <v>0</v>
      </c>
      <c r="F1670" s="11">
        <f>'[6]price list MAN'!F1670</f>
        <v>0</v>
      </c>
      <c r="G1670" s="32">
        <f>'[6]price list MAN'!G1670</f>
        <v>0</v>
      </c>
      <c r="H1670" s="26">
        <f>'[6]price list MAN'!H1670</f>
        <v>0</v>
      </c>
      <c r="I1670" s="51" t="str">
        <f t="shared" si="130"/>
        <v/>
      </c>
      <c r="J1670" s="177" t="e">
        <f>'[6]price list MAN'!J1670</f>
        <v>#N/A</v>
      </c>
      <c r="K1670" s="177" t="e">
        <f>'[6]price list MAN'!P1670</f>
        <v>#N/A</v>
      </c>
      <c r="L1670" s="177" t="e">
        <f>'[6]price list MAN'!R1670</f>
        <v>#N/A</v>
      </c>
      <c r="M1670" s="174" t="e">
        <f>'[6]price list MAN'!S1670</f>
        <v>#N/A</v>
      </c>
      <c r="N1670" s="174" t="e">
        <f>'[6]price list MAN'!Y1670</f>
        <v>#N/A</v>
      </c>
      <c r="O1670" s="174" t="e">
        <f>'[6]price list MAN'!AA1670</f>
        <v>#N/A</v>
      </c>
      <c r="P1670" s="68" t="e">
        <f t="shared" si="131"/>
        <v>#N/A</v>
      </c>
      <c r="Q1670" s="62" t="e">
        <f>O1670-#REF!</f>
        <v>#N/A</v>
      </c>
      <c r="AT1670" s="425" t="str">
        <f t="shared" si="132"/>
        <v>Special Order0</v>
      </c>
      <c r="AU1670" s="64" t="str">
        <f t="shared" si="133"/>
        <v>01-1900</v>
      </c>
      <c r="BA1670" s="428" t="str">
        <f t="shared" si="134"/>
        <v/>
      </c>
    </row>
    <row r="1671" spans="2:53">
      <c r="B1671" s="36">
        <f>'[6]price list MAN'!B1671</f>
        <v>0</v>
      </c>
      <c r="C1671" s="10">
        <f>'[6]price list MAN'!C1671</f>
        <v>0</v>
      </c>
      <c r="D1671" s="16" t="str">
        <f>IFERROR(VLOOKUP(C1671&amp;"",'[7]Retail Price List'!$A$3:$B$103,2,FALSE),"Special Order")</f>
        <v>Special Order</v>
      </c>
      <c r="E1671" s="494">
        <f>'[6]price list MAN'!E1671</f>
        <v>0</v>
      </c>
      <c r="F1671" s="11">
        <f>'[6]price list MAN'!F1671</f>
        <v>0</v>
      </c>
      <c r="G1671" s="32">
        <f>'[6]price list MAN'!G1671</f>
        <v>0</v>
      </c>
      <c r="H1671" s="26">
        <f>'[6]price list MAN'!H1671</f>
        <v>0</v>
      </c>
      <c r="I1671" s="51" t="str">
        <f t="shared" si="130"/>
        <v/>
      </c>
      <c r="J1671" s="177" t="e">
        <f>'[6]price list MAN'!J1671</f>
        <v>#N/A</v>
      </c>
      <c r="K1671" s="177" t="e">
        <f>'[6]price list MAN'!P1671</f>
        <v>#N/A</v>
      </c>
      <c r="L1671" s="177" t="e">
        <f>'[6]price list MAN'!R1671</f>
        <v>#N/A</v>
      </c>
      <c r="M1671" s="174" t="e">
        <f>'[6]price list MAN'!S1671</f>
        <v>#N/A</v>
      </c>
      <c r="N1671" s="174" t="e">
        <f>'[6]price list MAN'!Y1671</f>
        <v>#N/A</v>
      </c>
      <c r="O1671" s="174" t="e">
        <f>'[6]price list MAN'!AA1671</f>
        <v>#N/A</v>
      </c>
      <c r="P1671" s="68" t="e">
        <f t="shared" si="131"/>
        <v>#N/A</v>
      </c>
      <c r="Q1671" s="62" t="e">
        <f>O1671-#REF!</f>
        <v>#N/A</v>
      </c>
      <c r="AT1671" s="425" t="str">
        <f t="shared" si="132"/>
        <v>Special Order0</v>
      </c>
      <c r="AU1671" s="64" t="str">
        <f t="shared" si="133"/>
        <v>01-1900</v>
      </c>
      <c r="BA1671" s="428" t="str">
        <f t="shared" si="134"/>
        <v/>
      </c>
    </row>
    <row r="1672" spans="2:53">
      <c r="B1672" s="36">
        <f>'[6]price list MAN'!B1672</f>
        <v>0</v>
      </c>
      <c r="C1672" s="10">
        <f>'[6]price list MAN'!C1672</f>
        <v>0</v>
      </c>
      <c r="D1672" s="16" t="str">
        <f>IFERROR(VLOOKUP(C1672&amp;"",'[7]Retail Price List'!$A$3:$B$103,2,FALSE),"Special Order")</f>
        <v>Special Order</v>
      </c>
      <c r="E1672" s="494">
        <f>'[6]price list MAN'!E1672</f>
        <v>0</v>
      </c>
      <c r="F1672" s="11">
        <f>'[6]price list MAN'!F1672</f>
        <v>0</v>
      </c>
      <c r="G1672" s="32">
        <f>'[6]price list MAN'!G1672</f>
        <v>0</v>
      </c>
      <c r="H1672" s="26">
        <f>'[6]price list MAN'!H1672</f>
        <v>0</v>
      </c>
      <c r="I1672" s="51" t="str">
        <f t="shared" si="130"/>
        <v/>
      </c>
      <c r="J1672" s="177" t="e">
        <f>'[6]price list MAN'!J1672</f>
        <v>#N/A</v>
      </c>
      <c r="K1672" s="177" t="e">
        <f>'[6]price list MAN'!P1672</f>
        <v>#N/A</v>
      </c>
      <c r="L1672" s="177" t="e">
        <f>'[6]price list MAN'!R1672</f>
        <v>#N/A</v>
      </c>
      <c r="M1672" s="174" t="e">
        <f>'[6]price list MAN'!S1672</f>
        <v>#N/A</v>
      </c>
      <c r="N1672" s="174" t="e">
        <f>'[6]price list MAN'!Y1672</f>
        <v>#N/A</v>
      </c>
      <c r="O1672" s="174" t="e">
        <f>'[6]price list MAN'!AA1672</f>
        <v>#N/A</v>
      </c>
      <c r="P1672" s="68" t="e">
        <f t="shared" si="131"/>
        <v>#N/A</v>
      </c>
      <c r="Q1672" s="62" t="e">
        <f>O1672-#REF!</f>
        <v>#N/A</v>
      </c>
      <c r="AT1672" s="425" t="str">
        <f t="shared" si="132"/>
        <v>Special Order0</v>
      </c>
      <c r="AU1672" s="64" t="str">
        <f t="shared" si="133"/>
        <v>01-1900</v>
      </c>
      <c r="BA1672" s="428" t="str">
        <f t="shared" si="134"/>
        <v/>
      </c>
    </row>
    <row r="1673" spans="2:53">
      <c r="B1673" s="36">
        <f>'[6]price list MAN'!B1673</f>
        <v>0</v>
      </c>
      <c r="C1673" s="10">
        <f>'[6]price list MAN'!C1673</f>
        <v>0</v>
      </c>
      <c r="D1673" s="16" t="str">
        <f>IFERROR(VLOOKUP(C1673&amp;"",'[7]Retail Price List'!$A$3:$B$103,2,FALSE),"Special Order")</f>
        <v>Special Order</v>
      </c>
      <c r="E1673" s="494">
        <f>'[6]price list MAN'!E1673</f>
        <v>0</v>
      </c>
      <c r="F1673" s="11">
        <f>'[6]price list MAN'!F1673</f>
        <v>0</v>
      </c>
      <c r="G1673" s="32">
        <f>'[6]price list MAN'!G1673</f>
        <v>0</v>
      </c>
      <c r="H1673" s="26">
        <f>'[6]price list MAN'!H1673</f>
        <v>0</v>
      </c>
      <c r="I1673" s="51" t="str">
        <f t="shared" si="130"/>
        <v/>
      </c>
      <c r="J1673" s="177" t="e">
        <f>'[6]price list MAN'!J1673</f>
        <v>#N/A</v>
      </c>
      <c r="K1673" s="177" t="e">
        <f>'[6]price list MAN'!P1673</f>
        <v>#N/A</v>
      </c>
      <c r="L1673" s="177" t="e">
        <f>'[6]price list MAN'!R1673</f>
        <v>#N/A</v>
      </c>
      <c r="M1673" s="174" t="e">
        <f>'[6]price list MAN'!S1673</f>
        <v>#N/A</v>
      </c>
      <c r="N1673" s="174" t="e">
        <f>'[6]price list MAN'!Y1673</f>
        <v>#N/A</v>
      </c>
      <c r="O1673" s="174" t="e">
        <f>'[6]price list MAN'!AA1673</f>
        <v>#N/A</v>
      </c>
      <c r="P1673" s="68" t="e">
        <f t="shared" si="131"/>
        <v>#N/A</v>
      </c>
      <c r="Q1673" s="62" t="e">
        <f>O1673-#REF!</f>
        <v>#N/A</v>
      </c>
      <c r="AT1673" s="425" t="str">
        <f t="shared" si="132"/>
        <v>Special Order0</v>
      </c>
      <c r="AU1673" s="64" t="str">
        <f t="shared" si="133"/>
        <v>01-1900</v>
      </c>
      <c r="BA1673" s="428" t="str">
        <f t="shared" si="134"/>
        <v/>
      </c>
    </row>
    <row r="1674" spans="2:53">
      <c r="B1674" s="36">
        <f>'[6]price list MAN'!B1674</f>
        <v>0</v>
      </c>
      <c r="C1674" s="10">
        <f>'[6]price list MAN'!C1674</f>
        <v>0</v>
      </c>
      <c r="D1674" s="16" t="str">
        <f>IFERROR(VLOOKUP(C1674&amp;"",'[7]Retail Price List'!$A$3:$B$103,2,FALSE),"Special Order")</f>
        <v>Special Order</v>
      </c>
      <c r="E1674" s="494">
        <f>'[6]price list MAN'!E1674</f>
        <v>0</v>
      </c>
      <c r="F1674" s="11">
        <f>'[6]price list MAN'!F1674</f>
        <v>0</v>
      </c>
      <c r="G1674" s="32">
        <f>'[6]price list MAN'!G1674</f>
        <v>0</v>
      </c>
      <c r="H1674" s="26">
        <f>'[6]price list MAN'!H1674</f>
        <v>0</v>
      </c>
      <c r="I1674" s="51" t="str">
        <f t="shared" si="130"/>
        <v/>
      </c>
      <c r="J1674" s="177" t="e">
        <f>'[6]price list MAN'!J1674</f>
        <v>#N/A</v>
      </c>
      <c r="K1674" s="177" t="e">
        <f>'[6]price list MAN'!P1674</f>
        <v>#N/A</v>
      </c>
      <c r="L1674" s="177" t="e">
        <f>'[6]price list MAN'!R1674</f>
        <v>#N/A</v>
      </c>
      <c r="M1674" s="174" t="e">
        <f>'[6]price list MAN'!S1674</f>
        <v>#N/A</v>
      </c>
      <c r="N1674" s="174" t="e">
        <f>'[6]price list MAN'!Y1674</f>
        <v>#N/A</v>
      </c>
      <c r="O1674" s="174" t="e">
        <f>'[6]price list MAN'!AA1674</f>
        <v>#N/A</v>
      </c>
      <c r="P1674" s="68" t="e">
        <f t="shared" si="131"/>
        <v>#N/A</v>
      </c>
      <c r="Q1674" s="62" t="e">
        <f>O1674-#REF!</f>
        <v>#N/A</v>
      </c>
      <c r="AT1674" s="425" t="str">
        <f t="shared" si="132"/>
        <v>Special Order0</v>
      </c>
      <c r="AU1674" s="64" t="str">
        <f t="shared" si="133"/>
        <v>01-1900</v>
      </c>
      <c r="BA1674" s="428" t="str">
        <f t="shared" si="134"/>
        <v/>
      </c>
    </row>
    <row r="1675" spans="2:53">
      <c r="B1675" s="36">
        <f>'[6]price list MAN'!B1675</f>
        <v>0</v>
      </c>
      <c r="C1675" s="10">
        <f>'[6]price list MAN'!C1675</f>
        <v>0</v>
      </c>
      <c r="D1675" s="16" t="str">
        <f>IFERROR(VLOOKUP(C1675&amp;"",'[7]Retail Price List'!$A$3:$B$103,2,FALSE),"Special Order")</f>
        <v>Special Order</v>
      </c>
      <c r="E1675" s="494">
        <f>'[6]price list MAN'!E1675</f>
        <v>0</v>
      </c>
      <c r="F1675" s="11">
        <f>'[6]price list MAN'!F1675</f>
        <v>0</v>
      </c>
      <c r="G1675" s="32">
        <f>'[6]price list MAN'!G1675</f>
        <v>0</v>
      </c>
      <c r="H1675" s="26">
        <f>'[6]price list MAN'!H1675</f>
        <v>0</v>
      </c>
      <c r="I1675" s="51" t="str">
        <f t="shared" si="130"/>
        <v/>
      </c>
      <c r="J1675" s="177" t="e">
        <f>'[6]price list MAN'!J1675</f>
        <v>#N/A</v>
      </c>
      <c r="K1675" s="177" t="e">
        <f>'[6]price list MAN'!P1675</f>
        <v>#N/A</v>
      </c>
      <c r="L1675" s="177" t="e">
        <f>'[6]price list MAN'!R1675</f>
        <v>#N/A</v>
      </c>
      <c r="M1675" s="174" t="e">
        <f>'[6]price list MAN'!S1675</f>
        <v>#N/A</v>
      </c>
      <c r="N1675" s="174" t="e">
        <f>'[6]price list MAN'!Y1675</f>
        <v>#N/A</v>
      </c>
      <c r="O1675" s="174" t="e">
        <f>'[6]price list MAN'!AA1675</f>
        <v>#N/A</v>
      </c>
      <c r="P1675" s="68" t="e">
        <f t="shared" si="131"/>
        <v>#N/A</v>
      </c>
      <c r="Q1675" s="62" t="e">
        <f>O1675-#REF!</f>
        <v>#N/A</v>
      </c>
      <c r="AT1675" s="425" t="str">
        <f t="shared" si="132"/>
        <v>Special Order0</v>
      </c>
      <c r="AU1675" s="64" t="str">
        <f t="shared" si="133"/>
        <v>01-1900</v>
      </c>
      <c r="BA1675" s="428" t="str">
        <f t="shared" si="134"/>
        <v/>
      </c>
    </row>
    <row r="1676" spans="2:53">
      <c r="B1676" s="36">
        <f>'[6]price list MAN'!B1676</f>
        <v>0</v>
      </c>
      <c r="C1676" s="10">
        <f>'[6]price list MAN'!C1676</f>
        <v>0</v>
      </c>
      <c r="D1676" s="16" t="str">
        <f>IFERROR(VLOOKUP(C1676&amp;"",'[7]Retail Price List'!$A$3:$B$103,2,FALSE),"Special Order")</f>
        <v>Special Order</v>
      </c>
      <c r="E1676" s="494">
        <f>'[6]price list MAN'!E1676</f>
        <v>0</v>
      </c>
      <c r="F1676" s="11">
        <f>'[6]price list MAN'!F1676</f>
        <v>0</v>
      </c>
      <c r="G1676" s="32">
        <f>'[6]price list MAN'!G1676</f>
        <v>0</v>
      </c>
      <c r="H1676" s="26">
        <f>'[6]price list MAN'!H1676</f>
        <v>0</v>
      </c>
      <c r="I1676" s="51" t="str">
        <f t="shared" si="130"/>
        <v/>
      </c>
      <c r="J1676" s="177" t="e">
        <f>'[6]price list MAN'!J1676</f>
        <v>#N/A</v>
      </c>
      <c r="K1676" s="177" t="e">
        <f>'[6]price list MAN'!P1676</f>
        <v>#N/A</v>
      </c>
      <c r="L1676" s="177" t="e">
        <f>'[6]price list MAN'!R1676</f>
        <v>#N/A</v>
      </c>
      <c r="M1676" s="174" t="e">
        <f>'[6]price list MAN'!S1676</f>
        <v>#N/A</v>
      </c>
      <c r="N1676" s="174" t="e">
        <f>'[6]price list MAN'!Y1676</f>
        <v>#N/A</v>
      </c>
      <c r="O1676" s="174" t="e">
        <f>'[6]price list MAN'!AA1676</f>
        <v>#N/A</v>
      </c>
      <c r="P1676" s="68" t="e">
        <f t="shared" si="131"/>
        <v>#N/A</v>
      </c>
      <c r="Q1676" s="62" t="e">
        <f>O1676-#REF!</f>
        <v>#N/A</v>
      </c>
      <c r="AT1676" s="425" t="str">
        <f t="shared" si="132"/>
        <v>Special Order0</v>
      </c>
      <c r="AU1676" s="64" t="str">
        <f t="shared" si="133"/>
        <v>01-1900</v>
      </c>
      <c r="BA1676" s="428" t="str">
        <f t="shared" si="134"/>
        <v/>
      </c>
    </row>
    <row r="1677" spans="2:53">
      <c r="B1677" s="36">
        <f>'[6]price list MAN'!B1677</f>
        <v>0</v>
      </c>
      <c r="C1677" s="10">
        <f>'[6]price list MAN'!C1677</f>
        <v>0</v>
      </c>
      <c r="D1677" s="16" t="str">
        <f>IFERROR(VLOOKUP(C1677&amp;"",'[7]Retail Price List'!$A$3:$B$103,2,FALSE),"Special Order")</f>
        <v>Special Order</v>
      </c>
      <c r="E1677" s="494">
        <f>'[6]price list MAN'!E1677</f>
        <v>0</v>
      </c>
      <c r="F1677" s="11">
        <f>'[6]price list MAN'!F1677</f>
        <v>0</v>
      </c>
      <c r="G1677" s="32">
        <f>'[6]price list MAN'!G1677</f>
        <v>0</v>
      </c>
      <c r="H1677" s="26">
        <f>'[6]price list MAN'!H1677</f>
        <v>0</v>
      </c>
      <c r="I1677" s="51" t="str">
        <f t="shared" si="130"/>
        <v/>
      </c>
      <c r="J1677" s="177" t="e">
        <f>'[6]price list MAN'!J1677</f>
        <v>#N/A</v>
      </c>
      <c r="K1677" s="177" t="e">
        <f>'[6]price list MAN'!P1677</f>
        <v>#N/A</v>
      </c>
      <c r="L1677" s="177" t="e">
        <f>'[6]price list MAN'!R1677</f>
        <v>#N/A</v>
      </c>
      <c r="M1677" s="174" t="e">
        <f>'[6]price list MAN'!S1677</f>
        <v>#N/A</v>
      </c>
      <c r="N1677" s="174" t="e">
        <f>'[6]price list MAN'!Y1677</f>
        <v>#N/A</v>
      </c>
      <c r="O1677" s="174" t="e">
        <f>'[6]price list MAN'!AA1677</f>
        <v>#N/A</v>
      </c>
      <c r="P1677" s="68" t="e">
        <f t="shared" si="131"/>
        <v>#N/A</v>
      </c>
      <c r="Q1677" s="62" t="e">
        <f>O1677-#REF!</f>
        <v>#N/A</v>
      </c>
      <c r="AT1677" s="425" t="str">
        <f t="shared" si="132"/>
        <v>Special Order0</v>
      </c>
      <c r="AU1677" s="64" t="str">
        <f t="shared" si="133"/>
        <v>01-1900</v>
      </c>
      <c r="BA1677" s="428" t="str">
        <f t="shared" si="134"/>
        <v/>
      </c>
    </row>
    <row r="1678" spans="2:53">
      <c r="B1678" s="36">
        <f>'[6]price list MAN'!B1678</f>
        <v>0</v>
      </c>
      <c r="C1678" s="10">
        <f>'[6]price list MAN'!C1678</f>
        <v>0</v>
      </c>
      <c r="D1678" s="16" t="str">
        <f>IFERROR(VLOOKUP(C1678&amp;"",'[7]Retail Price List'!$A$3:$B$103,2,FALSE),"Special Order")</f>
        <v>Special Order</v>
      </c>
      <c r="E1678" s="494">
        <f>'[6]price list MAN'!E1678</f>
        <v>0</v>
      </c>
      <c r="F1678" s="11">
        <f>'[6]price list MAN'!F1678</f>
        <v>0</v>
      </c>
      <c r="G1678" s="32">
        <f>'[6]price list MAN'!G1678</f>
        <v>0</v>
      </c>
      <c r="H1678" s="26">
        <f>'[6]price list MAN'!H1678</f>
        <v>0</v>
      </c>
      <c r="I1678" s="51" t="str">
        <f t="shared" si="130"/>
        <v/>
      </c>
      <c r="J1678" s="177" t="e">
        <f>'[6]price list MAN'!J1678</f>
        <v>#N/A</v>
      </c>
      <c r="K1678" s="177" t="e">
        <f>'[6]price list MAN'!P1678</f>
        <v>#N/A</v>
      </c>
      <c r="L1678" s="177" t="e">
        <f>'[6]price list MAN'!R1678</f>
        <v>#N/A</v>
      </c>
      <c r="M1678" s="174" t="e">
        <f>'[6]price list MAN'!S1678</f>
        <v>#N/A</v>
      </c>
      <c r="N1678" s="174" t="e">
        <f>'[6]price list MAN'!Y1678</f>
        <v>#N/A</v>
      </c>
      <c r="O1678" s="174" t="e">
        <f>'[6]price list MAN'!AA1678</f>
        <v>#N/A</v>
      </c>
      <c r="P1678" s="68" t="e">
        <f t="shared" si="131"/>
        <v>#N/A</v>
      </c>
      <c r="Q1678" s="62" t="e">
        <f>O1678-#REF!</f>
        <v>#N/A</v>
      </c>
      <c r="AT1678" s="425" t="str">
        <f t="shared" si="132"/>
        <v>Special Order0</v>
      </c>
      <c r="AU1678" s="64" t="str">
        <f t="shared" si="133"/>
        <v>01-1900</v>
      </c>
      <c r="BA1678" s="428" t="str">
        <f t="shared" si="134"/>
        <v/>
      </c>
    </row>
    <row r="1679" spans="2:53">
      <c r="B1679" s="36">
        <f>'[6]price list MAN'!B1679</f>
        <v>0</v>
      </c>
      <c r="C1679" s="10">
        <f>'[6]price list MAN'!C1679</f>
        <v>0</v>
      </c>
      <c r="D1679" s="16" t="str">
        <f>IFERROR(VLOOKUP(C1679&amp;"",'[7]Retail Price List'!$A$3:$B$103,2,FALSE),"Special Order")</f>
        <v>Special Order</v>
      </c>
      <c r="E1679" s="494">
        <f>'[6]price list MAN'!E1679</f>
        <v>0</v>
      </c>
      <c r="F1679" s="11">
        <f>'[6]price list MAN'!F1679</f>
        <v>0</v>
      </c>
      <c r="G1679" s="32">
        <f>'[6]price list MAN'!G1679</f>
        <v>0</v>
      </c>
      <c r="H1679" s="26">
        <f>'[6]price list MAN'!H1679</f>
        <v>0</v>
      </c>
      <c r="I1679" s="51" t="str">
        <f t="shared" si="130"/>
        <v/>
      </c>
      <c r="J1679" s="177" t="e">
        <f>'[6]price list MAN'!J1679</f>
        <v>#N/A</v>
      </c>
      <c r="K1679" s="177" t="e">
        <f>'[6]price list MAN'!P1679</f>
        <v>#N/A</v>
      </c>
      <c r="L1679" s="177" t="e">
        <f>'[6]price list MAN'!R1679</f>
        <v>#N/A</v>
      </c>
      <c r="M1679" s="174" t="e">
        <f>'[6]price list MAN'!S1679</f>
        <v>#N/A</v>
      </c>
      <c r="N1679" s="174" t="e">
        <f>'[6]price list MAN'!Y1679</f>
        <v>#N/A</v>
      </c>
      <c r="O1679" s="174" t="e">
        <f>'[6]price list MAN'!AA1679</f>
        <v>#N/A</v>
      </c>
      <c r="P1679" s="68" t="e">
        <f t="shared" si="131"/>
        <v>#N/A</v>
      </c>
      <c r="Q1679" s="62" t="e">
        <f>O1679-#REF!</f>
        <v>#N/A</v>
      </c>
      <c r="AT1679" s="425" t="str">
        <f t="shared" si="132"/>
        <v>Special Order0</v>
      </c>
      <c r="AU1679" s="64" t="str">
        <f t="shared" si="133"/>
        <v>01-1900</v>
      </c>
      <c r="BA1679" s="428" t="str">
        <f t="shared" si="134"/>
        <v/>
      </c>
    </row>
    <row r="1680" spans="2:53">
      <c r="B1680" s="36">
        <f>'[6]price list MAN'!B1680</f>
        <v>0</v>
      </c>
      <c r="C1680" s="10">
        <f>'[6]price list MAN'!C1680</f>
        <v>0</v>
      </c>
      <c r="D1680" s="16" t="str">
        <f>IFERROR(VLOOKUP(C1680&amp;"",'[7]Retail Price List'!$A$3:$B$103,2,FALSE),"Special Order")</f>
        <v>Special Order</v>
      </c>
      <c r="E1680" s="494">
        <f>'[6]price list MAN'!E1680</f>
        <v>0</v>
      </c>
      <c r="F1680" s="11">
        <f>'[6]price list MAN'!F1680</f>
        <v>0</v>
      </c>
      <c r="G1680" s="32">
        <f>'[6]price list MAN'!G1680</f>
        <v>0</v>
      </c>
      <c r="H1680" s="26">
        <f>'[6]price list MAN'!H1680</f>
        <v>0</v>
      </c>
      <c r="I1680" s="51" t="str">
        <f t="shared" si="130"/>
        <v/>
      </c>
      <c r="J1680" s="177" t="e">
        <f>'[6]price list MAN'!J1680</f>
        <v>#N/A</v>
      </c>
      <c r="K1680" s="177" t="e">
        <f>'[6]price list MAN'!P1680</f>
        <v>#N/A</v>
      </c>
      <c r="L1680" s="177" t="e">
        <f>'[6]price list MAN'!R1680</f>
        <v>#N/A</v>
      </c>
      <c r="M1680" s="174" t="e">
        <f>'[6]price list MAN'!S1680</f>
        <v>#N/A</v>
      </c>
      <c r="N1680" s="174" t="e">
        <f>'[6]price list MAN'!Y1680</f>
        <v>#N/A</v>
      </c>
      <c r="O1680" s="174" t="e">
        <f>'[6]price list MAN'!AA1680</f>
        <v>#N/A</v>
      </c>
      <c r="P1680" s="68" t="e">
        <f t="shared" si="131"/>
        <v>#N/A</v>
      </c>
      <c r="Q1680" s="62" t="e">
        <f>O1680-#REF!</f>
        <v>#N/A</v>
      </c>
      <c r="AT1680" s="425" t="str">
        <f t="shared" si="132"/>
        <v>Special Order0</v>
      </c>
      <c r="AU1680" s="64" t="str">
        <f t="shared" si="133"/>
        <v>01-1900</v>
      </c>
      <c r="BA1680" s="428" t="str">
        <f t="shared" si="134"/>
        <v/>
      </c>
    </row>
    <row r="1681" spans="2:53">
      <c r="B1681" s="36">
        <f>'[6]price list MAN'!B1681</f>
        <v>0</v>
      </c>
      <c r="C1681" s="10">
        <f>'[6]price list MAN'!C1681</f>
        <v>0</v>
      </c>
      <c r="D1681" s="16" t="str">
        <f>IFERROR(VLOOKUP(C1681&amp;"",'[7]Retail Price List'!$A$3:$B$103,2,FALSE),"Special Order")</f>
        <v>Special Order</v>
      </c>
      <c r="E1681" s="494">
        <f>'[6]price list MAN'!E1681</f>
        <v>0</v>
      </c>
      <c r="F1681" s="11">
        <f>'[6]price list MAN'!F1681</f>
        <v>0</v>
      </c>
      <c r="G1681" s="32">
        <f>'[6]price list MAN'!G1681</f>
        <v>0</v>
      </c>
      <c r="H1681" s="26">
        <f>'[6]price list MAN'!H1681</f>
        <v>0</v>
      </c>
      <c r="I1681" s="51" t="str">
        <f t="shared" si="130"/>
        <v/>
      </c>
      <c r="J1681" s="177" t="e">
        <f>'[6]price list MAN'!J1681</f>
        <v>#N/A</v>
      </c>
      <c r="K1681" s="177" t="e">
        <f>'[6]price list MAN'!P1681</f>
        <v>#N/A</v>
      </c>
      <c r="L1681" s="177" t="e">
        <f>'[6]price list MAN'!R1681</f>
        <v>#N/A</v>
      </c>
      <c r="M1681" s="174" t="e">
        <f>'[6]price list MAN'!S1681</f>
        <v>#N/A</v>
      </c>
      <c r="N1681" s="174" t="e">
        <f>'[6]price list MAN'!Y1681</f>
        <v>#N/A</v>
      </c>
      <c r="O1681" s="174" t="e">
        <f>'[6]price list MAN'!AA1681</f>
        <v>#N/A</v>
      </c>
      <c r="P1681" s="68" t="e">
        <f t="shared" si="131"/>
        <v>#N/A</v>
      </c>
      <c r="Q1681" s="62" t="e">
        <f>O1681-#REF!</f>
        <v>#N/A</v>
      </c>
      <c r="AT1681" s="425" t="str">
        <f t="shared" si="132"/>
        <v>Special Order0</v>
      </c>
      <c r="AU1681" s="64" t="str">
        <f t="shared" si="133"/>
        <v>01-1900</v>
      </c>
      <c r="BA1681" s="428" t="str">
        <f t="shared" si="134"/>
        <v/>
      </c>
    </row>
    <row r="1682" spans="2:53">
      <c r="B1682" s="36">
        <f>'[6]price list MAN'!B1682</f>
        <v>0</v>
      </c>
      <c r="C1682" s="10">
        <f>'[6]price list MAN'!C1682</f>
        <v>0</v>
      </c>
      <c r="D1682" s="16" t="str">
        <f>IFERROR(VLOOKUP(C1682&amp;"",'[7]Retail Price List'!$A$3:$B$103,2,FALSE),"Special Order")</f>
        <v>Special Order</v>
      </c>
      <c r="E1682" s="494">
        <f>'[6]price list MAN'!E1682</f>
        <v>0</v>
      </c>
      <c r="F1682" s="11">
        <f>'[6]price list MAN'!F1682</f>
        <v>0</v>
      </c>
      <c r="G1682" s="32">
        <f>'[6]price list MAN'!G1682</f>
        <v>0</v>
      </c>
      <c r="H1682" s="26">
        <f>'[6]price list MAN'!H1682</f>
        <v>0</v>
      </c>
      <c r="I1682" s="51" t="str">
        <f t="shared" si="130"/>
        <v/>
      </c>
      <c r="J1682" s="177" t="e">
        <f>'[6]price list MAN'!J1682</f>
        <v>#N/A</v>
      </c>
      <c r="K1682" s="177" t="e">
        <f>'[6]price list MAN'!P1682</f>
        <v>#N/A</v>
      </c>
      <c r="L1682" s="177" t="e">
        <f>'[6]price list MAN'!R1682</f>
        <v>#N/A</v>
      </c>
      <c r="M1682" s="174" t="e">
        <f>'[6]price list MAN'!S1682</f>
        <v>#N/A</v>
      </c>
      <c r="N1682" s="174" t="e">
        <f>'[6]price list MAN'!Y1682</f>
        <v>#N/A</v>
      </c>
      <c r="O1682" s="174" t="e">
        <f>'[6]price list MAN'!AA1682</f>
        <v>#N/A</v>
      </c>
      <c r="P1682" s="68" t="e">
        <f t="shared" si="131"/>
        <v>#N/A</v>
      </c>
      <c r="Q1682" s="62" t="e">
        <f>O1682-#REF!</f>
        <v>#N/A</v>
      </c>
      <c r="AT1682" s="425" t="str">
        <f t="shared" si="132"/>
        <v>Special Order0</v>
      </c>
      <c r="AU1682" s="64" t="str">
        <f t="shared" si="133"/>
        <v>01-1900</v>
      </c>
      <c r="BA1682" s="428" t="str">
        <f t="shared" si="134"/>
        <v/>
      </c>
    </row>
    <row r="1683" spans="2:53">
      <c r="B1683" s="36">
        <f>'[6]price list MAN'!B1683</f>
        <v>0</v>
      </c>
      <c r="C1683" s="10">
        <f>'[6]price list MAN'!C1683</f>
        <v>0</v>
      </c>
      <c r="D1683" s="16" t="str">
        <f>IFERROR(VLOOKUP(C1683&amp;"",'[7]Retail Price List'!$A$3:$B$103,2,FALSE),"Special Order")</f>
        <v>Special Order</v>
      </c>
      <c r="E1683" s="494">
        <f>'[6]price list MAN'!E1683</f>
        <v>0</v>
      </c>
      <c r="F1683" s="11">
        <f>'[6]price list MAN'!F1683</f>
        <v>0</v>
      </c>
      <c r="G1683" s="32">
        <f>'[6]price list MAN'!G1683</f>
        <v>0</v>
      </c>
      <c r="H1683" s="26">
        <f>'[6]price list MAN'!H1683</f>
        <v>0</v>
      </c>
      <c r="I1683" s="51" t="str">
        <f t="shared" si="130"/>
        <v/>
      </c>
      <c r="J1683" s="177" t="e">
        <f>'[6]price list MAN'!J1683</f>
        <v>#N/A</v>
      </c>
      <c r="K1683" s="177" t="e">
        <f>'[6]price list MAN'!P1683</f>
        <v>#N/A</v>
      </c>
      <c r="L1683" s="177" t="e">
        <f>'[6]price list MAN'!R1683</f>
        <v>#N/A</v>
      </c>
      <c r="M1683" s="174" t="e">
        <f>'[6]price list MAN'!S1683</f>
        <v>#N/A</v>
      </c>
      <c r="N1683" s="174" t="e">
        <f>'[6]price list MAN'!Y1683</f>
        <v>#N/A</v>
      </c>
      <c r="O1683" s="174" t="e">
        <f>'[6]price list MAN'!AA1683</f>
        <v>#N/A</v>
      </c>
      <c r="P1683" s="68" t="e">
        <f t="shared" si="131"/>
        <v>#N/A</v>
      </c>
      <c r="Q1683" s="62" t="e">
        <f>O1683-#REF!</f>
        <v>#N/A</v>
      </c>
      <c r="AT1683" s="425" t="str">
        <f t="shared" si="132"/>
        <v>Special Order0</v>
      </c>
      <c r="AU1683" s="64" t="str">
        <f t="shared" si="133"/>
        <v>01-1900</v>
      </c>
      <c r="BA1683" s="428" t="str">
        <f t="shared" si="134"/>
        <v/>
      </c>
    </row>
    <row r="1684" spans="2:53">
      <c r="B1684" s="36">
        <f>'[6]price list MAN'!B1684</f>
        <v>0</v>
      </c>
      <c r="C1684" s="10">
        <f>'[6]price list MAN'!C1684</f>
        <v>0</v>
      </c>
      <c r="D1684" s="16" t="str">
        <f>IFERROR(VLOOKUP(C1684&amp;"",'[7]Retail Price List'!$A$3:$B$103,2,FALSE),"Special Order")</f>
        <v>Special Order</v>
      </c>
      <c r="E1684" s="494">
        <f>'[6]price list MAN'!E1684</f>
        <v>0</v>
      </c>
      <c r="F1684" s="11">
        <f>'[6]price list MAN'!F1684</f>
        <v>0</v>
      </c>
      <c r="G1684" s="32">
        <f>'[6]price list MAN'!G1684</f>
        <v>0</v>
      </c>
      <c r="H1684" s="26">
        <f>'[6]price list MAN'!H1684</f>
        <v>0</v>
      </c>
      <c r="I1684" s="51" t="str">
        <f t="shared" si="130"/>
        <v/>
      </c>
      <c r="J1684" s="177" t="e">
        <f>'[6]price list MAN'!J1684</f>
        <v>#N/A</v>
      </c>
      <c r="K1684" s="177" t="e">
        <f>'[6]price list MAN'!P1684</f>
        <v>#N/A</v>
      </c>
      <c r="L1684" s="177" t="e">
        <f>'[6]price list MAN'!R1684</f>
        <v>#N/A</v>
      </c>
      <c r="M1684" s="174" t="e">
        <f>'[6]price list MAN'!S1684</f>
        <v>#N/A</v>
      </c>
      <c r="N1684" s="174" t="e">
        <f>'[6]price list MAN'!Y1684</f>
        <v>#N/A</v>
      </c>
      <c r="O1684" s="174" t="e">
        <f>'[6]price list MAN'!AA1684</f>
        <v>#N/A</v>
      </c>
      <c r="P1684" s="68" t="e">
        <f t="shared" si="131"/>
        <v>#N/A</v>
      </c>
      <c r="Q1684" s="62" t="e">
        <f>O1684-#REF!</f>
        <v>#N/A</v>
      </c>
      <c r="AT1684" s="425" t="str">
        <f t="shared" si="132"/>
        <v>Special Order0</v>
      </c>
      <c r="AU1684" s="64" t="str">
        <f t="shared" si="133"/>
        <v>01-1900</v>
      </c>
      <c r="BA1684" s="428" t="str">
        <f t="shared" si="134"/>
        <v/>
      </c>
    </row>
    <row r="1685" spans="2:53">
      <c r="B1685" s="36">
        <f>'[6]price list MAN'!B1685</f>
        <v>0</v>
      </c>
      <c r="C1685" s="10">
        <f>'[6]price list MAN'!C1685</f>
        <v>0</v>
      </c>
      <c r="D1685" s="16" t="str">
        <f>IFERROR(VLOOKUP(C1685&amp;"",'[7]Retail Price List'!$A$3:$B$103,2,FALSE),"Special Order")</f>
        <v>Special Order</v>
      </c>
      <c r="E1685" s="494">
        <f>'[6]price list MAN'!E1685</f>
        <v>0</v>
      </c>
      <c r="F1685" s="11">
        <f>'[6]price list MAN'!F1685</f>
        <v>0</v>
      </c>
      <c r="G1685" s="32">
        <f>'[6]price list MAN'!G1685</f>
        <v>0</v>
      </c>
      <c r="H1685" s="26">
        <f>'[6]price list MAN'!H1685</f>
        <v>0</v>
      </c>
      <c r="I1685" s="51" t="str">
        <f t="shared" si="130"/>
        <v/>
      </c>
      <c r="J1685" s="177" t="e">
        <f>'[6]price list MAN'!J1685</f>
        <v>#N/A</v>
      </c>
      <c r="K1685" s="177" t="e">
        <f>'[6]price list MAN'!P1685</f>
        <v>#N/A</v>
      </c>
      <c r="L1685" s="177" t="e">
        <f>'[6]price list MAN'!R1685</f>
        <v>#N/A</v>
      </c>
      <c r="M1685" s="174" t="e">
        <f>'[6]price list MAN'!S1685</f>
        <v>#N/A</v>
      </c>
      <c r="N1685" s="174" t="e">
        <f>'[6]price list MAN'!Y1685</f>
        <v>#N/A</v>
      </c>
      <c r="O1685" s="174" t="e">
        <f>'[6]price list MAN'!AA1685</f>
        <v>#N/A</v>
      </c>
      <c r="P1685" s="68" t="e">
        <f t="shared" si="131"/>
        <v>#N/A</v>
      </c>
      <c r="Q1685" s="62" t="e">
        <f>O1685-#REF!</f>
        <v>#N/A</v>
      </c>
      <c r="AT1685" s="425" t="str">
        <f t="shared" si="132"/>
        <v>Special Order0</v>
      </c>
      <c r="AU1685" s="64" t="str">
        <f t="shared" si="133"/>
        <v>01-1900</v>
      </c>
      <c r="BA1685" s="428" t="str">
        <f t="shared" si="134"/>
        <v/>
      </c>
    </row>
    <row r="1686" spans="2:53">
      <c r="B1686" s="36">
        <f>'[6]price list MAN'!B1686</f>
        <v>0</v>
      </c>
      <c r="C1686" s="10">
        <f>'[6]price list MAN'!C1686</f>
        <v>0</v>
      </c>
      <c r="D1686" s="16" t="str">
        <f>IFERROR(VLOOKUP(C1686&amp;"",'[7]Retail Price List'!$A$3:$B$103,2,FALSE),"Special Order")</f>
        <v>Special Order</v>
      </c>
      <c r="E1686" s="494">
        <f>'[6]price list MAN'!E1686</f>
        <v>0</v>
      </c>
      <c r="F1686" s="11">
        <f>'[6]price list MAN'!F1686</f>
        <v>0</v>
      </c>
      <c r="G1686" s="32">
        <f>'[6]price list MAN'!G1686</f>
        <v>0</v>
      </c>
      <c r="H1686" s="26">
        <f>'[6]price list MAN'!H1686</f>
        <v>0</v>
      </c>
      <c r="I1686" s="51" t="str">
        <f t="shared" si="130"/>
        <v/>
      </c>
      <c r="J1686" s="177" t="e">
        <f>'[6]price list MAN'!J1686</f>
        <v>#N/A</v>
      </c>
      <c r="K1686" s="177" t="e">
        <f>'[6]price list MAN'!P1686</f>
        <v>#N/A</v>
      </c>
      <c r="L1686" s="177" t="e">
        <f>'[6]price list MAN'!R1686</f>
        <v>#N/A</v>
      </c>
      <c r="M1686" s="174" t="e">
        <f>'[6]price list MAN'!S1686</f>
        <v>#N/A</v>
      </c>
      <c r="N1686" s="174" t="e">
        <f>'[6]price list MAN'!Y1686</f>
        <v>#N/A</v>
      </c>
      <c r="O1686" s="174" t="e">
        <f>'[6]price list MAN'!AA1686</f>
        <v>#N/A</v>
      </c>
      <c r="P1686" s="68" t="e">
        <f t="shared" si="131"/>
        <v>#N/A</v>
      </c>
      <c r="Q1686" s="62" t="e">
        <f>O1686-#REF!</f>
        <v>#N/A</v>
      </c>
      <c r="AT1686" s="425" t="str">
        <f t="shared" si="132"/>
        <v>Special Order0</v>
      </c>
      <c r="AU1686" s="64" t="str">
        <f t="shared" si="133"/>
        <v>01-1900</v>
      </c>
      <c r="BA1686" s="428" t="str">
        <f t="shared" si="134"/>
        <v/>
      </c>
    </row>
    <row r="1687" spans="2:53">
      <c r="B1687" s="36">
        <f>'[6]price list MAN'!B1687</f>
        <v>0</v>
      </c>
      <c r="C1687" s="10">
        <f>'[6]price list MAN'!C1687</f>
        <v>0</v>
      </c>
      <c r="D1687" s="16" t="str">
        <f>IFERROR(VLOOKUP(C1687&amp;"",'[7]Retail Price List'!$A$3:$B$103,2,FALSE),"Special Order")</f>
        <v>Special Order</v>
      </c>
      <c r="E1687" s="494">
        <f>'[6]price list MAN'!E1687</f>
        <v>0</v>
      </c>
      <c r="F1687" s="11">
        <f>'[6]price list MAN'!F1687</f>
        <v>0</v>
      </c>
      <c r="G1687" s="32">
        <f>'[6]price list MAN'!G1687</f>
        <v>0</v>
      </c>
      <c r="H1687" s="26">
        <f>'[6]price list MAN'!H1687</f>
        <v>0</v>
      </c>
      <c r="I1687" s="51" t="str">
        <f t="shared" si="130"/>
        <v/>
      </c>
      <c r="J1687" s="177" t="e">
        <f>'[6]price list MAN'!J1687</f>
        <v>#N/A</v>
      </c>
      <c r="K1687" s="177" t="e">
        <f>'[6]price list MAN'!P1687</f>
        <v>#N/A</v>
      </c>
      <c r="L1687" s="177" t="e">
        <f>'[6]price list MAN'!R1687</f>
        <v>#N/A</v>
      </c>
      <c r="M1687" s="174" t="e">
        <f>'[6]price list MAN'!S1687</f>
        <v>#N/A</v>
      </c>
      <c r="N1687" s="174" t="e">
        <f>'[6]price list MAN'!Y1687</f>
        <v>#N/A</v>
      </c>
      <c r="O1687" s="174" t="e">
        <f>'[6]price list MAN'!AA1687</f>
        <v>#N/A</v>
      </c>
      <c r="P1687" s="68" t="e">
        <f t="shared" si="131"/>
        <v>#N/A</v>
      </c>
      <c r="Q1687" s="62" t="e">
        <f>O1687-#REF!</f>
        <v>#N/A</v>
      </c>
      <c r="AT1687" s="425" t="str">
        <f t="shared" si="132"/>
        <v>Special Order0</v>
      </c>
      <c r="AU1687" s="64" t="str">
        <f t="shared" si="133"/>
        <v>01-1900</v>
      </c>
      <c r="BA1687" s="428" t="str">
        <f t="shared" si="134"/>
        <v/>
      </c>
    </row>
    <row r="1688" spans="2:53">
      <c r="B1688" s="36">
        <f>'[6]price list MAN'!B1688</f>
        <v>0</v>
      </c>
      <c r="C1688" s="10">
        <f>'[6]price list MAN'!C1688</f>
        <v>0</v>
      </c>
      <c r="D1688" s="16" t="str">
        <f>IFERROR(VLOOKUP(C1688&amp;"",'[7]Retail Price List'!$A$3:$B$103,2,FALSE),"Special Order")</f>
        <v>Special Order</v>
      </c>
      <c r="E1688" s="494">
        <f>'[6]price list MAN'!E1688</f>
        <v>0</v>
      </c>
      <c r="F1688" s="11">
        <f>'[6]price list MAN'!F1688</f>
        <v>0</v>
      </c>
      <c r="G1688" s="32">
        <f>'[6]price list MAN'!G1688</f>
        <v>0</v>
      </c>
      <c r="H1688" s="26">
        <f>'[6]price list MAN'!H1688</f>
        <v>0</v>
      </c>
      <c r="I1688" s="51" t="str">
        <f t="shared" si="130"/>
        <v/>
      </c>
      <c r="J1688" s="177" t="e">
        <f>'[6]price list MAN'!J1688</f>
        <v>#N/A</v>
      </c>
      <c r="K1688" s="177" t="e">
        <f>'[6]price list MAN'!P1688</f>
        <v>#N/A</v>
      </c>
      <c r="L1688" s="177" t="e">
        <f>'[6]price list MAN'!R1688</f>
        <v>#N/A</v>
      </c>
      <c r="M1688" s="174" t="e">
        <f>'[6]price list MAN'!S1688</f>
        <v>#N/A</v>
      </c>
      <c r="N1688" s="174" t="e">
        <f>'[6]price list MAN'!Y1688</f>
        <v>#N/A</v>
      </c>
      <c r="O1688" s="174" t="e">
        <f>'[6]price list MAN'!AA1688</f>
        <v>#N/A</v>
      </c>
      <c r="P1688" s="68" t="e">
        <f t="shared" si="131"/>
        <v>#N/A</v>
      </c>
      <c r="Q1688" s="62" t="e">
        <f>O1688-#REF!</f>
        <v>#N/A</v>
      </c>
      <c r="AT1688" s="425" t="str">
        <f t="shared" si="132"/>
        <v>Special Order0</v>
      </c>
      <c r="AU1688" s="64" t="str">
        <f t="shared" si="133"/>
        <v>01-1900</v>
      </c>
      <c r="BA1688" s="428" t="str">
        <f t="shared" si="134"/>
        <v/>
      </c>
    </row>
    <row r="1689" spans="2:53">
      <c r="B1689" s="36">
        <f>'[6]price list MAN'!B1689</f>
        <v>0</v>
      </c>
      <c r="C1689" s="10">
        <f>'[6]price list MAN'!C1689</f>
        <v>0</v>
      </c>
      <c r="D1689" s="16" t="str">
        <f>IFERROR(VLOOKUP(C1689&amp;"",'[7]Retail Price List'!$A$3:$B$103,2,FALSE),"Special Order")</f>
        <v>Special Order</v>
      </c>
      <c r="E1689" s="494">
        <f>'[6]price list MAN'!E1689</f>
        <v>0</v>
      </c>
      <c r="F1689" s="11">
        <f>'[6]price list MAN'!F1689</f>
        <v>0</v>
      </c>
      <c r="G1689" s="32">
        <f>'[6]price list MAN'!G1689</f>
        <v>0</v>
      </c>
      <c r="H1689" s="26">
        <f>'[6]price list MAN'!H1689</f>
        <v>0</v>
      </c>
      <c r="I1689" s="51" t="str">
        <f t="shared" si="130"/>
        <v/>
      </c>
      <c r="J1689" s="177" t="e">
        <f>'[6]price list MAN'!J1689</f>
        <v>#N/A</v>
      </c>
      <c r="K1689" s="177" t="e">
        <f>'[6]price list MAN'!P1689</f>
        <v>#N/A</v>
      </c>
      <c r="L1689" s="177" t="e">
        <f>'[6]price list MAN'!R1689</f>
        <v>#N/A</v>
      </c>
      <c r="M1689" s="174" t="e">
        <f>'[6]price list MAN'!S1689</f>
        <v>#N/A</v>
      </c>
      <c r="N1689" s="174" t="e">
        <f>'[6]price list MAN'!Y1689</f>
        <v>#N/A</v>
      </c>
      <c r="O1689" s="174" t="e">
        <f>'[6]price list MAN'!AA1689</f>
        <v>#N/A</v>
      </c>
      <c r="P1689" s="68" t="e">
        <f t="shared" si="131"/>
        <v>#N/A</v>
      </c>
      <c r="Q1689" s="62" t="e">
        <f>O1689-#REF!</f>
        <v>#N/A</v>
      </c>
      <c r="AT1689" s="425" t="str">
        <f t="shared" si="132"/>
        <v>Special Order0</v>
      </c>
      <c r="AU1689" s="64" t="str">
        <f t="shared" si="133"/>
        <v>01-1900</v>
      </c>
      <c r="BA1689" s="428" t="str">
        <f t="shared" si="134"/>
        <v/>
      </c>
    </row>
    <row r="1690" spans="2:53">
      <c r="B1690" s="36">
        <f>'[6]price list MAN'!B1690</f>
        <v>0</v>
      </c>
      <c r="C1690" s="10">
        <f>'[6]price list MAN'!C1690</f>
        <v>0</v>
      </c>
      <c r="D1690" s="16" t="str">
        <f>IFERROR(VLOOKUP(C1690&amp;"",'[7]Retail Price List'!$A$3:$B$103,2,FALSE),"Special Order")</f>
        <v>Special Order</v>
      </c>
      <c r="E1690" s="494">
        <f>'[6]price list MAN'!E1690</f>
        <v>0</v>
      </c>
      <c r="F1690" s="11">
        <f>'[6]price list MAN'!F1690</f>
        <v>0</v>
      </c>
      <c r="G1690" s="32">
        <f>'[6]price list MAN'!G1690</f>
        <v>0</v>
      </c>
      <c r="H1690" s="26">
        <f>'[6]price list MAN'!H1690</f>
        <v>0</v>
      </c>
      <c r="I1690" s="51" t="str">
        <f t="shared" si="130"/>
        <v/>
      </c>
      <c r="J1690" s="177" t="e">
        <f>'[6]price list MAN'!J1690</f>
        <v>#N/A</v>
      </c>
      <c r="K1690" s="177" t="e">
        <f>'[6]price list MAN'!P1690</f>
        <v>#N/A</v>
      </c>
      <c r="L1690" s="177" t="e">
        <f>'[6]price list MAN'!R1690</f>
        <v>#N/A</v>
      </c>
      <c r="M1690" s="174" t="e">
        <f>'[6]price list MAN'!S1690</f>
        <v>#N/A</v>
      </c>
      <c r="N1690" s="174" t="e">
        <f>'[6]price list MAN'!Y1690</f>
        <v>#N/A</v>
      </c>
      <c r="O1690" s="174" t="e">
        <f>'[6]price list MAN'!AA1690</f>
        <v>#N/A</v>
      </c>
      <c r="P1690" s="68" t="e">
        <f t="shared" si="131"/>
        <v>#N/A</v>
      </c>
      <c r="Q1690" s="62" t="e">
        <f>O1690-#REF!</f>
        <v>#N/A</v>
      </c>
      <c r="AT1690" s="425" t="str">
        <f t="shared" si="132"/>
        <v>Special Order0</v>
      </c>
      <c r="AU1690" s="64" t="str">
        <f t="shared" si="133"/>
        <v>01-1900</v>
      </c>
      <c r="BA1690" s="428" t="str">
        <f t="shared" si="134"/>
        <v/>
      </c>
    </row>
    <row r="1691" spans="2:53">
      <c r="B1691" s="36">
        <f>'[6]price list MAN'!B1691</f>
        <v>0</v>
      </c>
      <c r="C1691" s="10">
        <f>'[6]price list MAN'!C1691</f>
        <v>0</v>
      </c>
      <c r="D1691" s="16" t="str">
        <f>IFERROR(VLOOKUP(C1691&amp;"",'[7]Retail Price List'!$A$3:$B$103,2,FALSE),"Special Order")</f>
        <v>Special Order</v>
      </c>
      <c r="E1691" s="494">
        <f>'[6]price list MAN'!E1691</f>
        <v>0</v>
      </c>
      <c r="F1691" s="11">
        <f>'[6]price list MAN'!F1691</f>
        <v>0</v>
      </c>
      <c r="G1691" s="32">
        <f>'[6]price list MAN'!G1691</f>
        <v>0</v>
      </c>
      <c r="H1691" s="26">
        <f>'[6]price list MAN'!H1691</f>
        <v>0</v>
      </c>
      <c r="I1691" s="51" t="str">
        <f t="shared" si="130"/>
        <v/>
      </c>
      <c r="J1691" s="177" t="e">
        <f>'[6]price list MAN'!J1691</f>
        <v>#N/A</v>
      </c>
      <c r="K1691" s="177" t="e">
        <f>'[6]price list MAN'!P1691</f>
        <v>#N/A</v>
      </c>
      <c r="L1691" s="177" t="e">
        <f>'[6]price list MAN'!R1691</f>
        <v>#N/A</v>
      </c>
      <c r="M1691" s="174" t="e">
        <f>'[6]price list MAN'!S1691</f>
        <v>#N/A</v>
      </c>
      <c r="N1691" s="174" t="e">
        <f>'[6]price list MAN'!Y1691</f>
        <v>#N/A</v>
      </c>
      <c r="O1691" s="174" t="e">
        <f>'[6]price list MAN'!AA1691</f>
        <v>#N/A</v>
      </c>
      <c r="P1691" s="68" t="e">
        <f t="shared" si="131"/>
        <v>#N/A</v>
      </c>
      <c r="Q1691" s="62" t="e">
        <f>O1691-#REF!</f>
        <v>#N/A</v>
      </c>
      <c r="AT1691" s="425" t="str">
        <f t="shared" si="132"/>
        <v>Special Order0</v>
      </c>
      <c r="AU1691" s="64" t="str">
        <f t="shared" si="133"/>
        <v>01-1900</v>
      </c>
      <c r="BA1691" s="428" t="str">
        <f t="shared" si="134"/>
        <v/>
      </c>
    </row>
    <row r="1692" spans="2:53">
      <c r="B1692" s="36">
        <f>'[6]price list MAN'!B1692</f>
        <v>0</v>
      </c>
      <c r="C1692" s="10">
        <f>'[6]price list MAN'!C1692</f>
        <v>0</v>
      </c>
      <c r="D1692" s="16" t="str">
        <f>IFERROR(VLOOKUP(C1692&amp;"",'[7]Retail Price List'!$A$3:$B$103,2,FALSE),"Special Order")</f>
        <v>Special Order</v>
      </c>
      <c r="E1692" s="494">
        <f>'[6]price list MAN'!E1692</f>
        <v>0</v>
      </c>
      <c r="F1692" s="11">
        <f>'[6]price list MAN'!F1692</f>
        <v>0</v>
      </c>
      <c r="G1692" s="32">
        <f>'[6]price list MAN'!G1692</f>
        <v>0</v>
      </c>
      <c r="H1692" s="26">
        <f>'[6]price list MAN'!H1692</f>
        <v>0</v>
      </c>
      <c r="I1692" s="51" t="str">
        <f t="shared" si="130"/>
        <v/>
      </c>
      <c r="J1692" s="177" t="e">
        <f>'[6]price list MAN'!J1692</f>
        <v>#N/A</v>
      </c>
      <c r="K1692" s="177" t="e">
        <f>'[6]price list MAN'!P1692</f>
        <v>#N/A</v>
      </c>
      <c r="L1692" s="177" t="e">
        <f>'[6]price list MAN'!R1692</f>
        <v>#N/A</v>
      </c>
      <c r="M1692" s="174" t="e">
        <f>'[6]price list MAN'!S1692</f>
        <v>#N/A</v>
      </c>
      <c r="N1692" s="174" t="e">
        <f>'[6]price list MAN'!Y1692</f>
        <v>#N/A</v>
      </c>
      <c r="O1692" s="174" t="e">
        <f>'[6]price list MAN'!AA1692</f>
        <v>#N/A</v>
      </c>
      <c r="P1692" s="68" t="e">
        <f t="shared" si="131"/>
        <v>#N/A</v>
      </c>
      <c r="Q1692" s="62" t="e">
        <f>O1692-#REF!</f>
        <v>#N/A</v>
      </c>
      <c r="AT1692" s="425" t="str">
        <f t="shared" si="132"/>
        <v>Special Order0</v>
      </c>
      <c r="AU1692" s="64" t="str">
        <f t="shared" si="133"/>
        <v>01-1900</v>
      </c>
      <c r="BA1692" s="428" t="str">
        <f t="shared" si="134"/>
        <v/>
      </c>
    </row>
    <row r="1693" spans="2:53">
      <c r="B1693" s="36">
        <f>'[6]price list MAN'!B1693</f>
        <v>0</v>
      </c>
      <c r="C1693" s="10">
        <f>'[6]price list MAN'!C1693</f>
        <v>0</v>
      </c>
      <c r="D1693" s="16" t="str">
        <f>IFERROR(VLOOKUP(C1693&amp;"",'[7]Retail Price List'!$A$3:$B$103,2,FALSE),"Special Order")</f>
        <v>Special Order</v>
      </c>
      <c r="E1693" s="494">
        <f>'[6]price list MAN'!E1693</f>
        <v>0</v>
      </c>
      <c r="F1693" s="11">
        <f>'[6]price list MAN'!F1693</f>
        <v>0</v>
      </c>
      <c r="G1693" s="32">
        <f>'[6]price list MAN'!G1693</f>
        <v>0</v>
      </c>
      <c r="H1693" s="26">
        <f>'[6]price list MAN'!H1693</f>
        <v>0</v>
      </c>
      <c r="I1693" s="51" t="str">
        <f t="shared" si="130"/>
        <v/>
      </c>
      <c r="J1693" s="177" t="e">
        <f>'[6]price list MAN'!J1693</f>
        <v>#N/A</v>
      </c>
      <c r="K1693" s="177" t="e">
        <f>'[6]price list MAN'!P1693</f>
        <v>#N/A</v>
      </c>
      <c r="L1693" s="177" t="e">
        <f>'[6]price list MAN'!R1693</f>
        <v>#N/A</v>
      </c>
      <c r="M1693" s="174" t="e">
        <f>'[6]price list MAN'!S1693</f>
        <v>#N/A</v>
      </c>
      <c r="N1693" s="174" t="e">
        <f>'[6]price list MAN'!Y1693</f>
        <v>#N/A</v>
      </c>
      <c r="O1693" s="174" t="e">
        <f>'[6]price list MAN'!AA1693</f>
        <v>#N/A</v>
      </c>
      <c r="P1693" s="68" t="e">
        <f t="shared" si="131"/>
        <v>#N/A</v>
      </c>
      <c r="Q1693" s="62" t="e">
        <f>O1693-#REF!</f>
        <v>#N/A</v>
      </c>
      <c r="AT1693" s="425" t="str">
        <f t="shared" si="132"/>
        <v>Special Order0</v>
      </c>
      <c r="AU1693" s="64" t="str">
        <f t="shared" si="133"/>
        <v>01-1900</v>
      </c>
      <c r="BA1693" s="428" t="str">
        <f t="shared" si="134"/>
        <v/>
      </c>
    </row>
    <row r="1694" spans="2:53">
      <c r="B1694" s="36">
        <f>'[6]price list MAN'!B1694</f>
        <v>0</v>
      </c>
      <c r="C1694" s="10">
        <f>'[6]price list MAN'!C1694</f>
        <v>0</v>
      </c>
      <c r="D1694" s="16" t="str">
        <f>IFERROR(VLOOKUP(C1694&amp;"",'[7]Retail Price List'!$A$3:$B$103,2,FALSE),"Special Order")</f>
        <v>Special Order</v>
      </c>
      <c r="E1694" s="494">
        <f>'[6]price list MAN'!E1694</f>
        <v>0</v>
      </c>
      <c r="F1694" s="11">
        <f>'[6]price list MAN'!F1694</f>
        <v>0</v>
      </c>
      <c r="G1694" s="32">
        <f>'[6]price list MAN'!G1694</f>
        <v>0</v>
      </c>
      <c r="H1694" s="26">
        <f>'[6]price list MAN'!H1694</f>
        <v>0</v>
      </c>
      <c r="I1694" s="51" t="str">
        <f t="shared" si="130"/>
        <v/>
      </c>
      <c r="J1694" s="177" t="e">
        <f>'[6]price list MAN'!J1694</f>
        <v>#N/A</v>
      </c>
      <c r="K1694" s="177" t="e">
        <f>'[6]price list MAN'!P1694</f>
        <v>#N/A</v>
      </c>
      <c r="L1694" s="177" t="e">
        <f>'[6]price list MAN'!R1694</f>
        <v>#N/A</v>
      </c>
      <c r="M1694" s="174" t="e">
        <f>'[6]price list MAN'!S1694</f>
        <v>#N/A</v>
      </c>
      <c r="N1694" s="174" t="e">
        <f>'[6]price list MAN'!Y1694</f>
        <v>#N/A</v>
      </c>
      <c r="O1694" s="174" t="e">
        <f>'[6]price list MAN'!AA1694</f>
        <v>#N/A</v>
      </c>
      <c r="P1694" s="68" t="e">
        <f t="shared" si="131"/>
        <v>#N/A</v>
      </c>
      <c r="Q1694" s="62" t="e">
        <f>O1694-#REF!</f>
        <v>#N/A</v>
      </c>
      <c r="AT1694" s="425" t="str">
        <f t="shared" si="132"/>
        <v>Special Order0</v>
      </c>
      <c r="AU1694" s="64" t="str">
        <f t="shared" si="133"/>
        <v>01-1900</v>
      </c>
      <c r="BA1694" s="428" t="str">
        <f t="shared" si="134"/>
        <v/>
      </c>
    </row>
    <row r="1695" spans="2:53">
      <c r="B1695" s="36">
        <f>'[6]price list MAN'!B1695</f>
        <v>0</v>
      </c>
      <c r="C1695" s="10">
        <f>'[6]price list MAN'!C1695</f>
        <v>0</v>
      </c>
      <c r="D1695" s="16" t="str">
        <f>IFERROR(VLOOKUP(C1695&amp;"",'[7]Retail Price List'!$A$3:$B$103,2,FALSE),"Special Order")</f>
        <v>Special Order</v>
      </c>
      <c r="E1695" s="494">
        <f>'[6]price list MAN'!E1695</f>
        <v>0</v>
      </c>
      <c r="F1695" s="11">
        <f>'[6]price list MAN'!F1695</f>
        <v>0</v>
      </c>
      <c r="G1695" s="32">
        <f>'[6]price list MAN'!G1695</f>
        <v>0</v>
      </c>
      <c r="H1695" s="26">
        <f>'[6]price list MAN'!H1695</f>
        <v>0</v>
      </c>
      <c r="I1695" s="51" t="str">
        <f t="shared" si="130"/>
        <v/>
      </c>
      <c r="J1695" s="177" t="e">
        <f>'[6]price list MAN'!J1695</f>
        <v>#N/A</v>
      </c>
      <c r="K1695" s="177" t="e">
        <f>'[6]price list MAN'!P1695</f>
        <v>#N/A</v>
      </c>
      <c r="L1695" s="177" t="e">
        <f>'[6]price list MAN'!R1695</f>
        <v>#N/A</v>
      </c>
      <c r="M1695" s="174" t="e">
        <f>'[6]price list MAN'!S1695</f>
        <v>#N/A</v>
      </c>
      <c r="N1695" s="174" t="e">
        <f>'[6]price list MAN'!Y1695</f>
        <v>#N/A</v>
      </c>
      <c r="O1695" s="174" t="e">
        <f>'[6]price list MAN'!AA1695</f>
        <v>#N/A</v>
      </c>
      <c r="P1695" s="68" t="e">
        <f t="shared" si="131"/>
        <v>#N/A</v>
      </c>
      <c r="Q1695" s="62" t="e">
        <f>O1695-#REF!</f>
        <v>#N/A</v>
      </c>
      <c r="AT1695" s="425" t="str">
        <f t="shared" si="132"/>
        <v>Special Order0</v>
      </c>
      <c r="AU1695" s="64" t="str">
        <f t="shared" si="133"/>
        <v>01-1900</v>
      </c>
      <c r="BA1695" s="428" t="str">
        <f t="shared" si="134"/>
        <v/>
      </c>
    </row>
    <row r="1696" spans="2:53">
      <c r="B1696" s="36">
        <f>'[6]price list MAN'!B1696</f>
        <v>0</v>
      </c>
      <c r="C1696" s="10">
        <f>'[6]price list MAN'!C1696</f>
        <v>0</v>
      </c>
      <c r="D1696" s="16" t="str">
        <f>IFERROR(VLOOKUP(C1696&amp;"",'[7]Retail Price List'!$A$3:$B$103,2,FALSE),"Special Order")</f>
        <v>Special Order</v>
      </c>
      <c r="E1696" s="494">
        <f>'[6]price list MAN'!E1696</f>
        <v>0</v>
      </c>
      <c r="F1696" s="11">
        <f>'[6]price list MAN'!F1696</f>
        <v>0</v>
      </c>
      <c r="G1696" s="32">
        <f>'[6]price list MAN'!G1696</f>
        <v>0</v>
      </c>
      <c r="H1696" s="26">
        <f>'[6]price list MAN'!H1696</f>
        <v>0</v>
      </c>
      <c r="I1696" s="51" t="str">
        <f t="shared" si="130"/>
        <v/>
      </c>
      <c r="J1696" s="177" t="e">
        <f>'[6]price list MAN'!J1696</f>
        <v>#N/A</v>
      </c>
      <c r="K1696" s="177" t="e">
        <f>'[6]price list MAN'!P1696</f>
        <v>#N/A</v>
      </c>
      <c r="L1696" s="177" t="e">
        <f>'[6]price list MAN'!R1696</f>
        <v>#N/A</v>
      </c>
      <c r="M1696" s="174" t="e">
        <f>'[6]price list MAN'!S1696</f>
        <v>#N/A</v>
      </c>
      <c r="N1696" s="174" t="e">
        <f>'[6]price list MAN'!Y1696</f>
        <v>#N/A</v>
      </c>
      <c r="O1696" s="174" t="e">
        <f>'[6]price list MAN'!AA1696</f>
        <v>#N/A</v>
      </c>
      <c r="P1696" s="68" t="e">
        <f t="shared" si="131"/>
        <v>#N/A</v>
      </c>
      <c r="Q1696" s="62" t="e">
        <f>O1696-#REF!</f>
        <v>#N/A</v>
      </c>
      <c r="AT1696" s="425" t="str">
        <f t="shared" si="132"/>
        <v>Special Order0</v>
      </c>
      <c r="AU1696" s="64" t="str">
        <f t="shared" si="133"/>
        <v>01-1900</v>
      </c>
      <c r="BA1696" s="428" t="str">
        <f t="shared" si="134"/>
        <v/>
      </c>
    </row>
    <row r="1697" spans="2:53">
      <c r="B1697" s="36">
        <f>'[6]price list MAN'!B1697</f>
        <v>0</v>
      </c>
      <c r="C1697" s="10">
        <f>'[6]price list MAN'!C1697</f>
        <v>0</v>
      </c>
      <c r="D1697" s="16" t="str">
        <f>IFERROR(VLOOKUP(C1697&amp;"",'[7]Retail Price List'!$A$3:$B$103,2,FALSE),"Special Order")</f>
        <v>Special Order</v>
      </c>
      <c r="E1697" s="494">
        <f>'[6]price list MAN'!E1697</f>
        <v>0</v>
      </c>
      <c r="F1697" s="11">
        <f>'[6]price list MAN'!F1697</f>
        <v>0</v>
      </c>
      <c r="G1697" s="32">
        <f>'[6]price list MAN'!G1697</f>
        <v>0</v>
      </c>
      <c r="H1697" s="26">
        <f>'[6]price list MAN'!H1697</f>
        <v>0</v>
      </c>
      <c r="I1697" s="51" t="str">
        <f t="shared" si="130"/>
        <v/>
      </c>
      <c r="J1697" s="177" t="e">
        <f>'[6]price list MAN'!J1697</f>
        <v>#N/A</v>
      </c>
      <c r="K1697" s="177" t="e">
        <f>'[6]price list MAN'!P1697</f>
        <v>#N/A</v>
      </c>
      <c r="L1697" s="177" t="e">
        <f>'[6]price list MAN'!R1697</f>
        <v>#N/A</v>
      </c>
      <c r="M1697" s="174" t="e">
        <f>'[6]price list MAN'!S1697</f>
        <v>#N/A</v>
      </c>
      <c r="N1697" s="174" t="e">
        <f>'[6]price list MAN'!Y1697</f>
        <v>#N/A</v>
      </c>
      <c r="O1697" s="174" t="e">
        <f>'[6]price list MAN'!AA1697</f>
        <v>#N/A</v>
      </c>
      <c r="P1697" s="68" t="e">
        <f t="shared" si="131"/>
        <v>#N/A</v>
      </c>
      <c r="Q1697" s="62" t="e">
        <f>O1697-#REF!</f>
        <v>#N/A</v>
      </c>
      <c r="AT1697" s="425" t="str">
        <f t="shared" si="132"/>
        <v>Special Order0</v>
      </c>
      <c r="AU1697" s="64" t="str">
        <f t="shared" si="133"/>
        <v>01-1900</v>
      </c>
      <c r="BA1697" s="428" t="str">
        <f t="shared" si="134"/>
        <v/>
      </c>
    </row>
    <row r="1698" spans="2:53">
      <c r="B1698" s="36">
        <f>'[6]price list MAN'!B1698</f>
        <v>0</v>
      </c>
      <c r="C1698" s="10">
        <f>'[6]price list MAN'!C1698</f>
        <v>0</v>
      </c>
      <c r="D1698" s="16" t="str">
        <f>IFERROR(VLOOKUP(C1698&amp;"",'[7]Retail Price List'!$A$3:$B$103,2,FALSE),"Special Order")</f>
        <v>Special Order</v>
      </c>
      <c r="E1698" s="494">
        <f>'[6]price list MAN'!E1698</f>
        <v>0</v>
      </c>
      <c r="F1698" s="11">
        <f>'[6]price list MAN'!F1698</f>
        <v>0</v>
      </c>
      <c r="G1698" s="32">
        <f>'[6]price list MAN'!G1698</f>
        <v>0</v>
      </c>
      <c r="H1698" s="26">
        <f>'[6]price list MAN'!H1698</f>
        <v>0</v>
      </c>
      <c r="I1698" s="51" t="str">
        <f t="shared" si="130"/>
        <v/>
      </c>
      <c r="J1698" s="177" t="e">
        <f>'[6]price list MAN'!J1698</f>
        <v>#N/A</v>
      </c>
      <c r="K1698" s="177" t="e">
        <f>'[6]price list MAN'!P1698</f>
        <v>#N/A</v>
      </c>
      <c r="L1698" s="177" t="e">
        <f>'[6]price list MAN'!R1698</f>
        <v>#N/A</v>
      </c>
      <c r="M1698" s="174" t="e">
        <f>'[6]price list MAN'!S1698</f>
        <v>#N/A</v>
      </c>
      <c r="N1698" s="174" t="e">
        <f>'[6]price list MAN'!Y1698</f>
        <v>#N/A</v>
      </c>
      <c r="O1698" s="174" t="e">
        <f>'[6]price list MAN'!AA1698</f>
        <v>#N/A</v>
      </c>
      <c r="P1698" s="68" t="e">
        <f t="shared" si="131"/>
        <v>#N/A</v>
      </c>
      <c r="Q1698" s="62" t="e">
        <f>O1698-#REF!</f>
        <v>#N/A</v>
      </c>
      <c r="AT1698" s="425" t="str">
        <f t="shared" si="132"/>
        <v>Special Order0</v>
      </c>
      <c r="AU1698" s="64" t="str">
        <f t="shared" si="133"/>
        <v>01-1900</v>
      </c>
      <c r="BA1698" s="428" t="str">
        <f t="shared" si="134"/>
        <v/>
      </c>
    </row>
    <row r="1699" spans="2:53">
      <c r="B1699" s="36">
        <f>'[6]price list MAN'!B1699</f>
        <v>0</v>
      </c>
      <c r="C1699" s="10">
        <f>'[6]price list MAN'!C1699</f>
        <v>0</v>
      </c>
      <c r="D1699" s="16" t="str">
        <f>IFERROR(VLOOKUP(C1699&amp;"",'[7]Retail Price List'!$A$3:$B$103,2,FALSE),"Special Order")</f>
        <v>Special Order</v>
      </c>
      <c r="E1699" s="494">
        <f>'[6]price list MAN'!E1699</f>
        <v>0</v>
      </c>
      <c r="F1699" s="11">
        <f>'[6]price list MAN'!F1699</f>
        <v>0</v>
      </c>
      <c r="G1699" s="32">
        <f>'[6]price list MAN'!G1699</f>
        <v>0</v>
      </c>
      <c r="H1699" s="26">
        <f>'[6]price list MAN'!H1699</f>
        <v>0</v>
      </c>
      <c r="I1699" s="51" t="str">
        <f t="shared" si="130"/>
        <v/>
      </c>
      <c r="J1699" s="177" t="e">
        <f>'[6]price list MAN'!J1699</f>
        <v>#N/A</v>
      </c>
      <c r="K1699" s="177" t="e">
        <f>'[6]price list MAN'!P1699</f>
        <v>#N/A</v>
      </c>
      <c r="L1699" s="177" t="e">
        <f>'[6]price list MAN'!R1699</f>
        <v>#N/A</v>
      </c>
      <c r="M1699" s="174" t="e">
        <f>'[6]price list MAN'!S1699</f>
        <v>#N/A</v>
      </c>
      <c r="N1699" s="174" t="e">
        <f>'[6]price list MAN'!Y1699</f>
        <v>#N/A</v>
      </c>
      <c r="O1699" s="174" t="e">
        <f>'[6]price list MAN'!AA1699</f>
        <v>#N/A</v>
      </c>
      <c r="P1699" s="68" t="e">
        <f t="shared" si="131"/>
        <v>#N/A</v>
      </c>
      <c r="Q1699" s="62" t="e">
        <f>O1699-#REF!</f>
        <v>#N/A</v>
      </c>
      <c r="AT1699" s="425" t="str">
        <f t="shared" si="132"/>
        <v>Special Order0</v>
      </c>
      <c r="AU1699" s="64" t="str">
        <f t="shared" si="133"/>
        <v>01-1900</v>
      </c>
      <c r="BA1699" s="428" t="str">
        <f t="shared" si="134"/>
        <v/>
      </c>
    </row>
    <row r="1700" spans="2:53">
      <c r="B1700" s="36">
        <f>'[6]price list MAN'!B1700</f>
        <v>0</v>
      </c>
      <c r="C1700" s="10">
        <f>'[6]price list MAN'!C1700</f>
        <v>0</v>
      </c>
      <c r="D1700" s="16" t="str">
        <f>IFERROR(VLOOKUP(C1700&amp;"",'[7]Retail Price List'!$A$3:$B$103,2,FALSE),"Special Order")</f>
        <v>Special Order</v>
      </c>
      <c r="E1700" s="494">
        <f>'[6]price list MAN'!E1700</f>
        <v>0</v>
      </c>
      <c r="F1700" s="11">
        <f>'[6]price list MAN'!F1700</f>
        <v>0</v>
      </c>
      <c r="G1700" s="32">
        <f>'[6]price list MAN'!G1700</f>
        <v>0</v>
      </c>
      <c r="H1700" s="26">
        <f>'[6]price list MAN'!H1700</f>
        <v>0</v>
      </c>
      <c r="I1700" s="51" t="str">
        <f t="shared" si="130"/>
        <v/>
      </c>
      <c r="J1700" s="177" t="e">
        <f>'[6]price list MAN'!J1700</f>
        <v>#N/A</v>
      </c>
      <c r="K1700" s="177" t="e">
        <f>'[6]price list MAN'!P1700</f>
        <v>#N/A</v>
      </c>
      <c r="L1700" s="177" t="e">
        <f>'[6]price list MAN'!R1700</f>
        <v>#N/A</v>
      </c>
      <c r="M1700" s="174" t="e">
        <f>'[6]price list MAN'!S1700</f>
        <v>#N/A</v>
      </c>
      <c r="N1700" s="174" t="e">
        <f>'[6]price list MAN'!Y1700</f>
        <v>#N/A</v>
      </c>
      <c r="O1700" s="174" t="e">
        <f>'[6]price list MAN'!AA1700</f>
        <v>#N/A</v>
      </c>
      <c r="P1700" s="68" t="e">
        <f t="shared" si="131"/>
        <v>#N/A</v>
      </c>
      <c r="Q1700" s="62" t="e">
        <f>O1700-#REF!</f>
        <v>#N/A</v>
      </c>
      <c r="AT1700" s="425" t="str">
        <f t="shared" si="132"/>
        <v>Special Order0</v>
      </c>
      <c r="AU1700" s="64" t="str">
        <f t="shared" si="133"/>
        <v>01-1900</v>
      </c>
      <c r="BA1700" s="428" t="str">
        <f t="shared" si="134"/>
        <v/>
      </c>
    </row>
    <row r="1701" spans="2:53">
      <c r="B1701" s="36">
        <f>'[6]price list MAN'!B1701</f>
        <v>0</v>
      </c>
      <c r="C1701" s="10">
        <f>'[6]price list MAN'!C1701</f>
        <v>0</v>
      </c>
      <c r="D1701" s="16" t="str">
        <f>IFERROR(VLOOKUP(C1701&amp;"",'[7]Retail Price List'!$A$3:$B$103,2,FALSE),"Special Order")</f>
        <v>Special Order</v>
      </c>
      <c r="E1701" s="494">
        <f>'[6]price list MAN'!E1701</f>
        <v>0</v>
      </c>
      <c r="F1701" s="11">
        <f>'[6]price list MAN'!F1701</f>
        <v>0</v>
      </c>
      <c r="G1701" s="32">
        <f>'[6]price list MAN'!G1701</f>
        <v>0</v>
      </c>
      <c r="H1701" s="26">
        <f>'[6]price list MAN'!H1701</f>
        <v>0</v>
      </c>
      <c r="I1701" s="51" t="str">
        <f t="shared" si="130"/>
        <v/>
      </c>
      <c r="J1701" s="177" t="e">
        <f>'[6]price list MAN'!J1701</f>
        <v>#N/A</v>
      </c>
      <c r="K1701" s="177" t="e">
        <f>'[6]price list MAN'!P1701</f>
        <v>#N/A</v>
      </c>
      <c r="L1701" s="177" t="e">
        <f>'[6]price list MAN'!R1701</f>
        <v>#N/A</v>
      </c>
      <c r="M1701" s="174" t="e">
        <f>'[6]price list MAN'!S1701</f>
        <v>#N/A</v>
      </c>
      <c r="N1701" s="174" t="e">
        <f>'[6]price list MAN'!Y1701</f>
        <v>#N/A</v>
      </c>
      <c r="O1701" s="174" t="e">
        <f>'[6]price list MAN'!AA1701</f>
        <v>#N/A</v>
      </c>
      <c r="P1701" s="68" t="e">
        <f t="shared" si="131"/>
        <v>#N/A</v>
      </c>
      <c r="Q1701" s="62" t="e">
        <f>O1701-#REF!</f>
        <v>#N/A</v>
      </c>
      <c r="AT1701" s="425" t="str">
        <f t="shared" si="132"/>
        <v>Special Order0</v>
      </c>
      <c r="AU1701" s="64" t="str">
        <f t="shared" si="133"/>
        <v>01-1900</v>
      </c>
      <c r="BA1701" s="428" t="str">
        <f t="shared" si="134"/>
        <v/>
      </c>
    </row>
    <row r="1702" spans="2:53">
      <c r="B1702" s="36">
        <f>'[6]price list MAN'!B1702</f>
        <v>0</v>
      </c>
      <c r="C1702" s="10">
        <f>'[6]price list MAN'!C1702</f>
        <v>0</v>
      </c>
      <c r="D1702" s="16" t="str">
        <f>IFERROR(VLOOKUP(C1702&amp;"",'[7]Retail Price List'!$A$3:$B$103,2,FALSE),"Special Order")</f>
        <v>Special Order</v>
      </c>
      <c r="E1702" s="494">
        <f>'[6]price list MAN'!E1702</f>
        <v>0</v>
      </c>
      <c r="F1702" s="11">
        <f>'[6]price list MAN'!F1702</f>
        <v>0</v>
      </c>
      <c r="G1702" s="32">
        <f>'[6]price list MAN'!G1702</f>
        <v>0</v>
      </c>
      <c r="H1702" s="26">
        <f>'[6]price list MAN'!H1702</f>
        <v>0</v>
      </c>
      <c r="I1702" s="51" t="str">
        <f t="shared" si="130"/>
        <v/>
      </c>
      <c r="J1702" s="177" t="e">
        <f>'[6]price list MAN'!J1702</f>
        <v>#N/A</v>
      </c>
      <c r="K1702" s="177" t="e">
        <f>'[6]price list MAN'!P1702</f>
        <v>#N/A</v>
      </c>
      <c r="L1702" s="177" t="e">
        <f>'[6]price list MAN'!R1702</f>
        <v>#N/A</v>
      </c>
      <c r="M1702" s="174" t="e">
        <f>'[6]price list MAN'!S1702</f>
        <v>#N/A</v>
      </c>
      <c r="N1702" s="174" t="e">
        <f>'[6]price list MAN'!Y1702</f>
        <v>#N/A</v>
      </c>
      <c r="O1702" s="174" t="e">
        <f>'[6]price list MAN'!AA1702</f>
        <v>#N/A</v>
      </c>
      <c r="P1702" s="68" t="e">
        <f t="shared" si="131"/>
        <v>#N/A</v>
      </c>
      <c r="Q1702" s="62" t="e">
        <f>O1702-#REF!</f>
        <v>#N/A</v>
      </c>
      <c r="AT1702" s="425" t="str">
        <f t="shared" si="132"/>
        <v>Special Order0</v>
      </c>
      <c r="AU1702" s="64" t="str">
        <f t="shared" si="133"/>
        <v>01-1900</v>
      </c>
      <c r="BA1702" s="428" t="str">
        <f t="shared" si="134"/>
        <v/>
      </c>
    </row>
    <row r="1703" spans="2:53">
      <c r="B1703" s="36">
        <f>'[6]price list MAN'!B1703</f>
        <v>0</v>
      </c>
      <c r="C1703" s="10">
        <f>'[6]price list MAN'!C1703</f>
        <v>0</v>
      </c>
      <c r="D1703" s="16" t="str">
        <f>IFERROR(VLOOKUP(C1703&amp;"",'[7]Retail Price List'!$A$3:$B$103,2,FALSE),"Special Order")</f>
        <v>Special Order</v>
      </c>
      <c r="E1703" s="494">
        <f>'[6]price list MAN'!E1703</f>
        <v>0</v>
      </c>
      <c r="F1703" s="11">
        <f>'[6]price list MAN'!F1703</f>
        <v>0</v>
      </c>
      <c r="G1703" s="32">
        <f>'[6]price list MAN'!G1703</f>
        <v>0</v>
      </c>
      <c r="H1703" s="26">
        <f>'[6]price list MAN'!H1703</f>
        <v>0</v>
      </c>
      <c r="I1703" s="51" t="str">
        <f t="shared" si="130"/>
        <v/>
      </c>
      <c r="J1703" s="177" t="e">
        <f>'[6]price list MAN'!J1703</f>
        <v>#N/A</v>
      </c>
      <c r="K1703" s="177" t="e">
        <f>'[6]price list MAN'!P1703</f>
        <v>#N/A</v>
      </c>
      <c r="L1703" s="177" t="e">
        <f>'[6]price list MAN'!R1703</f>
        <v>#N/A</v>
      </c>
      <c r="M1703" s="174" t="e">
        <f>'[6]price list MAN'!S1703</f>
        <v>#N/A</v>
      </c>
      <c r="N1703" s="174" t="e">
        <f>'[6]price list MAN'!Y1703</f>
        <v>#N/A</v>
      </c>
      <c r="O1703" s="174" t="e">
        <f>'[6]price list MAN'!AA1703</f>
        <v>#N/A</v>
      </c>
      <c r="P1703" s="68" t="e">
        <f t="shared" si="131"/>
        <v>#N/A</v>
      </c>
      <c r="Q1703" s="62" t="e">
        <f>O1703-#REF!</f>
        <v>#N/A</v>
      </c>
      <c r="AT1703" s="425" t="str">
        <f t="shared" si="132"/>
        <v>Special Order0</v>
      </c>
      <c r="AU1703" s="64" t="str">
        <f t="shared" si="133"/>
        <v>01-1900</v>
      </c>
      <c r="BA1703" s="428" t="str">
        <f t="shared" si="134"/>
        <v/>
      </c>
    </row>
    <row r="1704" spans="2:53">
      <c r="B1704" s="36">
        <f>'[6]price list MAN'!B1704</f>
        <v>0</v>
      </c>
      <c r="C1704" s="10">
        <f>'[6]price list MAN'!C1704</f>
        <v>0</v>
      </c>
      <c r="D1704" s="16" t="str">
        <f>IFERROR(VLOOKUP(C1704&amp;"",'[7]Retail Price List'!$A$3:$B$103,2,FALSE),"Special Order")</f>
        <v>Special Order</v>
      </c>
      <c r="E1704" s="494">
        <f>'[6]price list MAN'!E1704</f>
        <v>0</v>
      </c>
      <c r="F1704" s="11">
        <f>'[6]price list MAN'!F1704</f>
        <v>0</v>
      </c>
      <c r="G1704" s="32">
        <f>'[6]price list MAN'!G1704</f>
        <v>0</v>
      </c>
      <c r="H1704" s="26">
        <f>'[6]price list MAN'!H1704</f>
        <v>0</v>
      </c>
      <c r="I1704" s="51" t="str">
        <f t="shared" si="130"/>
        <v/>
      </c>
      <c r="J1704" s="177" t="e">
        <f>'[6]price list MAN'!J1704</f>
        <v>#N/A</v>
      </c>
      <c r="K1704" s="177" t="e">
        <f>'[6]price list MAN'!P1704</f>
        <v>#N/A</v>
      </c>
      <c r="L1704" s="177" t="e">
        <f>'[6]price list MAN'!R1704</f>
        <v>#N/A</v>
      </c>
      <c r="M1704" s="174" t="e">
        <f>'[6]price list MAN'!S1704</f>
        <v>#N/A</v>
      </c>
      <c r="N1704" s="174" t="e">
        <f>'[6]price list MAN'!Y1704</f>
        <v>#N/A</v>
      </c>
      <c r="O1704" s="174" t="e">
        <f>'[6]price list MAN'!AA1704</f>
        <v>#N/A</v>
      </c>
      <c r="P1704" s="68" t="e">
        <f t="shared" si="131"/>
        <v>#N/A</v>
      </c>
      <c r="Q1704" s="62" t="e">
        <f>O1704-#REF!</f>
        <v>#N/A</v>
      </c>
      <c r="AT1704" s="425" t="str">
        <f t="shared" si="132"/>
        <v>Special Order0</v>
      </c>
      <c r="AU1704" s="64" t="str">
        <f t="shared" si="133"/>
        <v>01-1900</v>
      </c>
      <c r="BA1704" s="428" t="str">
        <f t="shared" si="134"/>
        <v/>
      </c>
    </row>
    <row r="1705" spans="2:53">
      <c r="B1705" s="36">
        <f>'[6]price list MAN'!B1705</f>
        <v>0</v>
      </c>
      <c r="C1705" s="10">
        <f>'[6]price list MAN'!C1705</f>
        <v>0</v>
      </c>
      <c r="D1705" s="16" t="str">
        <f>IFERROR(VLOOKUP(C1705&amp;"",'[7]Retail Price List'!$A$3:$B$103,2,FALSE),"Special Order")</f>
        <v>Special Order</v>
      </c>
      <c r="E1705" s="494">
        <f>'[6]price list MAN'!E1705</f>
        <v>0</v>
      </c>
      <c r="F1705" s="11">
        <f>'[6]price list MAN'!F1705</f>
        <v>0</v>
      </c>
      <c r="G1705" s="32">
        <f>'[6]price list MAN'!G1705</f>
        <v>0</v>
      </c>
      <c r="H1705" s="26">
        <f>'[6]price list MAN'!H1705</f>
        <v>0</v>
      </c>
      <c r="I1705" s="51" t="str">
        <f t="shared" si="130"/>
        <v/>
      </c>
      <c r="J1705" s="177" t="e">
        <f>'[6]price list MAN'!J1705</f>
        <v>#N/A</v>
      </c>
      <c r="K1705" s="177" t="e">
        <f>'[6]price list MAN'!P1705</f>
        <v>#N/A</v>
      </c>
      <c r="L1705" s="177" t="e">
        <f>'[6]price list MAN'!R1705</f>
        <v>#N/A</v>
      </c>
      <c r="M1705" s="174" t="e">
        <f>'[6]price list MAN'!S1705</f>
        <v>#N/A</v>
      </c>
      <c r="N1705" s="174" t="e">
        <f>'[6]price list MAN'!Y1705</f>
        <v>#N/A</v>
      </c>
      <c r="O1705" s="174" t="e">
        <f>'[6]price list MAN'!AA1705</f>
        <v>#N/A</v>
      </c>
      <c r="P1705" s="68" t="e">
        <f t="shared" si="131"/>
        <v>#N/A</v>
      </c>
      <c r="Q1705" s="62" t="e">
        <f>O1705-#REF!</f>
        <v>#N/A</v>
      </c>
      <c r="AT1705" s="425" t="str">
        <f t="shared" si="132"/>
        <v>Special Order0</v>
      </c>
      <c r="AU1705" s="64" t="str">
        <f t="shared" si="133"/>
        <v>01-1900</v>
      </c>
      <c r="BA1705" s="428" t="str">
        <f t="shared" si="134"/>
        <v/>
      </c>
    </row>
    <row r="1706" spans="2:53">
      <c r="B1706" s="36">
        <f>'[6]price list MAN'!B1706</f>
        <v>0</v>
      </c>
      <c r="C1706" s="10">
        <f>'[6]price list MAN'!C1706</f>
        <v>0</v>
      </c>
      <c r="D1706" s="16" t="str">
        <f>IFERROR(VLOOKUP(C1706&amp;"",'[7]Retail Price List'!$A$3:$B$103,2,FALSE),"Special Order")</f>
        <v>Special Order</v>
      </c>
      <c r="E1706" s="494">
        <f>'[6]price list MAN'!E1706</f>
        <v>0</v>
      </c>
      <c r="F1706" s="11">
        <f>'[6]price list MAN'!F1706</f>
        <v>0</v>
      </c>
      <c r="G1706" s="32">
        <f>'[6]price list MAN'!G1706</f>
        <v>0</v>
      </c>
      <c r="H1706" s="26">
        <f>'[6]price list MAN'!H1706</f>
        <v>0</v>
      </c>
      <c r="I1706" s="51" t="str">
        <f t="shared" si="130"/>
        <v/>
      </c>
      <c r="J1706" s="177" t="e">
        <f>'[6]price list MAN'!J1706</f>
        <v>#N/A</v>
      </c>
      <c r="K1706" s="177" t="e">
        <f>'[6]price list MAN'!P1706</f>
        <v>#N/A</v>
      </c>
      <c r="L1706" s="177" t="e">
        <f>'[6]price list MAN'!R1706</f>
        <v>#N/A</v>
      </c>
      <c r="M1706" s="174" t="e">
        <f>'[6]price list MAN'!S1706</f>
        <v>#N/A</v>
      </c>
      <c r="N1706" s="174" t="e">
        <f>'[6]price list MAN'!Y1706</f>
        <v>#N/A</v>
      </c>
      <c r="O1706" s="174" t="e">
        <f>'[6]price list MAN'!AA1706</f>
        <v>#N/A</v>
      </c>
      <c r="P1706" s="68" t="e">
        <f t="shared" si="131"/>
        <v>#N/A</v>
      </c>
      <c r="Q1706" s="62" t="e">
        <f>O1706-#REF!</f>
        <v>#N/A</v>
      </c>
      <c r="AT1706" s="425" t="str">
        <f t="shared" si="132"/>
        <v>Special Order0</v>
      </c>
      <c r="AU1706" s="64" t="str">
        <f t="shared" si="133"/>
        <v>01-1900</v>
      </c>
      <c r="BA1706" s="428" t="str">
        <f t="shared" si="134"/>
        <v/>
      </c>
    </row>
    <row r="1707" spans="2:53">
      <c r="B1707" s="36">
        <f>'[6]price list MAN'!B1707</f>
        <v>0</v>
      </c>
      <c r="C1707" s="10">
        <f>'[6]price list MAN'!C1707</f>
        <v>0</v>
      </c>
      <c r="D1707" s="16" t="str">
        <f>IFERROR(VLOOKUP(C1707&amp;"",'[7]Retail Price List'!$A$3:$B$103,2,FALSE),"Special Order")</f>
        <v>Special Order</v>
      </c>
      <c r="E1707" s="494">
        <f>'[6]price list MAN'!E1707</f>
        <v>0</v>
      </c>
      <c r="F1707" s="11">
        <f>'[6]price list MAN'!F1707</f>
        <v>0</v>
      </c>
      <c r="G1707" s="32">
        <f>'[6]price list MAN'!G1707</f>
        <v>0</v>
      </c>
      <c r="H1707" s="26">
        <f>'[6]price list MAN'!H1707</f>
        <v>0</v>
      </c>
      <c r="I1707" s="51" t="str">
        <f t="shared" si="130"/>
        <v/>
      </c>
      <c r="J1707" s="177" t="e">
        <f>'[6]price list MAN'!J1707</f>
        <v>#N/A</v>
      </c>
      <c r="K1707" s="177" t="e">
        <f>'[6]price list MAN'!P1707</f>
        <v>#N/A</v>
      </c>
      <c r="L1707" s="177" t="e">
        <f>'[6]price list MAN'!R1707</f>
        <v>#N/A</v>
      </c>
      <c r="M1707" s="174" t="e">
        <f>'[6]price list MAN'!S1707</f>
        <v>#N/A</v>
      </c>
      <c r="N1707" s="174" t="e">
        <f>'[6]price list MAN'!Y1707</f>
        <v>#N/A</v>
      </c>
      <c r="O1707" s="174" t="e">
        <f>'[6]price list MAN'!AA1707</f>
        <v>#N/A</v>
      </c>
      <c r="P1707" s="68" t="e">
        <f t="shared" si="131"/>
        <v>#N/A</v>
      </c>
      <c r="Q1707" s="62" t="e">
        <f>O1707-#REF!</f>
        <v>#N/A</v>
      </c>
      <c r="AT1707" s="425" t="str">
        <f t="shared" si="132"/>
        <v>Special Order0</v>
      </c>
      <c r="AU1707" s="64" t="str">
        <f t="shared" si="133"/>
        <v>01-1900</v>
      </c>
      <c r="BA1707" s="428" t="str">
        <f t="shared" si="134"/>
        <v/>
      </c>
    </row>
    <row r="1708" spans="2:53">
      <c r="B1708" s="36">
        <f>'[6]price list MAN'!B1708</f>
        <v>0</v>
      </c>
      <c r="C1708" s="10">
        <f>'[6]price list MAN'!C1708</f>
        <v>0</v>
      </c>
      <c r="D1708" s="16" t="str">
        <f>IFERROR(VLOOKUP(C1708&amp;"",'[7]Retail Price List'!$A$3:$B$103,2,FALSE),"Special Order")</f>
        <v>Special Order</v>
      </c>
      <c r="E1708" s="494">
        <f>'[6]price list MAN'!E1708</f>
        <v>0</v>
      </c>
      <c r="F1708" s="11">
        <f>'[6]price list MAN'!F1708</f>
        <v>0</v>
      </c>
      <c r="G1708" s="32">
        <f>'[6]price list MAN'!G1708</f>
        <v>0</v>
      </c>
      <c r="H1708" s="26">
        <f>'[6]price list MAN'!H1708</f>
        <v>0</v>
      </c>
      <c r="I1708" s="51" t="str">
        <f t="shared" si="130"/>
        <v/>
      </c>
      <c r="J1708" s="177" t="e">
        <f>'[6]price list MAN'!J1708</f>
        <v>#N/A</v>
      </c>
      <c r="K1708" s="177" t="e">
        <f>'[6]price list MAN'!P1708</f>
        <v>#N/A</v>
      </c>
      <c r="L1708" s="177" t="e">
        <f>'[6]price list MAN'!R1708</f>
        <v>#N/A</v>
      </c>
      <c r="M1708" s="174" t="e">
        <f>'[6]price list MAN'!S1708</f>
        <v>#N/A</v>
      </c>
      <c r="N1708" s="174" t="e">
        <f>'[6]price list MAN'!Y1708</f>
        <v>#N/A</v>
      </c>
      <c r="O1708" s="174" t="e">
        <f>'[6]price list MAN'!AA1708</f>
        <v>#N/A</v>
      </c>
      <c r="P1708" s="68" t="e">
        <f t="shared" si="131"/>
        <v>#N/A</v>
      </c>
      <c r="Q1708" s="62" t="e">
        <f>O1708-#REF!</f>
        <v>#N/A</v>
      </c>
      <c r="AT1708" s="425" t="str">
        <f t="shared" si="132"/>
        <v>Special Order0</v>
      </c>
      <c r="AU1708" s="64" t="str">
        <f t="shared" si="133"/>
        <v>01-1900</v>
      </c>
      <c r="BA1708" s="428" t="str">
        <f t="shared" si="134"/>
        <v/>
      </c>
    </row>
    <row r="1709" spans="2:53">
      <c r="B1709" s="36">
        <f>'[6]price list MAN'!B1709</f>
        <v>0</v>
      </c>
      <c r="C1709" s="10">
        <f>'[6]price list MAN'!C1709</f>
        <v>0</v>
      </c>
      <c r="D1709" s="16" t="str">
        <f>IFERROR(VLOOKUP(C1709&amp;"",'[7]Retail Price List'!$A$3:$B$103,2,FALSE),"Special Order")</f>
        <v>Special Order</v>
      </c>
      <c r="E1709" s="494">
        <f>'[6]price list MAN'!E1709</f>
        <v>0</v>
      </c>
      <c r="F1709" s="11">
        <f>'[6]price list MAN'!F1709</f>
        <v>0</v>
      </c>
      <c r="G1709" s="32">
        <f>'[6]price list MAN'!G1709</f>
        <v>0</v>
      </c>
      <c r="H1709" s="26">
        <f>'[6]price list MAN'!H1709</f>
        <v>0</v>
      </c>
      <c r="I1709" s="51" t="str">
        <f t="shared" si="130"/>
        <v/>
      </c>
      <c r="J1709" s="177" t="e">
        <f>'[6]price list MAN'!J1709</f>
        <v>#N/A</v>
      </c>
      <c r="K1709" s="177" t="e">
        <f>'[6]price list MAN'!P1709</f>
        <v>#N/A</v>
      </c>
      <c r="L1709" s="177" t="e">
        <f>'[6]price list MAN'!R1709</f>
        <v>#N/A</v>
      </c>
      <c r="M1709" s="174" t="e">
        <f>'[6]price list MAN'!S1709</f>
        <v>#N/A</v>
      </c>
      <c r="N1709" s="174" t="e">
        <f>'[6]price list MAN'!Y1709</f>
        <v>#N/A</v>
      </c>
      <c r="O1709" s="174" t="e">
        <f>'[6]price list MAN'!AA1709</f>
        <v>#N/A</v>
      </c>
      <c r="P1709" s="68" t="e">
        <f t="shared" si="131"/>
        <v>#N/A</v>
      </c>
      <c r="Q1709" s="62" t="e">
        <f>O1709-#REF!</f>
        <v>#N/A</v>
      </c>
      <c r="AT1709" s="425" t="str">
        <f t="shared" si="132"/>
        <v>Special Order0</v>
      </c>
      <c r="AU1709" s="64" t="str">
        <f t="shared" si="133"/>
        <v>01-1900</v>
      </c>
      <c r="BA1709" s="428" t="str">
        <f t="shared" si="134"/>
        <v/>
      </c>
    </row>
    <row r="1710" spans="2:53">
      <c r="B1710" s="36">
        <f>'[6]price list MAN'!B1710</f>
        <v>0</v>
      </c>
      <c r="C1710" s="10">
        <f>'[6]price list MAN'!C1710</f>
        <v>0</v>
      </c>
      <c r="D1710" s="16" t="str">
        <f>IFERROR(VLOOKUP(C1710&amp;"",'[7]Retail Price List'!$A$3:$B$103,2,FALSE),"Special Order")</f>
        <v>Special Order</v>
      </c>
      <c r="E1710" s="494">
        <f>'[6]price list MAN'!E1710</f>
        <v>0</v>
      </c>
      <c r="F1710" s="11">
        <f>'[6]price list MAN'!F1710</f>
        <v>0</v>
      </c>
      <c r="G1710" s="32">
        <f>'[6]price list MAN'!G1710</f>
        <v>0</v>
      </c>
      <c r="H1710" s="26">
        <f>'[6]price list MAN'!H1710</f>
        <v>0</v>
      </c>
      <c r="I1710" s="51" t="str">
        <f t="shared" si="130"/>
        <v/>
      </c>
      <c r="J1710" s="177" t="e">
        <f>'[6]price list MAN'!J1710</f>
        <v>#N/A</v>
      </c>
      <c r="K1710" s="177" t="e">
        <f>'[6]price list MAN'!P1710</f>
        <v>#N/A</v>
      </c>
      <c r="L1710" s="177" t="e">
        <f>'[6]price list MAN'!R1710</f>
        <v>#N/A</v>
      </c>
      <c r="M1710" s="174" t="e">
        <f>'[6]price list MAN'!S1710</f>
        <v>#N/A</v>
      </c>
      <c r="N1710" s="174" t="e">
        <f>'[6]price list MAN'!Y1710</f>
        <v>#N/A</v>
      </c>
      <c r="O1710" s="174" t="e">
        <f>'[6]price list MAN'!AA1710</f>
        <v>#N/A</v>
      </c>
      <c r="P1710" s="68" t="e">
        <f t="shared" si="131"/>
        <v>#N/A</v>
      </c>
      <c r="Q1710" s="62" t="e">
        <f>O1710-#REF!</f>
        <v>#N/A</v>
      </c>
      <c r="AT1710" s="425" t="str">
        <f t="shared" si="132"/>
        <v>Special Order0</v>
      </c>
      <c r="AU1710" s="64" t="str">
        <f t="shared" si="133"/>
        <v>01-1900</v>
      </c>
      <c r="BA1710" s="428" t="str">
        <f t="shared" si="134"/>
        <v/>
      </c>
    </row>
    <row r="1711" spans="2:53">
      <c r="B1711" s="36">
        <f>'[6]price list MAN'!B1711</f>
        <v>0</v>
      </c>
      <c r="C1711" s="10">
        <f>'[6]price list MAN'!C1711</f>
        <v>0</v>
      </c>
      <c r="D1711" s="16" t="str">
        <f>IFERROR(VLOOKUP(C1711&amp;"",'[7]Retail Price List'!$A$3:$B$103,2,FALSE),"Special Order")</f>
        <v>Special Order</v>
      </c>
      <c r="E1711" s="494">
        <f>'[6]price list MAN'!E1711</f>
        <v>0</v>
      </c>
      <c r="F1711" s="11">
        <f>'[6]price list MAN'!F1711</f>
        <v>0</v>
      </c>
      <c r="G1711" s="32">
        <f>'[6]price list MAN'!G1711</f>
        <v>0</v>
      </c>
      <c r="H1711" s="26">
        <f>'[6]price list MAN'!H1711</f>
        <v>0</v>
      </c>
      <c r="I1711" s="51" t="str">
        <f t="shared" si="130"/>
        <v/>
      </c>
      <c r="J1711" s="177" t="e">
        <f>'[6]price list MAN'!J1711</f>
        <v>#N/A</v>
      </c>
      <c r="K1711" s="177" t="e">
        <f>'[6]price list MAN'!P1711</f>
        <v>#N/A</v>
      </c>
      <c r="L1711" s="177" t="e">
        <f>'[6]price list MAN'!R1711</f>
        <v>#N/A</v>
      </c>
      <c r="M1711" s="174" t="e">
        <f>'[6]price list MAN'!S1711</f>
        <v>#N/A</v>
      </c>
      <c r="N1711" s="174" t="e">
        <f>'[6]price list MAN'!Y1711</f>
        <v>#N/A</v>
      </c>
      <c r="O1711" s="174" t="e">
        <f>'[6]price list MAN'!AA1711</f>
        <v>#N/A</v>
      </c>
      <c r="P1711" s="68" t="e">
        <f t="shared" si="131"/>
        <v>#N/A</v>
      </c>
      <c r="Q1711" s="62" t="e">
        <f>O1711-#REF!</f>
        <v>#N/A</v>
      </c>
      <c r="AT1711" s="425" t="str">
        <f t="shared" si="132"/>
        <v>Special Order0</v>
      </c>
      <c r="AU1711" s="64" t="str">
        <f t="shared" si="133"/>
        <v>01-1900</v>
      </c>
      <c r="BA1711" s="428" t="str">
        <f t="shared" si="134"/>
        <v/>
      </c>
    </row>
    <row r="1712" spans="2:53">
      <c r="B1712" s="36">
        <f>'[6]price list MAN'!B1712</f>
        <v>0</v>
      </c>
      <c r="C1712" s="10">
        <f>'[6]price list MAN'!C1712</f>
        <v>0</v>
      </c>
      <c r="D1712" s="16" t="str">
        <f>IFERROR(VLOOKUP(C1712&amp;"",'[7]Retail Price List'!$A$3:$B$103,2,FALSE),"Special Order")</f>
        <v>Special Order</v>
      </c>
      <c r="E1712" s="494">
        <f>'[6]price list MAN'!E1712</f>
        <v>0</v>
      </c>
      <c r="F1712" s="11">
        <f>'[6]price list MAN'!F1712</f>
        <v>0</v>
      </c>
      <c r="G1712" s="32">
        <f>'[6]price list MAN'!G1712</f>
        <v>0</v>
      </c>
      <c r="H1712" s="26">
        <f>'[6]price list MAN'!H1712</f>
        <v>0</v>
      </c>
      <c r="I1712" s="51" t="str">
        <f t="shared" si="130"/>
        <v/>
      </c>
      <c r="J1712" s="177" t="e">
        <f>'[6]price list MAN'!J1712</f>
        <v>#N/A</v>
      </c>
      <c r="K1712" s="177" t="e">
        <f>'[6]price list MAN'!P1712</f>
        <v>#N/A</v>
      </c>
      <c r="L1712" s="177" t="e">
        <f>'[6]price list MAN'!R1712</f>
        <v>#N/A</v>
      </c>
      <c r="M1712" s="174" t="e">
        <f>'[6]price list MAN'!S1712</f>
        <v>#N/A</v>
      </c>
      <c r="N1712" s="174" t="e">
        <f>'[6]price list MAN'!Y1712</f>
        <v>#N/A</v>
      </c>
      <c r="O1712" s="174" t="e">
        <f>'[6]price list MAN'!AA1712</f>
        <v>#N/A</v>
      </c>
      <c r="P1712" s="68" t="e">
        <f t="shared" si="131"/>
        <v>#N/A</v>
      </c>
      <c r="Q1712" s="62" t="e">
        <f>O1712-#REF!</f>
        <v>#N/A</v>
      </c>
      <c r="AT1712" s="425" t="str">
        <f t="shared" si="132"/>
        <v>Special Order0</v>
      </c>
      <c r="AU1712" s="64" t="str">
        <f t="shared" si="133"/>
        <v>01-1900</v>
      </c>
      <c r="BA1712" s="428" t="str">
        <f t="shared" si="134"/>
        <v/>
      </c>
    </row>
    <row r="1713" spans="2:53">
      <c r="B1713" s="36">
        <f>'[6]price list MAN'!B1713</f>
        <v>0</v>
      </c>
      <c r="C1713" s="10">
        <f>'[6]price list MAN'!C1713</f>
        <v>0</v>
      </c>
      <c r="D1713" s="16" t="str">
        <f>IFERROR(VLOOKUP(C1713&amp;"",'[7]Retail Price List'!$A$3:$B$103,2,FALSE),"Special Order")</f>
        <v>Special Order</v>
      </c>
      <c r="E1713" s="494">
        <f>'[6]price list MAN'!E1713</f>
        <v>0</v>
      </c>
      <c r="F1713" s="11">
        <f>'[6]price list MAN'!F1713</f>
        <v>0</v>
      </c>
      <c r="G1713" s="32">
        <f>'[6]price list MAN'!G1713</f>
        <v>0</v>
      </c>
      <c r="H1713" s="26">
        <f>'[6]price list MAN'!H1713</f>
        <v>0</v>
      </c>
      <c r="I1713" s="51" t="str">
        <f t="shared" si="130"/>
        <v/>
      </c>
      <c r="J1713" s="177" t="e">
        <f>'[6]price list MAN'!J1713</f>
        <v>#N/A</v>
      </c>
      <c r="K1713" s="177" t="e">
        <f>'[6]price list MAN'!P1713</f>
        <v>#N/A</v>
      </c>
      <c r="L1713" s="177" t="e">
        <f>'[6]price list MAN'!R1713</f>
        <v>#N/A</v>
      </c>
      <c r="M1713" s="174" t="e">
        <f>'[6]price list MAN'!S1713</f>
        <v>#N/A</v>
      </c>
      <c r="N1713" s="174" t="e">
        <f>'[6]price list MAN'!Y1713</f>
        <v>#N/A</v>
      </c>
      <c r="O1713" s="174" t="e">
        <f>'[6]price list MAN'!AA1713</f>
        <v>#N/A</v>
      </c>
      <c r="P1713" s="68" t="e">
        <f t="shared" si="131"/>
        <v>#N/A</v>
      </c>
      <c r="Q1713" s="62" t="e">
        <f>O1713-#REF!</f>
        <v>#N/A</v>
      </c>
      <c r="AT1713" s="425" t="str">
        <f t="shared" si="132"/>
        <v>Special Order0</v>
      </c>
      <c r="AU1713" s="64" t="str">
        <f t="shared" si="133"/>
        <v>01-1900</v>
      </c>
      <c r="BA1713" s="428" t="str">
        <f t="shared" si="134"/>
        <v/>
      </c>
    </row>
    <row r="1714" spans="2:53">
      <c r="B1714" s="36">
        <f>'[6]price list MAN'!B1714</f>
        <v>0</v>
      </c>
      <c r="C1714" s="10">
        <f>'[6]price list MAN'!C1714</f>
        <v>0</v>
      </c>
      <c r="D1714" s="16" t="str">
        <f>IFERROR(VLOOKUP(C1714&amp;"",'[7]Retail Price List'!$A$3:$B$103,2,FALSE),"Special Order")</f>
        <v>Special Order</v>
      </c>
      <c r="E1714" s="494">
        <f>'[6]price list MAN'!E1714</f>
        <v>0</v>
      </c>
      <c r="F1714" s="11">
        <f>'[6]price list MAN'!F1714</f>
        <v>0</v>
      </c>
      <c r="G1714" s="32">
        <f>'[6]price list MAN'!G1714</f>
        <v>0</v>
      </c>
      <c r="H1714" s="26">
        <f>'[6]price list MAN'!H1714</f>
        <v>0</v>
      </c>
      <c r="I1714" s="51" t="str">
        <f t="shared" si="130"/>
        <v/>
      </c>
      <c r="J1714" s="177" t="e">
        <f>'[6]price list MAN'!J1714</f>
        <v>#N/A</v>
      </c>
      <c r="K1714" s="177" t="e">
        <f>'[6]price list MAN'!P1714</f>
        <v>#N/A</v>
      </c>
      <c r="L1714" s="177" t="e">
        <f>'[6]price list MAN'!R1714</f>
        <v>#N/A</v>
      </c>
      <c r="M1714" s="174" t="e">
        <f>'[6]price list MAN'!S1714</f>
        <v>#N/A</v>
      </c>
      <c r="N1714" s="174" t="e">
        <f>'[6]price list MAN'!Y1714</f>
        <v>#N/A</v>
      </c>
      <c r="O1714" s="174" t="e">
        <f>'[6]price list MAN'!AA1714</f>
        <v>#N/A</v>
      </c>
      <c r="P1714" s="68" t="e">
        <f t="shared" si="131"/>
        <v>#N/A</v>
      </c>
      <c r="Q1714" s="62" t="e">
        <f>O1714-#REF!</f>
        <v>#N/A</v>
      </c>
      <c r="AT1714" s="425" t="str">
        <f t="shared" si="132"/>
        <v>Special Order0</v>
      </c>
      <c r="AU1714" s="64" t="str">
        <f t="shared" si="133"/>
        <v>01-1900</v>
      </c>
      <c r="BA1714" s="428" t="str">
        <f t="shared" si="134"/>
        <v/>
      </c>
    </row>
    <row r="1715" spans="2:53">
      <c r="B1715" s="36">
        <f>'[6]price list MAN'!B1715</f>
        <v>0</v>
      </c>
      <c r="C1715" s="10">
        <f>'[6]price list MAN'!C1715</f>
        <v>0</v>
      </c>
      <c r="D1715" s="16" t="str">
        <f>IFERROR(VLOOKUP(C1715&amp;"",'[7]Retail Price List'!$A$3:$B$103,2,FALSE),"Special Order")</f>
        <v>Special Order</v>
      </c>
      <c r="E1715" s="494">
        <f>'[6]price list MAN'!E1715</f>
        <v>0</v>
      </c>
      <c r="F1715" s="11">
        <f>'[6]price list MAN'!F1715</f>
        <v>0</v>
      </c>
      <c r="G1715" s="32">
        <f>'[6]price list MAN'!G1715</f>
        <v>0</v>
      </c>
      <c r="H1715" s="26">
        <f>'[6]price list MAN'!H1715</f>
        <v>0</v>
      </c>
      <c r="I1715" s="51" t="str">
        <f t="shared" si="130"/>
        <v/>
      </c>
      <c r="J1715" s="177" t="e">
        <f>'[6]price list MAN'!J1715</f>
        <v>#N/A</v>
      </c>
      <c r="K1715" s="177" t="e">
        <f>'[6]price list MAN'!P1715</f>
        <v>#N/A</v>
      </c>
      <c r="L1715" s="177" t="e">
        <f>'[6]price list MAN'!R1715</f>
        <v>#N/A</v>
      </c>
      <c r="M1715" s="174" t="e">
        <f>'[6]price list MAN'!S1715</f>
        <v>#N/A</v>
      </c>
      <c r="N1715" s="174" t="e">
        <f>'[6]price list MAN'!Y1715</f>
        <v>#N/A</v>
      </c>
      <c r="O1715" s="174" t="e">
        <f>'[6]price list MAN'!AA1715</f>
        <v>#N/A</v>
      </c>
      <c r="P1715" s="68" t="e">
        <f t="shared" si="131"/>
        <v>#N/A</v>
      </c>
      <c r="Q1715" s="62" t="e">
        <f>O1715-#REF!</f>
        <v>#N/A</v>
      </c>
      <c r="AT1715" s="425" t="str">
        <f t="shared" si="132"/>
        <v>Special Order0</v>
      </c>
      <c r="AU1715" s="64" t="str">
        <f t="shared" si="133"/>
        <v>01-1900</v>
      </c>
      <c r="BA1715" s="428" t="str">
        <f t="shared" si="134"/>
        <v/>
      </c>
    </row>
    <row r="1716" spans="2:53">
      <c r="B1716" s="36">
        <f>'[6]price list MAN'!B1716</f>
        <v>0</v>
      </c>
      <c r="C1716" s="10">
        <f>'[6]price list MAN'!C1716</f>
        <v>0</v>
      </c>
      <c r="D1716" s="16" t="str">
        <f>IFERROR(VLOOKUP(C1716&amp;"",'[7]Retail Price List'!$A$3:$B$103,2,FALSE),"Special Order")</f>
        <v>Special Order</v>
      </c>
      <c r="E1716" s="494">
        <f>'[6]price list MAN'!E1716</f>
        <v>0</v>
      </c>
      <c r="F1716" s="11">
        <f>'[6]price list MAN'!F1716</f>
        <v>0</v>
      </c>
      <c r="G1716" s="32">
        <f>'[6]price list MAN'!G1716</f>
        <v>0</v>
      </c>
      <c r="H1716" s="26">
        <f>'[6]price list MAN'!H1716</f>
        <v>0</v>
      </c>
      <c r="I1716" s="51" t="str">
        <f t="shared" si="130"/>
        <v/>
      </c>
      <c r="J1716" s="177" t="e">
        <f>'[6]price list MAN'!J1716</f>
        <v>#N/A</v>
      </c>
      <c r="K1716" s="177" t="e">
        <f>'[6]price list MAN'!P1716</f>
        <v>#N/A</v>
      </c>
      <c r="L1716" s="177" t="e">
        <f>'[6]price list MAN'!R1716</f>
        <v>#N/A</v>
      </c>
      <c r="M1716" s="174" t="e">
        <f>'[6]price list MAN'!S1716</f>
        <v>#N/A</v>
      </c>
      <c r="N1716" s="174" t="e">
        <f>'[6]price list MAN'!Y1716</f>
        <v>#N/A</v>
      </c>
      <c r="O1716" s="174" t="e">
        <f>'[6]price list MAN'!AA1716</f>
        <v>#N/A</v>
      </c>
      <c r="P1716" s="68" t="e">
        <f t="shared" si="131"/>
        <v>#N/A</v>
      </c>
      <c r="Q1716" s="62" t="e">
        <f>O1716-#REF!</f>
        <v>#N/A</v>
      </c>
      <c r="AT1716" s="425" t="str">
        <f t="shared" si="132"/>
        <v>Special Order0</v>
      </c>
      <c r="AU1716" s="64" t="str">
        <f t="shared" si="133"/>
        <v>01-1900</v>
      </c>
      <c r="BA1716" s="428" t="str">
        <f t="shared" si="134"/>
        <v/>
      </c>
    </row>
    <row r="1717" spans="2:53">
      <c r="B1717" s="36">
        <f>'[6]price list MAN'!B1717</f>
        <v>0</v>
      </c>
      <c r="C1717" s="10">
        <f>'[6]price list MAN'!C1717</f>
        <v>0</v>
      </c>
      <c r="D1717" s="16" t="str">
        <f>IFERROR(VLOOKUP(C1717&amp;"",'[7]Retail Price List'!$A$3:$B$103,2,FALSE),"Special Order")</f>
        <v>Special Order</v>
      </c>
      <c r="E1717" s="494">
        <f>'[6]price list MAN'!E1717</f>
        <v>0</v>
      </c>
      <c r="F1717" s="11">
        <f>'[6]price list MAN'!F1717</f>
        <v>0</v>
      </c>
      <c r="G1717" s="32">
        <f>'[6]price list MAN'!G1717</f>
        <v>0</v>
      </c>
      <c r="H1717" s="26">
        <f>'[6]price list MAN'!H1717</f>
        <v>0</v>
      </c>
      <c r="I1717" s="51" t="str">
        <f t="shared" si="130"/>
        <v/>
      </c>
      <c r="J1717" s="177" t="e">
        <f>'[6]price list MAN'!J1717</f>
        <v>#N/A</v>
      </c>
      <c r="K1717" s="177" t="e">
        <f>'[6]price list MAN'!P1717</f>
        <v>#N/A</v>
      </c>
      <c r="L1717" s="177" t="e">
        <f>'[6]price list MAN'!R1717</f>
        <v>#N/A</v>
      </c>
      <c r="M1717" s="174" t="e">
        <f>'[6]price list MAN'!S1717</f>
        <v>#N/A</v>
      </c>
      <c r="N1717" s="174" t="e">
        <f>'[6]price list MAN'!Y1717</f>
        <v>#N/A</v>
      </c>
      <c r="O1717" s="174" t="e">
        <f>'[6]price list MAN'!AA1717</f>
        <v>#N/A</v>
      </c>
      <c r="P1717" s="68" t="e">
        <f t="shared" si="131"/>
        <v>#N/A</v>
      </c>
      <c r="Q1717" s="62" t="e">
        <f>O1717-#REF!</f>
        <v>#N/A</v>
      </c>
      <c r="AT1717" s="425" t="str">
        <f t="shared" si="132"/>
        <v>Special Order0</v>
      </c>
      <c r="AU1717" s="64" t="str">
        <f t="shared" si="133"/>
        <v>01-1900</v>
      </c>
      <c r="BA1717" s="428" t="str">
        <f t="shared" si="134"/>
        <v/>
      </c>
    </row>
    <row r="1718" spans="2:53">
      <c r="B1718" s="36">
        <f>'[6]price list MAN'!B1718</f>
        <v>0</v>
      </c>
      <c r="C1718" s="10">
        <f>'[6]price list MAN'!C1718</f>
        <v>0</v>
      </c>
      <c r="D1718" s="16" t="str">
        <f>IFERROR(VLOOKUP(C1718&amp;"",'[7]Retail Price List'!$A$3:$B$103,2,FALSE),"Special Order")</f>
        <v>Special Order</v>
      </c>
      <c r="E1718" s="494">
        <f>'[6]price list MAN'!E1718</f>
        <v>0</v>
      </c>
      <c r="F1718" s="11">
        <f>'[6]price list MAN'!F1718</f>
        <v>0</v>
      </c>
      <c r="G1718" s="32">
        <f>'[6]price list MAN'!G1718</f>
        <v>0</v>
      </c>
      <c r="H1718" s="26">
        <f>'[6]price list MAN'!H1718</f>
        <v>0</v>
      </c>
      <c r="I1718" s="51" t="str">
        <f t="shared" si="130"/>
        <v/>
      </c>
      <c r="J1718" s="177" t="e">
        <f>'[6]price list MAN'!J1718</f>
        <v>#N/A</v>
      </c>
      <c r="K1718" s="177" t="e">
        <f>'[6]price list MAN'!P1718</f>
        <v>#N/A</v>
      </c>
      <c r="L1718" s="177" t="e">
        <f>'[6]price list MAN'!R1718</f>
        <v>#N/A</v>
      </c>
      <c r="M1718" s="174" t="e">
        <f>'[6]price list MAN'!S1718</f>
        <v>#N/A</v>
      </c>
      <c r="N1718" s="174" t="e">
        <f>'[6]price list MAN'!Y1718</f>
        <v>#N/A</v>
      </c>
      <c r="O1718" s="174" t="e">
        <f>'[6]price list MAN'!AA1718</f>
        <v>#N/A</v>
      </c>
      <c r="P1718" s="68" t="e">
        <f t="shared" si="131"/>
        <v>#N/A</v>
      </c>
      <c r="Q1718" s="62" t="e">
        <f>O1718-#REF!</f>
        <v>#N/A</v>
      </c>
      <c r="AT1718" s="425" t="str">
        <f t="shared" si="132"/>
        <v>Special Order0</v>
      </c>
      <c r="AU1718" s="64" t="str">
        <f t="shared" si="133"/>
        <v>01-1900</v>
      </c>
      <c r="BA1718" s="428" t="str">
        <f t="shared" si="134"/>
        <v/>
      </c>
    </row>
    <row r="1719" spans="2:53">
      <c r="B1719" s="36">
        <f>'[6]price list MAN'!B1719</f>
        <v>0</v>
      </c>
      <c r="C1719" s="10">
        <f>'[6]price list MAN'!C1719</f>
        <v>0</v>
      </c>
      <c r="D1719" s="16" t="str">
        <f>IFERROR(VLOOKUP(C1719&amp;"",'[7]Retail Price List'!$A$3:$B$103,2,FALSE),"Special Order")</f>
        <v>Special Order</v>
      </c>
      <c r="E1719" s="494">
        <f>'[6]price list MAN'!E1719</f>
        <v>0</v>
      </c>
      <c r="F1719" s="11">
        <f>'[6]price list MAN'!F1719</f>
        <v>0</v>
      </c>
      <c r="G1719" s="32">
        <f>'[6]price list MAN'!G1719</f>
        <v>0</v>
      </c>
      <c r="H1719" s="26">
        <f>'[6]price list MAN'!H1719</f>
        <v>0</v>
      </c>
      <c r="I1719" s="51" t="str">
        <f t="shared" si="130"/>
        <v/>
      </c>
      <c r="J1719" s="177" t="e">
        <f>'[6]price list MAN'!J1719</f>
        <v>#N/A</v>
      </c>
      <c r="K1719" s="177" t="e">
        <f>'[6]price list MAN'!P1719</f>
        <v>#N/A</v>
      </c>
      <c r="L1719" s="177" t="e">
        <f>'[6]price list MAN'!R1719</f>
        <v>#N/A</v>
      </c>
      <c r="M1719" s="174" t="e">
        <f>'[6]price list MAN'!S1719</f>
        <v>#N/A</v>
      </c>
      <c r="N1719" s="174" t="e">
        <f>'[6]price list MAN'!Y1719</f>
        <v>#N/A</v>
      </c>
      <c r="O1719" s="174" t="e">
        <f>'[6]price list MAN'!AA1719</f>
        <v>#N/A</v>
      </c>
      <c r="P1719" s="68" t="e">
        <f t="shared" si="131"/>
        <v>#N/A</v>
      </c>
      <c r="Q1719" s="62" t="e">
        <f>O1719-#REF!</f>
        <v>#N/A</v>
      </c>
      <c r="AT1719" s="425" t="str">
        <f t="shared" si="132"/>
        <v>Special Order0</v>
      </c>
      <c r="AU1719" s="64" t="str">
        <f t="shared" si="133"/>
        <v>01-1900</v>
      </c>
      <c r="BA1719" s="428" t="str">
        <f t="shared" si="134"/>
        <v/>
      </c>
    </row>
    <row r="1720" spans="2:53">
      <c r="B1720" s="36">
        <f>'[6]price list MAN'!B1720</f>
        <v>0</v>
      </c>
      <c r="C1720" s="10">
        <f>'[6]price list MAN'!C1720</f>
        <v>0</v>
      </c>
      <c r="D1720" s="16" t="str">
        <f>IFERROR(VLOOKUP(C1720&amp;"",'[7]Retail Price List'!$A$3:$B$103,2,FALSE),"Special Order")</f>
        <v>Special Order</v>
      </c>
      <c r="E1720" s="494">
        <f>'[6]price list MAN'!E1720</f>
        <v>0</v>
      </c>
      <c r="F1720" s="11">
        <f>'[6]price list MAN'!F1720</f>
        <v>0</v>
      </c>
      <c r="G1720" s="32">
        <f>'[6]price list MAN'!G1720</f>
        <v>0</v>
      </c>
      <c r="H1720" s="26">
        <f>'[6]price list MAN'!H1720</f>
        <v>0</v>
      </c>
      <c r="I1720" s="51" t="str">
        <f t="shared" si="130"/>
        <v/>
      </c>
      <c r="J1720" s="177" t="e">
        <f>'[6]price list MAN'!J1720</f>
        <v>#N/A</v>
      </c>
      <c r="K1720" s="177" t="e">
        <f>'[6]price list MAN'!P1720</f>
        <v>#N/A</v>
      </c>
      <c r="L1720" s="177" t="e">
        <f>'[6]price list MAN'!R1720</f>
        <v>#N/A</v>
      </c>
      <c r="M1720" s="174" t="e">
        <f>'[6]price list MAN'!S1720</f>
        <v>#N/A</v>
      </c>
      <c r="N1720" s="174" t="e">
        <f>'[6]price list MAN'!Y1720</f>
        <v>#N/A</v>
      </c>
      <c r="O1720" s="174" t="e">
        <f>'[6]price list MAN'!AA1720</f>
        <v>#N/A</v>
      </c>
      <c r="P1720" s="68" t="e">
        <f t="shared" si="131"/>
        <v>#N/A</v>
      </c>
      <c r="Q1720" s="62" t="e">
        <f>O1720-#REF!</f>
        <v>#N/A</v>
      </c>
      <c r="AT1720" s="425" t="str">
        <f t="shared" si="132"/>
        <v>Special Order0</v>
      </c>
      <c r="AU1720" s="64" t="str">
        <f t="shared" si="133"/>
        <v>01-1900</v>
      </c>
      <c r="BA1720" s="428" t="str">
        <f t="shared" si="134"/>
        <v/>
      </c>
    </row>
    <row r="1721" spans="2:53">
      <c r="B1721" s="36">
        <f>'[6]price list MAN'!B1721</f>
        <v>0</v>
      </c>
      <c r="C1721" s="10">
        <f>'[6]price list MAN'!C1721</f>
        <v>0</v>
      </c>
      <c r="D1721" s="16" t="str">
        <f>IFERROR(VLOOKUP(C1721&amp;"",'[7]Retail Price List'!$A$3:$B$103,2,FALSE),"Special Order")</f>
        <v>Special Order</v>
      </c>
      <c r="E1721" s="494">
        <f>'[6]price list MAN'!E1721</f>
        <v>0</v>
      </c>
      <c r="F1721" s="11">
        <f>'[6]price list MAN'!F1721</f>
        <v>0</v>
      </c>
      <c r="G1721" s="32">
        <f>'[6]price list MAN'!G1721</f>
        <v>0</v>
      </c>
      <c r="H1721" s="26">
        <f>'[6]price list MAN'!H1721</f>
        <v>0</v>
      </c>
      <c r="I1721" s="51" t="str">
        <f t="shared" si="130"/>
        <v/>
      </c>
      <c r="J1721" s="177" t="e">
        <f>'[6]price list MAN'!J1721</f>
        <v>#N/A</v>
      </c>
      <c r="K1721" s="177" t="e">
        <f>'[6]price list MAN'!P1721</f>
        <v>#N/A</v>
      </c>
      <c r="L1721" s="177" t="e">
        <f>'[6]price list MAN'!R1721</f>
        <v>#N/A</v>
      </c>
      <c r="M1721" s="174" t="e">
        <f>'[6]price list MAN'!S1721</f>
        <v>#N/A</v>
      </c>
      <c r="N1721" s="174" t="e">
        <f>'[6]price list MAN'!Y1721</f>
        <v>#N/A</v>
      </c>
      <c r="O1721" s="174" t="e">
        <f>'[6]price list MAN'!AA1721</f>
        <v>#N/A</v>
      </c>
      <c r="P1721" s="68" t="e">
        <f t="shared" si="131"/>
        <v>#N/A</v>
      </c>
      <c r="Q1721" s="62" t="e">
        <f>O1721-#REF!</f>
        <v>#N/A</v>
      </c>
      <c r="AT1721" s="425" t="str">
        <f t="shared" si="132"/>
        <v>Special Order0</v>
      </c>
      <c r="AU1721" s="64" t="str">
        <f t="shared" si="133"/>
        <v>01-1900</v>
      </c>
      <c r="BA1721" s="428" t="str">
        <f t="shared" si="134"/>
        <v/>
      </c>
    </row>
    <row r="1722" spans="2:53">
      <c r="B1722" s="36">
        <f>'[6]price list MAN'!B1722</f>
        <v>0</v>
      </c>
      <c r="C1722" s="10">
        <f>'[6]price list MAN'!C1722</f>
        <v>0</v>
      </c>
      <c r="D1722" s="16" t="str">
        <f>IFERROR(VLOOKUP(C1722&amp;"",'[7]Retail Price List'!$A$3:$B$103,2,FALSE),"Special Order")</f>
        <v>Special Order</v>
      </c>
      <c r="E1722" s="494">
        <f>'[6]price list MAN'!E1722</f>
        <v>0</v>
      </c>
      <c r="F1722" s="11">
        <f>'[6]price list MAN'!F1722</f>
        <v>0</v>
      </c>
      <c r="G1722" s="32">
        <f>'[6]price list MAN'!G1722</f>
        <v>0</v>
      </c>
      <c r="H1722" s="26">
        <f>'[6]price list MAN'!H1722</f>
        <v>0</v>
      </c>
      <c r="I1722" s="51" t="str">
        <f t="shared" si="130"/>
        <v/>
      </c>
      <c r="J1722" s="177" t="e">
        <f>'[6]price list MAN'!J1722</f>
        <v>#N/A</v>
      </c>
      <c r="K1722" s="177" t="e">
        <f>'[6]price list MAN'!P1722</f>
        <v>#N/A</v>
      </c>
      <c r="L1722" s="177" t="e">
        <f>'[6]price list MAN'!R1722</f>
        <v>#N/A</v>
      </c>
      <c r="M1722" s="174" t="e">
        <f>'[6]price list MAN'!S1722</f>
        <v>#N/A</v>
      </c>
      <c r="N1722" s="174" t="e">
        <f>'[6]price list MAN'!Y1722</f>
        <v>#N/A</v>
      </c>
      <c r="O1722" s="174" t="e">
        <f>'[6]price list MAN'!AA1722</f>
        <v>#N/A</v>
      </c>
      <c r="P1722" s="68" t="e">
        <f t="shared" si="131"/>
        <v>#N/A</v>
      </c>
      <c r="Q1722" s="62" t="e">
        <f>O1722-#REF!</f>
        <v>#N/A</v>
      </c>
      <c r="AT1722" s="425" t="str">
        <f t="shared" si="132"/>
        <v>Special Order0</v>
      </c>
      <c r="AU1722" s="64" t="str">
        <f t="shared" si="133"/>
        <v>01-1900</v>
      </c>
      <c r="BA1722" s="428" t="str">
        <f t="shared" si="134"/>
        <v/>
      </c>
    </row>
    <row r="1723" spans="2:53">
      <c r="B1723" s="36">
        <f>'[6]price list MAN'!B1723</f>
        <v>0</v>
      </c>
      <c r="C1723" s="10">
        <f>'[6]price list MAN'!C1723</f>
        <v>0</v>
      </c>
      <c r="D1723" s="16" t="str">
        <f>IFERROR(VLOOKUP(C1723&amp;"",'[7]Retail Price List'!$A$3:$B$103,2,FALSE),"Special Order")</f>
        <v>Special Order</v>
      </c>
      <c r="E1723" s="494">
        <f>'[6]price list MAN'!E1723</f>
        <v>0</v>
      </c>
      <c r="F1723" s="11">
        <f>'[6]price list MAN'!F1723</f>
        <v>0</v>
      </c>
      <c r="G1723" s="32">
        <f>'[6]price list MAN'!G1723</f>
        <v>0</v>
      </c>
      <c r="H1723" s="26">
        <f>'[6]price list MAN'!H1723</f>
        <v>0</v>
      </c>
      <c r="I1723" s="51" t="str">
        <f t="shared" si="130"/>
        <v/>
      </c>
      <c r="J1723" s="177" t="e">
        <f>'[6]price list MAN'!J1723</f>
        <v>#N/A</v>
      </c>
      <c r="K1723" s="177" t="e">
        <f>'[6]price list MAN'!P1723</f>
        <v>#N/A</v>
      </c>
      <c r="L1723" s="177" t="e">
        <f>'[6]price list MAN'!R1723</f>
        <v>#N/A</v>
      </c>
      <c r="M1723" s="174" t="e">
        <f>'[6]price list MAN'!S1723</f>
        <v>#N/A</v>
      </c>
      <c r="N1723" s="174" t="e">
        <f>'[6]price list MAN'!Y1723</f>
        <v>#N/A</v>
      </c>
      <c r="O1723" s="174" t="e">
        <f>'[6]price list MAN'!AA1723</f>
        <v>#N/A</v>
      </c>
      <c r="P1723" s="68" t="e">
        <f t="shared" si="131"/>
        <v>#N/A</v>
      </c>
      <c r="Q1723" s="62" t="e">
        <f>O1723-#REF!</f>
        <v>#N/A</v>
      </c>
      <c r="AT1723" s="425" t="str">
        <f t="shared" si="132"/>
        <v>Special Order0</v>
      </c>
      <c r="AU1723" s="64" t="str">
        <f t="shared" si="133"/>
        <v>01-1900</v>
      </c>
      <c r="BA1723" s="428" t="str">
        <f t="shared" si="134"/>
        <v/>
      </c>
    </row>
    <row r="1724" spans="2:53">
      <c r="B1724" s="36">
        <f>'[6]price list MAN'!B1724</f>
        <v>0</v>
      </c>
      <c r="C1724" s="10">
        <f>'[6]price list MAN'!C1724</f>
        <v>0</v>
      </c>
      <c r="D1724" s="16" t="str">
        <f>IFERROR(VLOOKUP(C1724&amp;"",'[7]Retail Price List'!$A$3:$B$103,2,FALSE),"Special Order")</f>
        <v>Special Order</v>
      </c>
      <c r="E1724" s="494">
        <f>'[6]price list MAN'!E1724</f>
        <v>0</v>
      </c>
      <c r="F1724" s="11">
        <f>'[6]price list MAN'!F1724</f>
        <v>0</v>
      </c>
      <c r="G1724" s="32">
        <f>'[6]price list MAN'!G1724</f>
        <v>0</v>
      </c>
      <c r="H1724" s="26">
        <f>'[6]price list MAN'!H1724</f>
        <v>0</v>
      </c>
      <c r="I1724" s="51" t="str">
        <f t="shared" si="130"/>
        <v/>
      </c>
      <c r="J1724" s="177" t="e">
        <f>'[6]price list MAN'!J1724</f>
        <v>#N/A</v>
      </c>
      <c r="K1724" s="177" t="e">
        <f>'[6]price list MAN'!P1724</f>
        <v>#N/A</v>
      </c>
      <c r="L1724" s="177" t="e">
        <f>'[6]price list MAN'!R1724</f>
        <v>#N/A</v>
      </c>
      <c r="M1724" s="174" t="e">
        <f>'[6]price list MAN'!S1724</f>
        <v>#N/A</v>
      </c>
      <c r="N1724" s="174" t="e">
        <f>'[6]price list MAN'!Y1724</f>
        <v>#N/A</v>
      </c>
      <c r="O1724" s="174" t="e">
        <f>'[6]price list MAN'!AA1724</f>
        <v>#N/A</v>
      </c>
      <c r="P1724" s="68" t="e">
        <f t="shared" si="131"/>
        <v>#N/A</v>
      </c>
      <c r="Q1724" s="62" t="e">
        <f>O1724-#REF!</f>
        <v>#N/A</v>
      </c>
      <c r="AT1724" s="425" t="str">
        <f t="shared" si="132"/>
        <v>Special Order0</v>
      </c>
      <c r="AU1724" s="64" t="str">
        <f t="shared" si="133"/>
        <v>01-1900</v>
      </c>
      <c r="BA1724" s="428" t="str">
        <f t="shared" si="134"/>
        <v/>
      </c>
    </row>
    <row r="1725" spans="2:53">
      <c r="B1725" s="36">
        <f>'[6]price list MAN'!B1725</f>
        <v>0</v>
      </c>
      <c r="C1725" s="10">
        <f>'[6]price list MAN'!C1725</f>
        <v>0</v>
      </c>
      <c r="D1725" s="16" t="str">
        <f>IFERROR(VLOOKUP(C1725&amp;"",'[7]Retail Price List'!$A$3:$B$103,2,FALSE),"Special Order")</f>
        <v>Special Order</v>
      </c>
      <c r="E1725" s="494">
        <f>'[6]price list MAN'!E1725</f>
        <v>0</v>
      </c>
      <c r="F1725" s="11">
        <f>'[6]price list MAN'!F1725</f>
        <v>0</v>
      </c>
      <c r="G1725" s="32">
        <f>'[6]price list MAN'!G1725</f>
        <v>0</v>
      </c>
      <c r="H1725" s="26">
        <f>'[6]price list MAN'!H1725</f>
        <v>0</v>
      </c>
      <c r="I1725" s="51" t="str">
        <f t="shared" si="130"/>
        <v/>
      </c>
      <c r="J1725" s="177" t="e">
        <f>'[6]price list MAN'!J1725</f>
        <v>#N/A</v>
      </c>
      <c r="K1725" s="177" t="e">
        <f>'[6]price list MAN'!P1725</f>
        <v>#N/A</v>
      </c>
      <c r="L1725" s="177" t="e">
        <f>'[6]price list MAN'!R1725</f>
        <v>#N/A</v>
      </c>
      <c r="M1725" s="174" t="e">
        <f>'[6]price list MAN'!S1725</f>
        <v>#N/A</v>
      </c>
      <c r="N1725" s="174" t="e">
        <f>'[6]price list MAN'!Y1725</f>
        <v>#N/A</v>
      </c>
      <c r="O1725" s="174" t="e">
        <f>'[6]price list MAN'!AA1725</f>
        <v>#N/A</v>
      </c>
      <c r="P1725" s="68" t="e">
        <f t="shared" si="131"/>
        <v>#N/A</v>
      </c>
      <c r="Q1725" s="62" t="e">
        <f>O1725-#REF!</f>
        <v>#N/A</v>
      </c>
      <c r="AT1725" s="425" t="str">
        <f t="shared" si="132"/>
        <v>Special Order0</v>
      </c>
      <c r="AU1725" s="64" t="str">
        <f t="shared" si="133"/>
        <v>01-1900</v>
      </c>
      <c r="BA1725" s="428" t="str">
        <f t="shared" si="134"/>
        <v/>
      </c>
    </row>
    <row r="1726" spans="2:53">
      <c r="B1726" s="36">
        <f>'[6]price list MAN'!B1726</f>
        <v>0</v>
      </c>
      <c r="C1726" s="10">
        <f>'[6]price list MAN'!C1726</f>
        <v>0</v>
      </c>
      <c r="D1726" s="16" t="str">
        <f>IFERROR(VLOOKUP(C1726&amp;"",'[7]Retail Price List'!$A$3:$B$103,2,FALSE),"Special Order")</f>
        <v>Special Order</v>
      </c>
      <c r="E1726" s="494">
        <f>'[6]price list MAN'!E1726</f>
        <v>0</v>
      </c>
      <c r="F1726" s="11">
        <f>'[6]price list MAN'!F1726</f>
        <v>0</v>
      </c>
      <c r="G1726" s="32">
        <f>'[6]price list MAN'!G1726</f>
        <v>0</v>
      </c>
      <c r="H1726" s="26">
        <f>'[6]price list MAN'!H1726</f>
        <v>0</v>
      </c>
      <c r="I1726" s="51" t="str">
        <f t="shared" si="130"/>
        <v/>
      </c>
      <c r="J1726" s="177" t="e">
        <f>'[6]price list MAN'!J1726</f>
        <v>#N/A</v>
      </c>
      <c r="K1726" s="177" t="e">
        <f>'[6]price list MAN'!P1726</f>
        <v>#N/A</v>
      </c>
      <c r="L1726" s="177" t="e">
        <f>'[6]price list MAN'!R1726</f>
        <v>#N/A</v>
      </c>
      <c r="M1726" s="174" t="e">
        <f>'[6]price list MAN'!S1726</f>
        <v>#N/A</v>
      </c>
      <c r="N1726" s="174" t="e">
        <f>'[6]price list MAN'!Y1726</f>
        <v>#N/A</v>
      </c>
      <c r="O1726" s="174" t="e">
        <f>'[6]price list MAN'!AA1726</f>
        <v>#N/A</v>
      </c>
      <c r="P1726" s="68" t="e">
        <f t="shared" si="131"/>
        <v>#N/A</v>
      </c>
      <c r="Q1726" s="62" t="e">
        <f>O1726-#REF!</f>
        <v>#N/A</v>
      </c>
      <c r="AT1726" s="425" t="str">
        <f t="shared" si="132"/>
        <v>Special Order0</v>
      </c>
      <c r="AU1726" s="64" t="str">
        <f t="shared" si="133"/>
        <v>01-1900</v>
      </c>
      <c r="BA1726" s="428" t="str">
        <f t="shared" si="134"/>
        <v/>
      </c>
    </row>
    <row r="1727" spans="2:53">
      <c r="B1727" s="36">
        <f>'[6]price list MAN'!B1727</f>
        <v>0</v>
      </c>
      <c r="C1727" s="10">
        <f>'[6]price list MAN'!C1727</f>
        <v>0</v>
      </c>
      <c r="D1727" s="16" t="str">
        <f>IFERROR(VLOOKUP(C1727&amp;"",'[7]Retail Price List'!$A$3:$B$103,2,FALSE),"Special Order")</f>
        <v>Special Order</v>
      </c>
      <c r="E1727" s="494">
        <f>'[6]price list MAN'!E1727</f>
        <v>0</v>
      </c>
      <c r="F1727" s="11">
        <f>'[6]price list MAN'!F1727</f>
        <v>0</v>
      </c>
      <c r="G1727" s="32">
        <f>'[6]price list MAN'!G1727</f>
        <v>0</v>
      </c>
      <c r="H1727" s="26">
        <f>'[6]price list MAN'!H1727</f>
        <v>0</v>
      </c>
      <c r="I1727" s="51" t="str">
        <f t="shared" si="130"/>
        <v/>
      </c>
      <c r="J1727" s="177" t="e">
        <f>'[6]price list MAN'!J1727</f>
        <v>#N/A</v>
      </c>
      <c r="K1727" s="177" t="e">
        <f>'[6]price list MAN'!P1727</f>
        <v>#N/A</v>
      </c>
      <c r="L1727" s="177" t="e">
        <f>'[6]price list MAN'!R1727</f>
        <v>#N/A</v>
      </c>
      <c r="M1727" s="174" t="e">
        <f>'[6]price list MAN'!S1727</f>
        <v>#N/A</v>
      </c>
      <c r="N1727" s="174" t="e">
        <f>'[6]price list MAN'!Y1727</f>
        <v>#N/A</v>
      </c>
      <c r="O1727" s="174" t="e">
        <f>'[6]price list MAN'!AA1727</f>
        <v>#N/A</v>
      </c>
      <c r="P1727" s="68" t="e">
        <f t="shared" si="131"/>
        <v>#N/A</v>
      </c>
      <c r="Q1727" s="62" t="e">
        <f>O1727-#REF!</f>
        <v>#N/A</v>
      </c>
      <c r="AT1727" s="425" t="str">
        <f t="shared" si="132"/>
        <v>Special Order0</v>
      </c>
      <c r="AU1727" s="64" t="str">
        <f t="shared" si="133"/>
        <v>01-1900</v>
      </c>
      <c r="BA1727" s="428" t="str">
        <f t="shared" si="134"/>
        <v/>
      </c>
    </row>
    <row r="1728" spans="2:53">
      <c r="B1728" s="36">
        <f>'[6]price list MAN'!B1728</f>
        <v>0</v>
      </c>
      <c r="C1728" s="10">
        <f>'[6]price list MAN'!C1728</f>
        <v>0</v>
      </c>
      <c r="D1728" s="16" t="str">
        <f>IFERROR(VLOOKUP(C1728&amp;"",'[7]Retail Price List'!$A$3:$B$103,2,FALSE),"Special Order")</f>
        <v>Special Order</v>
      </c>
      <c r="E1728" s="494">
        <f>'[6]price list MAN'!E1728</f>
        <v>0</v>
      </c>
      <c r="F1728" s="11">
        <f>'[6]price list MAN'!F1728</f>
        <v>0</v>
      </c>
      <c r="G1728" s="32">
        <f>'[6]price list MAN'!G1728</f>
        <v>0</v>
      </c>
      <c r="H1728" s="26">
        <f>'[6]price list MAN'!H1728</f>
        <v>0</v>
      </c>
      <c r="I1728" s="51" t="str">
        <f t="shared" si="130"/>
        <v/>
      </c>
      <c r="J1728" s="177" t="e">
        <f>'[6]price list MAN'!J1728</f>
        <v>#N/A</v>
      </c>
      <c r="K1728" s="177" t="e">
        <f>'[6]price list MAN'!P1728</f>
        <v>#N/A</v>
      </c>
      <c r="L1728" s="177" t="e">
        <f>'[6]price list MAN'!R1728</f>
        <v>#N/A</v>
      </c>
      <c r="M1728" s="174" t="e">
        <f>'[6]price list MAN'!S1728</f>
        <v>#N/A</v>
      </c>
      <c r="N1728" s="174" t="e">
        <f>'[6]price list MAN'!Y1728</f>
        <v>#N/A</v>
      </c>
      <c r="O1728" s="174" t="e">
        <f>'[6]price list MAN'!AA1728</f>
        <v>#N/A</v>
      </c>
      <c r="P1728" s="68" t="e">
        <f t="shared" si="131"/>
        <v>#N/A</v>
      </c>
      <c r="Q1728" s="62" t="e">
        <f>O1728-#REF!</f>
        <v>#N/A</v>
      </c>
      <c r="AT1728" s="425" t="str">
        <f t="shared" si="132"/>
        <v>Special Order0</v>
      </c>
      <c r="AU1728" s="64" t="str">
        <f t="shared" si="133"/>
        <v>01-1900</v>
      </c>
      <c r="BA1728" s="428" t="str">
        <f t="shared" si="134"/>
        <v/>
      </c>
    </row>
    <row r="1729" spans="2:53">
      <c r="B1729" s="36">
        <f>'[6]price list MAN'!B1729</f>
        <v>0</v>
      </c>
      <c r="C1729" s="10">
        <f>'[6]price list MAN'!C1729</f>
        <v>0</v>
      </c>
      <c r="D1729" s="16" t="str">
        <f>IFERROR(VLOOKUP(C1729&amp;"",'[7]Retail Price List'!$A$3:$B$103,2,FALSE),"Special Order")</f>
        <v>Special Order</v>
      </c>
      <c r="E1729" s="494">
        <f>'[6]price list MAN'!E1729</f>
        <v>0</v>
      </c>
      <c r="F1729" s="11">
        <f>'[6]price list MAN'!F1729</f>
        <v>0</v>
      </c>
      <c r="G1729" s="32">
        <f>'[6]price list MAN'!G1729</f>
        <v>0</v>
      </c>
      <c r="H1729" s="26">
        <f>'[6]price list MAN'!H1729</f>
        <v>0</v>
      </c>
      <c r="I1729" s="51" t="str">
        <f t="shared" si="130"/>
        <v/>
      </c>
      <c r="J1729" s="177" t="e">
        <f>'[6]price list MAN'!J1729</f>
        <v>#N/A</v>
      </c>
      <c r="K1729" s="177" t="e">
        <f>'[6]price list MAN'!P1729</f>
        <v>#N/A</v>
      </c>
      <c r="L1729" s="177" t="e">
        <f>'[6]price list MAN'!R1729</f>
        <v>#N/A</v>
      </c>
      <c r="M1729" s="174" t="e">
        <f>'[6]price list MAN'!S1729</f>
        <v>#N/A</v>
      </c>
      <c r="N1729" s="174" t="e">
        <f>'[6]price list MAN'!Y1729</f>
        <v>#N/A</v>
      </c>
      <c r="O1729" s="174" t="e">
        <f>'[6]price list MAN'!AA1729</f>
        <v>#N/A</v>
      </c>
      <c r="P1729" s="68" t="e">
        <f t="shared" si="131"/>
        <v>#N/A</v>
      </c>
      <c r="Q1729" s="62" t="e">
        <f>O1729-#REF!</f>
        <v>#N/A</v>
      </c>
      <c r="AT1729" s="425" t="str">
        <f t="shared" si="132"/>
        <v>Special Order0</v>
      </c>
      <c r="AU1729" s="64" t="str">
        <f t="shared" si="133"/>
        <v>01-1900</v>
      </c>
      <c r="BA1729" s="428" t="str">
        <f t="shared" si="134"/>
        <v/>
      </c>
    </row>
    <row r="1730" spans="2:53">
      <c r="B1730" s="36">
        <f>'[6]price list MAN'!B1730</f>
        <v>0</v>
      </c>
      <c r="C1730" s="10">
        <f>'[6]price list MAN'!C1730</f>
        <v>0</v>
      </c>
      <c r="D1730" s="16" t="str">
        <f>IFERROR(VLOOKUP(C1730&amp;"",'[7]Retail Price List'!$A$3:$B$103,2,FALSE),"Special Order")</f>
        <v>Special Order</v>
      </c>
      <c r="E1730" s="494">
        <f>'[6]price list MAN'!E1730</f>
        <v>0</v>
      </c>
      <c r="F1730" s="11">
        <f>'[6]price list MAN'!F1730</f>
        <v>0</v>
      </c>
      <c r="G1730" s="32">
        <f>'[6]price list MAN'!G1730</f>
        <v>0</v>
      </c>
      <c r="H1730" s="26">
        <f>'[6]price list MAN'!H1730</f>
        <v>0</v>
      </c>
      <c r="I1730" s="51" t="str">
        <f t="shared" si="130"/>
        <v/>
      </c>
      <c r="J1730" s="177" t="e">
        <f>'[6]price list MAN'!J1730</f>
        <v>#N/A</v>
      </c>
      <c r="K1730" s="177" t="e">
        <f>'[6]price list MAN'!P1730</f>
        <v>#N/A</v>
      </c>
      <c r="L1730" s="177" t="e">
        <f>'[6]price list MAN'!R1730</f>
        <v>#N/A</v>
      </c>
      <c r="M1730" s="174" t="e">
        <f>'[6]price list MAN'!S1730</f>
        <v>#N/A</v>
      </c>
      <c r="N1730" s="174" t="e">
        <f>'[6]price list MAN'!Y1730</f>
        <v>#N/A</v>
      </c>
      <c r="O1730" s="174" t="e">
        <f>'[6]price list MAN'!AA1730</f>
        <v>#N/A</v>
      </c>
      <c r="P1730" s="68" t="e">
        <f t="shared" si="131"/>
        <v>#N/A</v>
      </c>
      <c r="Q1730" s="62" t="e">
        <f>O1730-#REF!</f>
        <v>#N/A</v>
      </c>
      <c r="AT1730" s="425" t="str">
        <f t="shared" si="132"/>
        <v>Special Order0</v>
      </c>
      <c r="AU1730" s="64" t="str">
        <f t="shared" si="133"/>
        <v>01-1900</v>
      </c>
      <c r="BA1730" s="428" t="str">
        <f t="shared" si="134"/>
        <v/>
      </c>
    </row>
    <row r="1731" spans="2:53">
      <c r="B1731" s="36">
        <f>'[6]price list MAN'!B1731</f>
        <v>0</v>
      </c>
      <c r="C1731" s="10">
        <f>'[6]price list MAN'!C1731</f>
        <v>0</v>
      </c>
      <c r="D1731" s="16" t="str">
        <f>IFERROR(VLOOKUP(C1731&amp;"",'[7]Retail Price List'!$A$3:$B$103,2,FALSE),"Special Order")</f>
        <v>Special Order</v>
      </c>
      <c r="E1731" s="494">
        <f>'[6]price list MAN'!E1731</f>
        <v>0</v>
      </c>
      <c r="F1731" s="11">
        <f>'[6]price list MAN'!F1731</f>
        <v>0</v>
      </c>
      <c r="G1731" s="32">
        <f>'[6]price list MAN'!G1731</f>
        <v>0</v>
      </c>
      <c r="H1731" s="26">
        <f>'[6]price list MAN'!H1731</f>
        <v>0</v>
      </c>
      <c r="I1731" s="51" t="str">
        <f t="shared" si="130"/>
        <v/>
      </c>
      <c r="J1731" s="177" t="e">
        <f>'[6]price list MAN'!J1731</f>
        <v>#N/A</v>
      </c>
      <c r="K1731" s="177" t="e">
        <f>'[6]price list MAN'!P1731</f>
        <v>#N/A</v>
      </c>
      <c r="L1731" s="177" t="e">
        <f>'[6]price list MAN'!R1731</f>
        <v>#N/A</v>
      </c>
      <c r="M1731" s="174" t="e">
        <f>'[6]price list MAN'!S1731</f>
        <v>#N/A</v>
      </c>
      <c r="N1731" s="174" t="e">
        <f>'[6]price list MAN'!Y1731</f>
        <v>#N/A</v>
      </c>
      <c r="O1731" s="174" t="e">
        <f>'[6]price list MAN'!AA1731</f>
        <v>#N/A</v>
      </c>
      <c r="P1731" s="68" t="e">
        <f t="shared" si="131"/>
        <v>#N/A</v>
      </c>
      <c r="Q1731" s="62" t="e">
        <f>O1731-#REF!</f>
        <v>#N/A</v>
      </c>
      <c r="AT1731" s="425" t="str">
        <f t="shared" si="132"/>
        <v>Special Order0</v>
      </c>
      <c r="AU1731" s="64" t="str">
        <f t="shared" si="133"/>
        <v>01-1900</v>
      </c>
      <c r="BA1731" s="428" t="str">
        <f t="shared" si="134"/>
        <v/>
      </c>
    </row>
    <row r="1732" spans="2:53">
      <c r="B1732" s="36">
        <f>'[6]price list MAN'!B1732</f>
        <v>0</v>
      </c>
      <c r="C1732" s="10">
        <f>'[6]price list MAN'!C1732</f>
        <v>0</v>
      </c>
      <c r="D1732" s="16" t="str">
        <f>IFERROR(VLOOKUP(C1732&amp;"",'[7]Retail Price List'!$A$3:$B$103,2,FALSE),"Special Order")</f>
        <v>Special Order</v>
      </c>
      <c r="E1732" s="494">
        <f>'[6]price list MAN'!E1732</f>
        <v>0</v>
      </c>
      <c r="F1732" s="11">
        <f>'[6]price list MAN'!F1732</f>
        <v>0</v>
      </c>
      <c r="G1732" s="32">
        <f>'[6]price list MAN'!G1732</f>
        <v>0</v>
      </c>
      <c r="H1732" s="26">
        <f>'[6]price list MAN'!H1732</f>
        <v>0</v>
      </c>
      <c r="I1732" s="51" t="str">
        <f t="shared" si="130"/>
        <v/>
      </c>
      <c r="J1732" s="177" t="e">
        <f>'[6]price list MAN'!J1732</f>
        <v>#N/A</v>
      </c>
      <c r="K1732" s="177" t="e">
        <f>'[6]price list MAN'!P1732</f>
        <v>#N/A</v>
      </c>
      <c r="L1732" s="177" t="e">
        <f>'[6]price list MAN'!R1732</f>
        <v>#N/A</v>
      </c>
      <c r="M1732" s="174" t="e">
        <f>'[6]price list MAN'!S1732</f>
        <v>#N/A</v>
      </c>
      <c r="N1732" s="174" t="e">
        <f>'[6]price list MAN'!Y1732</f>
        <v>#N/A</v>
      </c>
      <c r="O1732" s="174" t="e">
        <f>'[6]price list MAN'!AA1732</f>
        <v>#N/A</v>
      </c>
      <c r="P1732" s="68" t="e">
        <f t="shared" si="131"/>
        <v>#N/A</v>
      </c>
      <c r="Q1732" s="62" t="e">
        <f>O1732-#REF!</f>
        <v>#N/A</v>
      </c>
      <c r="AT1732" s="425" t="str">
        <f t="shared" si="132"/>
        <v>Special Order0</v>
      </c>
      <c r="AU1732" s="64" t="str">
        <f t="shared" si="133"/>
        <v>01-1900</v>
      </c>
      <c r="BA1732" s="428" t="str">
        <f t="shared" si="134"/>
        <v/>
      </c>
    </row>
    <row r="1733" spans="2:53">
      <c r="B1733" s="36">
        <f>'[6]price list MAN'!B1733</f>
        <v>0</v>
      </c>
      <c r="C1733" s="10">
        <f>'[6]price list MAN'!C1733</f>
        <v>0</v>
      </c>
      <c r="D1733" s="16" t="str">
        <f>IFERROR(VLOOKUP(C1733&amp;"",'[7]Retail Price List'!$A$3:$B$103,2,FALSE),"Special Order")</f>
        <v>Special Order</v>
      </c>
      <c r="E1733" s="494">
        <f>'[6]price list MAN'!E1733</f>
        <v>0</v>
      </c>
      <c r="F1733" s="11">
        <f>'[6]price list MAN'!F1733</f>
        <v>0</v>
      </c>
      <c r="G1733" s="32">
        <f>'[6]price list MAN'!G1733</f>
        <v>0</v>
      </c>
      <c r="H1733" s="26">
        <f>'[6]price list MAN'!H1733</f>
        <v>0</v>
      </c>
      <c r="I1733" s="51" t="str">
        <f t="shared" ref="I1733:I1796" si="135">IFERROR(VLOOKUP(AU1733,$AW$5:$AY$40,3,FALSE),"")</f>
        <v/>
      </c>
      <c r="J1733" s="177" t="e">
        <f>'[6]price list MAN'!J1733</f>
        <v>#N/A</v>
      </c>
      <c r="K1733" s="177" t="e">
        <f>'[6]price list MAN'!P1733</f>
        <v>#N/A</v>
      </c>
      <c r="L1733" s="177" t="e">
        <f>'[6]price list MAN'!R1733</f>
        <v>#N/A</v>
      </c>
      <c r="M1733" s="174" t="e">
        <f>'[6]price list MAN'!S1733</f>
        <v>#N/A</v>
      </c>
      <c r="N1733" s="174" t="e">
        <f>'[6]price list MAN'!Y1733</f>
        <v>#N/A</v>
      </c>
      <c r="O1733" s="174" t="e">
        <f>'[6]price list MAN'!AA1733</f>
        <v>#N/A</v>
      </c>
      <c r="P1733" s="68" t="e">
        <f t="shared" ref="P1733:P1796" si="136">(M1733-O1733)/M1733</f>
        <v>#N/A</v>
      </c>
      <c r="Q1733" s="62" t="e">
        <f>O1733-#REF!</f>
        <v>#N/A</v>
      </c>
      <c r="AT1733" s="425" t="str">
        <f t="shared" ref="AT1733:AT1796" si="137">D1733&amp;I1733&amp;G1733</f>
        <v>Special Order0</v>
      </c>
      <c r="AU1733" s="64" t="str">
        <f t="shared" ref="AU1733:AU1796" si="138">IF(MONTH(H1733)&lt;10,0&amp;MONTH(H1733)&amp;"-"&amp;YEAR(H1733),MONTH(H1733)&amp;"-"&amp;YEAR(H1733))</f>
        <v>01-1900</v>
      </c>
      <c r="BA1733" s="428" t="str">
        <f t="shared" ref="BA1733:BA1796" si="139">IF(B1733=0,"",IF(AND(F1733&gt;=31,F1733&lt;=120),"31-120 Days",IF(AND(F1733&gt;=121,F1733&lt;=365),"121-365 Days",IF(OR(E1733="CKD",F1733&lt;=30),"WIP - 30 Days","&gt;365 Days"))))</f>
        <v/>
      </c>
    </row>
    <row r="1734" spans="2:53">
      <c r="B1734" s="36">
        <f>'[6]price list MAN'!B1734</f>
        <v>0</v>
      </c>
      <c r="C1734" s="10">
        <f>'[6]price list MAN'!C1734</f>
        <v>0</v>
      </c>
      <c r="D1734" s="16" t="str">
        <f>IFERROR(VLOOKUP(C1734&amp;"",'[7]Retail Price List'!$A$3:$B$103,2,FALSE),"Special Order")</f>
        <v>Special Order</v>
      </c>
      <c r="E1734" s="494">
        <f>'[6]price list MAN'!E1734</f>
        <v>0</v>
      </c>
      <c r="F1734" s="11">
        <f>'[6]price list MAN'!F1734</f>
        <v>0</v>
      </c>
      <c r="G1734" s="32">
        <f>'[6]price list MAN'!G1734</f>
        <v>0</v>
      </c>
      <c r="H1734" s="26">
        <f>'[6]price list MAN'!H1734</f>
        <v>0</v>
      </c>
      <c r="I1734" s="51" t="str">
        <f t="shared" si="135"/>
        <v/>
      </c>
      <c r="J1734" s="177" t="e">
        <f>'[6]price list MAN'!J1734</f>
        <v>#N/A</v>
      </c>
      <c r="K1734" s="177" t="e">
        <f>'[6]price list MAN'!P1734</f>
        <v>#N/A</v>
      </c>
      <c r="L1734" s="177" t="e">
        <f>'[6]price list MAN'!R1734</f>
        <v>#N/A</v>
      </c>
      <c r="M1734" s="174" t="e">
        <f>'[6]price list MAN'!S1734</f>
        <v>#N/A</v>
      </c>
      <c r="N1734" s="174" t="e">
        <f>'[6]price list MAN'!Y1734</f>
        <v>#N/A</v>
      </c>
      <c r="O1734" s="174" t="e">
        <f>'[6]price list MAN'!AA1734</f>
        <v>#N/A</v>
      </c>
      <c r="P1734" s="68" t="e">
        <f t="shared" si="136"/>
        <v>#N/A</v>
      </c>
      <c r="Q1734" s="62" t="e">
        <f>O1734-#REF!</f>
        <v>#N/A</v>
      </c>
      <c r="AT1734" s="425" t="str">
        <f t="shared" si="137"/>
        <v>Special Order0</v>
      </c>
      <c r="AU1734" s="64" t="str">
        <f t="shared" si="138"/>
        <v>01-1900</v>
      </c>
      <c r="BA1734" s="428" t="str">
        <f t="shared" si="139"/>
        <v/>
      </c>
    </row>
    <row r="1735" spans="2:53">
      <c r="B1735" s="36">
        <f>'[6]price list MAN'!B1735</f>
        <v>0</v>
      </c>
      <c r="C1735" s="10">
        <f>'[6]price list MAN'!C1735</f>
        <v>0</v>
      </c>
      <c r="D1735" s="16" t="str">
        <f>IFERROR(VLOOKUP(C1735&amp;"",'[7]Retail Price List'!$A$3:$B$103,2,FALSE),"Special Order")</f>
        <v>Special Order</v>
      </c>
      <c r="E1735" s="494">
        <f>'[6]price list MAN'!E1735</f>
        <v>0</v>
      </c>
      <c r="F1735" s="11">
        <f>'[6]price list MAN'!F1735</f>
        <v>0</v>
      </c>
      <c r="G1735" s="32">
        <f>'[6]price list MAN'!G1735</f>
        <v>0</v>
      </c>
      <c r="H1735" s="26">
        <f>'[6]price list MAN'!H1735</f>
        <v>0</v>
      </c>
      <c r="I1735" s="51" t="str">
        <f t="shared" si="135"/>
        <v/>
      </c>
      <c r="J1735" s="177" t="e">
        <f>'[6]price list MAN'!J1735</f>
        <v>#N/A</v>
      </c>
      <c r="K1735" s="177" t="e">
        <f>'[6]price list MAN'!P1735</f>
        <v>#N/A</v>
      </c>
      <c r="L1735" s="177" t="e">
        <f>'[6]price list MAN'!R1735</f>
        <v>#N/A</v>
      </c>
      <c r="M1735" s="174" t="e">
        <f>'[6]price list MAN'!S1735</f>
        <v>#N/A</v>
      </c>
      <c r="N1735" s="174" t="e">
        <f>'[6]price list MAN'!Y1735</f>
        <v>#N/A</v>
      </c>
      <c r="O1735" s="174" t="e">
        <f>'[6]price list MAN'!AA1735</f>
        <v>#N/A</v>
      </c>
      <c r="P1735" s="68" t="e">
        <f t="shared" si="136"/>
        <v>#N/A</v>
      </c>
      <c r="Q1735" s="62" t="e">
        <f>O1735-#REF!</f>
        <v>#N/A</v>
      </c>
      <c r="AT1735" s="425" t="str">
        <f t="shared" si="137"/>
        <v>Special Order0</v>
      </c>
      <c r="AU1735" s="64" t="str">
        <f t="shared" si="138"/>
        <v>01-1900</v>
      </c>
      <c r="BA1735" s="428" t="str">
        <f t="shared" si="139"/>
        <v/>
      </c>
    </row>
    <row r="1736" spans="2:53">
      <c r="B1736" s="36">
        <f>'[6]price list MAN'!B1736</f>
        <v>0</v>
      </c>
      <c r="C1736" s="10">
        <f>'[6]price list MAN'!C1736</f>
        <v>0</v>
      </c>
      <c r="D1736" s="16" t="str">
        <f>IFERROR(VLOOKUP(C1736&amp;"",'[7]Retail Price List'!$A$3:$B$103,2,FALSE),"Special Order")</f>
        <v>Special Order</v>
      </c>
      <c r="E1736" s="494">
        <f>'[6]price list MAN'!E1736</f>
        <v>0</v>
      </c>
      <c r="F1736" s="11">
        <f>'[6]price list MAN'!F1736</f>
        <v>0</v>
      </c>
      <c r="G1736" s="32">
        <f>'[6]price list MAN'!G1736</f>
        <v>0</v>
      </c>
      <c r="H1736" s="26">
        <f>'[6]price list MAN'!H1736</f>
        <v>0</v>
      </c>
      <c r="I1736" s="51" t="str">
        <f t="shared" si="135"/>
        <v/>
      </c>
      <c r="J1736" s="177" t="e">
        <f>'[6]price list MAN'!J1736</f>
        <v>#N/A</v>
      </c>
      <c r="K1736" s="177" t="e">
        <f>'[6]price list MAN'!P1736</f>
        <v>#N/A</v>
      </c>
      <c r="L1736" s="177" t="e">
        <f>'[6]price list MAN'!R1736</f>
        <v>#N/A</v>
      </c>
      <c r="M1736" s="174" t="e">
        <f>'[6]price list MAN'!S1736</f>
        <v>#N/A</v>
      </c>
      <c r="N1736" s="174" t="e">
        <f>'[6]price list MAN'!Y1736</f>
        <v>#N/A</v>
      </c>
      <c r="O1736" s="174" t="e">
        <f>'[6]price list MAN'!AA1736</f>
        <v>#N/A</v>
      </c>
      <c r="P1736" s="68" t="e">
        <f t="shared" si="136"/>
        <v>#N/A</v>
      </c>
      <c r="Q1736" s="62" t="e">
        <f>O1736-#REF!</f>
        <v>#N/A</v>
      </c>
      <c r="AT1736" s="425" t="str">
        <f t="shared" si="137"/>
        <v>Special Order0</v>
      </c>
      <c r="AU1736" s="64" t="str">
        <f t="shared" si="138"/>
        <v>01-1900</v>
      </c>
      <c r="BA1736" s="428" t="str">
        <f t="shared" si="139"/>
        <v/>
      </c>
    </row>
    <row r="1737" spans="2:53">
      <c r="B1737" s="36">
        <f>'[6]price list MAN'!B1737</f>
        <v>0</v>
      </c>
      <c r="C1737" s="10">
        <f>'[6]price list MAN'!C1737</f>
        <v>0</v>
      </c>
      <c r="D1737" s="16" t="str">
        <f>IFERROR(VLOOKUP(C1737&amp;"",'[7]Retail Price List'!$A$3:$B$103,2,FALSE),"Special Order")</f>
        <v>Special Order</v>
      </c>
      <c r="E1737" s="494">
        <f>'[6]price list MAN'!E1737</f>
        <v>0</v>
      </c>
      <c r="F1737" s="11">
        <f>'[6]price list MAN'!F1737</f>
        <v>0</v>
      </c>
      <c r="G1737" s="32">
        <f>'[6]price list MAN'!G1737</f>
        <v>0</v>
      </c>
      <c r="H1737" s="26">
        <f>'[6]price list MAN'!H1737</f>
        <v>0</v>
      </c>
      <c r="I1737" s="51" t="str">
        <f t="shared" si="135"/>
        <v/>
      </c>
      <c r="J1737" s="177" t="e">
        <f>'[6]price list MAN'!J1737</f>
        <v>#N/A</v>
      </c>
      <c r="K1737" s="177" t="e">
        <f>'[6]price list MAN'!P1737</f>
        <v>#N/A</v>
      </c>
      <c r="L1737" s="177" t="e">
        <f>'[6]price list MAN'!R1737</f>
        <v>#N/A</v>
      </c>
      <c r="M1737" s="174" t="e">
        <f>'[6]price list MAN'!S1737</f>
        <v>#N/A</v>
      </c>
      <c r="N1737" s="174" t="e">
        <f>'[6]price list MAN'!Y1737</f>
        <v>#N/A</v>
      </c>
      <c r="O1737" s="174" t="e">
        <f>'[6]price list MAN'!AA1737</f>
        <v>#N/A</v>
      </c>
      <c r="P1737" s="68" t="e">
        <f t="shared" si="136"/>
        <v>#N/A</v>
      </c>
      <c r="Q1737" s="62" t="e">
        <f>O1737-#REF!</f>
        <v>#N/A</v>
      </c>
      <c r="AT1737" s="425" t="str">
        <f t="shared" si="137"/>
        <v>Special Order0</v>
      </c>
      <c r="AU1737" s="64" t="str">
        <f t="shared" si="138"/>
        <v>01-1900</v>
      </c>
      <c r="BA1737" s="428" t="str">
        <f t="shared" si="139"/>
        <v/>
      </c>
    </row>
    <row r="1738" spans="2:53">
      <c r="B1738" s="36">
        <f>'[6]price list MAN'!B1738</f>
        <v>0</v>
      </c>
      <c r="C1738" s="10">
        <f>'[6]price list MAN'!C1738</f>
        <v>0</v>
      </c>
      <c r="D1738" s="16" t="str">
        <f>IFERROR(VLOOKUP(C1738&amp;"",'[7]Retail Price List'!$A$3:$B$103,2,FALSE),"Special Order")</f>
        <v>Special Order</v>
      </c>
      <c r="E1738" s="494">
        <f>'[6]price list MAN'!E1738</f>
        <v>0</v>
      </c>
      <c r="F1738" s="11">
        <f>'[6]price list MAN'!F1738</f>
        <v>0</v>
      </c>
      <c r="G1738" s="32">
        <f>'[6]price list MAN'!G1738</f>
        <v>0</v>
      </c>
      <c r="H1738" s="26">
        <f>'[6]price list MAN'!H1738</f>
        <v>0</v>
      </c>
      <c r="I1738" s="51" t="str">
        <f t="shared" si="135"/>
        <v/>
      </c>
      <c r="J1738" s="177" t="e">
        <f>'[6]price list MAN'!J1738</f>
        <v>#N/A</v>
      </c>
      <c r="K1738" s="177" t="e">
        <f>'[6]price list MAN'!P1738</f>
        <v>#N/A</v>
      </c>
      <c r="L1738" s="177" t="e">
        <f>'[6]price list MAN'!R1738</f>
        <v>#N/A</v>
      </c>
      <c r="M1738" s="174" t="e">
        <f>'[6]price list MAN'!S1738</f>
        <v>#N/A</v>
      </c>
      <c r="N1738" s="174" t="e">
        <f>'[6]price list MAN'!Y1738</f>
        <v>#N/A</v>
      </c>
      <c r="O1738" s="174" t="e">
        <f>'[6]price list MAN'!AA1738</f>
        <v>#N/A</v>
      </c>
      <c r="P1738" s="68" t="e">
        <f t="shared" si="136"/>
        <v>#N/A</v>
      </c>
      <c r="Q1738" s="62" t="e">
        <f>O1738-#REF!</f>
        <v>#N/A</v>
      </c>
      <c r="AT1738" s="425" t="str">
        <f t="shared" si="137"/>
        <v>Special Order0</v>
      </c>
      <c r="AU1738" s="64" t="str">
        <f t="shared" si="138"/>
        <v>01-1900</v>
      </c>
      <c r="BA1738" s="428" t="str">
        <f t="shared" si="139"/>
        <v/>
      </c>
    </row>
    <row r="1739" spans="2:53">
      <c r="B1739" s="36">
        <f>'[6]price list MAN'!B1739</f>
        <v>0</v>
      </c>
      <c r="C1739" s="10">
        <f>'[6]price list MAN'!C1739</f>
        <v>0</v>
      </c>
      <c r="D1739" s="16" t="str">
        <f>IFERROR(VLOOKUP(C1739&amp;"",'[7]Retail Price List'!$A$3:$B$103,2,FALSE),"Special Order")</f>
        <v>Special Order</v>
      </c>
      <c r="E1739" s="494">
        <f>'[6]price list MAN'!E1739</f>
        <v>0</v>
      </c>
      <c r="F1739" s="11">
        <f>'[6]price list MAN'!F1739</f>
        <v>0</v>
      </c>
      <c r="G1739" s="32">
        <f>'[6]price list MAN'!G1739</f>
        <v>0</v>
      </c>
      <c r="H1739" s="26">
        <f>'[6]price list MAN'!H1739</f>
        <v>0</v>
      </c>
      <c r="I1739" s="51" t="str">
        <f t="shared" si="135"/>
        <v/>
      </c>
      <c r="J1739" s="177" t="e">
        <f>'[6]price list MAN'!J1739</f>
        <v>#N/A</v>
      </c>
      <c r="K1739" s="177" t="e">
        <f>'[6]price list MAN'!P1739</f>
        <v>#N/A</v>
      </c>
      <c r="L1739" s="177" t="e">
        <f>'[6]price list MAN'!R1739</f>
        <v>#N/A</v>
      </c>
      <c r="M1739" s="174" t="e">
        <f>'[6]price list MAN'!S1739</f>
        <v>#N/A</v>
      </c>
      <c r="N1739" s="174" t="e">
        <f>'[6]price list MAN'!Y1739</f>
        <v>#N/A</v>
      </c>
      <c r="O1739" s="174" t="e">
        <f>'[6]price list MAN'!AA1739</f>
        <v>#N/A</v>
      </c>
      <c r="P1739" s="68" t="e">
        <f t="shared" si="136"/>
        <v>#N/A</v>
      </c>
      <c r="Q1739" s="62" t="e">
        <f>O1739-#REF!</f>
        <v>#N/A</v>
      </c>
      <c r="AT1739" s="425" t="str">
        <f t="shared" si="137"/>
        <v>Special Order0</v>
      </c>
      <c r="AU1739" s="64" t="str">
        <f t="shared" si="138"/>
        <v>01-1900</v>
      </c>
      <c r="BA1739" s="428" t="str">
        <f t="shared" si="139"/>
        <v/>
      </c>
    </row>
    <row r="1740" spans="2:53">
      <c r="B1740" s="36">
        <f>'[6]price list MAN'!B1740</f>
        <v>0</v>
      </c>
      <c r="C1740" s="10">
        <f>'[6]price list MAN'!C1740</f>
        <v>0</v>
      </c>
      <c r="D1740" s="16" t="str">
        <f>IFERROR(VLOOKUP(C1740&amp;"",'[7]Retail Price List'!$A$3:$B$103,2,FALSE),"Special Order")</f>
        <v>Special Order</v>
      </c>
      <c r="E1740" s="494">
        <f>'[6]price list MAN'!E1740</f>
        <v>0</v>
      </c>
      <c r="F1740" s="11">
        <f>'[6]price list MAN'!F1740</f>
        <v>0</v>
      </c>
      <c r="G1740" s="32">
        <f>'[6]price list MAN'!G1740</f>
        <v>0</v>
      </c>
      <c r="H1740" s="26">
        <f>'[6]price list MAN'!H1740</f>
        <v>0</v>
      </c>
      <c r="I1740" s="51" t="str">
        <f t="shared" si="135"/>
        <v/>
      </c>
      <c r="J1740" s="177" t="e">
        <f>'[6]price list MAN'!J1740</f>
        <v>#N/A</v>
      </c>
      <c r="K1740" s="177" t="e">
        <f>'[6]price list MAN'!P1740</f>
        <v>#N/A</v>
      </c>
      <c r="L1740" s="177" t="e">
        <f>'[6]price list MAN'!R1740</f>
        <v>#N/A</v>
      </c>
      <c r="M1740" s="174" t="e">
        <f>'[6]price list MAN'!S1740</f>
        <v>#N/A</v>
      </c>
      <c r="N1740" s="174" t="e">
        <f>'[6]price list MAN'!Y1740</f>
        <v>#N/A</v>
      </c>
      <c r="O1740" s="174" t="e">
        <f>'[6]price list MAN'!AA1740</f>
        <v>#N/A</v>
      </c>
      <c r="P1740" s="68" t="e">
        <f t="shared" si="136"/>
        <v>#N/A</v>
      </c>
      <c r="Q1740" s="62" t="e">
        <f>O1740-#REF!</f>
        <v>#N/A</v>
      </c>
      <c r="AT1740" s="425" t="str">
        <f t="shared" si="137"/>
        <v>Special Order0</v>
      </c>
      <c r="AU1740" s="64" t="str">
        <f t="shared" si="138"/>
        <v>01-1900</v>
      </c>
      <c r="BA1740" s="428" t="str">
        <f t="shared" si="139"/>
        <v/>
      </c>
    </row>
    <row r="1741" spans="2:53">
      <c r="B1741" s="36">
        <f>'[6]price list MAN'!B1741</f>
        <v>0</v>
      </c>
      <c r="C1741" s="10">
        <f>'[6]price list MAN'!C1741</f>
        <v>0</v>
      </c>
      <c r="D1741" s="16" t="str">
        <f>IFERROR(VLOOKUP(C1741&amp;"",'[7]Retail Price List'!$A$3:$B$103,2,FALSE),"Special Order")</f>
        <v>Special Order</v>
      </c>
      <c r="E1741" s="494">
        <f>'[6]price list MAN'!E1741</f>
        <v>0</v>
      </c>
      <c r="F1741" s="11">
        <f>'[6]price list MAN'!F1741</f>
        <v>0</v>
      </c>
      <c r="G1741" s="32">
        <f>'[6]price list MAN'!G1741</f>
        <v>0</v>
      </c>
      <c r="H1741" s="26">
        <f>'[6]price list MAN'!H1741</f>
        <v>0</v>
      </c>
      <c r="I1741" s="51" t="str">
        <f t="shared" si="135"/>
        <v/>
      </c>
      <c r="J1741" s="177" t="e">
        <f>'[6]price list MAN'!J1741</f>
        <v>#N/A</v>
      </c>
      <c r="K1741" s="177" t="e">
        <f>'[6]price list MAN'!P1741</f>
        <v>#N/A</v>
      </c>
      <c r="L1741" s="177" t="e">
        <f>'[6]price list MAN'!R1741</f>
        <v>#N/A</v>
      </c>
      <c r="M1741" s="174" t="e">
        <f>'[6]price list MAN'!S1741</f>
        <v>#N/A</v>
      </c>
      <c r="N1741" s="174" t="e">
        <f>'[6]price list MAN'!Y1741</f>
        <v>#N/A</v>
      </c>
      <c r="O1741" s="174" t="e">
        <f>'[6]price list MAN'!AA1741</f>
        <v>#N/A</v>
      </c>
      <c r="P1741" s="68" t="e">
        <f t="shared" si="136"/>
        <v>#N/A</v>
      </c>
      <c r="Q1741" s="62" t="e">
        <f>O1741-#REF!</f>
        <v>#N/A</v>
      </c>
      <c r="AT1741" s="425" t="str">
        <f t="shared" si="137"/>
        <v>Special Order0</v>
      </c>
      <c r="AU1741" s="64" t="str">
        <f t="shared" si="138"/>
        <v>01-1900</v>
      </c>
      <c r="BA1741" s="428" t="str">
        <f t="shared" si="139"/>
        <v/>
      </c>
    </row>
    <row r="1742" spans="2:53">
      <c r="B1742" s="36">
        <f>'[6]price list MAN'!B1742</f>
        <v>0</v>
      </c>
      <c r="C1742" s="10">
        <f>'[6]price list MAN'!C1742</f>
        <v>0</v>
      </c>
      <c r="D1742" s="16" t="str">
        <f>IFERROR(VLOOKUP(C1742&amp;"",'[7]Retail Price List'!$A$3:$B$103,2,FALSE),"Special Order")</f>
        <v>Special Order</v>
      </c>
      <c r="E1742" s="494">
        <f>'[6]price list MAN'!E1742</f>
        <v>0</v>
      </c>
      <c r="F1742" s="11">
        <f>'[6]price list MAN'!F1742</f>
        <v>0</v>
      </c>
      <c r="G1742" s="32">
        <f>'[6]price list MAN'!G1742</f>
        <v>0</v>
      </c>
      <c r="H1742" s="26">
        <f>'[6]price list MAN'!H1742</f>
        <v>0</v>
      </c>
      <c r="I1742" s="51" t="str">
        <f t="shared" si="135"/>
        <v/>
      </c>
      <c r="J1742" s="177" t="e">
        <f>'[6]price list MAN'!J1742</f>
        <v>#N/A</v>
      </c>
      <c r="K1742" s="177" t="e">
        <f>'[6]price list MAN'!P1742</f>
        <v>#N/A</v>
      </c>
      <c r="L1742" s="177" t="e">
        <f>'[6]price list MAN'!R1742</f>
        <v>#N/A</v>
      </c>
      <c r="M1742" s="174" t="e">
        <f>'[6]price list MAN'!S1742</f>
        <v>#N/A</v>
      </c>
      <c r="N1742" s="174" t="e">
        <f>'[6]price list MAN'!Y1742</f>
        <v>#N/A</v>
      </c>
      <c r="O1742" s="174" t="e">
        <f>'[6]price list MAN'!AA1742</f>
        <v>#N/A</v>
      </c>
      <c r="P1742" s="68" t="e">
        <f t="shared" si="136"/>
        <v>#N/A</v>
      </c>
      <c r="Q1742" s="62" t="e">
        <f>O1742-#REF!</f>
        <v>#N/A</v>
      </c>
      <c r="AT1742" s="425" t="str">
        <f t="shared" si="137"/>
        <v>Special Order0</v>
      </c>
      <c r="AU1742" s="64" t="str">
        <f t="shared" si="138"/>
        <v>01-1900</v>
      </c>
      <c r="BA1742" s="428" t="str">
        <f t="shared" si="139"/>
        <v/>
      </c>
    </row>
    <row r="1743" spans="2:53">
      <c r="B1743" s="36">
        <f>'[6]price list MAN'!B1743</f>
        <v>0</v>
      </c>
      <c r="C1743" s="10">
        <f>'[6]price list MAN'!C1743</f>
        <v>0</v>
      </c>
      <c r="D1743" s="16" t="str">
        <f>IFERROR(VLOOKUP(C1743&amp;"",'[7]Retail Price List'!$A$3:$B$103,2,FALSE),"Special Order")</f>
        <v>Special Order</v>
      </c>
      <c r="E1743" s="494">
        <f>'[6]price list MAN'!E1743</f>
        <v>0</v>
      </c>
      <c r="F1743" s="11">
        <f>'[6]price list MAN'!F1743</f>
        <v>0</v>
      </c>
      <c r="G1743" s="32">
        <f>'[6]price list MAN'!G1743</f>
        <v>0</v>
      </c>
      <c r="H1743" s="26">
        <f>'[6]price list MAN'!H1743</f>
        <v>0</v>
      </c>
      <c r="I1743" s="51" t="str">
        <f t="shared" si="135"/>
        <v/>
      </c>
      <c r="J1743" s="177" t="e">
        <f>'[6]price list MAN'!J1743</f>
        <v>#N/A</v>
      </c>
      <c r="K1743" s="177" t="e">
        <f>'[6]price list MAN'!P1743</f>
        <v>#N/A</v>
      </c>
      <c r="L1743" s="177" t="e">
        <f>'[6]price list MAN'!R1743</f>
        <v>#N/A</v>
      </c>
      <c r="M1743" s="174" t="e">
        <f>'[6]price list MAN'!S1743</f>
        <v>#N/A</v>
      </c>
      <c r="N1743" s="174" t="e">
        <f>'[6]price list MAN'!Y1743</f>
        <v>#N/A</v>
      </c>
      <c r="O1743" s="174" t="e">
        <f>'[6]price list MAN'!AA1743</f>
        <v>#N/A</v>
      </c>
      <c r="P1743" s="68" t="e">
        <f t="shared" si="136"/>
        <v>#N/A</v>
      </c>
      <c r="Q1743" s="62" t="e">
        <f>O1743-#REF!</f>
        <v>#N/A</v>
      </c>
      <c r="AT1743" s="425" t="str">
        <f t="shared" si="137"/>
        <v>Special Order0</v>
      </c>
      <c r="AU1743" s="64" t="str">
        <f t="shared" si="138"/>
        <v>01-1900</v>
      </c>
      <c r="BA1743" s="428" t="str">
        <f t="shared" si="139"/>
        <v/>
      </c>
    </row>
    <row r="1744" spans="2:53">
      <c r="B1744" s="36">
        <f>'[6]price list MAN'!B1744</f>
        <v>0</v>
      </c>
      <c r="C1744" s="10">
        <f>'[6]price list MAN'!C1744</f>
        <v>0</v>
      </c>
      <c r="D1744" s="16" t="str">
        <f>IFERROR(VLOOKUP(C1744&amp;"",'[7]Retail Price List'!$A$3:$B$103,2,FALSE),"Special Order")</f>
        <v>Special Order</v>
      </c>
      <c r="E1744" s="494">
        <f>'[6]price list MAN'!E1744</f>
        <v>0</v>
      </c>
      <c r="F1744" s="11">
        <f>'[6]price list MAN'!F1744</f>
        <v>0</v>
      </c>
      <c r="G1744" s="32">
        <f>'[6]price list MAN'!G1744</f>
        <v>0</v>
      </c>
      <c r="H1744" s="26">
        <f>'[6]price list MAN'!H1744</f>
        <v>0</v>
      </c>
      <c r="I1744" s="51" t="str">
        <f t="shared" si="135"/>
        <v/>
      </c>
      <c r="J1744" s="177" t="e">
        <f>'[6]price list MAN'!J1744</f>
        <v>#N/A</v>
      </c>
      <c r="K1744" s="177" t="e">
        <f>'[6]price list MAN'!P1744</f>
        <v>#N/A</v>
      </c>
      <c r="L1744" s="177" t="e">
        <f>'[6]price list MAN'!R1744</f>
        <v>#N/A</v>
      </c>
      <c r="M1744" s="174" t="e">
        <f>'[6]price list MAN'!S1744</f>
        <v>#N/A</v>
      </c>
      <c r="N1744" s="174" t="e">
        <f>'[6]price list MAN'!Y1744</f>
        <v>#N/A</v>
      </c>
      <c r="O1744" s="174" t="e">
        <f>'[6]price list MAN'!AA1744</f>
        <v>#N/A</v>
      </c>
      <c r="P1744" s="68" t="e">
        <f t="shared" si="136"/>
        <v>#N/A</v>
      </c>
      <c r="Q1744" s="62" t="e">
        <f>O1744-#REF!</f>
        <v>#N/A</v>
      </c>
      <c r="AT1744" s="425" t="str">
        <f t="shared" si="137"/>
        <v>Special Order0</v>
      </c>
      <c r="AU1744" s="64" t="str">
        <f t="shared" si="138"/>
        <v>01-1900</v>
      </c>
      <c r="BA1744" s="428" t="str">
        <f t="shared" si="139"/>
        <v/>
      </c>
    </row>
    <row r="1745" spans="2:53">
      <c r="B1745" s="36">
        <f>'[6]price list MAN'!B1745</f>
        <v>0</v>
      </c>
      <c r="C1745" s="10">
        <f>'[6]price list MAN'!C1745</f>
        <v>0</v>
      </c>
      <c r="D1745" s="16" t="str">
        <f>IFERROR(VLOOKUP(C1745&amp;"",'[7]Retail Price List'!$A$3:$B$103,2,FALSE),"Special Order")</f>
        <v>Special Order</v>
      </c>
      <c r="E1745" s="494">
        <f>'[6]price list MAN'!E1745</f>
        <v>0</v>
      </c>
      <c r="F1745" s="11">
        <f>'[6]price list MAN'!F1745</f>
        <v>0</v>
      </c>
      <c r="G1745" s="32">
        <f>'[6]price list MAN'!G1745</f>
        <v>0</v>
      </c>
      <c r="H1745" s="26">
        <f>'[6]price list MAN'!H1745</f>
        <v>0</v>
      </c>
      <c r="I1745" s="51" t="str">
        <f t="shared" si="135"/>
        <v/>
      </c>
      <c r="J1745" s="177" t="e">
        <f>'[6]price list MAN'!J1745</f>
        <v>#N/A</v>
      </c>
      <c r="K1745" s="177" t="e">
        <f>'[6]price list MAN'!P1745</f>
        <v>#N/A</v>
      </c>
      <c r="L1745" s="177" t="e">
        <f>'[6]price list MAN'!R1745</f>
        <v>#N/A</v>
      </c>
      <c r="M1745" s="174" t="e">
        <f>'[6]price list MAN'!S1745</f>
        <v>#N/A</v>
      </c>
      <c r="N1745" s="174" t="e">
        <f>'[6]price list MAN'!Y1745</f>
        <v>#N/A</v>
      </c>
      <c r="O1745" s="174" t="e">
        <f>'[6]price list MAN'!AA1745</f>
        <v>#N/A</v>
      </c>
      <c r="P1745" s="68" t="e">
        <f t="shared" si="136"/>
        <v>#N/A</v>
      </c>
      <c r="Q1745" s="62" t="e">
        <f>O1745-#REF!</f>
        <v>#N/A</v>
      </c>
      <c r="AT1745" s="425" t="str">
        <f t="shared" si="137"/>
        <v>Special Order0</v>
      </c>
      <c r="AU1745" s="64" t="str">
        <f t="shared" si="138"/>
        <v>01-1900</v>
      </c>
      <c r="BA1745" s="428" t="str">
        <f t="shared" si="139"/>
        <v/>
      </c>
    </row>
    <row r="1746" spans="2:53">
      <c r="B1746" s="36">
        <f>'[6]price list MAN'!B1746</f>
        <v>0</v>
      </c>
      <c r="C1746" s="10">
        <f>'[6]price list MAN'!C1746</f>
        <v>0</v>
      </c>
      <c r="D1746" s="16" t="str">
        <f>IFERROR(VLOOKUP(C1746&amp;"",'[7]Retail Price List'!$A$3:$B$103,2,FALSE),"Special Order")</f>
        <v>Special Order</v>
      </c>
      <c r="E1746" s="494">
        <f>'[6]price list MAN'!E1746</f>
        <v>0</v>
      </c>
      <c r="F1746" s="11">
        <f>'[6]price list MAN'!F1746</f>
        <v>0</v>
      </c>
      <c r="G1746" s="32">
        <f>'[6]price list MAN'!G1746</f>
        <v>0</v>
      </c>
      <c r="H1746" s="26">
        <f>'[6]price list MAN'!H1746</f>
        <v>0</v>
      </c>
      <c r="I1746" s="51" t="str">
        <f t="shared" si="135"/>
        <v/>
      </c>
      <c r="J1746" s="177" t="e">
        <f>'[6]price list MAN'!J1746</f>
        <v>#N/A</v>
      </c>
      <c r="K1746" s="177" t="e">
        <f>'[6]price list MAN'!P1746</f>
        <v>#N/A</v>
      </c>
      <c r="L1746" s="177" t="e">
        <f>'[6]price list MAN'!R1746</f>
        <v>#N/A</v>
      </c>
      <c r="M1746" s="174" t="e">
        <f>'[6]price list MAN'!S1746</f>
        <v>#N/A</v>
      </c>
      <c r="N1746" s="174" t="e">
        <f>'[6]price list MAN'!Y1746</f>
        <v>#N/A</v>
      </c>
      <c r="O1746" s="174" t="e">
        <f>'[6]price list MAN'!AA1746</f>
        <v>#N/A</v>
      </c>
      <c r="P1746" s="68" t="e">
        <f t="shared" si="136"/>
        <v>#N/A</v>
      </c>
      <c r="Q1746" s="62" t="e">
        <f>O1746-#REF!</f>
        <v>#N/A</v>
      </c>
      <c r="AT1746" s="425" t="str">
        <f t="shared" si="137"/>
        <v>Special Order0</v>
      </c>
      <c r="AU1746" s="64" t="str">
        <f t="shared" si="138"/>
        <v>01-1900</v>
      </c>
      <c r="BA1746" s="428" t="str">
        <f t="shared" si="139"/>
        <v/>
      </c>
    </row>
    <row r="1747" spans="2:53">
      <c r="B1747" s="36">
        <f>'[6]price list MAN'!B1747</f>
        <v>0</v>
      </c>
      <c r="C1747" s="10">
        <f>'[6]price list MAN'!C1747</f>
        <v>0</v>
      </c>
      <c r="D1747" s="16" t="str">
        <f>IFERROR(VLOOKUP(C1747&amp;"",'[7]Retail Price List'!$A$3:$B$103,2,FALSE),"Special Order")</f>
        <v>Special Order</v>
      </c>
      <c r="E1747" s="494">
        <f>'[6]price list MAN'!E1747</f>
        <v>0</v>
      </c>
      <c r="F1747" s="11">
        <f>'[6]price list MAN'!F1747</f>
        <v>0</v>
      </c>
      <c r="G1747" s="32">
        <f>'[6]price list MAN'!G1747</f>
        <v>0</v>
      </c>
      <c r="H1747" s="26">
        <f>'[6]price list MAN'!H1747</f>
        <v>0</v>
      </c>
      <c r="I1747" s="51" t="str">
        <f t="shared" si="135"/>
        <v/>
      </c>
      <c r="J1747" s="177" t="e">
        <f>'[6]price list MAN'!J1747</f>
        <v>#N/A</v>
      </c>
      <c r="K1747" s="177" t="e">
        <f>'[6]price list MAN'!P1747</f>
        <v>#N/A</v>
      </c>
      <c r="L1747" s="177" t="e">
        <f>'[6]price list MAN'!R1747</f>
        <v>#N/A</v>
      </c>
      <c r="M1747" s="174" t="e">
        <f>'[6]price list MAN'!S1747</f>
        <v>#N/A</v>
      </c>
      <c r="N1747" s="174" t="e">
        <f>'[6]price list MAN'!Y1747</f>
        <v>#N/A</v>
      </c>
      <c r="O1747" s="174" t="e">
        <f>'[6]price list MAN'!AA1747</f>
        <v>#N/A</v>
      </c>
      <c r="P1747" s="68" t="e">
        <f t="shared" si="136"/>
        <v>#N/A</v>
      </c>
      <c r="Q1747" s="62" t="e">
        <f>O1747-#REF!</f>
        <v>#N/A</v>
      </c>
      <c r="AT1747" s="425" t="str">
        <f t="shared" si="137"/>
        <v>Special Order0</v>
      </c>
      <c r="AU1747" s="64" t="str">
        <f t="shared" si="138"/>
        <v>01-1900</v>
      </c>
      <c r="BA1747" s="428" t="str">
        <f t="shared" si="139"/>
        <v/>
      </c>
    </row>
    <row r="1748" spans="2:53">
      <c r="B1748" s="36">
        <f>'[6]price list MAN'!B1748</f>
        <v>0</v>
      </c>
      <c r="C1748" s="10">
        <f>'[6]price list MAN'!C1748</f>
        <v>0</v>
      </c>
      <c r="D1748" s="16" t="str">
        <f>IFERROR(VLOOKUP(C1748&amp;"",'[7]Retail Price List'!$A$3:$B$103,2,FALSE),"Special Order")</f>
        <v>Special Order</v>
      </c>
      <c r="E1748" s="494">
        <f>'[6]price list MAN'!E1748</f>
        <v>0</v>
      </c>
      <c r="F1748" s="11">
        <f>'[6]price list MAN'!F1748</f>
        <v>0</v>
      </c>
      <c r="G1748" s="32">
        <f>'[6]price list MAN'!G1748</f>
        <v>0</v>
      </c>
      <c r="H1748" s="26">
        <f>'[6]price list MAN'!H1748</f>
        <v>0</v>
      </c>
      <c r="I1748" s="51" t="str">
        <f t="shared" si="135"/>
        <v/>
      </c>
      <c r="J1748" s="177" t="e">
        <f>'[6]price list MAN'!J1748</f>
        <v>#N/A</v>
      </c>
      <c r="K1748" s="177" t="e">
        <f>'[6]price list MAN'!P1748</f>
        <v>#N/A</v>
      </c>
      <c r="L1748" s="177" t="e">
        <f>'[6]price list MAN'!R1748</f>
        <v>#N/A</v>
      </c>
      <c r="M1748" s="174" t="e">
        <f>'[6]price list MAN'!S1748</f>
        <v>#N/A</v>
      </c>
      <c r="N1748" s="174" t="e">
        <f>'[6]price list MAN'!Y1748</f>
        <v>#N/A</v>
      </c>
      <c r="O1748" s="174" t="e">
        <f>'[6]price list MAN'!AA1748</f>
        <v>#N/A</v>
      </c>
      <c r="P1748" s="68" t="e">
        <f t="shared" si="136"/>
        <v>#N/A</v>
      </c>
      <c r="Q1748" s="62" t="e">
        <f>O1748-#REF!</f>
        <v>#N/A</v>
      </c>
      <c r="AT1748" s="425" t="str">
        <f t="shared" si="137"/>
        <v>Special Order0</v>
      </c>
      <c r="AU1748" s="64" t="str">
        <f t="shared" si="138"/>
        <v>01-1900</v>
      </c>
      <c r="BA1748" s="428" t="str">
        <f t="shared" si="139"/>
        <v/>
      </c>
    </row>
    <row r="1749" spans="2:53">
      <c r="B1749" s="36">
        <f>'[6]price list MAN'!B1749</f>
        <v>0</v>
      </c>
      <c r="C1749" s="10">
        <f>'[6]price list MAN'!C1749</f>
        <v>0</v>
      </c>
      <c r="D1749" s="16" t="str">
        <f>IFERROR(VLOOKUP(C1749&amp;"",'[7]Retail Price List'!$A$3:$B$103,2,FALSE),"Special Order")</f>
        <v>Special Order</v>
      </c>
      <c r="E1749" s="494">
        <f>'[6]price list MAN'!E1749</f>
        <v>0</v>
      </c>
      <c r="F1749" s="11">
        <f>'[6]price list MAN'!F1749</f>
        <v>0</v>
      </c>
      <c r="G1749" s="32">
        <f>'[6]price list MAN'!G1749</f>
        <v>0</v>
      </c>
      <c r="H1749" s="26">
        <f>'[6]price list MAN'!H1749</f>
        <v>0</v>
      </c>
      <c r="I1749" s="51" t="str">
        <f t="shared" si="135"/>
        <v/>
      </c>
      <c r="J1749" s="177" t="e">
        <f>'[6]price list MAN'!J1749</f>
        <v>#N/A</v>
      </c>
      <c r="K1749" s="177" t="e">
        <f>'[6]price list MAN'!P1749</f>
        <v>#N/A</v>
      </c>
      <c r="L1749" s="177" t="e">
        <f>'[6]price list MAN'!R1749</f>
        <v>#N/A</v>
      </c>
      <c r="M1749" s="174" t="e">
        <f>'[6]price list MAN'!S1749</f>
        <v>#N/A</v>
      </c>
      <c r="N1749" s="174" t="e">
        <f>'[6]price list MAN'!Y1749</f>
        <v>#N/A</v>
      </c>
      <c r="O1749" s="174" t="e">
        <f>'[6]price list MAN'!AA1749</f>
        <v>#N/A</v>
      </c>
      <c r="P1749" s="68" t="e">
        <f t="shared" si="136"/>
        <v>#N/A</v>
      </c>
      <c r="Q1749" s="62" t="e">
        <f>O1749-#REF!</f>
        <v>#N/A</v>
      </c>
      <c r="AT1749" s="425" t="str">
        <f t="shared" si="137"/>
        <v>Special Order0</v>
      </c>
      <c r="AU1749" s="64" t="str">
        <f t="shared" si="138"/>
        <v>01-1900</v>
      </c>
      <c r="BA1749" s="428" t="str">
        <f t="shared" si="139"/>
        <v/>
      </c>
    </row>
    <row r="1750" spans="2:53">
      <c r="B1750" s="36">
        <f>'[6]price list MAN'!B1750</f>
        <v>0</v>
      </c>
      <c r="C1750" s="10">
        <f>'[6]price list MAN'!C1750</f>
        <v>0</v>
      </c>
      <c r="D1750" s="16" t="str">
        <f>IFERROR(VLOOKUP(C1750&amp;"",'[7]Retail Price List'!$A$3:$B$103,2,FALSE),"Special Order")</f>
        <v>Special Order</v>
      </c>
      <c r="E1750" s="494">
        <f>'[6]price list MAN'!E1750</f>
        <v>0</v>
      </c>
      <c r="F1750" s="11">
        <f>'[6]price list MAN'!F1750</f>
        <v>0</v>
      </c>
      <c r="G1750" s="32">
        <f>'[6]price list MAN'!G1750</f>
        <v>0</v>
      </c>
      <c r="H1750" s="26">
        <f>'[6]price list MAN'!H1750</f>
        <v>0</v>
      </c>
      <c r="I1750" s="51" t="str">
        <f t="shared" si="135"/>
        <v/>
      </c>
      <c r="J1750" s="177" t="e">
        <f>'[6]price list MAN'!J1750</f>
        <v>#N/A</v>
      </c>
      <c r="K1750" s="177" t="e">
        <f>'[6]price list MAN'!P1750</f>
        <v>#N/A</v>
      </c>
      <c r="L1750" s="177" t="e">
        <f>'[6]price list MAN'!R1750</f>
        <v>#N/A</v>
      </c>
      <c r="M1750" s="174" t="e">
        <f>'[6]price list MAN'!S1750</f>
        <v>#N/A</v>
      </c>
      <c r="N1750" s="174" t="e">
        <f>'[6]price list MAN'!Y1750</f>
        <v>#N/A</v>
      </c>
      <c r="O1750" s="174" t="e">
        <f>'[6]price list MAN'!AA1750</f>
        <v>#N/A</v>
      </c>
      <c r="P1750" s="68" t="e">
        <f t="shared" si="136"/>
        <v>#N/A</v>
      </c>
      <c r="Q1750" s="62" t="e">
        <f>O1750-#REF!</f>
        <v>#N/A</v>
      </c>
      <c r="AT1750" s="425" t="str">
        <f t="shared" si="137"/>
        <v>Special Order0</v>
      </c>
      <c r="AU1750" s="64" t="str">
        <f t="shared" si="138"/>
        <v>01-1900</v>
      </c>
      <c r="BA1750" s="428" t="str">
        <f t="shared" si="139"/>
        <v/>
      </c>
    </row>
    <row r="1751" spans="2:53">
      <c r="B1751" s="36">
        <f>'[6]price list MAN'!B1751</f>
        <v>0</v>
      </c>
      <c r="C1751" s="10">
        <f>'[6]price list MAN'!C1751</f>
        <v>0</v>
      </c>
      <c r="D1751" s="16" t="str">
        <f>IFERROR(VLOOKUP(C1751&amp;"",'[7]Retail Price List'!$A$3:$B$103,2,FALSE),"Special Order")</f>
        <v>Special Order</v>
      </c>
      <c r="E1751" s="494">
        <f>'[6]price list MAN'!E1751</f>
        <v>0</v>
      </c>
      <c r="F1751" s="11">
        <f>'[6]price list MAN'!F1751</f>
        <v>0</v>
      </c>
      <c r="G1751" s="32">
        <f>'[6]price list MAN'!G1751</f>
        <v>0</v>
      </c>
      <c r="H1751" s="26">
        <f>'[6]price list MAN'!H1751</f>
        <v>0</v>
      </c>
      <c r="I1751" s="51" t="str">
        <f t="shared" si="135"/>
        <v/>
      </c>
      <c r="J1751" s="177" t="e">
        <f>'[6]price list MAN'!J1751</f>
        <v>#N/A</v>
      </c>
      <c r="K1751" s="177" t="e">
        <f>'[6]price list MAN'!P1751</f>
        <v>#N/A</v>
      </c>
      <c r="L1751" s="177" t="e">
        <f>'[6]price list MAN'!R1751</f>
        <v>#N/A</v>
      </c>
      <c r="M1751" s="174" t="e">
        <f>'[6]price list MAN'!S1751</f>
        <v>#N/A</v>
      </c>
      <c r="N1751" s="174" t="e">
        <f>'[6]price list MAN'!Y1751</f>
        <v>#N/A</v>
      </c>
      <c r="O1751" s="174" t="e">
        <f>'[6]price list MAN'!AA1751</f>
        <v>#N/A</v>
      </c>
      <c r="P1751" s="68" t="e">
        <f t="shared" si="136"/>
        <v>#N/A</v>
      </c>
      <c r="Q1751" s="62" t="e">
        <f>O1751-#REF!</f>
        <v>#N/A</v>
      </c>
      <c r="AT1751" s="425" t="str">
        <f t="shared" si="137"/>
        <v>Special Order0</v>
      </c>
      <c r="AU1751" s="64" t="str">
        <f t="shared" si="138"/>
        <v>01-1900</v>
      </c>
      <c r="BA1751" s="428" t="str">
        <f t="shared" si="139"/>
        <v/>
      </c>
    </row>
    <row r="1752" spans="2:53">
      <c r="B1752" s="36">
        <f>'[6]price list MAN'!B1752</f>
        <v>0</v>
      </c>
      <c r="C1752" s="10">
        <f>'[6]price list MAN'!C1752</f>
        <v>0</v>
      </c>
      <c r="D1752" s="16" t="str">
        <f>IFERROR(VLOOKUP(C1752&amp;"",'[7]Retail Price List'!$A$3:$B$103,2,FALSE),"Special Order")</f>
        <v>Special Order</v>
      </c>
      <c r="E1752" s="494">
        <f>'[6]price list MAN'!E1752</f>
        <v>0</v>
      </c>
      <c r="F1752" s="11">
        <f>'[6]price list MAN'!F1752</f>
        <v>0</v>
      </c>
      <c r="G1752" s="32">
        <f>'[6]price list MAN'!G1752</f>
        <v>0</v>
      </c>
      <c r="H1752" s="26">
        <f>'[6]price list MAN'!H1752</f>
        <v>0</v>
      </c>
      <c r="I1752" s="51" t="str">
        <f t="shared" si="135"/>
        <v/>
      </c>
      <c r="J1752" s="177" t="e">
        <f>'[6]price list MAN'!J1752</f>
        <v>#N/A</v>
      </c>
      <c r="K1752" s="177" t="e">
        <f>'[6]price list MAN'!P1752</f>
        <v>#N/A</v>
      </c>
      <c r="L1752" s="177" t="e">
        <f>'[6]price list MAN'!R1752</f>
        <v>#N/A</v>
      </c>
      <c r="M1752" s="174" t="e">
        <f>'[6]price list MAN'!S1752</f>
        <v>#N/A</v>
      </c>
      <c r="N1752" s="174" t="e">
        <f>'[6]price list MAN'!Y1752</f>
        <v>#N/A</v>
      </c>
      <c r="O1752" s="174" t="e">
        <f>'[6]price list MAN'!AA1752</f>
        <v>#N/A</v>
      </c>
      <c r="P1752" s="68" t="e">
        <f t="shared" si="136"/>
        <v>#N/A</v>
      </c>
      <c r="Q1752" s="62" t="e">
        <f>O1752-#REF!</f>
        <v>#N/A</v>
      </c>
      <c r="AT1752" s="425" t="str">
        <f t="shared" si="137"/>
        <v>Special Order0</v>
      </c>
      <c r="AU1752" s="64" t="str">
        <f t="shared" si="138"/>
        <v>01-1900</v>
      </c>
      <c r="BA1752" s="428" t="str">
        <f t="shared" si="139"/>
        <v/>
      </c>
    </row>
    <row r="1753" spans="2:53">
      <c r="B1753" s="36">
        <f>'[6]price list MAN'!B1753</f>
        <v>0</v>
      </c>
      <c r="C1753" s="10">
        <f>'[6]price list MAN'!C1753</f>
        <v>0</v>
      </c>
      <c r="D1753" s="16" t="str">
        <f>IFERROR(VLOOKUP(C1753&amp;"",'[7]Retail Price List'!$A$3:$B$103,2,FALSE),"Special Order")</f>
        <v>Special Order</v>
      </c>
      <c r="E1753" s="494">
        <f>'[6]price list MAN'!E1753</f>
        <v>0</v>
      </c>
      <c r="F1753" s="11">
        <f>'[6]price list MAN'!F1753</f>
        <v>0</v>
      </c>
      <c r="G1753" s="32">
        <f>'[6]price list MAN'!G1753</f>
        <v>0</v>
      </c>
      <c r="H1753" s="26">
        <f>'[6]price list MAN'!H1753</f>
        <v>0</v>
      </c>
      <c r="I1753" s="51" t="str">
        <f t="shared" si="135"/>
        <v/>
      </c>
      <c r="J1753" s="177" t="e">
        <f>'[6]price list MAN'!J1753</f>
        <v>#N/A</v>
      </c>
      <c r="K1753" s="177" t="e">
        <f>'[6]price list MAN'!P1753</f>
        <v>#N/A</v>
      </c>
      <c r="L1753" s="177" t="e">
        <f>'[6]price list MAN'!R1753</f>
        <v>#N/A</v>
      </c>
      <c r="M1753" s="174" t="e">
        <f>'[6]price list MAN'!S1753</f>
        <v>#N/A</v>
      </c>
      <c r="N1753" s="174" t="e">
        <f>'[6]price list MAN'!Y1753</f>
        <v>#N/A</v>
      </c>
      <c r="O1753" s="174" t="e">
        <f>'[6]price list MAN'!AA1753</f>
        <v>#N/A</v>
      </c>
      <c r="P1753" s="68" t="e">
        <f t="shared" si="136"/>
        <v>#N/A</v>
      </c>
      <c r="Q1753" s="62" t="e">
        <f>O1753-#REF!</f>
        <v>#N/A</v>
      </c>
      <c r="AT1753" s="425" t="str">
        <f t="shared" si="137"/>
        <v>Special Order0</v>
      </c>
      <c r="AU1753" s="64" t="str">
        <f t="shared" si="138"/>
        <v>01-1900</v>
      </c>
      <c r="BA1753" s="428" t="str">
        <f t="shared" si="139"/>
        <v/>
      </c>
    </row>
    <row r="1754" spans="2:53">
      <c r="B1754" s="36">
        <f>'[6]price list MAN'!B1754</f>
        <v>0</v>
      </c>
      <c r="C1754" s="10">
        <f>'[6]price list MAN'!C1754</f>
        <v>0</v>
      </c>
      <c r="D1754" s="16" t="str">
        <f>IFERROR(VLOOKUP(C1754&amp;"",'[7]Retail Price List'!$A$3:$B$103,2,FALSE),"Special Order")</f>
        <v>Special Order</v>
      </c>
      <c r="E1754" s="494">
        <f>'[6]price list MAN'!E1754</f>
        <v>0</v>
      </c>
      <c r="F1754" s="11">
        <f>'[6]price list MAN'!F1754</f>
        <v>0</v>
      </c>
      <c r="G1754" s="32">
        <f>'[6]price list MAN'!G1754</f>
        <v>0</v>
      </c>
      <c r="H1754" s="26">
        <f>'[6]price list MAN'!H1754</f>
        <v>0</v>
      </c>
      <c r="I1754" s="51" t="str">
        <f t="shared" si="135"/>
        <v/>
      </c>
      <c r="J1754" s="177" t="e">
        <f>'[6]price list MAN'!J1754</f>
        <v>#N/A</v>
      </c>
      <c r="K1754" s="177" t="e">
        <f>'[6]price list MAN'!P1754</f>
        <v>#N/A</v>
      </c>
      <c r="L1754" s="177" t="e">
        <f>'[6]price list MAN'!R1754</f>
        <v>#N/A</v>
      </c>
      <c r="M1754" s="174" t="e">
        <f>'[6]price list MAN'!S1754</f>
        <v>#N/A</v>
      </c>
      <c r="N1754" s="174" t="e">
        <f>'[6]price list MAN'!Y1754</f>
        <v>#N/A</v>
      </c>
      <c r="O1754" s="174" t="e">
        <f>'[6]price list MAN'!AA1754</f>
        <v>#N/A</v>
      </c>
      <c r="P1754" s="68" t="e">
        <f t="shared" si="136"/>
        <v>#N/A</v>
      </c>
      <c r="Q1754" s="62" t="e">
        <f>O1754-#REF!</f>
        <v>#N/A</v>
      </c>
      <c r="AT1754" s="425" t="str">
        <f t="shared" si="137"/>
        <v>Special Order0</v>
      </c>
      <c r="AU1754" s="64" t="str">
        <f t="shared" si="138"/>
        <v>01-1900</v>
      </c>
      <c r="BA1754" s="428" t="str">
        <f t="shared" si="139"/>
        <v/>
      </c>
    </row>
    <row r="1755" spans="2:53">
      <c r="B1755" s="36">
        <f>'[6]price list MAN'!B1755</f>
        <v>0</v>
      </c>
      <c r="C1755" s="10">
        <f>'[6]price list MAN'!C1755</f>
        <v>0</v>
      </c>
      <c r="D1755" s="16" t="str">
        <f>IFERROR(VLOOKUP(C1755&amp;"",'[7]Retail Price List'!$A$3:$B$103,2,FALSE),"Special Order")</f>
        <v>Special Order</v>
      </c>
      <c r="E1755" s="494">
        <f>'[6]price list MAN'!E1755</f>
        <v>0</v>
      </c>
      <c r="F1755" s="11">
        <f>'[6]price list MAN'!F1755</f>
        <v>0</v>
      </c>
      <c r="G1755" s="32">
        <f>'[6]price list MAN'!G1755</f>
        <v>0</v>
      </c>
      <c r="H1755" s="26">
        <f>'[6]price list MAN'!H1755</f>
        <v>0</v>
      </c>
      <c r="I1755" s="51" t="str">
        <f t="shared" si="135"/>
        <v/>
      </c>
      <c r="J1755" s="177" t="e">
        <f>'[6]price list MAN'!J1755</f>
        <v>#N/A</v>
      </c>
      <c r="K1755" s="177" t="e">
        <f>'[6]price list MAN'!P1755</f>
        <v>#N/A</v>
      </c>
      <c r="L1755" s="177" t="e">
        <f>'[6]price list MAN'!R1755</f>
        <v>#N/A</v>
      </c>
      <c r="M1755" s="174" t="e">
        <f>'[6]price list MAN'!S1755</f>
        <v>#N/A</v>
      </c>
      <c r="N1755" s="174" t="e">
        <f>'[6]price list MAN'!Y1755</f>
        <v>#N/A</v>
      </c>
      <c r="O1755" s="174" t="e">
        <f>'[6]price list MAN'!AA1755</f>
        <v>#N/A</v>
      </c>
      <c r="P1755" s="68" t="e">
        <f t="shared" si="136"/>
        <v>#N/A</v>
      </c>
      <c r="Q1755" s="62" t="e">
        <f>O1755-#REF!</f>
        <v>#N/A</v>
      </c>
      <c r="AT1755" s="425" t="str">
        <f t="shared" si="137"/>
        <v>Special Order0</v>
      </c>
      <c r="AU1755" s="64" t="str">
        <f t="shared" si="138"/>
        <v>01-1900</v>
      </c>
      <c r="BA1755" s="428" t="str">
        <f t="shared" si="139"/>
        <v/>
      </c>
    </row>
    <row r="1756" spans="2:53">
      <c r="B1756" s="36">
        <f>'[6]price list MAN'!B1756</f>
        <v>0</v>
      </c>
      <c r="C1756" s="10">
        <f>'[6]price list MAN'!C1756</f>
        <v>0</v>
      </c>
      <c r="D1756" s="16" t="str">
        <f>IFERROR(VLOOKUP(C1756&amp;"",'[7]Retail Price List'!$A$3:$B$103,2,FALSE),"Special Order")</f>
        <v>Special Order</v>
      </c>
      <c r="E1756" s="494">
        <f>'[6]price list MAN'!E1756</f>
        <v>0</v>
      </c>
      <c r="F1756" s="11">
        <f>'[6]price list MAN'!F1756</f>
        <v>0</v>
      </c>
      <c r="G1756" s="32">
        <f>'[6]price list MAN'!G1756</f>
        <v>0</v>
      </c>
      <c r="H1756" s="26">
        <f>'[6]price list MAN'!H1756</f>
        <v>0</v>
      </c>
      <c r="I1756" s="51" t="str">
        <f t="shared" si="135"/>
        <v/>
      </c>
      <c r="J1756" s="177" t="e">
        <f>'[6]price list MAN'!J1756</f>
        <v>#N/A</v>
      </c>
      <c r="K1756" s="177" t="e">
        <f>'[6]price list MAN'!P1756</f>
        <v>#N/A</v>
      </c>
      <c r="L1756" s="177" t="e">
        <f>'[6]price list MAN'!R1756</f>
        <v>#N/A</v>
      </c>
      <c r="M1756" s="174" t="e">
        <f>'[6]price list MAN'!S1756</f>
        <v>#N/A</v>
      </c>
      <c r="N1756" s="174" t="e">
        <f>'[6]price list MAN'!Y1756</f>
        <v>#N/A</v>
      </c>
      <c r="O1756" s="174" t="e">
        <f>'[6]price list MAN'!AA1756</f>
        <v>#N/A</v>
      </c>
      <c r="P1756" s="68" t="e">
        <f t="shared" si="136"/>
        <v>#N/A</v>
      </c>
      <c r="Q1756" s="62" t="e">
        <f>O1756-#REF!</f>
        <v>#N/A</v>
      </c>
      <c r="AT1756" s="425" t="str">
        <f t="shared" si="137"/>
        <v>Special Order0</v>
      </c>
      <c r="AU1756" s="64" t="str">
        <f t="shared" si="138"/>
        <v>01-1900</v>
      </c>
      <c r="BA1756" s="428" t="str">
        <f t="shared" si="139"/>
        <v/>
      </c>
    </row>
    <row r="1757" spans="2:53">
      <c r="B1757" s="36">
        <f>'[6]price list MAN'!B1757</f>
        <v>0</v>
      </c>
      <c r="C1757" s="10">
        <f>'[6]price list MAN'!C1757</f>
        <v>0</v>
      </c>
      <c r="D1757" s="16" t="str">
        <f>IFERROR(VLOOKUP(C1757&amp;"",'[7]Retail Price List'!$A$3:$B$103,2,FALSE),"Special Order")</f>
        <v>Special Order</v>
      </c>
      <c r="E1757" s="494">
        <f>'[6]price list MAN'!E1757</f>
        <v>0</v>
      </c>
      <c r="F1757" s="11">
        <f>'[6]price list MAN'!F1757</f>
        <v>0</v>
      </c>
      <c r="G1757" s="32">
        <f>'[6]price list MAN'!G1757</f>
        <v>0</v>
      </c>
      <c r="H1757" s="26">
        <f>'[6]price list MAN'!H1757</f>
        <v>0</v>
      </c>
      <c r="I1757" s="51" t="str">
        <f t="shared" si="135"/>
        <v/>
      </c>
      <c r="J1757" s="177" t="e">
        <f>'[6]price list MAN'!J1757</f>
        <v>#N/A</v>
      </c>
      <c r="K1757" s="177" t="e">
        <f>'[6]price list MAN'!P1757</f>
        <v>#N/A</v>
      </c>
      <c r="L1757" s="177" t="e">
        <f>'[6]price list MAN'!R1757</f>
        <v>#N/A</v>
      </c>
      <c r="M1757" s="174" t="e">
        <f>'[6]price list MAN'!S1757</f>
        <v>#N/A</v>
      </c>
      <c r="N1757" s="174" t="e">
        <f>'[6]price list MAN'!Y1757</f>
        <v>#N/A</v>
      </c>
      <c r="O1757" s="174" t="e">
        <f>'[6]price list MAN'!AA1757</f>
        <v>#N/A</v>
      </c>
      <c r="P1757" s="68" t="e">
        <f t="shared" si="136"/>
        <v>#N/A</v>
      </c>
      <c r="Q1757" s="62" t="e">
        <f>O1757-#REF!</f>
        <v>#N/A</v>
      </c>
      <c r="AT1757" s="425" t="str">
        <f t="shared" si="137"/>
        <v>Special Order0</v>
      </c>
      <c r="AU1757" s="64" t="str">
        <f t="shared" si="138"/>
        <v>01-1900</v>
      </c>
      <c r="BA1757" s="428" t="str">
        <f t="shared" si="139"/>
        <v/>
      </c>
    </row>
    <row r="1758" spans="2:53">
      <c r="B1758" s="36">
        <f>'[6]price list MAN'!B1758</f>
        <v>0</v>
      </c>
      <c r="C1758" s="10">
        <f>'[6]price list MAN'!C1758</f>
        <v>0</v>
      </c>
      <c r="D1758" s="16" t="str">
        <f>IFERROR(VLOOKUP(C1758&amp;"",'[7]Retail Price List'!$A$3:$B$103,2,FALSE),"Special Order")</f>
        <v>Special Order</v>
      </c>
      <c r="E1758" s="494">
        <f>'[6]price list MAN'!E1758</f>
        <v>0</v>
      </c>
      <c r="F1758" s="11">
        <f>'[6]price list MAN'!F1758</f>
        <v>0</v>
      </c>
      <c r="G1758" s="32">
        <f>'[6]price list MAN'!G1758</f>
        <v>0</v>
      </c>
      <c r="H1758" s="26">
        <f>'[6]price list MAN'!H1758</f>
        <v>0</v>
      </c>
      <c r="I1758" s="51" t="str">
        <f t="shared" si="135"/>
        <v/>
      </c>
      <c r="J1758" s="177" t="e">
        <f>'[6]price list MAN'!J1758</f>
        <v>#N/A</v>
      </c>
      <c r="K1758" s="177" t="e">
        <f>'[6]price list MAN'!P1758</f>
        <v>#N/A</v>
      </c>
      <c r="L1758" s="177" t="e">
        <f>'[6]price list MAN'!R1758</f>
        <v>#N/A</v>
      </c>
      <c r="M1758" s="174" t="e">
        <f>'[6]price list MAN'!S1758</f>
        <v>#N/A</v>
      </c>
      <c r="N1758" s="174" t="e">
        <f>'[6]price list MAN'!Y1758</f>
        <v>#N/A</v>
      </c>
      <c r="O1758" s="174" t="e">
        <f>'[6]price list MAN'!AA1758</f>
        <v>#N/A</v>
      </c>
      <c r="P1758" s="68" t="e">
        <f t="shared" si="136"/>
        <v>#N/A</v>
      </c>
      <c r="Q1758" s="62" t="e">
        <f>O1758-#REF!</f>
        <v>#N/A</v>
      </c>
      <c r="AT1758" s="425" t="str">
        <f t="shared" si="137"/>
        <v>Special Order0</v>
      </c>
      <c r="AU1758" s="64" t="str">
        <f t="shared" si="138"/>
        <v>01-1900</v>
      </c>
      <c r="BA1758" s="428" t="str">
        <f t="shared" si="139"/>
        <v/>
      </c>
    </row>
    <row r="1759" spans="2:53">
      <c r="B1759" s="36">
        <f>'[6]price list MAN'!B1759</f>
        <v>0</v>
      </c>
      <c r="C1759" s="10">
        <f>'[6]price list MAN'!C1759</f>
        <v>0</v>
      </c>
      <c r="D1759" s="16" t="str">
        <f>IFERROR(VLOOKUP(C1759&amp;"",'[7]Retail Price List'!$A$3:$B$103,2,FALSE),"Special Order")</f>
        <v>Special Order</v>
      </c>
      <c r="E1759" s="494">
        <f>'[6]price list MAN'!E1759</f>
        <v>0</v>
      </c>
      <c r="F1759" s="11">
        <f>'[6]price list MAN'!F1759</f>
        <v>0</v>
      </c>
      <c r="G1759" s="32">
        <f>'[6]price list MAN'!G1759</f>
        <v>0</v>
      </c>
      <c r="H1759" s="26">
        <f>'[6]price list MAN'!H1759</f>
        <v>0</v>
      </c>
      <c r="I1759" s="51" t="str">
        <f t="shared" si="135"/>
        <v/>
      </c>
      <c r="J1759" s="177" t="e">
        <f>'[6]price list MAN'!J1759</f>
        <v>#N/A</v>
      </c>
      <c r="K1759" s="177" t="e">
        <f>'[6]price list MAN'!P1759</f>
        <v>#N/A</v>
      </c>
      <c r="L1759" s="177" t="e">
        <f>'[6]price list MAN'!R1759</f>
        <v>#N/A</v>
      </c>
      <c r="M1759" s="174" t="e">
        <f>'[6]price list MAN'!S1759</f>
        <v>#N/A</v>
      </c>
      <c r="N1759" s="174" t="e">
        <f>'[6]price list MAN'!Y1759</f>
        <v>#N/A</v>
      </c>
      <c r="O1759" s="174" t="e">
        <f>'[6]price list MAN'!AA1759</f>
        <v>#N/A</v>
      </c>
      <c r="P1759" s="68" t="e">
        <f t="shared" si="136"/>
        <v>#N/A</v>
      </c>
      <c r="Q1759" s="62" t="e">
        <f>O1759-#REF!</f>
        <v>#N/A</v>
      </c>
      <c r="AT1759" s="425" t="str">
        <f t="shared" si="137"/>
        <v>Special Order0</v>
      </c>
      <c r="AU1759" s="64" t="str">
        <f t="shared" si="138"/>
        <v>01-1900</v>
      </c>
      <c r="BA1759" s="428" t="str">
        <f t="shared" si="139"/>
        <v/>
      </c>
    </row>
    <row r="1760" spans="2:53">
      <c r="B1760" s="36">
        <f>'[6]price list MAN'!B1760</f>
        <v>0</v>
      </c>
      <c r="C1760" s="10">
        <f>'[6]price list MAN'!C1760</f>
        <v>0</v>
      </c>
      <c r="D1760" s="16" t="str">
        <f>IFERROR(VLOOKUP(C1760&amp;"",'[7]Retail Price List'!$A$3:$B$103,2,FALSE),"Special Order")</f>
        <v>Special Order</v>
      </c>
      <c r="E1760" s="494">
        <f>'[6]price list MAN'!E1760</f>
        <v>0</v>
      </c>
      <c r="F1760" s="11">
        <f>'[6]price list MAN'!F1760</f>
        <v>0</v>
      </c>
      <c r="G1760" s="32">
        <f>'[6]price list MAN'!G1760</f>
        <v>0</v>
      </c>
      <c r="H1760" s="26">
        <f>'[6]price list MAN'!H1760</f>
        <v>0</v>
      </c>
      <c r="I1760" s="51" t="str">
        <f t="shared" si="135"/>
        <v/>
      </c>
      <c r="J1760" s="177" t="e">
        <f>'[6]price list MAN'!J1760</f>
        <v>#N/A</v>
      </c>
      <c r="K1760" s="177" t="e">
        <f>'[6]price list MAN'!P1760</f>
        <v>#N/A</v>
      </c>
      <c r="L1760" s="177" t="e">
        <f>'[6]price list MAN'!R1760</f>
        <v>#N/A</v>
      </c>
      <c r="M1760" s="174" t="e">
        <f>'[6]price list MAN'!S1760</f>
        <v>#N/A</v>
      </c>
      <c r="N1760" s="174" t="e">
        <f>'[6]price list MAN'!Y1760</f>
        <v>#N/A</v>
      </c>
      <c r="O1760" s="174" t="e">
        <f>'[6]price list MAN'!AA1760</f>
        <v>#N/A</v>
      </c>
      <c r="P1760" s="68" t="e">
        <f t="shared" si="136"/>
        <v>#N/A</v>
      </c>
      <c r="Q1760" s="62" t="e">
        <f>O1760-#REF!</f>
        <v>#N/A</v>
      </c>
      <c r="AT1760" s="425" t="str">
        <f t="shared" si="137"/>
        <v>Special Order0</v>
      </c>
      <c r="AU1760" s="64" t="str">
        <f t="shared" si="138"/>
        <v>01-1900</v>
      </c>
      <c r="BA1760" s="428" t="str">
        <f t="shared" si="139"/>
        <v/>
      </c>
    </row>
    <row r="1761" spans="2:53">
      <c r="B1761" s="36">
        <f>'[6]price list MAN'!B1761</f>
        <v>0</v>
      </c>
      <c r="C1761" s="10">
        <f>'[6]price list MAN'!C1761</f>
        <v>0</v>
      </c>
      <c r="D1761" s="16" t="str">
        <f>IFERROR(VLOOKUP(C1761&amp;"",'[7]Retail Price List'!$A$3:$B$103,2,FALSE),"Special Order")</f>
        <v>Special Order</v>
      </c>
      <c r="E1761" s="494">
        <f>'[6]price list MAN'!E1761</f>
        <v>0</v>
      </c>
      <c r="F1761" s="11">
        <f>'[6]price list MAN'!F1761</f>
        <v>0</v>
      </c>
      <c r="G1761" s="32">
        <f>'[6]price list MAN'!G1761</f>
        <v>0</v>
      </c>
      <c r="H1761" s="26">
        <f>'[6]price list MAN'!H1761</f>
        <v>0</v>
      </c>
      <c r="I1761" s="51" t="str">
        <f t="shared" si="135"/>
        <v/>
      </c>
      <c r="J1761" s="177" t="e">
        <f>'[6]price list MAN'!J1761</f>
        <v>#N/A</v>
      </c>
      <c r="K1761" s="177" t="e">
        <f>'[6]price list MAN'!P1761</f>
        <v>#N/A</v>
      </c>
      <c r="L1761" s="177" t="e">
        <f>'[6]price list MAN'!R1761</f>
        <v>#N/A</v>
      </c>
      <c r="M1761" s="174" t="e">
        <f>'[6]price list MAN'!S1761</f>
        <v>#N/A</v>
      </c>
      <c r="N1761" s="174" t="e">
        <f>'[6]price list MAN'!Y1761</f>
        <v>#N/A</v>
      </c>
      <c r="O1761" s="174" t="e">
        <f>'[6]price list MAN'!AA1761</f>
        <v>#N/A</v>
      </c>
      <c r="P1761" s="68" t="e">
        <f t="shared" si="136"/>
        <v>#N/A</v>
      </c>
      <c r="Q1761" s="62" t="e">
        <f>O1761-#REF!</f>
        <v>#N/A</v>
      </c>
      <c r="AT1761" s="425" t="str">
        <f t="shared" si="137"/>
        <v>Special Order0</v>
      </c>
      <c r="AU1761" s="64" t="str">
        <f t="shared" si="138"/>
        <v>01-1900</v>
      </c>
      <c r="BA1761" s="428" t="str">
        <f t="shared" si="139"/>
        <v/>
      </c>
    </row>
    <row r="1762" spans="2:53">
      <c r="B1762" s="36">
        <f>'[6]price list MAN'!B1762</f>
        <v>0</v>
      </c>
      <c r="C1762" s="10">
        <f>'[6]price list MAN'!C1762</f>
        <v>0</v>
      </c>
      <c r="D1762" s="16" t="str">
        <f>IFERROR(VLOOKUP(C1762&amp;"",'[7]Retail Price List'!$A$3:$B$103,2,FALSE),"Special Order")</f>
        <v>Special Order</v>
      </c>
      <c r="E1762" s="494">
        <f>'[6]price list MAN'!E1762</f>
        <v>0</v>
      </c>
      <c r="F1762" s="11">
        <f>'[6]price list MAN'!F1762</f>
        <v>0</v>
      </c>
      <c r="G1762" s="32">
        <f>'[6]price list MAN'!G1762</f>
        <v>0</v>
      </c>
      <c r="H1762" s="26">
        <f>'[6]price list MAN'!H1762</f>
        <v>0</v>
      </c>
      <c r="I1762" s="51" t="str">
        <f t="shared" si="135"/>
        <v/>
      </c>
      <c r="J1762" s="177" t="e">
        <f>'[6]price list MAN'!J1762</f>
        <v>#N/A</v>
      </c>
      <c r="K1762" s="177" t="e">
        <f>'[6]price list MAN'!P1762</f>
        <v>#N/A</v>
      </c>
      <c r="L1762" s="177" t="e">
        <f>'[6]price list MAN'!R1762</f>
        <v>#N/A</v>
      </c>
      <c r="M1762" s="174" t="e">
        <f>'[6]price list MAN'!S1762</f>
        <v>#N/A</v>
      </c>
      <c r="N1762" s="174" t="e">
        <f>'[6]price list MAN'!Y1762</f>
        <v>#N/A</v>
      </c>
      <c r="O1762" s="174" t="e">
        <f>'[6]price list MAN'!AA1762</f>
        <v>#N/A</v>
      </c>
      <c r="P1762" s="68" t="e">
        <f t="shared" si="136"/>
        <v>#N/A</v>
      </c>
      <c r="Q1762" s="62" t="e">
        <f>O1762-#REF!</f>
        <v>#N/A</v>
      </c>
      <c r="AT1762" s="425" t="str">
        <f t="shared" si="137"/>
        <v>Special Order0</v>
      </c>
      <c r="AU1762" s="64" t="str">
        <f t="shared" si="138"/>
        <v>01-1900</v>
      </c>
      <c r="BA1762" s="428" t="str">
        <f t="shared" si="139"/>
        <v/>
      </c>
    </row>
    <row r="1763" spans="2:53">
      <c r="B1763" s="36">
        <f>'[6]price list MAN'!B1763</f>
        <v>0</v>
      </c>
      <c r="C1763" s="10">
        <f>'[6]price list MAN'!C1763</f>
        <v>0</v>
      </c>
      <c r="D1763" s="16" t="str">
        <f>IFERROR(VLOOKUP(C1763&amp;"",'[7]Retail Price List'!$A$3:$B$103,2,FALSE),"Special Order")</f>
        <v>Special Order</v>
      </c>
      <c r="E1763" s="494">
        <f>'[6]price list MAN'!E1763</f>
        <v>0</v>
      </c>
      <c r="F1763" s="11">
        <f>'[6]price list MAN'!F1763</f>
        <v>0</v>
      </c>
      <c r="G1763" s="32">
        <f>'[6]price list MAN'!G1763</f>
        <v>0</v>
      </c>
      <c r="H1763" s="26">
        <f>'[6]price list MAN'!H1763</f>
        <v>0</v>
      </c>
      <c r="I1763" s="51" t="str">
        <f t="shared" si="135"/>
        <v/>
      </c>
      <c r="J1763" s="177" t="e">
        <f>'[6]price list MAN'!J1763</f>
        <v>#N/A</v>
      </c>
      <c r="K1763" s="177" t="e">
        <f>'[6]price list MAN'!P1763</f>
        <v>#N/A</v>
      </c>
      <c r="L1763" s="177" t="e">
        <f>'[6]price list MAN'!R1763</f>
        <v>#N/A</v>
      </c>
      <c r="M1763" s="174" t="e">
        <f>'[6]price list MAN'!S1763</f>
        <v>#N/A</v>
      </c>
      <c r="N1763" s="174" t="e">
        <f>'[6]price list MAN'!Y1763</f>
        <v>#N/A</v>
      </c>
      <c r="O1763" s="174" t="e">
        <f>'[6]price list MAN'!AA1763</f>
        <v>#N/A</v>
      </c>
      <c r="P1763" s="68" t="e">
        <f t="shared" si="136"/>
        <v>#N/A</v>
      </c>
      <c r="Q1763" s="62" t="e">
        <f>O1763-#REF!</f>
        <v>#N/A</v>
      </c>
      <c r="AT1763" s="425" t="str">
        <f t="shared" si="137"/>
        <v>Special Order0</v>
      </c>
      <c r="AU1763" s="64" t="str">
        <f t="shared" si="138"/>
        <v>01-1900</v>
      </c>
      <c r="BA1763" s="428" t="str">
        <f t="shared" si="139"/>
        <v/>
      </c>
    </row>
    <row r="1764" spans="2:53">
      <c r="B1764" s="36">
        <f>'[6]price list MAN'!B1764</f>
        <v>0</v>
      </c>
      <c r="C1764" s="10">
        <f>'[6]price list MAN'!C1764</f>
        <v>0</v>
      </c>
      <c r="D1764" s="16" t="str">
        <f>IFERROR(VLOOKUP(C1764&amp;"",'[7]Retail Price List'!$A$3:$B$103,2,FALSE),"Special Order")</f>
        <v>Special Order</v>
      </c>
      <c r="E1764" s="494">
        <f>'[6]price list MAN'!E1764</f>
        <v>0</v>
      </c>
      <c r="F1764" s="11">
        <f>'[6]price list MAN'!F1764</f>
        <v>0</v>
      </c>
      <c r="G1764" s="32">
        <f>'[6]price list MAN'!G1764</f>
        <v>0</v>
      </c>
      <c r="H1764" s="26">
        <f>'[6]price list MAN'!H1764</f>
        <v>0</v>
      </c>
      <c r="I1764" s="51" t="str">
        <f t="shared" si="135"/>
        <v/>
      </c>
      <c r="J1764" s="177" t="e">
        <f>'[6]price list MAN'!J1764</f>
        <v>#N/A</v>
      </c>
      <c r="K1764" s="177" t="e">
        <f>'[6]price list MAN'!P1764</f>
        <v>#N/A</v>
      </c>
      <c r="L1764" s="177" t="e">
        <f>'[6]price list MAN'!R1764</f>
        <v>#N/A</v>
      </c>
      <c r="M1764" s="174" t="e">
        <f>'[6]price list MAN'!S1764</f>
        <v>#N/A</v>
      </c>
      <c r="N1764" s="174" t="e">
        <f>'[6]price list MAN'!Y1764</f>
        <v>#N/A</v>
      </c>
      <c r="O1764" s="174" t="e">
        <f>'[6]price list MAN'!AA1764</f>
        <v>#N/A</v>
      </c>
      <c r="P1764" s="68" t="e">
        <f t="shared" si="136"/>
        <v>#N/A</v>
      </c>
      <c r="Q1764" s="62" t="e">
        <f>O1764-#REF!</f>
        <v>#N/A</v>
      </c>
      <c r="AT1764" s="425" t="str">
        <f t="shared" si="137"/>
        <v>Special Order0</v>
      </c>
      <c r="AU1764" s="64" t="str">
        <f t="shared" si="138"/>
        <v>01-1900</v>
      </c>
      <c r="BA1764" s="428" t="str">
        <f t="shared" si="139"/>
        <v/>
      </c>
    </row>
    <row r="1765" spans="2:53">
      <c r="B1765" s="36">
        <f>'[6]price list MAN'!B1765</f>
        <v>0</v>
      </c>
      <c r="C1765" s="10">
        <f>'[6]price list MAN'!C1765</f>
        <v>0</v>
      </c>
      <c r="D1765" s="16" t="str">
        <f>IFERROR(VLOOKUP(C1765&amp;"",'[7]Retail Price List'!$A$3:$B$103,2,FALSE),"Special Order")</f>
        <v>Special Order</v>
      </c>
      <c r="E1765" s="494">
        <f>'[6]price list MAN'!E1765</f>
        <v>0</v>
      </c>
      <c r="F1765" s="11">
        <f>'[6]price list MAN'!F1765</f>
        <v>0</v>
      </c>
      <c r="G1765" s="32">
        <f>'[6]price list MAN'!G1765</f>
        <v>0</v>
      </c>
      <c r="H1765" s="26">
        <f>'[6]price list MAN'!H1765</f>
        <v>0</v>
      </c>
      <c r="I1765" s="51" t="str">
        <f t="shared" si="135"/>
        <v/>
      </c>
      <c r="J1765" s="177" t="e">
        <f>'[6]price list MAN'!J1765</f>
        <v>#N/A</v>
      </c>
      <c r="K1765" s="177" t="e">
        <f>'[6]price list MAN'!P1765</f>
        <v>#N/A</v>
      </c>
      <c r="L1765" s="177" t="e">
        <f>'[6]price list MAN'!R1765</f>
        <v>#N/A</v>
      </c>
      <c r="M1765" s="174" t="e">
        <f>'[6]price list MAN'!S1765</f>
        <v>#N/A</v>
      </c>
      <c r="N1765" s="174" t="e">
        <f>'[6]price list MAN'!Y1765</f>
        <v>#N/A</v>
      </c>
      <c r="O1765" s="174" t="e">
        <f>'[6]price list MAN'!AA1765</f>
        <v>#N/A</v>
      </c>
      <c r="P1765" s="68" t="e">
        <f t="shared" si="136"/>
        <v>#N/A</v>
      </c>
      <c r="Q1765" s="62" t="e">
        <f>O1765-#REF!</f>
        <v>#N/A</v>
      </c>
      <c r="AT1765" s="425" t="str">
        <f t="shared" si="137"/>
        <v>Special Order0</v>
      </c>
      <c r="AU1765" s="64" t="str">
        <f t="shared" si="138"/>
        <v>01-1900</v>
      </c>
      <c r="BA1765" s="428" t="str">
        <f t="shared" si="139"/>
        <v/>
      </c>
    </row>
    <row r="1766" spans="2:53">
      <c r="B1766" s="36">
        <f>'[6]price list MAN'!B1766</f>
        <v>0</v>
      </c>
      <c r="C1766" s="10">
        <f>'[6]price list MAN'!C1766</f>
        <v>0</v>
      </c>
      <c r="D1766" s="16" t="str">
        <f>IFERROR(VLOOKUP(C1766&amp;"",'[7]Retail Price List'!$A$3:$B$103,2,FALSE),"Special Order")</f>
        <v>Special Order</v>
      </c>
      <c r="E1766" s="494">
        <f>'[6]price list MAN'!E1766</f>
        <v>0</v>
      </c>
      <c r="F1766" s="11">
        <f>'[6]price list MAN'!F1766</f>
        <v>0</v>
      </c>
      <c r="G1766" s="32">
        <f>'[6]price list MAN'!G1766</f>
        <v>0</v>
      </c>
      <c r="H1766" s="26">
        <f>'[6]price list MAN'!H1766</f>
        <v>0</v>
      </c>
      <c r="I1766" s="51" t="str">
        <f t="shared" si="135"/>
        <v/>
      </c>
      <c r="J1766" s="177" t="e">
        <f>'[6]price list MAN'!J1766</f>
        <v>#N/A</v>
      </c>
      <c r="K1766" s="177" t="e">
        <f>'[6]price list MAN'!P1766</f>
        <v>#N/A</v>
      </c>
      <c r="L1766" s="177" t="e">
        <f>'[6]price list MAN'!R1766</f>
        <v>#N/A</v>
      </c>
      <c r="M1766" s="174" t="e">
        <f>'[6]price list MAN'!S1766</f>
        <v>#N/A</v>
      </c>
      <c r="N1766" s="174" t="e">
        <f>'[6]price list MAN'!Y1766</f>
        <v>#N/A</v>
      </c>
      <c r="O1766" s="174" t="e">
        <f>'[6]price list MAN'!AA1766</f>
        <v>#N/A</v>
      </c>
      <c r="P1766" s="68" t="e">
        <f t="shared" si="136"/>
        <v>#N/A</v>
      </c>
      <c r="Q1766" s="62" t="e">
        <f>O1766-#REF!</f>
        <v>#N/A</v>
      </c>
      <c r="AT1766" s="425" t="str">
        <f t="shared" si="137"/>
        <v>Special Order0</v>
      </c>
      <c r="AU1766" s="64" t="str">
        <f t="shared" si="138"/>
        <v>01-1900</v>
      </c>
      <c r="BA1766" s="428" t="str">
        <f t="shared" si="139"/>
        <v/>
      </c>
    </row>
    <row r="1767" spans="2:53">
      <c r="B1767" s="36">
        <f>'[6]price list MAN'!B1767</f>
        <v>0</v>
      </c>
      <c r="C1767" s="10">
        <f>'[6]price list MAN'!C1767</f>
        <v>0</v>
      </c>
      <c r="D1767" s="16" t="str">
        <f>IFERROR(VLOOKUP(C1767&amp;"",'[7]Retail Price List'!$A$3:$B$103,2,FALSE),"Special Order")</f>
        <v>Special Order</v>
      </c>
      <c r="E1767" s="494">
        <f>'[6]price list MAN'!E1767</f>
        <v>0</v>
      </c>
      <c r="F1767" s="11">
        <f>'[6]price list MAN'!F1767</f>
        <v>0</v>
      </c>
      <c r="G1767" s="32">
        <f>'[6]price list MAN'!G1767</f>
        <v>0</v>
      </c>
      <c r="H1767" s="26">
        <f>'[6]price list MAN'!H1767</f>
        <v>0</v>
      </c>
      <c r="I1767" s="51" t="str">
        <f t="shared" si="135"/>
        <v/>
      </c>
      <c r="J1767" s="177" t="e">
        <f>'[6]price list MAN'!J1767</f>
        <v>#N/A</v>
      </c>
      <c r="K1767" s="177" t="e">
        <f>'[6]price list MAN'!P1767</f>
        <v>#N/A</v>
      </c>
      <c r="L1767" s="177" t="e">
        <f>'[6]price list MAN'!R1767</f>
        <v>#N/A</v>
      </c>
      <c r="M1767" s="174" t="e">
        <f>'[6]price list MAN'!S1767</f>
        <v>#N/A</v>
      </c>
      <c r="N1767" s="174" t="e">
        <f>'[6]price list MAN'!Y1767</f>
        <v>#N/A</v>
      </c>
      <c r="O1767" s="174" t="e">
        <f>'[6]price list MAN'!AA1767</f>
        <v>#N/A</v>
      </c>
      <c r="P1767" s="68" t="e">
        <f t="shared" si="136"/>
        <v>#N/A</v>
      </c>
      <c r="Q1767" s="62" t="e">
        <f>O1767-#REF!</f>
        <v>#N/A</v>
      </c>
      <c r="AT1767" s="425" t="str">
        <f t="shared" si="137"/>
        <v>Special Order0</v>
      </c>
      <c r="AU1767" s="64" t="str">
        <f t="shared" si="138"/>
        <v>01-1900</v>
      </c>
      <c r="BA1767" s="428" t="str">
        <f t="shared" si="139"/>
        <v/>
      </c>
    </row>
    <row r="1768" spans="2:53">
      <c r="B1768" s="36">
        <f>'[6]price list MAN'!B1768</f>
        <v>0</v>
      </c>
      <c r="C1768" s="10">
        <f>'[6]price list MAN'!C1768</f>
        <v>0</v>
      </c>
      <c r="D1768" s="16" t="str">
        <f>IFERROR(VLOOKUP(C1768&amp;"",'[7]Retail Price List'!$A$3:$B$103,2,FALSE),"Special Order")</f>
        <v>Special Order</v>
      </c>
      <c r="E1768" s="494">
        <f>'[6]price list MAN'!E1768</f>
        <v>0</v>
      </c>
      <c r="F1768" s="11">
        <f>'[6]price list MAN'!F1768</f>
        <v>0</v>
      </c>
      <c r="G1768" s="32">
        <f>'[6]price list MAN'!G1768</f>
        <v>0</v>
      </c>
      <c r="H1768" s="26">
        <f>'[6]price list MAN'!H1768</f>
        <v>0</v>
      </c>
      <c r="I1768" s="51" t="str">
        <f t="shared" si="135"/>
        <v/>
      </c>
      <c r="J1768" s="177" t="e">
        <f>'[6]price list MAN'!J1768</f>
        <v>#N/A</v>
      </c>
      <c r="K1768" s="177" t="e">
        <f>'[6]price list MAN'!P1768</f>
        <v>#N/A</v>
      </c>
      <c r="L1768" s="177" t="e">
        <f>'[6]price list MAN'!R1768</f>
        <v>#N/A</v>
      </c>
      <c r="M1768" s="174" t="e">
        <f>'[6]price list MAN'!S1768</f>
        <v>#N/A</v>
      </c>
      <c r="N1768" s="174" t="e">
        <f>'[6]price list MAN'!Y1768</f>
        <v>#N/A</v>
      </c>
      <c r="O1768" s="174" t="e">
        <f>'[6]price list MAN'!AA1768</f>
        <v>#N/A</v>
      </c>
      <c r="P1768" s="68" t="e">
        <f t="shared" si="136"/>
        <v>#N/A</v>
      </c>
      <c r="Q1768" s="62" t="e">
        <f>O1768-#REF!</f>
        <v>#N/A</v>
      </c>
      <c r="AT1768" s="425" t="str">
        <f t="shared" si="137"/>
        <v>Special Order0</v>
      </c>
      <c r="AU1768" s="64" t="str">
        <f t="shared" si="138"/>
        <v>01-1900</v>
      </c>
      <c r="BA1768" s="428" t="str">
        <f t="shared" si="139"/>
        <v/>
      </c>
    </row>
    <row r="1769" spans="2:53">
      <c r="B1769" s="36">
        <f>'[6]price list MAN'!B1769</f>
        <v>0</v>
      </c>
      <c r="C1769" s="10">
        <f>'[6]price list MAN'!C1769</f>
        <v>0</v>
      </c>
      <c r="D1769" s="16" t="str">
        <f>IFERROR(VLOOKUP(C1769&amp;"",'[7]Retail Price List'!$A$3:$B$103,2,FALSE),"Special Order")</f>
        <v>Special Order</v>
      </c>
      <c r="E1769" s="494">
        <f>'[6]price list MAN'!E1769</f>
        <v>0</v>
      </c>
      <c r="F1769" s="11">
        <f>'[6]price list MAN'!F1769</f>
        <v>0</v>
      </c>
      <c r="G1769" s="32">
        <f>'[6]price list MAN'!G1769</f>
        <v>0</v>
      </c>
      <c r="H1769" s="26">
        <f>'[6]price list MAN'!H1769</f>
        <v>0</v>
      </c>
      <c r="I1769" s="51" t="str">
        <f t="shared" si="135"/>
        <v/>
      </c>
      <c r="J1769" s="177" t="e">
        <f>'[6]price list MAN'!J1769</f>
        <v>#N/A</v>
      </c>
      <c r="K1769" s="177" t="e">
        <f>'[6]price list MAN'!P1769</f>
        <v>#N/A</v>
      </c>
      <c r="L1769" s="177" t="e">
        <f>'[6]price list MAN'!R1769</f>
        <v>#N/A</v>
      </c>
      <c r="M1769" s="174" t="e">
        <f>'[6]price list MAN'!S1769</f>
        <v>#N/A</v>
      </c>
      <c r="N1769" s="174" t="e">
        <f>'[6]price list MAN'!Y1769</f>
        <v>#N/A</v>
      </c>
      <c r="O1769" s="174" t="e">
        <f>'[6]price list MAN'!AA1769</f>
        <v>#N/A</v>
      </c>
      <c r="P1769" s="68" t="e">
        <f t="shared" si="136"/>
        <v>#N/A</v>
      </c>
      <c r="Q1769" s="62" t="e">
        <f>O1769-#REF!</f>
        <v>#N/A</v>
      </c>
      <c r="AT1769" s="425" t="str">
        <f t="shared" si="137"/>
        <v>Special Order0</v>
      </c>
      <c r="AU1769" s="64" t="str">
        <f t="shared" si="138"/>
        <v>01-1900</v>
      </c>
      <c r="BA1769" s="428" t="str">
        <f t="shared" si="139"/>
        <v/>
      </c>
    </row>
    <row r="1770" spans="2:53">
      <c r="B1770" s="36">
        <f>'[6]price list MAN'!B1770</f>
        <v>0</v>
      </c>
      <c r="C1770" s="10">
        <f>'[6]price list MAN'!C1770</f>
        <v>0</v>
      </c>
      <c r="D1770" s="16" t="str">
        <f>IFERROR(VLOOKUP(C1770&amp;"",'[7]Retail Price List'!$A$3:$B$103,2,FALSE),"Special Order")</f>
        <v>Special Order</v>
      </c>
      <c r="E1770" s="494">
        <f>'[6]price list MAN'!E1770</f>
        <v>0</v>
      </c>
      <c r="F1770" s="11">
        <f>'[6]price list MAN'!F1770</f>
        <v>0</v>
      </c>
      <c r="G1770" s="32">
        <f>'[6]price list MAN'!G1770</f>
        <v>0</v>
      </c>
      <c r="H1770" s="26">
        <f>'[6]price list MAN'!H1770</f>
        <v>0</v>
      </c>
      <c r="I1770" s="51" t="str">
        <f t="shared" si="135"/>
        <v/>
      </c>
      <c r="J1770" s="177" t="e">
        <f>'[6]price list MAN'!J1770</f>
        <v>#N/A</v>
      </c>
      <c r="K1770" s="177" t="e">
        <f>'[6]price list MAN'!P1770</f>
        <v>#N/A</v>
      </c>
      <c r="L1770" s="177" t="e">
        <f>'[6]price list MAN'!R1770</f>
        <v>#N/A</v>
      </c>
      <c r="M1770" s="174" t="e">
        <f>'[6]price list MAN'!S1770</f>
        <v>#N/A</v>
      </c>
      <c r="N1770" s="174" t="e">
        <f>'[6]price list MAN'!Y1770</f>
        <v>#N/A</v>
      </c>
      <c r="O1770" s="174" t="e">
        <f>'[6]price list MAN'!AA1770</f>
        <v>#N/A</v>
      </c>
      <c r="P1770" s="68" t="e">
        <f t="shared" si="136"/>
        <v>#N/A</v>
      </c>
      <c r="Q1770" s="62" t="e">
        <f>O1770-#REF!</f>
        <v>#N/A</v>
      </c>
      <c r="AT1770" s="425" t="str">
        <f t="shared" si="137"/>
        <v>Special Order0</v>
      </c>
      <c r="AU1770" s="64" t="str">
        <f t="shared" si="138"/>
        <v>01-1900</v>
      </c>
      <c r="BA1770" s="428" t="str">
        <f t="shared" si="139"/>
        <v/>
      </c>
    </row>
    <row r="1771" spans="2:53">
      <c r="B1771" s="36">
        <f>'[6]price list MAN'!B1771</f>
        <v>0</v>
      </c>
      <c r="C1771" s="10">
        <f>'[6]price list MAN'!C1771</f>
        <v>0</v>
      </c>
      <c r="D1771" s="16" t="str">
        <f>IFERROR(VLOOKUP(C1771&amp;"",'[7]Retail Price List'!$A$3:$B$103,2,FALSE),"Special Order")</f>
        <v>Special Order</v>
      </c>
      <c r="E1771" s="494">
        <f>'[6]price list MAN'!E1771</f>
        <v>0</v>
      </c>
      <c r="F1771" s="11">
        <f>'[6]price list MAN'!F1771</f>
        <v>0</v>
      </c>
      <c r="G1771" s="32">
        <f>'[6]price list MAN'!G1771</f>
        <v>0</v>
      </c>
      <c r="H1771" s="26">
        <f>'[6]price list MAN'!H1771</f>
        <v>0</v>
      </c>
      <c r="I1771" s="51" t="str">
        <f t="shared" si="135"/>
        <v/>
      </c>
      <c r="J1771" s="177" t="e">
        <f>'[6]price list MAN'!J1771</f>
        <v>#N/A</v>
      </c>
      <c r="K1771" s="177" t="e">
        <f>'[6]price list MAN'!P1771</f>
        <v>#N/A</v>
      </c>
      <c r="L1771" s="177" t="e">
        <f>'[6]price list MAN'!R1771</f>
        <v>#N/A</v>
      </c>
      <c r="M1771" s="174" t="e">
        <f>'[6]price list MAN'!S1771</f>
        <v>#N/A</v>
      </c>
      <c r="N1771" s="174" t="e">
        <f>'[6]price list MAN'!Y1771</f>
        <v>#N/A</v>
      </c>
      <c r="O1771" s="174" t="e">
        <f>'[6]price list MAN'!AA1771</f>
        <v>#N/A</v>
      </c>
      <c r="P1771" s="68" t="e">
        <f t="shared" si="136"/>
        <v>#N/A</v>
      </c>
      <c r="Q1771" s="62" t="e">
        <f>O1771-#REF!</f>
        <v>#N/A</v>
      </c>
      <c r="AT1771" s="425" t="str">
        <f t="shared" si="137"/>
        <v>Special Order0</v>
      </c>
      <c r="AU1771" s="64" t="str">
        <f t="shared" si="138"/>
        <v>01-1900</v>
      </c>
      <c r="BA1771" s="428" t="str">
        <f t="shared" si="139"/>
        <v/>
      </c>
    </row>
    <row r="1772" spans="2:53">
      <c r="B1772" s="36">
        <f>'[6]price list MAN'!B1772</f>
        <v>0</v>
      </c>
      <c r="C1772" s="10">
        <f>'[6]price list MAN'!C1772</f>
        <v>0</v>
      </c>
      <c r="D1772" s="16" t="str">
        <f>IFERROR(VLOOKUP(C1772&amp;"",'[7]Retail Price List'!$A$3:$B$103,2,FALSE),"Special Order")</f>
        <v>Special Order</v>
      </c>
      <c r="E1772" s="494">
        <f>'[6]price list MAN'!E1772</f>
        <v>0</v>
      </c>
      <c r="F1772" s="11">
        <f>'[6]price list MAN'!F1772</f>
        <v>0</v>
      </c>
      <c r="G1772" s="32">
        <f>'[6]price list MAN'!G1772</f>
        <v>0</v>
      </c>
      <c r="H1772" s="26">
        <f>'[6]price list MAN'!H1772</f>
        <v>0</v>
      </c>
      <c r="I1772" s="51" t="str">
        <f t="shared" si="135"/>
        <v/>
      </c>
      <c r="J1772" s="177" t="e">
        <f>'[6]price list MAN'!J1772</f>
        <v>#N/A</v>
      </c>
      <c r="K1772" s="177" t="e">
        <f>'[6]price list MAN'!P1772</f>
        <v>#N/A</v>
      </c>
      <c r="L1772" s="177" t="e">
        <f>'[6]price list MAN'!R1772</f>
        <v>#N/A</v>
      </c>
      <c r="M1772" s="174" t="e">
        <f>'[6]price list MAN'!S1772</f>
        <v>#N/A</v>
      </c>
      <c r="N1772" s="174" t="e">
        <f>'[6]price list MAN'!Y1772</f>
        <v>#N/A</v>
      </c>
      <c r="O1772" s="174" t="e">
        <f>'[6]price list MAN'!AA1772</f>
        <v>#N/A</v>
      </c>
      <c r="P1772" s="68" t="e">
        <f t="shared" si="136"/>
        <v>#N/A</v>
      </c>
      <c r="Q1772" s="62" t="e">
        <f>O1772-#REF!</f>
        <v>#N/A</v>
      </c>
      <c r="AT1772" s="425" t="str">
        <f t="shared" si="137"/>
        <v>Special Order0</v>
      </c>
      <c r="AU1772" s="64" t="str">
        <f t="shared" si="138"/>
        <v>01-1900</v>
      </c>
      <c r="BA1772" s="428" t="str">
        <f t="shared" si="139"/>
        <v/>
      </c>
    </row>
    <row r="1773" spans="2:53">
      <c r="B1773" s="36">
        <f>'[6]price list MAN'!B1773</f>
        <v>0</v>
      </c>
      <c r="C1773" s="10">
        <f>'[6]price list MAN'!C1773</f>
        <v>0</v>
      </c>
      <c r="D1773" s="16" t="str">
        <f>IFERROR(VLOOKUP(C1773&amp;"",'[7]Retail Price List'!$A$3:$B$103,2,FALSE),"Special Order")</f>
        <v>Special Order</v>
      </c>
      <c r="E1773" s="494">
        <f>'[6]price list MAN'!E1773</f>
        <v>0</v>
      </c>
      <c r="F1773" s="11">
        <f>'[6]price list MAN'!F1773</f>
        <v>0</v>
      </c>
      <c r="G1773" s="32">
        <f>'[6]price list MAN'!G1773</f>
        <v>0</v>
      </c>
      <c r="H1773" s="26">
        <f>'[6]price list MAN'!H1773</f>
        <v>0</v>
      </c>
      <c r="I1773" s="51" t="str">
        <f t="shared" si="135"/>
        <v/>
      </c>
      <c r="J1773" s="177" t="e">
        <f>'[6]price list MAN'!J1773</f>
        <v>#N/A</v>
      </c>
      <c r="K1773" s="177" t="e">
        <f>'[6]price list MAN'!P1773</f>
        <v>#N/A</v>
      </c>
      <c r="L1773" s="177" t="e">
        <f>'[6]price list MAN'!R1773</f>
        <v>#N/A</v>
      </c>
      <c r="M1773" s="174" t="e">
        <f>'[6]price list MAN'!S1773</f>
        <v>#N/A</v>
      </c>
      <c r="N1773" s="174" t="e">
        <f>'[6]price list MAN'!Y1773</f>
        <v>#N/A</v>
      </c>
      <c r="O1773" s="174" t="e">
        <f>'[6]price list MAN'!AA1773</f>
        <v>#N/A</v>
      </c>
      <c r="P1773" s="68" t="e">
        <f t="shared" si="136"/>
        <v>#N/A</v>
      </c>
      <c r="Q1773" s="62" t="e">
        <f>O1773-#REF!</f>
        <v>#N/A</v>
      </c>
      <c r="AT1773" s="425" t="str">
        <f t="shared" si="137"/>
        <v>Special Order0</v>
      </c>
      <c r="AU1773" s="64" t="str">
        <f t="shared" si="138"/>
        <v>01-1900</v>
      </c>
      <c r="BA1773" s="428" t="str">
        <f t="shared" si="139"/>
        <v/>
      </c>
    </row>
    <row r="1774" spans="2:53">
      <c r="B1774" s="36">
        <f>'[6]price list MAN'!B1774</f>
        <v>0</v>
      </c>
      <c r="C1774" s="10">
        <f>'[6]price list MAN'!C1774</f>
        <v>0</v>
      </c>
      <c r="D1774" s="16" t="str">
        <f>IFERROR(VLOOKUP(C1774&amp;"",'[7]Retail Price List'!$A$3:$B$103,2,FALSE),"Special Order")</f>
        <v>Special Order</v>
      </c>
      <c r="E1774" s="494">
        <f>'[6]price list MAN'!E1774</f>
        <v>0</v>
      </c>
      <c r="F1774" s="11">
        <f>'[6]price list MAN'!F1774</f>
        <v>0</v>
      </c>
      <c r="G1774" s="32">
        <f>'[6]price list MAN'!G1774</f>
        <v>0</v>
      </c>
      <c r="H1774" s="26">
        <f>'[6]price list MAN'!H1774</f>
        <v>0</v>
      </c>
      <c r="I1774" s="51" t="str">
        <f t="shared" si="135"/>
        <v/>
      </c>
      <c r="J1774" s="177" t="e">
        <f>'[6]price list MAN'!J1774</f>
        <v>#N/A</v>
      </c>
      <c r="K1774" s="177" t="e">
        <f>'[6]price list MAN'!P1774</f>
        <v>#N/A</v>
      </c>
      <c r="L1774" s="177" t="e">
        <f>'[6]price list MAN'!R1774</f>
        <v>#N/A</v>
      </c>
      <c r="M1774" s="174" t="e">
        <f>'[6]price list MAN'!S1774</f>
        <v>#N/A</v>
      </c>
      <c r="N1774" s="174" t="e">
        <f>'[6]price list MAN'!Y1774</f>
        <v>#N/A</v>
      </c>
      <c r="O1774" s="174" t="e">
        <f>'[6]price list MAN'!AA1774</f>
        <v>#N/A</v>
      </c>
      <c r="P1774" s="68" t="e">
        <f t="shared" si="136"/>
        <v>#N/A</v>
      </c>
      <c r="Q1774" s="62" t="e">
        <f>O1774-#REF!</f>
        <v>#N/A</v>
      </c>
      <c r="AT1774" s="425" t="str">
        <f t="shared" si="137"/>
        <v>Special Order0</v>
      </c>
      <c r="AU1774" s="64" t="str">
        <f t="shared" si="138"/>
        <v>01-1900</v>
      </c>
      <c r="BA1774" s="428" t="str">
        <f t="shared" si="139"/>
        <v/>
      </c>
    </row>
    <row r="1775" spans="2:53">
      <c r="B1775" s="36">
        <f>'[6]price list MAN'!B1775</f>
        <v>0</v>
      </c>
      <c r="C1775" s="10">
        <f>'[6]price list MAN'!C1775</f>
        <v>0</v>
      </c>
      <c r="D1775" s="16" t="str">
        <f>IFERROR(VLOOKUP(C1775&amp;"",'[7]Retail Price List'!$A$3:$B$103,2,FALSE),"Special Order")</f>
        <v>Special Order</v>
      </c>
      <c r="E1775" s="494">
        <f>'[6]price list MAN'!E1775</f>
        <v>0</v>
      </c>
      <c r="F1775" s="11">
        <f>'[6]price list MAN'!F1775</f>
        <v>0</v>
      </c>
      <c r="G1775" s="32">
        <f>'[6]price list MAN'!G1775</f>
        <v>0</v>
      </c>
      <c r="H1775" s="26">
        <f>'[6]price list MAN'!H1775</f>
        <v>0</v>
      </c>
      <c r="I1775" s="51" t="str">
        <f t="shared" si="135"/>
        <v/>
      </c>
      <c r="J1775" s="177" t="e">
        <f>'[6]price list MAN'!J1775</f>
        <v>#N/A</v>
      </c>
      <c r="K1775" s="177" t="e">
        <f>'[6]price list MAN'!P1775</f>
        <v>#N/A</v>
      </c>
      <c r="L1775" s="177" t="e">
        <f>'[6]price list MAN'!R1775</f>
        <v>#N/A</v>
      </c>
      <c r="M1775" s="174" t="e">
        <f>'[6]price list MAN'!S1775</f>
        <v>#N/A</v>
      </c>
      <c r="N1775" s="174" t="e">
        <f>'[6]price list MAN'!Y1775</f>
        <v>#N/A</v>
      </c>
      <c r="O1775" s="174" t="e">
        <f>'[6]price list MAN'!AA1775</f>
        <v>#N/A</v>
      </c>
      <c r="P1775" s="68" t="e">
        <f t="shared" si="136"/>
        <v>#N/A</v>
      </c>
      <c r="Q1775" s="62" t="e">
        <f>O1775-#REF!</f>
        <v>#N/A</v>
      </c>
      <c r="AT1775" s="425" t="str">
        <f t="shared" si="137"/>
        <v>Special Order0</v>
      </c>
      <c r="AU1775" s="64" t="str">
        <f t="shared" si="138"/>
        <v>01-1900</v>
      </c>
      <c r="BA1775" s="428" t="str">
        <f t="shared" si="139"/>
        <v/>
      </c>
    </row>
    <row r="1776" spans="2:53">
      <c r="B1776" s="36">
        <f>'[6]price list MAN'!B1776</f>
        <v>0</v>
      </c>
      <c r="C1776" s="10">
        <f>'[6]price list MAN'!C1776</f>
        <v>0</v>
      </c>
      <c r="D1776" s="16" t="str">
        <f>IFERROR(VLOOKUP(C1776&amp;"",'[7]Retail Price List'!$A$3:$B$103,2,FALSE),"Special Order")</f>
        <v>Special Order</v>
      </c>
      <c r="E1776" s="494">
        <f>'[6]price list MAN'!E1776</f>
        <v>0</v>
      </c>
      <c r="F1776" s="11">
        <f>'[6]price list MAN'!F1776</f>
        <v>0</v>
      </c>
      <c r="G1776" s="32">
        <f>'[6]price list MAN'!G1776</f>
        <v>0</v>
      </c>
      <c r="H1776" s="26">
        <f>'[6]price list MAN'!H1776</f>
        <v>0</v>
      </c>
      <c r="I1776" s="51" t="str">
        <f t="shared" si="135"/>
        <v/>
      </c>
      <c r="J1776" s="177" t="e">
        <f>'[6]price list MAN'!J1776</f>
        <v>#N/A</v>
      </c>
      <c r="K1776" s="177" t="e">
        <f>'[6]price list MAN'!P1776</f>
        <v>#N/A</v>
      </c>
      <c r="L1776" s="177" t="e">
        <f>'[6]price list MAN'!R1776</f>
        <v>#N/A</v>
      </c>
      <c r="M1776" s="174" t="e">
        <f>'[6]price list MAN'!S1776</f>
        <v>#N/A</v>
      </c>
      <c r="N1776" s="174" t="e">
        <f>'[6]price list MAN'!Y1776</f>
        <v>#N/A</v>
      </c>
      <c r="O1776" s="174" t="e">
        <f>'[6]price list MAN'!AA1776</f>
        <v>#N/A</v>
      </c>
      <c r="P1776" s="68" t="e">
        <f t="shared" si="136"/>
        <v>#N/A</v>
      </c>
      <c r="Q1776" s="62" t="e">
        <f>O1776-#REF!</f>
        <v>#N/A</v>
      </c>
      <c r="AT1776" s="425" t="str">
        <f t="shared" si="137"/>
        <v>Special Order0</v>
      </c>
      <c r="AU1776" s="64" t="str">
        <f t="shared" si="138"/>
        <v>01-1900</v>
      </c>
      <c r="BA1776" s="428" t="str">
        <f t="shared" si="139"/>
        <v/>
      </c>
    </row>
    <row r="1777" spans="2:53">
      <c r="B1777" s="36">
        <f>'[6]price list MAN'!B1777</f>
        <v>0</v>
      </c>
      <c r="C1777" s="10">
        <f>'[6]price list MAN'!C1777</f>
        <v>0</v>
      </c>
      <c r="D1777" s="16" t="str">
        <f>IFERROR(VLOOKUP(C1777&amp;"",'[7]Retail Price List'!$A$3:$B$103,2,FALSE),"Special Order")</f>
        <v>Special Order</v>
      </c>
      <c r="E1777" s="494">
        <f>'[6]price list MAN'!E1777</f>
        <v>0</v>
      </c>
      <c r="F1777" s="11">
        <f>'[6]price list MAN'!F1777</f>
        <v>0</v>
      </c>
      <c r="G1777" s="32">
        <f>'[6]price list MAN'!G1777</f>
        <v>0</v>
      </c>
      <c r="H1777" s="26">
        <f>'[6]price list MAN'!H1777</f>
        <v>0</v>
      </c>
      <c r="I1777" s="51" t="str">
        <f t="shared" si="135"/>
        <v/>
      </c>
      <c r="J1777" s="177" t="e">
        <f>'[6]price list MAN'!J1777</f>
        <v>#N/A</v>
      </c>
      <c r="K1777" s="177" t="e">
        <f>'[6]price list MAN'!P1777</f>
        <v>#N/A</v>
      </c>
      <c r="L1777" s="177" t="e">
        <f>'[6]price list MAN'!R1777</f>
        <v>#N/A</v>
      </c>
      <c r="M1777" s="174" t="e">
        <f>'[6]price list MAN'!S1777</f>
        <v>#N/A</v>
      </c>
      <c r="N1777" s="174" t="e">
        <f>'[6]price list MAN'!Y1777</f>
        <v>#N/A</v>
      </c>
      <c r="O1777" s="174" t="e">
        <f>'[6]price list MAN'!AA1777</f>
        <v>#N/A</v>
      </c>
      <c r="P1777" s="68" t="e">
        <f t="shared" si="136"/>
        <v>#N/A</v>
      </c>
      <c r="Q1777" s="62" t="e">
        <f>O1777-#REF!</f>
        <v>#N/A</v>
      </c>
      <c r="AT1777" s="425" t="str">
        <f t="shared" si="137"/>
        <v>Special Order0</v>
      </c>
      <c r="AU1777" s="64" t="str">
        <f t="shared" si="138"/>
        <v>01-1900</v>
      </c>
      <c r="BA1777" s="428" t="str">
        <f t="shared" si="139"/>
        <v/>
      </c>
    </row>
    <row r="1778" spans="2:53">
      <c r="B1778" s="36">
        <f>'[6]price list MAN'!B1778</f>
        <v>0</v>
      </c>
      <c r="C1778" s="10">
        <f>'[6]price list MAN'!C1778</f>
        <v>0</v>
      </c>
      <c r="D1778" s="16" t="str">
        <f>IFERROR(VLOOKUP(C1778&amp;"",'[7]Retail Price List'!$A$3:$B$103,2,FALSE),"Special Order")</f>
        <v>Special Order</v>
      </c>
      <c r="E1778" s="494">
        <f>'[6]price list MAN'!E1778</f>
        <v>0</v>
      </c>
      <c r="F1778" s="11">
        <f>'[6]price list MAN'!F1778</f>
        <v>0</v>
      </c>
      <c r="G1778" s="32">
        <f>'[6]price list MAN'!G1778</f>
        <v>0</v>
      </c>
      <c r="H1778" s="26">
        <f>'[6]price list MAN'!H1778</f>
        <v>0</v>
      </c>
      <c r="I1778" s="51" t="str">
        <f t="shared" si="135"/>
        <v/>
      </c>
      <c r="J1778" s="177" t="e">
        <f>'[6]price list MAN'!J1778</f>
        <v>#N/A</v>
      </c>
      <c r="K1778" s="177" t="e">
        <f>'[6]price list MAN'!P1778</f>
        <v>#N/A</v>
      </c>
      <c r="L1778" s="177" t="e">
        <f>'[6]price list MAN'!R1778</f>
        <v>#N/A</v>
      </c>
      <c r="M1778" s="174" t="e">
        <f>'[6]price list MAN'!S1778</f>
        <v>#N/A</v>
      </c>
      <c r="N1778" s="174" t="e">
        <f>'[6]price list MAN'!Y1778</f>
        <v>#N/A</v>
      </c>
      <c r="O1778" s="174" t="e">
        <f>'[6]price list MAN'!AA1778</f>
        <v>#N/A</v>
      </c>
      <c r="P1778" s="68" t="e">
        <f t="shared" si="136"/>
        <v>#N/A</v>
      </c>
      <c r="Q1778" s="62" t="e">
        <f>O1778-#REF!</f>
        <v>#N/A</v>
      </c>
      <c r="AT1778" s="425" t="str">
        <f t="shared" si="137"/>
        <v>Special Order0</v>
      </c>
      <c r="AU1778" s="64" t="str">
        <f t="shared" si="138"/>
        <v>01-1900</v>
      </c>
      <c r="BA1778" s="428" t="str">
        <f t="shared" si="139"/>
        <v/>
      </c>
    </row>
    <row r="1779" spans="2:53">
      <c r="B1779" s="36">
        <f>'[6]price list MAN'!B1779</f>
        <v>0</v>
      </c>
      <c r="C1779" s="10">
        <f>'[6]price list MAN'!C1779</f>
        <v>0</v>
      </c>
      <c r="D1779" s="16" t="str">
        <f>IFERROR(VLOOKUP(C1779&amp;"",'[7]Retail Price List'!$A$3:$B$103,2,FALSE),"Special Order")</f>
        <v>Special Order</v>
      </c>
      <c r="E1779" s="494">
        <f>'[6]price list MAN'!E1779</f>
        <v>0</v>
      </c>
      <c r="F1779" s="11">
        <f>'[6]price list MAN'!F1779</f>
        <v>0</v>
      </c>
      <c r="G1779" s="32">
        <f>'[6]price list MAN'!G1779</f>
        <v>0</v>
      </c>
      <c r="H1779" s="26">
        <f>'[6]price list MAN'!H1779</f>
        <v>0</v>
      </c>
      <c r="I1779" s="51" t="str">
        <f t="shared" si="135"/>
        <v/>
      </c>
      <c r="J1779" s="177" t="e">
        <f>'[6]price list MAN'!J1779</f>
        <v>#N/A</v>
      </c>
      <c r="K1779" s="177" t="e">
        <f>'[6]price list MAN'!P1779</f>
        <v>#N/A</v>
      </c>
      <c r="L1779" s="177" t="e">
        <f>'[6]price list MAN'!R1779</f>
        <v>#N/A</v>
      </c>
      <c r="M1779" s="174" t="e">
        <f>'[6]price list MAN'!S1779</f>
        <v>#N/A</v>
      </c>
      <c r="N1779" s="174" t="e">
        <f>'[6]price list MAN'!Y1779</f>
        <v>#N/A</v>
      </c>
      <c r="O1779" s="174" t="e">
        <f>'[6]price list MAN'!AA1779</f>
        <v>#N/A</v>
      </c>
      <c r="P1779" s="68" t="e">
        <f t="shared" si="136"/>
        <v>#N/A</v>
      </c>
      <c r="Q1779" s="62" t="e">
        <f>O1779-#REF!</f>
        <v>#N/A</v>
      </c>
      <c r="AT1779" s="425" t="str">
        <f t="shared" si="137"/>
        <v>Special Order0</v>
      </c>
      <c r="AU1779" s="64" t="str">
        <f t="shared" si="138"/>
        <v>01-1900</v>
      </c>
      <c r="BA1779" s="428" t="str">
        <f t="shared" si="139"/>
        <v/>
      </c>
    </row>
    <row r="1780" spans="2:53">
      <c r="B1780" s="36">
        <f>'[6]price list MAN'!B1780</f>
        <v>0</v>
      </c>
      <c r="C1780" s="10">
        <f>'[6]price list MAN'!C1780</f>
        <v>0</v>
      </c>
      <c r="D1780" s="16" t="str">
        <f>IFERROR(VLOOKUP(C1780&amp;"",'[7]Retail Price List'!$A$3:$B$103,2,FALSE),"Special Order")</f>
        <v>Special Order</v>
      </c>
      <c r="E1780" s="494">
        <f>'[6]price list MAN'!E1780</f>
        <v>0</v>
      </c>
      <c r="F1780" s="11">
        <f>'[6]price list MAN'!F1780</f>
        <v>0</v>
      </c>
      <c r="G1780" s="32">
        <f>'[6]price list MAN'!G1780</f>
        <v>0</v>
      </c>
      <c r="H1780" s="26">
        <f>'[6]price list MAN'!H1780</f>
        <v>0</v>
      </c>
      <c r="I1780" s="51" t="str">
        <f t="shared" si="135"/>
        <v/>
      </c>
      <c r="J1780" s="177" t="e">
        <f>'[6]price list MAN'!J1780</f>
        <v>#N/A</v>
      </c>
      <c r="K1780" s="177" t="e">
        <f>'[6]price list MAN'!P1780</f>
        <v>#N/A</v>
      </c>
      <c r="L1780" s="177" t="e">
        <f>'[6]price list MAN'!R1780</f>
        <v>#N/A</v>
      </c>
      <c r="M1780" s="174" t="e">
        <f>'[6]price list MAN'!S1780</f>
        <v>#N/A</v>
      </c>
      <c r="N1780" s="174" t="e">
        <f>'[6]price list MAN'!Y1780</f>
        <v>#N/A</v>
      </c>
      <c r="O1780" s="174" t="e">
        <f>'[6]price list MAN'!AA1780</f>
        <v>#N/A</v>
      </c>
      <c r="P1780" s="68" t="e">
        <f t="shared" si="136"/>
        <v>#N/A</v>
      </c>
      <c r="Q1780" s="62" t="e">
        <f>O1780-#REF!</f>
        <v>#N/A</v>
      </c>
      <c r="AT1780" s="425" t="str">
        <f t="shared" si="137"/>
        <v>Special Order0</v>
      </c>
      <c r="AU1780" s="64" t="str">
        <f t="shared" si="138"/>
        <v>01-1900</v>
      </c>
      <c r="BA1780" s="428" t="str">
        <f t="shared" si="139"/>
        <v/>
      </c>
    </row>
    <row r="1781" spans="2:53">
      <c r="B1781" s="36">
        <f>'[6]price list MAN'!B1781</f>
        <v>0</v>
      </c>
      <c r="C1781" s="10">
        <f>'[6]price list MAN'!C1781</f>
        <v>0</v>
      </c>
      <c r="D1781" s="16" t="str">
        <f>IFERROR(VLOOKUP(C1781&amp;"",'[7]Retail Price List'!$A$3:$B$103,2,FALSE),"Special Order")</f>
        <v>Special Order</v>
      </c>
      <c r="E1781" s="494">
        <f>'[6]price list MAN'!E1781</f>
        <v>0</v>
      </c>
      <c r="F1781" s="11">
        <f>'[6]price list MAN'!F1781</f>
        <v>0</v>
      </c>
      <c r="G1781" s="32">
        <f>'[6]price list MAN'!G1781</f>
        <v>0</v>
      </c>
      <c r="H1781" s="26">
        <f>'[6]price list MAN'!H1781</f>
        <v>0</v>
      </c>
      <c r="I1781" s="51" t="str">
        <f t="shared" si="135"/>
        <v/>
      </c>
      <c r="J1781" s="177" t="e">
        <f>'[6]price list MAN'!J1781</f>
        <v>#N/A</v>
      </c>
      <c r="K1781" s="177" t="e">
        <f>'[6]price list MAN'!P1781</f>
        <v>#N/A</v>
      </c>
      <c r="L1781" s="177" t="e">
        <f>'[6]price list MAN'!R1781</f>
        <v>#N/A</v>
      </c>
      <c r="M1781" s="174" t="e">
        <f>'[6]price list MAN'!S1781</f>
        <v>#N/A</v>
      </c>
      <c r="N1781" s="174" t="e">
        <f>'[6]price list MAN'!Y1781</f>
        <v>#N/A</v>
      </c>
      <c r="O1781" s="174" t="e">
        <f>'[6]price list MAN'!AA1781</f>
        <v>#N/A</v>
      </c>
      <c r="P1781" s="68" t="e">
        <f t="shared" si="136"/>
        <v>#N/A</v>
      </c>
      <c r="Q1781" s="62" t="e">
        <f>O1781-#REF!</f>
        <v>#N/A</v>
      </c>
      <c r="AT1781" s="425" t="str">
        <f t="shared" si="137"/>
        <v>Special Order0</v>
      </c>
      <c r="AU1781" s="64" t="str">
        <f t="shared" si="138"/>
        <v>01-1900</v>
      </c>
      <c r="BA1781" s="428" t="str">
        <f t="shared" si="139"/>
        <v/>
      </c>
    </row>
    <row r="1782" spans="2:53">
      <c r="B1782" s="36">
        <f>'[6]price list MAN'!B1782</f>
        <v>0</v>
      </c>
      <c r="C1782" s="10">
        <f>'[6]price list MAN'!C1782</f>
        <v>0</v>
      </c>
      <c r="D1782" s="16" t="str">
        <f>IFERROR(VLOOKUP(C1782&amp;"",'[7]Retail Price List'!$A$3:$B$103,2,FALSE),"Special Order")</f>
        <v>Special Order</v>
      </c>
      <c r="E1782" s="494">
        <f>'[6]price list MAN'!E1782</f>
        <v>0</v>
      </c>
      <c r="F1782" s="11">
        <f>'[6]price list MAN'!F1782</f>
        <v>0</v>
      </c>
      <c r="G1782" s="32">
        <f>'[6]price list MAN'!G1782</f>
        <v>0</v>
      </c>
      <c r="H1782" s="26">
        <f>'[6]price list MAN'!H1782</f>
        <v>0</v>
      </c>
      <c r="I1782" s="51" t="str">
        <f t="shared" si="135"/>
        <v/>
      </c>
      <c r="J1782" s="177" t="e">
        <f>'[6]price list MAN'!J1782</f>
        <v>#N/A</v>
      </c>
      <c r="K1782" s="177" t="e">
        <f>'[6]price list MAN'!P1782</f>
        <v>#N/A</v>
      </c>
      <c r="L1782" s="177" t="e">
        <f>'[6]price list MAN'!R1782</f>
        <v>#N/A</v>
      </c>
      <c r="M1782" s="174" t="e">
        <f>'[6]price list MAN'!S1782</f>
        <v>#N/A</v>
      </c>
      <c r="N1782" s="174" t="e">
        <f>'[6]price list MAN'!Y1782</f>
        <v>#N/A</v>
      </c>
      <c r="O1782" s="174" t="e">
        <f>'[6]price list MAN'!AA1782</f>
        <v>#N/A</v>
      </c>
      <c r="P1782" s="68" t="e">
        <f t="shared" si="136"/>
        <v>#N/A</v>
      </c>
      <c r="Q1782" s="62" t="e">
        <f>O1782-#REF!</f>
        <v>#N/A</v>
      </c>
      <c r="AT1782" s="425" t="str">
        <f t="shared" si="137"/>
        <v>Special Order0</v>
      </c>
      <c r="AU1782" s="64" t="str">
        <f t="shared" si="138"/>
        <v>01-1900</v>
      </c>
      <c r="BA1782" s="428" t="str">
        <f t="shared" si="139"/>
        <v/>
      </c>
    </row>
    <row r="1783" spans="2:53">
      <c r="B1783" s="36">
        <f>'[6]price list MAN'!B1783</f>
        <v>0</v>
      </c>
      <c r="C1783" s="10">
        <f>'[6]price list MAN'!C1783</f>
        <v>0</v>
      </c>
      <c r="D1783" s="16" t="str">
        <f>IFERROR(VLOOKUP(C1783&amp;"",'[7]Retail Price List'!$A$3:$B$103,2,FALSE),"Special Order")</f>
        <v>Special Order</v>
      </c>
      <c r="E1783" s="494">
        <f>'[6]price list MAN'!E1783</f>
        <v>0</v>
      </c>
      <c r="F1783" s="11">
        <f>'[6]price list MAN'!F1783</f>
        <v>0</v>
      </c>
      <c r="G1783" s="32">
        <f>'[6]price list MAN'!G1783</f>
        <v>0</v>
      </c>
      <c r="H1783" s="26">
        <f>'[6]price list MAN'!H1783</f>
        <v>0</v>
      </c>
      <c r="I1783" s="51" t="str">
        <f t="shared" si="135"/>
        <v/>
      </c>
      <c r="J1783" s="177" t="e">
        <f>'[6]price list MAN'!J1783</f>
        <v>#N/A</v>
      </c>
      <c r="K1783" s="177" t="e">
        <f>'[6]price list MAN'!P1783</f>
        <v>#N/A</v>
      </c>
      <c r="L1783" s="177" t="e">
        <f>'[6]price list MAN'!R1783</f>
        <v>#N/A</v>
      </c>
      <c r="M1783" s="174" t="e">
        <f>'[6]price list MAN'!S1783</f>
        <v>#N/A</v>
      </c>
      <c r="N1783" s="174" t="e">
        <f>'[6]price list MAN'!Y1783</f>
        <v>#N/A</v>
      </c>
      <c r="O1783" s="174" t="e">
        <f>'[6]price list MAN'!AA1783</f>
        <v>#N/A</v>
      </c>
      <c r="P1783" s="68" t="e">
        <f t="shared" si="136"/>
        <v>#N/A</v>
      </c>
      <c r="Q1783" s="62" t="e">
        <f>O1783-#REF!</f>
        <v>#N/A</v>
      </c>
      <c r="AT1783" s="425" t="str">
        <f t="shared" si="137"/>
        <v>Special Order0</v>
      </c>
      <c r="AU1783" s="64" t="str">
        <f t="shared" si="138"/>
        <v>01-1900</v>
      </c>
      <c r="BA1783" s="428" t="str">
        <f t="shared" si="139"/>
        <v/>
      </c>
    </row>
    <row r="1784" spans="2:53">
      <c r="B1784" s="36">
        <f>'[6]price list MAN'!B1784</f>
        <v>0</v>
      </c>
      <c r="C1784" s="10">
        <f>'[6]price list MAN'!C1784</f>
        <v>0</v>
      </c>
      <c r="D1784" s="16" t="str">
        <f>IFERROR(VLOOKUP(C1784&amp;"",'[7]Retail Price List'!$A$3:$B$103,2,FALSE),"Special Order")</f>
        <v>Special Order</v>
      </c>
      <c r="E1784" s="494">
        <f>'[6]price list MAN'!E1784</f>
        <v>0</v>
      </c>
      <c r="F1784" s="11">
        <f>'[6]price list MAN'!F1784</f>
        <v>0</v>
      </c>
      <c r="G1784" s="32">
        <f>'[6]price list MAN'!G1784</f>
        <v>0</v>
      </c>
      <c r="H1784" s="26">
        <f>'[6]price list MAN'!H1784</f>
        <v>0</v>
      </c>
      <c r="I1784" s="51" t="str">
        <f t="shared" si="135"/>
        <v/>
      </c>
      <c r="J1784" s="177" t="e">
        <f>'[6]price list MAN'!J1784</f>
        <v>#N/A</v>
      </c>
      <c r="K1784" s="177" t="e">
        <f>'[6]price list MAN'!P1784</f>
        <v>#N/A</v>
      </c>
      <c r="L1784" s="177" t="e">
        <f>'[6]price list MAN'!R1784</f>
        <v>#N/A</v>
      </c>
      <c r="M1784" s="174" t="e">
        <f>'[6]price list MAN'!S1784</f>
        <v>#N/A</v>
      </c>
      <c r="N1784" s="174" t="e">
        <f>'[6]price list MAN'!Y1784</f>
        <v>#N/A</v>
      </c>
      <c r="O1784" s="174" t="e">
        <f>'[6]price list MAN'!AA1784</f>
        <v>#N/A</v>
      </c>
      <c r="P1784" s="68" t="e">
        <f t="shared" si="136"/>
        <v>#N/A</v>
      </c>
      <c r="Q1784" s="62" t="e">
        <f>O1784-#REF!</f>
        <v>#N/A</v>
      </c>
      <c r="AT1784" s="425" t="str">
        <f t="shared" si="137"/>
        <v>Special Order0</v>
      </c>
      <c r="AU1784" s="64" t="str">
        <f t="shared" si="138"/>
        <v>01-1900</v>
      </c>
      <c r="BA1784" s="428" t="str">
        <f t="shared" si="139"/>
        <v/>
      </c>
    </row>
    <row r="1785" spans="2:53">
      <c r="B1785" s="36">
        <f>'[6]price list MAN'!B1785</f>
        <v>0</v>
      </c>
      <c r="C1785" s="10">
        <f>'[6]price list MAN'!C1785</f>
        <v>0</v>
      </c>
      <c r="D1785" s="16" t="str">
        <f>IFERROR(VLOOKUP(C1785&amp;"",'[7]Retail Price List'!$A$3:$B$103,2,FALSE),"Special Order")</f>
        <v>Special Order</v>
      </c>
      <c r="E1785" s="494">
        <f>'[6]price list MAN'!E1785</f>
        <v>0</v>
      </c>
      <c r="F1785" s="11">
        <f>'[6]price list MAN'!F1785</f>
        <v>0</v>
      </c>
      <c r="G1785" s="32">
        <f>'[6]price list MAN'!G1785</f>
        <v>0</v>
      </c>
      <c r="H1785" s="26">
        <f>'[6]price list MAN'!H1785</f>
        <v>0</v>
      </c>
      <c r="I1785" s="51" t="str">
        <f t="shared" si="135"/>
        <v/>
      </c>
      <c r="J1785" s="177" t="e">
        <f>'[6]price list MAN'!J1785</f>
        <v>#N/A</v>
      </c>
      <c r="K1785" s="177" t="e">
        <f>'[6]price list MAN'!P1785</f>
        <v>#N/A</v>
      </c>
      <c r="L1785" s="177" t="e">
        <f>'[6]price list MAN'!R1785</f>
        <v>#N/A</v>
      </c>
      <c r="M1785" s="174" t="e">
        <f>'[6]price list MAN'!S1785</f>
        <v>#N/A</v>
      </c>
      <c r="N1785" s="174" t="e">
        <f>'[6]price list MAN'!Y1785</f>
        <v>#N/A</v>
      </c>
      <c r="O1785" s="174" t="e">
        <f>'[6]price list MAN'!AA1785</f>
        <v>#N/A</v>
      </c>
      <c r="P1785" s="68" t="e">
        <f t="shared" si="136"/>
        <v>#N/A</v>
      </c>
      <c r="Q1785" s="62" t="e">
        <f>O1785-#REF!</f>
        <v>#N/A</v>
      </c>
      <c r="AT1785" s="425" t="str">
        <f t="shared" si="137"/>
        <v>Special Order0</v>
      </c>
      <c r="AU1785" s="64" t="str">
        <f t="shared" si="138"/>
        <v>01-1900</v>
      </c>
      <c r="BA1785" s="428" t="str">
        <f t="shared" si="139"/>
        <v/>
      </c>
    </row>
    <row r="1786" spans="2:53">
      <c r="B1786" s="36">
        <f>'[6]price list MAN'!B1786</f>
        <v>0</v>
      </c>
      <c r="C1786" s="10">
        <f>'[6]price list MAN'!C1786</f>
        <v>0</v>
      </c>
      <c r="D1786" s="16" t="str">
        <f>IFERROR(VLOOKUP(C1786&amp;"",'[7]Retail Price List'!$A$3:$B$103,2,FALSE),"Special Order")</f>
        <v>Special Order</v>
      </c>
      <c r="E1786" s="494">
        <f>'[6]price list MAN'!E1786</f>
        <v>0</v>
      </c>
      <c r="F1786" s="11">
        <f>'[6]price list MAN'!F1786</f>
        <v>0</v>
      </c>
      <c r="G1786" s="32">
        <f>'[6]price list MAN'!G1786</f>
        <v>0</v>
      </c>
      <c r="H1786" s="26">
        <f>'[6]price list MAN'!H1786</f>
        <v>0</v>
      </c>
      <c r="I1786" s="51" t="str">
        <f t="shared" si="135"/>
        <v/>
      </c>
      <c r="J1786" s="177" t="e">
        <f>'[6]price list MAN'!J1786</f>
        <v>#N/A</v>
      </c>
      <c r="K1786" s="177" t="e">
        <f>'[6]price list MAN'!P1786</f>
        <v>#N/A</v>
      </c>
      <c r="L1786" s="177" t="e">
        <f>'[6]price list MAN'!R1786</f>
        <v>#N/A</v>
      </c>
      <c r="M1786" s="174" t="e">
        <f>'[6]price list MAN'!S1786</f>
        <v>#N/A</v>
      </c>
      <c r="N1786" s="174" t="e">
        <f>'[6]price list MAN'!Y1786</f>
        <v>#N/A</v>
      </c>
      <c r="O1786" s="174" t="e">
        <f>'[6]price list MAN'!AA1786</f>
        <v>#N/A</v>
      </c>
      <c r="P1786" s="68" t="e">
        <f t="shared" si="136"/>
        <v>#N/A</v>
      </c>
      <c r="Q1786" s="62" t="e">
        <f>O1786-#REF!</f>
        <v>#N/A</v>
      </c>
      <c r="AT1786" s="425" t="str">
        <f t="shared" si="137"/>
        <v>Special Order0</v>
      </c>
      <c r="AU1786" s="64" t="str">
        <f t="shared" si="138"/>
        <v>01-1900</v>
      </c>
      <c r="BA1786" s="428" t="str">
        <f t="shared" si="139"/>
        <v/>
      </c>
    </row>
    <row r="1787" spans="2:53">
      <c r="B1787" s="36">
        <f>'[6]price list MAN'!B1787</f>
        <v>0</v>
      </c>
      <c r="C1787" s="10">
        <f>'[6]price list MAN'!C1787</f>
        <v>0</v>
      </c>
      <c r="D1787" s="16" t="str">
        <f>IFERROR(VLOOKUP(C1787&amp;"",'[7]Retail Price List'!$A$3:$B$103,2,FALSE),"Special Order")</f>
        <v>Special Order</v>
      </c>
      <c r="E1787" s="494">
        <f>'[6]price list MAN'!E1787</f>
        <v>0</v>
      </c>
      <c r="F1787" s="11">
        <f>'[6]price list MAN'!F1787</f>
        <v>0</v>
      </c>
      <c r="G1787" s="32">
        <f>'[6]price list MAN'!G1787</f>
        <v>0</v>
      </c>
      <c r="H1787" s="26">
        <f>'[6]price list MAN'!H1787</f>
        <v>0</v>
      </c>
      <c r="I1787" s="51" t="str">
        <f t="shared" si="135"/>
        <v/>
      </c>
      <c r="J1787" s="177" t="e">
        <f>'[6]price list MAN'!J1787</f>
        <v>#N/A</v>
      </c>
      <c r="K1787" s="177" t="e">
        <f>'[6]price list MAN'!P1787</f>
        <v>#N/A</v>
      </c>
      <c r="L1787" s="177" t="e">
        <f>'[6]price list MAN'!R1787</f>
        <v>#N/A</v>
      </c>
      <c r="M1787" s="174" t="e">
        <f>'[6]price list MAN'!S1787</f>
        <v>#N/A</v>
      </c>
      <c r="N1787" s="174" t="e">
        <f>'[6]price list MAN'!Y1787</f>
        <v>#N/A</v>
      </c>
      <c r="O1787" s="174" t="e">
        <f>'[6]price list MAN'!AA1787</f>
        <v>#N/A</v>
      </c>
      <c r="P1787" s="68" t="e">
        <f t="shared" si="136"/>
        <v>#N/A</v>
      </c>
      <c r="Q1787" s="62" t="e">
        <f>O1787-#REF!</f>
        <v>#N/A</v>
      </c>
      <c r="AT1787" s="425" t="str">
        <f t="shared" si="137"/>
        <v>Special Order0</v>
      </c>
      <c r="AU1787" s="64" t="str">
        <f t="shared" si="138"/>
        <v>01-1900</v>
      </c>
      <c r="BA1787" s="428" t="str">
        <f t="shared" si="139"/>
        <v/>
      </c>
    </row>
    <row r="1788" spans="2:53">
      <c r="B1788" s="36">
        <f>'[6]price list MAN'!B1788</f>
        <v>0</v>
      </c>
      <c r="C1788" s="10">
        <f>'[6]price list MAN'!C1788</f>
        <v>0</v>
      </c>
      <c r="D1788" s="16" t="str">
        <f>IFERROR(VLOOKUP(C1788&amp;"",'[7]Retail Price List'!$A$3:$B$103,2,FALSE),"Special Order")</f>
        <v>Special Order</v>
      </c>
      <c r="E1788" s="494">
        <f>'[6]price list MAN'!E1788</f>
        <v>0</v>
      </c>
      <c r="F1788" s="11">
        <f>'[6]price list MAN'!F1788</f>
        <v>0</v>
      </c>
      <c r="G1788" s="32">
        <f>'[6]price list MAN'!G1788</f>
        <v>0</v>
      </c>
      <c r="H1788" s="26">
        <f>'[6]price list MAN'!H1788</f>
        <v>0</v>
      </c>
      <c r="I1788" s="51" t="str">
        <f t="shared" si="135"/>
        <v/>
      </c>
      <c r="J1788" s="177" t="e">
        <f>'[6]price list MAN'!J1788</f>
        <v>#N/A</v>
      </c>
      <c r="K1788" s="177" t="e">
        <f>'[6]price list MAN'!P1788</f>
        <v>#N/A</v>
      </c>
      <c r="L1788" s="177" t="e">
        <f>'[6]price list MAN'!R1788</f>
        <v>#N/A</v>
      </c>
      <c r="M1788" s="174" t="e">
        <f>'[6]price list MAN'!S1788</f>
        <v>#N/A</v>
      </c>
      <c r="N1788" s="174" t="e">
        <f>'[6]price list MAN'!Y1788</f>
        <v>#N/A</v>
      </c>
      <c r="O1788" s="174" t="e">
        <f>'[6]price list MAN'!AA1788</f>
        <v>#N/A</v>
      </c>
      <c r="P1788" s="68" t="e">
        <f t="shared" si="136"/>
        <v>#N/A</v>
      </c>
      <c r="Q1788" s="62" t="e">
        <f>O1788-#REF!</f>
        <v>#N/A</v>
      </c>
      <c r="AT1788" s="425" t="str">
        <f t="shared" si="137"/>
        <v>Special Order0</v>
      </c>
      <c r="AU1788" s="64" t="str">
        <f t="shared" si="138"/>
        <v>01-1900</v>
      </c>
      <c r="BA1788" s="428" t="str">
        <f t="shared" si="139"/>
        <v/>
      </c>
    </row>
    <row r="1789" spans="2:53">
      <c r="B1789" s="36">
        <f>'[6]price list MAN'!B1789</f>
        <v>0</v>
      </c>
      <c r="C1789" s="10">
        <f>'[6]price list MAN'!C1789</f>
        <v>0</v>
      </c>
      <c r="D1789" s="16" t="str">
        <f>IFERROR(VLOOKUP(C1789&amp;"",'[7]Retail Price List'!$A$3:$B$103,2,FALSE),"Special Order")</f>
        <v>Special Order</v>
      </c>
      <c r="E1789" s="494">
        <f>'[6]price list MAN'!E1789</f>
        <v>0</v>
      </c>
      <c r="F1789" s="11">
        <f>'[6]price list MAN'!F1789</f>
        <v>0</v>
      </c>
      <c r="G1789" s="32">
        <f>'[6]price list MAN'!G1789</f>
        <v>0</v>
      </c>
      <c r="H1789" s="26">
        <f>'[6]price list MAN'!H1789</f>
        <v>0</v>
      </c>
      <c r="I1789" s="51" t="str">
        <f t="shared" si="135"/>
        <v/>
      </c>
      <c r="J1789" s="177" t="e">
        <f>'[6]price list MAN'!J1789</f>
        <v>#N/A</v>
      </c>
      <c r="K1789" s="177" t="e">
        <f>'[6]price list MAN'!P1789</f>
        <v>#N/A</v>
      </c>
      <c r="L1789" s="177" t="e">
        <f>'[6]price list MAN'!R1789</f>
        <v>#N/A</v>
      </c>
      <c r="M1789" s="174" t="e">
        <f>'[6]price list MAN'!S1789</f>
        <v>#N/A</v>
      </c>
      <c r="N1789" s="174" t="e">
        <f>'[6]price list MAN'!Y1789</f>
        <v>#N/A</v>
      </c>
      <c r="O1789" s="174" t="e">
        <f>'[6]price list MAN'!AA1789</f>
        <v>#N/A</v>
      </c>
      <c r="P1789" s="68" t="e">
        <f t="shared" si="136"/>
        <v>#N/A</v>
      </c>
      <c r="Q1789" s="62" t="e">
        <f>O1789-#REF!</f>
        <v>#N/A</v>
      </c>
      <c r="AT1789" s="425" t="str">
        <f t="shared" si="137"/>
        <v>Special Order0</v>
      </c>
      <c r="AU1789" s="64" t="str">
        <f t="shared" si="138"/>
        <v>01-1900</v>
      </c>
      <c r="BA1789" s="428" t="str">
        <f t="shared" si="139"/>
        <v/>
      </c>
    </row>
    <row r="1790" spans="2:53">
      <c r="B1790" s="36">
        <f>'[6]price list MAN'!B1790</f>
        <v>0</v>
      </c>
      <c r="C1790" s="10">
        <f>'[6]price list MAN'!C1790</f>
        <v>0</v>
      </c>
      <c r="D1790" s="16" t="str">
        <f>IFERROR(VLOOKUP(C1790&amp;"",'[7]Retail Price List'!$A$3:$B$103,2,FALSE),"Special Order")</f>
        <v>Special Order</v>
      </c>
      <c r="E1790" s="494">
        <f>'[6]price list MAN'!E1790</f>
        <v>0</v>
      </c>
      <c r="F1790" s="11">
        <f>'[6]price list MAN'!F1790</f>
        <v>0</v>
      </c>
      <c r="G1790" s="32">
        <f>'[6]price list MAN'!G1790</f>
        <v>0</v>
      </c>
      <c r="H1790" s="26">
        <f>'[6]price list MAN'!H1790</f>
        <v>0</v>
      </c>
      <c r="I1790" s="51" t="str">
        <f t="shared" si="135"/>
        <v/>
      </c>
      <c r="J1790" s="177" t="e">
        <f>'[6]price list MAN'!J1790</f>
        <v>#N/A</v>
      </c>
      <c r="K1790" s="177" t="e">
        <f>'[6]price list MAN'!P1790</f>
        <v>#N/A</v>
      </c>
      <c r="L1790" s="177" t="e">
        <f>'[6]price list MAN'!R1790</f>
        <v>#N/A</v>
      </c>
      <c r="M1790" s="174" t="e">
        <f>'[6]price list MAN'!S1790</f>
        <v>#N/A</v>
      </c>
      <c r="N1790" s="174" t="e">
        <f>'[6]price list MAN'!Y1790</f>
        <v>#N/A</v>
      </c>
      <c r="O1790" s="174" t="e">
        <f>'[6]price list MAN'!AA1790</f>
        <v>#N/A</v>
      </c>
      <c r="P1790" s="68" t="e">
        <f t="shared" si="136"/>
        <v>#N/A</v>
      </c>
      <c r="Q1790" s="62" t="e">
        <f>O1790-#REF!</f>
        <v>#N/A</v>
      </c>
      <c r="AT1790" s="425" t="str">
        <f t="shared" si="137"/>
        <v>Special Order0</v>
      </c>
      <c r="AU1790" s="64" t="str">
        <f t="shared" si="138"/>
        <v>01-1900</v>
      </c>
      <c r="BA1790" s="428" t="str">
        <f t="shared" si="139"/>
        <v/>
      </c>
    </row>
    <row r="1791" spans="2:53">
      <c r="B1791" s="36">
        <f>'[6]price list MAN'!B1791</f>
        <v>0</v>
      </c>
      <c r="C1791" s="10">
        <f>'[6]price list MAN'!C1791</f>
        <v>0</v>
      </c>
      <c r="D1791" s="16" t="str">
        <f>IFERROR(VLOOKUP(C1791&amp;"",'[7]Retail Price List'!$A$3:$B$103,2,FALSE),"Special Order")</f>
        <v>Special Order</v>
      </c>
      <c r="E1791" s="494">
        <f>'[6]price list MAN'!E1791</f>
        <v>0</v>
      </c>
      <c r="F1791" s="11">
        <f>'[6]price list MAN'!F1791</f>
        <v>0</v>
      </c>
      <c r="G1791" s="32">
        <f>'[6]price list MAN'!G1791</f>
        <v>0</v>
      </c>
      <c r="H1791" s="26">
        <f>'[6]price list MAN'!H1791</f>
        <v>0</v>
      </c>
      <c r="I1791" s="51" t="str">
        <f t="shared" si="135"/>
        <v/>
      </c>
      <c r="J1791" s="177" t="e">
        <f>'[6]price list MAN'!J1791</f>
        <v>#N/A</v>
      </c>
      <c r="K1791" s="177" t="e">
        <f>'[6]price list MAN'!P1791</f>
        <v>#N/A</v>
      </c>
      <c r="L1791" s="177" t="e">
        <f>'[6]price list MAN'!R1791</f>
        <v>#N/A</v>
      </c>
      <c r="M1791" s="174" t="e">
        <f>'[6]price list MAN'!S1791</f>
        <v>#N/A</v>
      </c>
      <c r="N1791" s="174" t="e">
        <f>'[6]price list MAN'!Y1791</f>
        <v>#N/A</v>
      </c>
      <c r="O1791" s="174" t="e">
        <f>'[6]price list MAN'!AA1791</f>
        <v>#N/A</v>
      </c>
      <c r="P1791" s="68" t="e">
        <f t="shared" si="136"/>
        <v>#N/A</v>
      </c>
      <c r="Q1791" s="62" t="e">
        <f>O1791-#REF!</f>
        <v>#N/A</v>
      </c>
      <c r="AT1791" s="425" t="str">
        <f t="shared" si="137"/>
        <v>Special Order0</v>
      </c>
      <c r="AU1791" s="64" t="str">
        <f t="shared" si="138"/>
        <v>01-1900</v>
      </c>
      <c r="BA1791" s="428" t="str">
        <f t="shared" si="139"/>
        <v/>
      </c>
    </row>
    <row r="1792" spans="2:53">
      <c r="B1792" s="36">
        <f>'[6]price list MAN'!B1792</f>
        <v>0</v>
      </c>
      <c r="C1792" s="10">
        <f>'[6]price list MAN'!C1792</f>
        <v>0</v>
      </c>
      <c r="D1792" s="16" t="str">
        <f>IFERROR(VLOOKUP(C1792&amp;"",'[7]Retail Price List'!$A$3:$B$103,2,FALSE),"Special Order")</f>
        <v>Special Order</v>
      </c>
      <c r="E1792" s="494">
        <f>'[6]price list MAN'!E1792</f>
        <v>0</v>
      </c>
      <c r="F1792" s="11">
        <f>'[6]price list MAN'!F1792</f>
        <v>0</v>
      </c>
      <c r="G1792" s="32">
        <f>'[6]price list MAN'!G1792</f>
        <v>0</v>
      </c>
      <c r="H1792" s="26">
        <f>'[6]price list MAN'!H1792</f>
        <v>0</v>
      </c>
      <c r="I1792" s="51" t="str">
        <f t="shared" si="135"/>
        <v/>
      </c>
      <c r="J1792" s="177" t="e">
        <f>'[6]price list MAN'!J1792</f>
        <v>#N/A</v>
      </c>
      <c r="K1792" s="177" t="e">
        <f>'[6]price list MAN'!P1792</f>
        <v>#N/A</v>
      </c>
      <c r="L1792" s="177" t="e">
        <f>'[6]price list MAN'!R1792</f>
        <v>#N/A</v>
      </c>
      <c r="M1792" s="174" t="e">
        <f>'[6]price list MAN'!S1792</f>
        <v>#N/A</v>
      </c>
      <c r="N1792" s="174" t="e">
        <f>'[6]price list MAN'!Y1792</f>
        <v>#N/A</v>
      </c>
      <c r="O1792" s="174" t="e">
        <f>'[6]price list MAN'!AA1792</f>
        <v>#N/A</v>
      </c>
      <c r="P1792" s="68" t="e">
        <f t="shared" si="136"/>
        <v>#N/A</v>
      </c>
      <c r="Q1792" s="62" t="e">
        <f>O1792-#REF!</f>
        <v>#N/A</v>
      </c>
      <c r="AT1792" s="425" t="str">
        <f t="shared" si="137"/>
        <v>Special Order0</v>
      </c>
      <c r="AU1792" s="64" t="str">
        <f t="shared" si="138"/>
        <v>01-1900</v>
      </c>
      <c r="BA1792" s="428" t="str">
        <f t="shared" si="139"/>
        <v/>
      </c>
    </row>
    <row r="1793" spans="2:53">
      <c r="B1793" s="36">
        <f>'[6]price list MAN'!B1793</f>
        <v>0</v>
      </c>
      <c r="C1793" s="10">
        <f>'[6]price list MAN'!C1793</f>
        <v>0</v>
      </c>
      <c r="D1793" s="16" t="str">
        <f>IFERROR(VLOOKUP(C1793&amp;"",'[7]Retail Price List'!$A$3:$B$103,2,FALSE),"Special Order")</f>
        <v>Special Order</v>
      </c>
      <c r="E1793" s="494">
        <f>'[6]price list MAN'!E1793</f>
        <v>0</v>
      </c>
      <c r="F1793" s="11">
        <f>'[6]price list MAN'!F1793</f>
        <v>0</v>
      </c>
      <c r="G1793" s="32">
        <f>'[6]price list MAN'!G1793</f>
        <v>0</v>
      </c>
      <c r="H1793" s="26">
        <f>'[6]price list MAN'!H1793</f>
        <v>0</v>
      </c>
      <c r="I1793" s="51" t="str">
        <f t="shared" si="135"/>
        <v/>
      </c>
      <c r="J1793" s="177" t="e">
        <f>'[6]price list MAN'!J1793</f>
        <v>#N/A</v>
      </c>
      <c r="K1793" s="177" t="e">
        <f>'[6]price list MAN'!P1793</f>
        <v>#N/A</v>
      </c>
      <c r="L1793" s="177" t="e">
        <f>'[6]price list MAN'!R1793</f>
        <v>#N/A</v>
      </c>
      <c r="M1793" s="174" t="e">
        <f>'[6]price list MAN'!S1793</f>
        <v>#N/A</v>
      </c>
      <c r="N1793" s="174" t="e">
        <f>'[6]price list MAN'!Y1793</f>
        <v>#N/A</v>
      </c>
      <c r="O1793" s="174" t="e">
        <f>'[6]price list MAN'!AA1793</f>
        <v>#N/A</v>
      </c>
      <c r="P1793" s="68" t="e">
        <f t="shared" si="136"/>
        <v>#N/A</v>
      </c>
      <c r="Q1793" s="62" t="e">
        <f>O1793-#REF!</f>
        <v>#N/A</v>
      </c>
      <c r="AT1793" s="425" t="str">
        <f t="shared" si="137"/>
        <v>Special Order0</v>
      </c>
      <c r="AU1793" s="64" t="str">
        <f t="shared" si="138"/>
        <v>01-1900</v>
      </c>
      <c r="BA1793" s="428" t="str">
        <f t="shared" si="139"/>
        <v/>
      </c>
    </row>
    <row r="1794" spans="2:53">
      <c r="B1794" s="36">
        <f>'[6]price list MAN'!B1794</f>
        <v>0</v>
      </c>
      <c r="C1794" s="10">
        <f>'[6]price list MAN'!C1794</f>
        <v>0</v>
      </c>
      <c r="D1794" s="16" t="str">
        <f>IFERROR(VLOOKUP(C1794&amp;"",'[7]Retail Price List'!$A$3:$B$103,2,FALSE),"Special Order")</f>
        <v>Special Order</v>
      </c>
      <c r="E1794" s="494">
        <f>'[6]price list MAN'!E1794</f>
        <v>0</v>
      </c>
      <c r="F1794" s="11">
        <f>'[6]price list MAN'!F1794</f>
        <v>0</v>
      </c>
      <c r="G1794" s="32">
        <f>'[6]price list MAN'!G1794</f>
        <v>0</v>
      </c>
      <c r="H1794" s="26">
        <f>'[6]price list MAN'!H1794</f>
        <v>0</v>
      </c>
      <c r="I1794" s="51" t="str">
        <f t="shared" si="135"/>
        <v/>
      </c>
      <c r="J1794" s="177" t="e">
        <f>'[6]price list MAN'!J1794</f>
        <v>#N/A</v>
      </c>
      <c r="K1794" s="177" t="e">
        <f>'[6]price list MAN'!P1794</f>
        <v>#N/A</v>
      </c>
      <c r="L1794" s="177" t="e">
        <f>'[6]price list MAN'!R1794</f>
        <v>#N/A</v>
      </c>
      <c r="M1794" s="174" t="e">
        <f>'[6]price list MAN'!S1794</f>
        <v>#N/A</v>
      </c>
      <c r="N1794" s="174" t="e">
        <f>'[6]price list MAN'!Y1794</f>
        <v>#N/A</v>
      </c>
      <c r="O1794" s="174" t="e">
        <f>'[6]price list MAN'!AA1794</f>
        <v>#N/A</v>
      </c>
      <c r="P1794" s="68" t="e">
        <f t="shared" si="136"/>
        <v>#N/A</v>
      </c>
      <c r="Q1794" s="62" t="e">
        <f>O1794-#REF!</f>
        <v>#N/A</v>
      </c>
      <c r="AT1794" s="425" t="str">
        <f t="shared" si="137"/>
        <v>Special Order0</v>
      </c>
      <c r="AU1794" s="64" t="str">
        <f t="shared" si="138"/>
        <v>01-1900</v>
      </c>
      <c r="BA1794" s="428" t="str">
        <f t="shared" si="139"/>
        <v/>
      </c>
    </row>
    <row r="1795" spans="2:53">
      <c r="B1795" s="36">
        <f>'[6]price list MAN'!B1795</f>
        <v>0</v>
      </c>
      <c r="C1795" s="10">
        <f>'[6]price list MAN'!C1795</f>
        <v>0</v>
      </c>
      <c r="D1795" s="16" t="str">
        <f>IFERROR(VLOOKUP(C1795&amp;"",'[7]Retail Price List'!$A$3:$B$103,2,FALSE),"Special Order")</f>
        <v>Special Order</v>
      </c>
      <c r="E1795" s="494">
        <f>'[6]price list MAN'!E1795</f>
        <v>0</v>
      </c>
      <c r="F1795" s="11">
        <f>'[6]price list MAN'!F1795</f>
        <v>0</v>
      </c>
      <c r="G1795" s="32">
        <f>'[6]price list MAN'!G1795</f>
        <v>0</v>
      </c>
      <c r="H1795" s="26">
        <f>'[6]price list MAN'!H1795</f>
        <v>0</v>
      </c>
      <c r="I1795" s="51" t="str">
        <f t="shared" si="135"/>
        <v/>
      </c>
      <c r="J1795" s="177" t="e">
        <f>'[6]price list MAN'!J1795</f>
        <v>#N/A</v>
      </c>
      <c r="K1795" s="177" t="e">
        <f>'[6]price list MAN'!P1795</f>
        <v>#N/A</v>
      </c>
      <c r="L1795" s="177" t="e">
        <f>'[6]price list MAN'!R1795</f>
        <v>#N/A</v>
      </c>
      <c r="M1795" s="174" t="e">
        <f>'[6]price list MAN'!S1795</f>
        <v>#N/A</v>
      </c>
      <c r="N1795" s="174" t="e">
        <f>'[6]price list MAN'!Y1795</f>
        <v>#N/A</v>
      </c>
      <c r="O1795" s="174" t="e">
        <f>'[6]price list MAN'!AA1795</f>
        <v>#N/A</v>
      </c>
      <c r="P1795" s="68" t="e">
        <f t="shared" si="136"/>
        <v>#N/A</v>
      </c>
      <c r="Q1795" s="62" t="e">
        <f>O1795-#REF!</f>
        <v>#N/A</v>
      </c>
      <c r="AT1795" s="425" t="str">
        <f t="shared" si="137"/>
        <v>Special Order0</v>
      </c>
      <c r="AU1795" s="64" t="str">
        <f t="shared" si="138"/>
        <v>01-1900</v>
      </c>
      <c r="BA1795" s="428" t="str">
        <f t="shared" si="139"/>
        <v/>
      </c>
    </row>
    <row r="1796" spans="2:53">
      <c r="B1796" s="36">
        <f>'[6]price list MAN'!B1796</f>
        <v>0</v>
      </c>
      <c r="C1796" s="10">
        <f>'[6]price list MAN'!C1796</f>
        <v>0</v>
      </c>
      <c r="D1796" s="16" t="str">
        <f>IFERROR(VLOOKUP(C1796&amp;"",'[7]Retail Price List'!$A$3:$B$103,2,FALSE),"Special Order")</f>
        <v>Special Order</v>
      </c>
      <c r="E1796" s="494">
        <f>'[6]price list MAN'!E1796</f>
        <v>0</v>
      </c>
      <c r="F1796" s="11">
        <f>'[6]price list MAN'!F1796</f>
        <v>0</v>
      </c>
      <c r="G1796" s="32">
        <f>'[6]price list MAN'!G1796</f>
        <v>0</v>
      </c>
      <c r="H1796" s="26">
        <f>'[6]price list MAN'!H1796</f>
        <v>0</v>
      </c>
      <c r="I1796" s="51" t="str">
        <f t="shared" si="135"/>
        <v/>
      </c>
      <c r="J1796" s="177" t="e">
        <f>'[6]price list MAN'!J1796</f>
        <v>#N/A</v>
      </c>
      <c r="K1796" s="177" t="e">
        <f>'[6]price list MAN'!P1796</f>
        <v>#N/A</v>
      </c>
      <c r="L1796" s="177" t="e">
        <f>'[6]price list MAN'!R1796</f>
        <v>#N/A</v>
      </c>
      <c r="M1796" s="174" t="e">
        <f>'[6]price list MAN'!S1796</f>
        <v>#N/A</v>
      </c>
      <c r="N1796" s="174" t="e">
        <f>'[6]price list MAN'!Y1796</f>
        <v>#N/A</v>
      </c>
      <c r="O1796" s="174" t="e">
        <f>'[6]price list MAN'!AA1796</f>
        <v>#N/A</v>
      </c>
      <c r="P1796" s="68" t="e">
        <f t="shared" si="136"/>
        <v>#N/A</v>
      </c>
      <c r="Q1796" s="62" t="e">
        <f>O1796-#REF!</f>
        <v>#N/A</v>
      </c>
      <c r="AT1796" s="425" t="str">
        <f t="shared" si="137"/>
        <v>Special Order0</v>
      </c>
      <c r="AU1796" s="64" t="str">
        <f t="shared" si="138"/>
        <v>01-1900</v>
      </c>
      <c r="BA1796" s="428" t="str">
        <f t="shared" si="139"/>
        <v/>
      </c>
    </row>
    <row r="1797" spans="2:53">
      <c r="B1797" s="36">
        <f>'[6]price list MAN'!B1797</f>
        <v>0</v>
      </c>
      <c r="C1797" s="10">
        <f>'[6]price list MAN'!C1797</f>
        <v>0</v>
      </c>
      <c r="D1797" s="16" t="str">
        <f>IFERROR(VLOOKUP(C1797&amp;"",'[7]Retail Price List'!$A$3:$B$103,2,FALSE),"Special Order")</f>
        <v>Special Order</v>
      </c>
      <c r="E1797" s="494">
        <f>'[6]price list MAN'!E1797</f>
        <v>0</v>
      </c>
      <c r="F1797" s="11">
        <f>'[6]price list MAN'!F1797</f>
        <v>0</v>
      </c>
      <c r="G1797" s="32">
        <f>'[6]price list MAN'!G1797</f>
        <v>0</v>
      </c>
      <c r="H1797" s="26">
        <f>'[6]price list MAN'!H1797</f>
        <v>0</v>
      </c>
      <c r="I1797" s="51" t="str">
        <f t="shared" ref="I1797:I1860" si="140">IFERROR(VLOOKUP(AU1797,$AW$5:$AY$40,3,FALSE),"")</f>
        <v/>
      </c>
      <c r="J1797" s="177" t="e">
        <f>'[6]price list MAN'!J1797</f>
        <v>#N/A</v>
      </c>
      <c r="K1797" s="177" t="e">
        <f>'[6]price list MAN'!P1797</f>
        <v>#N/A</v>
      </c>
      <c r="L1797" s="177" t="e">
        <f>'[6]price list MAN'!R1797</f>
        <v>#N/A</v>
      </c>
      <c r="M1797" s="174" t="e">
        <f>'[6]price list MAN'!S1797</f>
        <v>#N/A</v>
      </c>
      <c r="N1797" s="174" t="e">
        <f>'[6]price list MAN'!Y1797</f>
        <v>#N/A</v>
      </c>
      <c r="O1797" s="174" t="e">
        <f>'[6]price list MAN'!AA1797</f>
        <v>#N/A</v>
      </c>
      <c r="P1797" s="68" t="e">
        <f t="shared" ref="P1797:P1860" si="141">(M1797-O1797)/M1797</f>
        <v>#N/A</v>
      </c>
      <c r="Q1797" s="62" t="e">
        <f>O1797-#REF!</f>
        <v>#N/A</v>
      </c>
      <c r="AT1797" s="425" t="str">
        <f t="shared" ref="AT1797:AT1860" si="142">D1797&amp;I1797&amp;G1797</f>
        <v>Special Order0</v>
      </c>
      <c r="AU1797" s="64" t="str">
        <f t="shared" ref="AU1797:AU1860" si="143">IF(MONTH(H1797)&lt;10,0&amp;MONTH(H1797)&amp;"-"&amp;YEAR(H1797),MONTH(H1797)&amp;"-"&amp;YEAR(H1797))</f>
        <v>01-1900</v>
      </c>
      <c r="BA1797" s="428" t="str">
        <f t="shared" ref="BA1797:BA1860" si="144">IF(B1797=0,"",IF(AND(F1797&gt;=31,F1797&lt;=120),"31-120 Days",IF(AND(F1797&gt;=121,F1797&lt;=365),"121-365 Days",IF(OR(E1797="CKD",F1797&lt;=30),"WIP - 30 Days","&gt;365 Days"))))</f>
        <v/>
      </c>
    </row>
    <row r="1798" spans="2:53">
      <c r="B1798" s="36">
        <f>'[6]price list MAN'!B1798</f>
        <v>0</v>
      </c>
      <c r="C1798" s="10">
        <f>'[6]price list MAN'!C1798</f>
        <v>0</v>
      </c>
      <c r="D1798" s="16" t="str">
        <f>IFERROR(VLOOKUP(C1798&amp;"",'[7]Retail Price List'!$A$3:$B$103,2,FALSE),"Special Order")</f>
        <v>Special Order</v>
      </c>
      <c r="E1798" s="494">
        <f>'[6]price list MAN'!E1798</f>
        <v>0</v>
      </c>
      <c r="F1798" s="11">
        <f>'[6]price list MAN'!F1798</f>
        <v>0</v>
      </c>
      <c r="G1798" s="32">
        <f>'[6]price list MAN'!G1798</f>
        <v>0</v>
      </c>
      <c r="H1798" s="26">
        <f>'[6]price list MAN'!H1798</f>
        <v>0</v>
      </c>
      <c r="I1798" s="51" t="str">
        <f t="shared" si="140"/>
        <v/>
      </c>
      <c r="J1798" s="177" t="e">
        <f>'[6]price list MAN'!J1798</f>
        <v>#N/A</v>
      </c>
      <c r="K1798" s="177" t="e">
        <f>'[6]price list MAN'!P1798</f>
        <v>#N/A</v>
      </c>
      <c r="L1798" s="177" t="e">
        <f>'[6]price list MAN'!R1798</f>
        <v>#N/A</v>
      </c>
      <c r="M1798" s="174" t="e">
        <f>'[6]price list MAN'!S1798</f>
        <v>#N/A</v>
      </c>
      <c r="N1798" s="174" t="e">
        <f>'[6]price list MAN'!Y1798</f>
        <v>#N/A</v>
      </c>
      <c r="O1798" s="174" t="e">
        <f>'[6]price list MAN'!AA1798</f>
        <v>#N/A</v>
      </c>
      <c r="P1798" s="68" t="e">
        <f t="shared" si="141"/>
        <v>#N/A</v>
      </c>
      <c r="Q1798" s="62" t="e">
        <f>O1798-#REF!</f>
        <v>#N/A</v>
      </c>
      <c r="AT1798" s="425" t="str">
        <f t="shared" si="142"/>
        <v>Special Order0</v>
      </c>
      <c r="AU1798" s="64" t="str">
        <f t="shared" si="143"/>
        <v>01-1900</v>
      </c>
      <c r="BA1798" s="428" t="str">
        <f t="shared" si="144"/>
        <v/>
      </c>
    </row>
    <row r="1799" spans="2:53">
      <c r="B1799" s="36">
        <f>'[6]price list MAN'!B1799</f>
        <v>0</v>
      </c>
      <c r="C1799" s="10">
        <f>'[6]price list MAN'!C1799</f>
        <v>0</v>
      </c>
      <c r="D1799" s="16" t="str">
        <f>IFERROR(VLOOKUP(C1799&amp;"",'[7]Retail Price List'!$A$3:$B$103,2,FALSE),"Special Order")</f>
        <v>Special Order</v>
      </c>
      <c r="E1799" s="494">
        <f>'[6]price list MAN'!E1799</f>
        <v>0</v>
      </c>
      <c r="F1799" s="11">
        <f>'[6]price list MAN'!F1799</f>
        <v>0</v>
      </c>
      <c r="G1799" s="32">
        <f>'[6]price list MAN'!G1799</f>
        <v>0</v>
      </c>
      <c r="H1799" s="26">
        <f>'[6]price list MAN'!H1799</f>
        <v>0</v>
      </c>
      <c r="I1799" s="51" t="str">
        <f t="shared" si="140"/>
        <v/>
      </c>
      <c r="J1799" s="177" t="e">
        <f>'[6]price list MAN'!J1799</f>
        <v>#N/A</v>
      </c>
      <c r="K1799" s="177" t="e">
        <f>'[6]price list MAN'!P1799</f>
        <v>#N/A</v>
      </c>
      <c r="L1799" s="177" t="e">
        <f>'[6]price list MAN'!R1799</f>
        <v>#N/A</v>
      </c>
      <c r="M1799" s="174" t="e">
        <f>'[6]price list MAN'!S1799</f>
        <v>#N/A</v>
      </c>
      <c r="N1799" s="174" t="e">
        <f>'[6]price list MAN'!Y1799</f>
        <v>#N/A</v>
      </c>
      <c r="O1799" s="174" t="e">
        <f>'[6]price list MAN'!AA1799</f>
        <v>#N/A</v>
      </c>
      <c r="P1799" s="68" t="e">
        <f t="shared" si="141"/>
        <v>#N/A</v>
      </c>
      <c r="Q1799" s="62" t="e">
        <f>O1799-#REF!</f>
        <v>#N/A</v>
      </c>
      <c r="AT1799" s="425" t="str">
        <f t="shared" si="142"/>
        <v>Special Order0</v>
      </c>
      <c r="AU1799" s="64" t="str">
        <f t="shared" si="143"/>
        <v>01-1900</v>
      </c>
      <c r="BA1799" s="428" t="str">
        <f t="shared" si="144"/>
        <v/>
      </c>
    </row>
    <row r="1800" spans="2:53">
      <c r="B1800" s="36">
        <f>'[6]price list MAN'!B1800</f>
        <v>0</v>
      </c>
      <c r="C1800" s="10">
        <f>'[6]price list MAN'!C1800</f>
        <v>0</v>
      </c>
      <c r="D1800" s="16" t="str">
        <f>IFERROR(VLOOKUP(C1800&amp;"",'[7]Retail Price List'!$A$3:$B$103,2,FALSE),"Special Order")</f>
        <v>Special Order</v>
      </c>
      <c r="E1800" s="494">
        <f>'[6]price list MAN'!E1800</f>
        <v>0</v>
      </c>
      <c r="F1800" s="11">
        <f>'[6]price list MAN'!F1800</f>
        <v>0</v>
      </c>
      <c r="G1800" s="32">
        <f>'[6]price list MAN'!G1800</f>
        <v>0</v>
      </c>
      <c r="H1800" s="26">
        <f>'[6]price list MAN'!H1800</f>
        <v>0</v>
      </c>
      <c r="I1800" s="51" t="str">
        <f t="shared" si="140"/>
        <v/>
      </c>
      <c r="J1800" s="177" t="e">
        <f>'[6]price list MAN'!J1800</f>
        <v>#N/A</v>
      </c>
      <c r="K1800" s="177" t="e">
        <f>'[6]price list MAN'!P1800</f>
        <v>#N/A</v>
      </c>
      <c r="L1800" s="177" t="e">
        <f>'[6]price list MAN'!R1800</f>
        <v>#N/A</v>
      </c>
      <c r="M1800" s="174" t="e">
        <f>'[6]price list MAN'!S1800</f>
        <v>#N/A</v>
      </c>
      <c r="N1800" s="174" t="e">
        <f>'[6]price list MAN'!Y1800</f>
        <v>#N/A</v>
      </c>
      <c r="O1800" s="174" t="e">
        <f>'[6]price list MAN'!AA1800</f>
        <v>#N/A</v>
      </c>
      <c r="P1800" s="68" t="e">
        <f t="shared" si="141"/>
        <v>#N/A</v>
      </c>
      <c r="Q1800" s="62" t="e">
        <f>O1800-#REF!</f>
        <v>#N/A</v>
      </c>
      <c r="AT1800" s="425" t="str">
        <f t="shared" si="142"/>
        <v>Special Order0</v>
      </c>
      <c r="AU1800" s="64" t="str">
        <f t="shared" si="143"/>
        <v>01-1900</v>
      </c>
      <c r="BA1800" s="428" t="str">
        <f t="shared" si="144"/>
        <v/>
      </c>
    </row>
    <row r="1801" spans="2:53">
      <c r="B1801" s="36">
        <f>'[6]price list MAN'!B1801</f>
        <v>0</v>
      </c>
      <c r="C1801" s="10">
        <f>'[6]price list MAN'!C1801</f>
        <v>0</v>
      </c>
      <c r="D1801" s="16" t="str">
        <f>IFERROR(VLOOKUP(C1801&amp;"",'[7]Retail Price List'!$A$3:$B$103,2,FALSE),"Special Order")</f>
        <v>Special Order</v>
      </c>
      <c r="E1801" s="494">
        <f>'[6]price list MAN'!E1801</f>
        <v>0</v>
      </c>
      <c r="F1801" s="11">
        <f>'[6]price list MAN'!F1801</f>
        <v>0</v>
      </c>
      <c r="G1801" s="32">
        <f>'[6]price list MAN'!G1801</f>
        <v>0</v>
      </c>
      <c r="H1801" s="26">
        <f>'[6]price list MAN'!H1801</f>
        <v>0</v>
      </c>
      <c r="I1801" s="51" t="str">
        <f t="shared" si="140"/>
        <v/>
      </c>
      <c r="J1801" s="177" t="e">
        <f>'[6]price list MAN'!J1801</f>
        <v>#N/A</v>
      </c>
      <c r="K1801" s="177" t="e">
        <f>'[6]price list MAN'!P1801</f>
        <v>#N/A</v>
      </c>
      <c r="L1801" s="177" t="e">
        <f>'[6]price list MAN'!R1801</f>
        <v>#N/A</v>
      </c>
      <c r="M1801" s="174" t="e">
        <f>'[6]price list MAN'!S1801</f>
        <v>#N/A</v>
      </c>
      <c r="N1801" s="174" t="e">
        <f>'[6]price list MAN'!Y1801</f>
        <v>#N/A</v>
      </c>
      <c r="O1801" s="174" t="e">
        <f>'[6]price list MAN'!AA1801</f>
        <v>#N/A</v>
      </c>
      <c r="P1801" s="68" t="e">
        <f t="shared" si="141"/>
        <v>#N/A</v>
      </c>
      <c r="Q1801" s="62" t="e">
        <f>O1801-#REF!</f>
        <v>#N/A</v>
      </c>
      <c r="AT1801" s="425" t="str">
        <f t="shared" si="142"/>
        <v>Special Order0</v>
      </c>
      <c r="AU1801" s="64" t="str">
        <f t="shared" si="143"/>
        <v>01-1900</v>
      </c>
      <c r="BA1801" s="428" t="str">
        <f t="shared" si="144"/>
        <v/>
      </c>
    </row>
    <row r="1802" spans="2:53">
      <c r="B1802" s="36">
        <f>'[6]price list MAN'!B1802</f>
        <v>0</v>
      </c>
      <c r="C1802" s="10">
        <f>'[6]price list MAN'!C1802</f>
        <v>0</v>
      </c>
      <c r="D1802" s="16" t="str">
        <f>IFERROR(VLOOKUP(C1802&amp;"",'[7]Retail Price List'!$A$3:$B$103,2,FALSE),"Special Order")</f>
        <v>Special Order</v>
      </c>
      <c r="E1802" s="494">
        <f>'[6]price list MAN'!E1802</f>
        <v>0</v>
      </c>
      <c r="F1802" s="11">
        <f>'[6]price list MAN'!F1802</f>
        <v>0</v>
      </c>
      <c r="G1802" s="32">
        <f>'[6]price list MAN'!G1802</f>
        <v>0</v>
      </c>
      <c r="H1802" s="26">
        <f>'[6]price list MAN'!H1802</f>
        <v>0</v>
      </c>
      <c r="I1802" s="51" t="str">
        <f t="shared" si="140"/>
        <v/>
      </c>
      <c r="J1802" s="177" t="e">
        <f>'[6]price list MAN'!J1802</f>
        <v>#N/A</v>
      </c>
      <c r="K1802" s="177" t="e">
        <f>'[6]price list MAN'!P1802</f>
        <v>#N/A</v>
      </c>
      <c r="L1802" s="177" t="e">
        <f>'[6]price list MAN'!R1802</f>
        <v>#N/A</v>
      </c>
      <c r="M1802" s="174" t="e">
        <f>'[6]price list MAN'!S1802</f>
        <v>#N/A</v>
      </c>
      <c r="N1802" s="174" t="e">
        <f>'[6]price list MAN'!Y1802</f>
        <v>#N/A</v>
      </c>
      <c r="O1802" s="174" t="e">
        <f>'[6]price list MAN'!AA1802</f>
        <v>#N/A</v>
      </c>
      <c r="P1802" s="68" t="e">
        <f t="shared" si="141"/>
        <v>#N/A</v>
      </c>
      <c r="Q1802" s="62" t="e">
        <f>O1802-#REF!</f>
        <v>#N/A</v>
      </c>
      <c r="AT1802" s="425" t="str">
        <f t="shared" si="142"/>
        <v>Special Order0</v>
      </c>
      <c r="AU1802" s="64" t="str">
        <f t="shared" si="143"/>
        <v>01-1900</v>
      </c>
      <c r="BA1802" s="428" t="str">
        <f t="shared" si="144"/>
        <v/>
      </c>
    </row>
    <row r="1803" spans="2:53">
      <c r="B1803" s="36">
        <f>'[6]price list MAN'!B1803</f>
        <v>0</v>
      </c>
      <c r="C1803" s="10">
        <f>'[6]price list MAN'!C1803</f>
        <v>0</v>
      </c>
      <c r="D1803" s="16" t="str">
        <f>IFERROR(VLOOKUP(C1803&amp;"",'[7]Retail Price List'!$A$3:$B$103,2,FALSE),"Special Order")</f>
        <v>Special Order</v>
      </c>
      <c r="E1803" s="494">
        <f>'[6]price list MAN'!E1803</f>
        <v>0</v>
      </c>
      <c r="F1803" s="11">
        <f>'[6]price list MAN'!F1803</f>
        <v>0</v>
      </c>
      <c r="G1803" s="32">
        <f>'[6]price list MAN'!G1803</f>
        <v>0</v>
      </c>
      <c r="H1803" s="26">
        <f>'[6]price list MAN'!H1803</f>
        <v>0</v>
      </c>
      <c r="I1803" s="51" t="str">
        <f t="shared" si="140"/>
        <v/>
      </c>
      <c r="J1803" s="177" t="e">
        <f>'[6]price list MAN'!J1803</f>
        <v>#N/A</v>
      </c>
      <c r="K1803" s="177" t="e">
        <f>'[6]price list MAN'!P1803</f>
        <v>#N/A</v>
      </c>
      <c r="L1803" s="177" t="e">
        <f>'[6]price list MAN'!R1803</f>
        <v>#N/A</v>
      </c>
      <c r="M1803" s="174" t="e">
        <f>'[6]price list MAN'!S1803</f>
        <v>#N/A</v>
      </c>
      <c r="N1803" s="174" t="e">
        <f>'[6]price list MAN'!Y1803</f>
        <v>#N/A</v>
      </c>
      <c r="O1803" s="174" t="e">
        <f>'[6]price list MAN'!AA1803</f>
        <v>#N/A</v>
      </c>
      <c r="P1803" s="68" t="e">
        <f t="shared" si="141"/>
        <v>#N/A</v>
      </c>
      <c r="Q1803" s="62" t="e">
        <f>O1803-#REF!</f>
        <v>#N/A</v>
      </c>
      <c r="AT1803" s="425" t="str">
        <f t="shared" si="142"/>
        <v>Special Order0</v>
      </c>
      <c r="AU1803" s="64" t="str">
        <f t="shared" si="143"/>
        <v>01-1900</v>
      </c>
      <c r="BA1803" s="428" t="str">
        <f t="shared" si="144"/>
        <v/>
      </c>
    </row>
    <row r="1804" spans="2:53">
      <c r="B1804" s="36">
        <f>'[6]price list MAN'!B1804</f>
        <v>0</v>
      </c>
      <c r="C1804" s="10">
        <f>'[6]price list MAN'!C1804</f>
        <v>0</v>
      </c>
      <c r="D1804" s="16" t="str">
        <f>IFERROR(VLOOKUP(C1804&amp;"",'[7]Retail Price List'!$A$3:$B$103,2,FALSE),"Special Order")</f>
        <v>Special Order</v>
      </c>
      <c r="E1804" s="494">
        <f>'[6]price list MAN'!E1804</f>
        <v>0</v>
      </c>
      <c r="F1804" s="11">
        <f>'[6]price list MAN'!F1804</f>
        <v>0</v>
      </c>
      <c r="G1804" s="32">
        <f>'[6]price list MAN'!G1804</f>
        <v>0</v>
      </c>
      <c r="H1804" s="26">
        <f>'[6]price list MAN'!H1804</f>
        <v>0</v>
      </c>
      <c r="I1804" s="51" t="str">
        <f t="shared" si="140"/>
        <v/>
      </c>
      <c r="J1804" s="177" t="e">
        <f>'[6]price list MAN'!J1804</f>
        <v>#N/A</v>
      </c>
      <c r="K1804" s="177" t="e">
        <f>'[6]price list MAN'!P1804</f>
        <v>#N/A</v>
      </c>
      <c r="L1804" s="177" t="e">
        <f>'[6]price list MAN'!R1804</f>
        <v>#N/A</v>
      </c>
      <c r="M1804" s="174" t="e">
        <f>'[6]price list MAN'!S1804</f>
        <v>#N/A</v>
      </c>
      <c r="N1804" s="174" t="e">
        <f>'[6]price list MAN'!Y1804</f>
        <v>#N/A</v>
      </c>
      <c r="O1804" s="174" t="e">
        <f>'[6]price list MAN'!AA1804</f>
        <v>#N/A</v>
      </c>
      <c r="P1804" s="68" t="e">
        <f t="shared" si="141"/>
        <v>#N/A</v>
      </c>
      <c r="Q1804" s="62" t="e">
        <f>O1804-#REF!</f>
        <v>#N/A</v>
      </c>
      <c r="AT1804" s="425" t="str">
        <f t="shared" si="142"/>
        <v>Special Order0</v>
      </c>
      <c r="AU1804" s="64" t="str">
        <f t="shared" si="143"/>
        <v>01-1900</v>
      </c>
      <c r="BA1804" s="428" t="str">
        <f t="shared" si="144"/>
        <v/>
      </c>
    </row>
    <row r="1805" spans="2:53">
      <c r="B1805" s="36">
        <f>'[6]price list MAN'!B1805</f>
        <v>0</v>
      </c>
      <c r="C1805" s="10">
        <f>'[6]price list MAN'!C1805</f>
        <v>0</v>
      </c>
      <c r="D1805" s="16" t="str">
        <f>IFERROR(VLOOKUP(C1805&amp;"",'[7]Retail Price List'!$A$3:$B$103,2,FALSE),"Special Order")</f>
        <v>Special Order</v>
      </c>
      <c r="E1805" s="494">
        <f>'[6]price list MAN'!E1805</f>
        <v>0</v>
      </c>
      <c r="F1805" s="11">
        <f>'[6]price list MAN'!F1805</f>
        <v>0</v>
      </c>
      <c r="G1805" s="32">
        <f>'[6]price list MAN'!G1805</f>
        <v>0</v>
      </c>
      <c r="H1805" s="26">
        <f>'[6]price list MAN'!H1805</f>
        <v>0</v>
      </c>
      <c r="I1805" s="51" t="str">
        <f t="shared" si="140"/>
        <v/>
      </c>
      <c r="J1805" s="177" t="e">
        <f>'[6]price list MAN'!J1805</f>
        <v>#N/A</v>
      </c>
      <c r="K1805" s="177" t="e">
        <f>'[6]price list MAN'!P1805</f>
        <v>#N/A</v>
      </c>
      <c r="L1805" s="177" t="e">
        <f>'[6]price list MAN'!R1805</f>
        <v>#N/A</v>
      </c>
      <c r="M1805" s="174" t="e">
        <f>'[6]price list MAN'!S1805</f>
        <v>#N/A</v>
      </c>
      <c r="N1805" s="174" t="e">
        <f>'[6]price list MAN'!Y1805</f>
        <v>#N/A</v>
      </c>
      <c r="O1805" s="174" t="e">
        <f>'[6]price list MAN'!AA1805</f>
        <v>#N/A</v>
      </c>
      <c r="P1805" s="68" t="e">
        <f t="shared" si="141"/>
        <v>#N/A</v>
      </c>
      <c r="Q1805" s="62" t="e">
        <f>O1805-#REF!</f>
        <v>#N/A</v>
      </c>
      <c r="AT1805" s="425" t="str">
        <f t="shared" si="142"/>
        <v>Special Order0</v>
      </c>
      <c r="AU1805" s="64" t="str">
        <f t="shared" si="143"/>
        <v>01-1900</v>
      </c>
      <c r="BA1805" s="428" t="str">
        <f t="shared" si="144"/>
        <v/>
      </c>
    </row>
    <row r="1806" spans="2:53">
      <c r="B1806" s="36">
        <f>'[6]price list MAN'!B1806</f>
        <v>0</v>
      </c>
      <c r="C1806" s="10">
        <f>'[6]price list MAN'!C1806</f>
        <v>0</v>
      </c>
      <c r="D1806" s="16" t="str">
        <f>IFERROR(VLOOKUP(C1806&amp;"",'[7]Retail Price List'!$A$3:$B$103,2,FALSE),"Special Order")</f>
        <v>Special Order</v>
      </c>
      <c r="E1806" s="494">
        <f>'[6]price list MAN'!E1806</f>
        <v>0</v>
      </c>
      <c r="F1806" s="11">
        <f>'[6]price list MAN'!F1806</f>
        <v>0</v>
      </c>
      <c r="G1806" s="32">
        <f>'[6]price list MAN'!G1806</f>
        <v>0</v>
      </c>
      <c r="H1806" s="26">
        <f>'[6]price list MAN'!H1806</f>
        <v>0</v>
      </c>
      <c r="I1806" s="51" t="str">
        <f t="shared" si="140"/>
        <v/>
      </c>
      <c r="J1806" s="177" t="e">
        <f>'[6]price list MAN'!J1806</f>
        <v>#N/A</v>
      </c>
      <c r="K1806" s="177" t="e">
        <f>'[6]price list MAN'!P1806</f>
        <v>#N/A</v>
      </c>
      <c r="L1806" s="177" t="e">
        <f>'[6]price list MAN'!R1806</f>
        <v>#N/A</v>
      </c>
      <c r="M1806" s="174" t="e">
        <f>'[6]price list MAN'!S1806</f>
        <v>#N/A</v>
      </c>
      <c r="N1806" s="174" t="e">
        <f>'[6]price list MAN'!Y1806</f>
        <v>#N/A</v>
      </c>
      <c r="O1806" s="174" t="e">
        <f>'[6]price list MAN'!AA1806</f>
        <v>#N/A</v>
      </c>
      <c r="P1806" s="68" t="e">
        <f t="shared" si="141"/>
        <v>#N/A</v>
      </c>
      <c r="Q1806" s="62" t="e">
        <f>O1806-#REF!</f>
        <v>#N/A</v>
      </c>
      <c r="AT1806" s="425" t="str">
        <f t="shared" si="142"/>
        <v>Special Order0</v>
      </c>
      <c r="AU1806" s="64" t="str">
        <f t="shared" si="143"/>
        <v>01-1900</v>
      </c>
      <c r="BA1806" s="428" t="str">
        <f t="shared" si="144"/>
        <v/>
      </c>
    </row>
    <row r="1807" spans="2:53">
      <c r="B1807" s="36">
        <f>'[6]price list MAN'!B1807</f>
        <v>0</v>
      </c>
      <c r="C1807" s="10">
        <f>'[6]price list MAN'!C1807</f>
        <v>0</v>
      </c>
      <c r="D1807" s="16" t="str">
        <f>IFERROR(VLOOKUP(C1807&amp;"",'[7]Retail Price List'!$A$3:$B$103,2,FALSE),"Special Order")</f>
        <v>Special Order</v>
      </c>
      <c r="E1807" s="494">
        <f>'[6]price list MAN'!E1807</f>
        <v>0</v>
      </c>
      <c r="F1807" s="11">
        <f>'[6]price list MAN'!F1807</f>
        <v>0</v>
      </c>
      <c r="G1807" s="32">
        <f>'[6]price list MAN'!G1807</f>
        <v>0</v>
      </c>
      <c r="H1807" s="26">
        <f>'[6]price list MAN'!H1807</f>
        <v>0</v>
      </c>
      <c r="I1807" s="51" t="str">
        <f t="shared" si="140"/>
        <v/>
      </c>
      <c r="J1807" s="177" t="e">
        <f>'[6]price list MAN'!J1807</f>
        <v>#N/A</v>
      </c>
      <c r="K1807" s="177" t="e">
        <f>'[6]price list MAN'!P1807</f>
        <v>#N/A</v>
      </c>
      <c r="L1807" s="177" t="e">
        <f>'[6]price list MAN'!R1807</f>
        <v>#N/A</v>
      </c>
      <c r="M1807" s="174" t="e">
        <f>'[6]price list MAN'!S1807</f>
        <v>#N/A</v>
      </c>
      <c r="N1807" s="174" t="e">
        <f>'[6]price list MAN'!Y1807</f>
        <v>#N/A</v>
      </c>
      <c r="O1807" s="174" t="e">
        <f>'[6]price list MAN'!AA1807</f>
        <v>#N/A</v>
      </c>
      <c r="P1807" s="68" t="e">
        <f t="shared" si="141"/>
        <v>#N/A</v>
      </c>
      <c r="Q1807" s="62" t="e">
        <f>O1807-#REF!</f>
        <v>#N/A</v>
      </c>
      <c r="AT1807" s="425" t="str">
        <f t="shared" si="142"/>
        <v>Special Order0</v>
      </c>
      <c r="AU1807" s="64" t="str">
        <f t="shared" si="143"/>
        <v>01-1900</v>
      </c>
      <c r="BA1807" s="428" t="str">
        <f t="shared" si="144"/>
        <v/>
      </c>
    </row>
    <row r="1808" spans="2:53">
      <c r="B1808" s="36">
        <f>'[6]price list MAN'!B1808</f>
        <v>0</v>
      </c>
      <c r="C1808" s="10">
        <f>'[6]price list MAN'!C1808</f>
        <v>0</v>
      </c>
      <c r="D1808" s="16" t="str">
        <f>IFERROR(VLOOKUP(C1808&amp;"",'[7]Retail Price List'!$A$3:$B$103,2,FALSE),"Special Order")</f>
        <v>Special Order</v>
      </c>
      <c r="E1808" s="494">
        <f>'[6]price list MAN'!E1808</f>
        <v>0</v>
      </c>
      <c r="F1808" s="11">
        <f>'[6]price list MAN'!F1808</f>
        <v>0</v>
      </c>
      <c r="G1808" s="32">
        <f>'[6]price list MAN'!G1808</f>
        <v>0</v>
      </c>
      <c r="H1808" s="26">
        <f>'[6]price list MAN'!H1808</f>
        <v>0</v>
      </c>
      <c r="I1808" s="51" t="str">
        <f t="shared" si="140"/>
        <v/>
      </c>
      <c r="J1808" s="177" t="e">
        <f>'[6]price list MAN'!J1808</f>
        <v>#N/A</v>
      </c>
      <c r="K1808" s="177" t="e">
        <f>'[6]price list MAN'!P1808</f>
        <v>#N/A</v>
      </c>
      <c r="L1808" s="177" t="e">
        <f>'[6]price list MAN'!R1808</f>
        <v>#N/A</v>
      </c>
      <c r="M1808" s="174" t="e">
        <f>'[6]price list MAN'!S1808</f>
        <v>#N/A</v>
      </c>
      <c r="N1808" s="174" t="e">
        <f>'[6]price list MAN'!Y1808</f>
        <v>#N/A</v>
      </c>
      <c r="O1808" s="174" t="e">
        <f>'[6]price list MAN'!AA1808</f>
        <v>#N/A</v>
      </c>
      <c r="P1808" s="68" t="e">
        <f t="shared" si="141"/>
        <v>#N/A</v>
      </c>
      <c r="Q1808" s="62" t="e">
        <f>O1808-#REF!</f>
        <v>#N/A</v>
      </c>
      <c r="AT1808" s="425" t="str">
        <f t="shared" si="142"/>
        <v>Special Order0</v>
      </c>
      <c r="AU1808" s="64" t="str">
        <f t="shared" si="143"/>
        <v>01-1900</v>
      </c>
      <c r="BA1808" s="428" t="str">
        <f t="shared" si="144"/>
        <v/>
      </c>
    </row>
    <row r="1809" spans="2:53">
      <c r="B1809" s="36">
        <f>'[6]price list MAN'!B1809</f>
        <v>0</v>
      </c>
      <c r="C1809" s="10">
        <f>'[6]price list MAN'!C1809</f>
        <v>0</v>
      </c>
      <c r="D1809" s="16" t="str">
        <f>IFERROR(VLOOKUP(C1809&amp;"",'[7]Retail Price List'!$A$3:$B$103,2,FALSE),"Special Order")</f>
        <v>Special Order</v>
      </c>
      <c r="E1809" s="494">
        <f>'[6]price list MAN'!E1809</f>
        <v>0</v>
      </c>
      <c r="F1809" s="11">
        <f>'[6]price list MAN'!F1809</f>
        <v>0</v>
      </c>
      <c r="G1809" s="32">
        <f>'[6]price list MAN'!G1809</f>
        <v>0</v>
      </c>
      <c r="H1809" s="26">
        <f>'[6]price list MAN'!H1809</f>
        <v>0</v>
      </c>
      <c r="I1809" s="51" t="str">
        <f t="shared" si="140"/>
        <v/>
      </c>
      <c r="J1809" s="177" t="e">
        <f>'[6]price list MAN'!J1809</f>
        <v>#N/A</v>
      </c>
      <c r="K1809" s="177" t="e">
        <f>'[6]price list MAN'!P1809</f>
        <v>#N/A</v>
      </c>
      <c r="L1809" s="177" t="e">
        <f>'[6]price list MAN'!R1809</f>
        <v>#N/A</v>
      </c>
      <c r="M1809" s="174" t="e">
        <f>'[6]price list MAN'!S1809</f>
        <v>#N/A</v>
      </c>
      <c r="N1809" s="174" t="e">
        <f>'[6]price list MAN'!Y1809</f>
        <v>#N/A</v>
      </c>
      <c r="O1809" s="174" t="e">
        <f>'[6]price list MAN'!AA1809</f>
        <v>#N/A</v>
      </c>
      <c r="P1809" s="68" t="e">
        <f t="shared" si="141"/>
        <v>#N/A</v>
      </c>
      <c r="Q1809" s="62" t="e">
        <f>O1809-#REF!</f>
        <v>#N/A</v>
      </c>
      <c r="AT1809" s="425" t="str">
        <f t="shared" si="142"/>
        <v>Special Order0</v>
      </c>
      <c r="AU1809" s="64" t="str">
        <f t="shared" si="143"/>
        <v>01-1900</v>
      </c>
      <c r="BA1809" s="428" t="str">
        <f t="shared" si="144"/>
        <v/>
      </c>
    </row>
    <row r="1810" spans="2:53">
      <c r="B1810" s="36">
        <f>'[6]price list MAN'!B1810</f>
        <v>0</v>
      </c>
      <c r="C1810" s="10">
        <f>'[6]price list MAN'!C1810</f>
        <v>0</v>
      </c>
      <c r="D1810" s="16" t="str">
        <f>IFERROR(VLOOKUP(C1810&amp;"",'[7]Retail Price List'!$A$3:$B$103,2,FALSE),"Special Order")</f>
        <v>Special Order</v>
      </c>
      <c r="E1810" s="494">
        <f>'[6]price list MAN'!E1810</f>
        <v>0</v>
      </c>
      <c r="F1810" s="11">
        <f>'[6]price list MAN'!F1810</f>
        <v>0</v>
      </c>
      <c r="G1810" s="32">
        <f>'[6]price list MAN'!G1810</f>
        <v>0</v>
      </c>
      <c r="H1810" s="26">
        <f>'[6]price list MAN'!H1810</f>
        <v>0</v>
      </c>
      <c r="I1810" s="51" t="str">
        <f t="shared" si="140"/>
        <v/>
      </c>
      <c r="J1810" s="177" t="e">
        <f>'[6]price list MAN'!J1810</f>
        <v>#N/A</v>
      </c>
      <c r="K1810" s="177" t="e">
        <f>'[6]price list MAN'!P1810</f>
        <v>#N/A</v>
      </c>
      <c r="L1810" s="177" t="e">
        <f>'[6]price list MAN'!R1810</f>
        <v>#N/A</v>
      </c>
      <c r="M1810" s="174" t="e">
        <f>'[6]price list MAN'!S1810</f>
        <v>#N/A</v>
      </c>
      <c r="N1810" s="174" t="e">
        <f>'[6]price list MAN'!Y1810</f>
        <v>#N/A</v>
      </c>
      <c r="O1810" s="174" t="e">
        <f>'[6]price list MAN'!AA1810</f>
        <v>#N/A</v>
      </c>
      <c r="P1810" s="68" t="e">
        <f t="shared" si="141"/>
        <v>#N/A</v>
      </c>
      <c r="Q1810" s="62" t="e">
        <f>O1810-#REF!</f>
        <v>#N/A</v>
      </c>
      <c r="AT1810" s="425" t="str">
        <f t="shared" si="142"/>
        <v>Special Order0</v>
      </c>
      <c r="AU1810" s="64" t="str">
        <f t="shared" si="143"/>
        <v>01-1900</v>
      </c>
      <c r="BA1810" s="428" t="str">
        <f t="shared" si="144"/>
        <v/>
      </c>
    </row>
    <row r="1811" spans="2:53">
      <c r="B1811" s="36">
        <f>'[6]price list MAN'!B1811</f>
        <v>0</v>
      </c>
      <c r="C1811" s="10">
        <f>'[6]price list MAN'!C1811</f>
        <v>0</v>
      </c>
      <c r="D1811" s="16" t="str">
        <f>IFERROR(VLOOKUP(C1811&amp;"",'[7]Retail Price List'!$A$3:$B$103,2,FALSE),"Special Order")</f>
        <v>Special Order</v>
      </c>
      <c r="E1811" s="494">
        <f>'[6]price list MAN'!E1811</f>
        <v>0</v>
      </c>
      <c r="F1811" s="11">
        <f>'[6]price list MAN'!F1811</f>
        <v>0</v>
      </c>
      <c r="G1811" s="32">
        <f>'[6]price list MAN'!G1811</f>
        <v>0</v>
      </c>
      <c r="H1811" s="26">
        <f>'[6]price list MAN'!H1811</f>
        <v>0</v>
      </c>
      <c r="I1811" s="51" t="str">
        <f t="shared" si="140"/>
        <v/>
      </c>
      <c r="J1811" s="177" t="e">
        <f>'[6]price list MAN'!J1811</f>
        <v>#N/A</v>
      </c>
      <c r="K1811" s="177" t="e">
        <f>'[6]price list MAN'!P1811</f>
        <v>#N/A</v>
      </c>
      <c r="L1811" s="177" t="e">
        <f>'[6]price list MAN'!R1811</f>
        <v>#N/A</v>
      </c>
      <c r="M1811" s="174" t="e">
        <f>'[6]price list MAN'!S1811</f>
        <v>#N/A</v>
      </c>
      <c r="N1811" s="174" t="e">
        <f>'[6]price list MAN'!Y1811</f>
        <v>#N/A</v>
      </c>
      <c r="O1811" s="174" t="e">
        <f>'[6]price list MAN'!AA1811</f>
        <v>#N/A</v>
      </c>
      <c r="P1811" s="68" t="e">
        <f t="shared" si="141"/>
        <v>#N/A</v>
      </c>
      <c r="Q1811" s="62" t="e">
        <f>O1811-#REF!</f>
        <v>#N/A</v>
      </c>
      <c r="AT1811" s="425" t="str">
        <f t="shared" si="142"/>
        <v>Special Order0</v>
      </c>
      <c r="AU1811" s="64" t="str">
        <f t="shared" si="143"/>
        <v>01-1900</v>
      </c>
      <c r="BA1811" s="428" t="str">
        <f t="shared" si="144"/>
        <v/>
      </c>
    </row>
    <row r="1812" spans="2:53">
      <c r="B1812" s="36">
        <f>'[6]price list MAN'!B1812</f>
        <v>0</v>
      </c>
      <c r="C1812" s="10">
        <f>'[6]price list MAN'!C1812</f>
        <v>0</v>
      </c>
      <c r="D1812" s="16" t="str">
        <f>IFERROR(VLOOKUP(C1812&amp;"",'[7]Retail Price List'!$A$3:$B$103,2,FALSE),"Special Order")</f>
        <v>Special Order</v>
      </c>
      <c r="E1812" s="494">
        <f>'[6]price list MAN'!E1812</f>
        <v>0</v>
      </c>
      <c r="F1812" s="11">
        <f>'[6]price list MAN'!F1812</f>
        <v>0</v>
      </c>
      <c r="G1812" s="32">
        <f>'[6]price list MAN'!G1812</f>
        <v>0</v>
      </c>
      <c r="H1812" s="26">
        <f>'[6]price list MAN'!H1812</f>
        <v>0</v>
      </c>
      <c r="I1812" s="51" t="str">
        <f t="shared" si="140"/>
        <v/>
      </c>
      <c r="J1812" s="177" t="e">
        <f>'[6]price list MAN'!J1812</f>
        <v>#N/A</v>
      </c>
      <c r="K1812" s="177" t="e">
        <f>'[6]price list MAN'!P1812</f>
        <v>#N/A</v>
      </c>
      <c r="L1812" s="177" t="e">
        <f>'[6]price list MAN'!R1812</f>
        <v>#N/A</v>
      </c>
      <c r="M1812" s="174" t="e">
        <f>'[6]price list MAN'!S1812</f>
        <v>#N/A</v>
      </c>
      <c r="N1812" s="174" t="e">
        <f>'[6]price list MAN'!Y1812</f>
        <v>#N/A</v>
      </c>
      <c r="O1812" s="174" t="e">
        <f>'[6]price list MAN'!AA1812</f>
        <v>#N/A</v>
      </c>
      <c r="P1812" s="68" t="e">
        <f t="shared" si="141"/>
        <v>#N/A</v>
      </c>
      <c r="Q1812" s="62" t="e">
        <f>O1812-#REF!</f>
        <v>#N/A</v>
      </c>
      <c r="AT1812" s="425" t="str">
        <f t="shared" si="142"/>
        <v>Special Order0</v>
      </c>
      <c r="AU1812" s="64" t="str">
        <f t="shared" si="143"/>
        <v>01-1900</v>
      </c>
      <c r="BA1812" s="428" t="str">
        <f t="shared" si="144"/>
        <v/>
      </c>
    </row>
    <row r="1813" spans="2:53">
      <c r="B1813" s="36">
        <f>'[6]price list MAN'!B1813</f>
        <v>0</v>
      </c>
      <c r="C1813" s="10">
        <f>'[6]price list MAN'!C1813</f>
        <v>0</v>
      </c>
      <c r="D1813" s="16" t="str">
        <f>IFERROR(VLOOKUP(C1813&amp;"",'[7]Retail Price List'!$A$3:$B$103,2,FALSE),"Special Order")</f>
        <v>Special Order</v>
      </c>
      <c r="E1813" s="494">
        <f>'[6]price list MAN'!E1813</f>
        <v>0</v>
      </c>
      <c r="F1813" s="11">
        <f>'[6]price list MAN'!F1813</f>
        <v>0</v>
      </c>
      <c r="G1813" s="32">
        <f>'[6]price list MAN'!G1813</f>
        <v>0</v>
      </c>
      <c r="H1813" s="26">
        <f>'[6]price list MAN'!H1813</f>
        <v>0</v>
      </c>
      <c r="I1813" s="51" t="str">
        <f t="shared" si="140"/>
        <v/>
      </c>
      <c r="J1813" s="177" t="e">
        <f>'[6]price list MAN'!J1813</f>
        <v>#N/A</v>
      </c>
      <c r="K1813" s="177" t="e">
        <f>'[6]price list MAN'!P1813</f>
        <v>#N/A</v>
      </c>
      <c r="L1813" s="177" t="e">
        <f>'[6]price list MAN'!R1813</f>
        <v>#N/A</v>
      </c>
      <c r="M1813" s="174" t="e">
        <f>'[6]price list MAN'!S1813</f>
        <v>#N/A</v>
      </c>
      <c r="N1813" s="174" t="e">
        <f>'[6]price list MAN'!Y1813</f>
        <v>#N/A</v>
      </c>
      <c r="O1813" s="174" t="e">
        <f>'[6]price list MAN'!AA1813</f>
        <v>#N/A</v>
      </c>
      <c r="P1813" s="68" t="e">
        <f t="shared" si="141"/>
        <v>#N/A</v>
      </c>
      <c r="Q1813" s="62" t="e">
        <f>O1813-#REF!</f>
        <v>#N/A</v>
      </c>
      <c r="AT1813" s="425" t="str">
        <f t="shared" si="142"/>
        <v>Special Order0</v>
      </c>
      <c r="AU1813" s="64" t="str">
        <f t="shared" si="143"/>
        <v>01-1900</v>
      </c>
      <c r="BA1813" s="428" t="str">
        <f t="shared" si="144"/>
        <v/>
      </c>
    </row>
    <row r="1814" spans="2:53">
      <c r="B1814" s="36">
        <f>'[6]price list MAN'!B1814</f>
        <v>0</v>
      </c>
      <c r="C1814" s="10">
        <f>'[6]price list MAN'!C1814</f>
        <v>0</v>
      </c>
      <c r="D1814" s="16" t="str">
        <f>IFERROR(VLOOKUP(C1814&amp;"",'[7]Retail Price List'!$A$3:$B$103,2,FALSE),"Special Order")</f>
        <v>Special Order</v>
      </c>
      <c r="E1814" s="494">
        <f>'[6]price list MAN'!E1814</f>
        <v>0</v>
      </c>
      <c r="F1814" s="11">
        <f>'[6]price list MAN'!F1814</f>
        <v>0</v>
      </c>
      <c r="G1814" s="32">
        <f>'[6]price list MAN'!G1814</f>
        <v>0</v>
      </c>
      <c r="H1814" s="26">
        <f>'[6]price list MAN'!H1814</f>
        <v>0</v>
      </c>
      <c r="I1814" s="51" t="str">
        <f t="shared" si="140"/>
        <v/>
      </c>
      <c r="J1814" s="177" t="e">
        <f>'[6]price list MAN'!J1814</f>
        <v>#N/A</v>
      </c>
      <c r="K1814" s="177" t="e">
        <f>'[6]price list MAN'!P1814</f>
        <v>#N/A</v>
      </c>
      <c r="L1814" s="177" t="e">
        <f>'[6]price list MAN'!R1814</f>
        <v>#N/A</v>
      </c>
      <c r="M1814" s="174" t="e">
        <f>'[6]price list MAN'!S1814</f>
        <v>#N/A</v>
      </c>
      <c r="N1814" s="174" t="e">
        <f>'[6]price list MAN'!Y1814</f>
        <v>#N/A</v>
      </c>
      <c r="O1814" s="174" t="e">
        <f>'[6]price list MAN'!AA1814</f>
        <v>#N/A</v>
      </c>
      <c r="P1814" s="68" t="e">
        <f t="shared" si="141"/>
        <v>#N/A</v>
      </c>
      <c r="Q1814" s="62" t="e">
        <f>O1814-#REF!</f>
        <v>#N/A</v>
      </c>
      <c r="AT1814" s="425" t="str">
        <f t="shared" si="142"/>
        <v>Special Order0</v>
      </c>
      <c r="AU1814" s="64" t="str">
        <f t="shared" si="143"/>
        <v>01-1900</v>
      </c>
      <c r="BA1814" s="428" t="str">
        <f t="shared" si="144"/>
        <v/>
      </c>
    </row>
    <row r="1815" spans="2:53">
      <c r="B1815" s="36">
        <f>'[6]price list MAN'!B1815</f>
        <v>0</v>
      </c>
      <c r="C1815" s="10">
        <f>'[6]price list MAN'!C1815</f>
        <v>0</v>
      </c>
      <c r="D1815" s="16" t="str">
        <f>IFERROR(VLOOKUP(C1815&amp;"",'[7]Retail Price List'!$A$3:$B$103,2,FALSE),"Special Order")</f>
        <v>Special Order</v>
      </c>
      <c r="E1815" s="494">
        <f>'[6]price list MAN'!E1815</f>
        <v>0</v>
      </c>
      <c r="F1815" s="11">
        <f>'[6]price list MAN'!F1815</f>
        <v>0</v>
      </c>
      <c r="G1815" s="32">
        <f>'[6]price list MAN'!G1815</f>
        <v>0</v>
      </c>
      <c r="H1815" s="26">
        <f>'[6]price list MAN'!H1815</f>
        <v>0</v>
      </c>
      <c r="I1815" s="51" t="str">
        <f t="shared" si="140"/>
        <v/>
      </c>
      <c r="J1815" s="177" t="e">
        <f>'[6]price list MAN'!J1815</f>
        <v>#N/A</v>
      </c>
      <c r="K1815" s="177" t="e">
        <f>'[6]price list MAN'!P1815</f>
        <v>#N/A</v>
      </c>
      <c r="L1815" s="177" t="e">
        <f>'[6]price list MAN'!R1815</f>
        <v>#N/A</v>
      </c>
      <c r="M1815" s="174" t="e">
        <f>'[6]price list MAN'!S1815</f>
        <v>#N/A</v>
      </c>
      <c r="N1815" s="174" t="e">
        <f>'[6]price list MAN'!Y1815</f>
        <v>#N/A</v>
      </c>
      <c r="O1815" s="174" t="e">
        <f>'[6]price list MAN'!AA1815</f>
        <v>#N/A</v>
      </c>
      <c r="P1815" s="68" t="e">
        <f t="shared" si="141"/>
        <v>#N/A</v>
      </c>
      <c r="Q1815" s="62" t="e">
        <f>O1815-#REF!</f>
        <v>#N/A</v>
      </c>
      <c r="AT1815" s="425" t="str">
        <f t="shared" si="142"/>
        <v>Special Order0</v>
      </c>
      <c r="AU1815" s="64" t="str">
        <f t="shared" si="143"/>
        <v>01-1900</v>
      </c>
      <c r="BA1815" s="428" t="str">
        <f t="shared" si="144"/>
        <v/>
      </c>
    </row>
    <row r="1816" spans="2:53">
      <c r="B1816" s="36">
        <f>'[6]price list MAN'!B1816</f>
        <v>0</v>
      </c>
      <c r="C1816" s="10">
        <f>'[6]price list MAN'!C1816</f>
        <v>0</v>
      </c>
      <c r="D1816" s="16" t="str">
        <f>IFERROR(VLOOKUP(C1816&amp;"",'[7]Retail Price List'!$A$3:$B$103,2,FALSE),"Special Order")</f>
        <v>Special Order</v>
      </c>
      <c r="E1816" s="494">
        <f>'[6]price list MAN'!E1816</f>
        <v>0</v>
      </c>
      <c r="F1816" s="11">
        <f>'[6]price list MAN'!F1816</f>
        <v>0</v>
      </c>
      <c r="G1816" s="32">
        <f>'[6]price list MAN'!G1816</f>
        <v>0</v>
      </c>
      <c r="H1816" s="26">
        <f>'[6]price list MAN'!H1816</f>
        <v>0</v>
      </c>
      <c r="I1816" s="51" t="str">
        <f t="shared" si="140"/>
        <v/>
      </c>
      <c r="J1816" s="177" t="e">
        <f>'[6]price list MAN'!J1816</f>
        <v>#N/A</v>
      </c>
      <c r="K1816" s="177" t="e">
        <f>'[6]price list MAN'!P1816</f>
        <v>#N/A</v>
      </c>
      <c r="L1816" s="177" t="e">
        <f>'[6]price list MAN'!R1816</f>
        <v>#N/A</v>
      </c>
      <c r="M1816" s="174" t="e">
        <f>'[6]price list MAN'!S1816</f>
        <v>#N/A</v>
      </c>
      <c r="N1816" s="174" t="e">
        <f>'[6]price list MAN'!Y1816</f>
        <v>#N/A</v>
      </c>
      <c r="O1816" s="174" t="e">
        <f>'[6]price list MAN'!AA1816</f>
        <v>#N/A</v>
      </c>
      <c r="P1816" s="68" t="e">
        <f t="shared" si="141"/>
        <v>#N/A</v>
      </c>
      <c r="Q1816" s="62" t="e">
        <f>O1816-#REF!</f>
        <v>#N/A</v>
      </c>
      <c r="AT1816" s="425" t="str">
        <f t="shared" si="142"/>
        <v>Special Order0</v>
      </c>
      <c r="AU1816" s="64" t="str">
        <f t="shared" si="143"/>
        <v>01-1900</v>
      </c>
      <c r="BA1816" s="428" t="str">
        <f t="shared" si="144"/>
        <v/>
      </c>
    </row>
    <row r="1817" spans="2:53">
      <c r="B1817" s="36">
        <f>'[6]price list MAN'!B1817</f>
        <v>0</v>
      </c>
      <c r="C1817" s="10">
        <f>'[6]price list MAN'!C1817</f>
        <v>0</v>
      </c>
      <c r="D1817" s="16" t="str">
        <f>IFERROR(VLOOKUP(C1817&amp;"",'[7]Retail Price List'!$A$3:$B$103,2,FALSE),"Special Order")</f>
        <v>Special Order</v>
      </c>
      <c r="E1817" s="494">
        <f>'[6]price list MAN'!E1817</f>
        <v>0</v>
      </c>
      <c r="F1817" s="11">
        <f>'[6]price list MAN'!F1817</f>
        <v>0</v>
      </c>
      <c r="G1817" s="32">
        <f>'[6]price list MAN'!G1817</f>
        <v>0</v>
      </c>
      <c r="H1817" s="26">
        <f>'[6]price list MAN'!H1817</f>
        <v>0</v>
      </c>
      <c r="I1817" s="51" t="str">
        <f t="shared" si="140"/>
        <v/>
      </c>
      <c r="J1817" s="177" t="e">
        <f>'[6]price list MAN'!J1817</f>
        <v>#N/A</v>
      </c>
      <c r="K1817" s="177" t="e">
        <f>'[6]price list MAN'!P1817</f>
        <v>#N/A</v>
      </c>
      <c r="L1817" s="177" t="e">
        <f>'[6]price list MAN'!R1817</f>
        <v>#N/A</v>
      </c>
      <c r="M1817" s="174" t="e">
        <f>'[6]price list MAN'!S1817</f>
        <v>#N/A</v>
      </c>
      <c r="N1817" s="174" t="e">
        <f>'[6]price list MAN'!Y1817</f>
        <v>#N/A</v>
      </c>
      <c r="O1817" s="174" t="e">
        <f>'[6]price list MAN'!AA1817</f>
        <v>#N/A</v>
      </c>
      <c r="P1817" s="68" t="e">
        <f t="shared" si="141"/>
        <v>#N/A</v>
      </c>
      <c r="Q1817" s="62" t="e">
        <f>O1817-#REF!</f>
        <v>#N/A</v>
      </c>
      <c r="AT1817" s="425" t="str">
        <f t="shared" si="142"/>
        <v>Special Order0</v>
      </c>
      <c r="AU1817" s="64" t="str">
        <f t="shared" si="143"/>
        <v>01-1900</v>
      </c>
      <c r="BA1817" s="428" t="str">
        <f t="shared" si="144"/>
        <v/>
      </c>
    </row>
    <row r="1818" spans="2:53">
      <c r="B1818" s="36">
        <f>'[6]price list MAN'!B1818</f>
        <v>0</v>
      </c>
      <c r="C1818" s="10">
        <f>'[6]price list MAN'!C1818</f>
        <v>0</v>
      </c>
      <c r="D1818" s="16" t="str">
        <f>IFERROR(VLOOKUP(C1818&amp;"",'[7]Retail Price List'!$A$3:$B$103,2,FALSE),"Special Order")</f>
        <v>Special Order</v>
      </c>
      <c r="E1818" s="494">
        <f>'[6]price list MAN'!E1818</f>
        <v>0</v>
      </c>
      <c r="F1818" s="11">
        <f>'[6]price list MAN'!F1818</f>
        <v>0</v>
      </c>
      <c r="G1818" s="32">
        <f>'[6]price list MAN'!G1818</f>
        <v>0</v>
      </c>
      <c r="H1818" s="26">
        <f>'[6]price list MAN'!H1818</f>
        <v>0</v>
      </c>
      <c r="I1818" s="51" t="str">
        <f t="shared" si="140"/>
        <v/>
      </c>
      <c r="J1818" s="177" t="e">
        <f>'[6]price list MAN'!J1818</f>
        <v>#N/A</v>
      </c>
      <c r="K1818" s="177" t="e">
        <f>'[6]price list MAN'!P1818</f>
        <v>#N/A</v>
      </c>
      <c r="L1818" s="177" t="e">
        <f>'[6]price list MAN'!R1818</f>
        <v>#N/A</v>
      </c>
      <c r="M1818" s="174" t="e">
        <f>'[6]price list MAN'!S1818</f>
        <v>#N/A</v>
      </c>
      <c r="N1818" s="174" t="e">
        <f>'[6]price list MAN'!Y1818</f>
        <v>#N/A</v>
      </c>
      <c r="O1818" s="174" t="e">
        <f>'[6]price list MAN'!AA1818</f>
        <v>#N/A</v>
      </c>
      <c r="P1818" s="68" t="e">
        <f t="shared" si="141"/>
        <v>#N/A</v>
      </c>
      <c r="Q1818" s="62" t="e">
        <f>O1818-#REF!</f>
        <v>#N/A</v>
      </c>
      <c r="AT1818" s="425" t="str">
        <f t="shared" si="142"/>
        <v>Special Order0</v>
      </c>
      <c r="AU1818" s="64" t="str">
        <f t="shared" si="143"/>
        <v>01-1900</v>
      </c>
      <c r="BA1818" s="428" t="str">
        <f t="shared" si="144"/>
        <v/>
      </c>
    </row>
    <row r="1819" spans="2:53">
      <c r="B1819" s="36">
        <f>'[6]price list MAN'!B1819</f>
        <v>0</v>
      </c>
      <c r="C1819" s="10">
        <f>'[6]price list MAN'!C1819</f>
        <v>0</v>
      </c>
      <c r="D1819" s="16" t="str">
        <f>IFERROR(VLOOKUP(C1819&amp;"",'[7]Retail Price List'!$A$3:$B$103,2,FALSE),"Special Order")</f>
        <v>Special Order</v>
      </c>
      <c r="E1819" s="494">
        <f>'[6]price list MAN'!E1819</f>
        <v>0</v>
      </c>
      <c r="F1819" s="11">
        <f>'[6]price list MAN'!F1819</f>
        <v>0</v>
      </c>
      <c r="G1819" s="32">
        <f>'[6]price list MAN'!G1819</f>
        <v>0</v>
      </c>
      <c r="H1819" s="26">
        <f>'[6]price list MAN'!H1819</f>
        <v>0</v>
      </c>
      <c r="I1819" s="51" t="str">
        <f t="shared" si="140"/>
        <v/>
      </c>
      <c r="J1819" s="177" t="e">
        <f>'[6]price list MAN'!J1819</f>
        <v>#N/A</v>
      </c>
      <c r="K1819" s="177" t="e">
        <f>'[6]price list MAN'!P1819</f>
        <v>#N/A</v>
      </c>
      <c r="L1819" s="177" t="e">
        <f>'[6]price list MAN'!R1819</f>
        <v>#N/A</v>
      </c>
      <c r="M1819" s="174" t="e">
        <f>'[6]price list MAN'!S1819</f>
        <v>#N/A</v>
      </c>
      <c r="N1819" s="174" t="e">
        <f>'[6]price list MAN'!Y1819</f>
        <v>#N/A</v>
      </c>
      <c r="O1819" s="174" t="e">
        <f>'[6]price list MAN'!AA1819</f>
        <v>#N/A</v>
      </c>
      <c r="P1819" s="68" t="e">
        <f t="shared" si="141"/>
        <v>#N/A</v>
      </c>
      <c r="Q1819" s="62" t="e">
        <f>O1819-#REF!</f>
        <v>#N/A</v>
      </c>
      <c r="AT1819" s="425" t="str">
        <f t="shared" si="142"/>
        <v>Special Order0</v>
      </c>
      <c r="AU1819" s="64" t="str">
        <f t="shared" si="143"/>
        <v>01-1900</v>
      </c>
      <c r="BA1819" s="428" t="str">
        <f t="shared" si="144"/>
        <v/>
      </c>
    </row>
    <row r="1820" spans="2:53">
      <c r="B1820" s="36">
        <f>'[6]price list MAN'!B1820</f>
        <v>0</v>
      </c>
      <c r="C1820" s="10">
        <f>'[6]price list MAN'!C1820</f>
        <v>0</v>
      </c>
      <c r="D1820" s="16" t="str">
        <f>IFERROR(VLOOKUP(C1820&amp;"",'[7]Retail Price List'!$A$3:$B$103,2,FALSE),"Special Order")</f>
        <v>Special Order</v>
      </c>
      <c r="E1820" s="494">
        <f>'[6]price list MAN'!E1820</f>
        <v>0</v>
      </c>
      <c r="F1820" s="11">
        <f>'[6]price list MAN'!F1820</f>
        <v>0</v>
      </c>
      <c r="G1820" s="32">
        <f>'[6]price list MAN'!G1820</f>
        <v>0</v>
      </c>
      <c r="H1820" s="26">
        <f>'[6]price list MAN'!H1820</f>
        <v>0</v>
      </c>
      <c r="I1820" s="51" t="str">
        <f t="shared" si="140"/>
        <v/>
      </c>
      <c r="J1820" s="177" t="e">
        <f>'[6]price list MAN'!J1820</f>
        <v>#N/A</v>
      </c>
      <c r="K1820" s="177" t="e">
        <f>'[6]price list MAN'!P1820</f>
        <v>#N/A</v>
      </c>
      <c r="L1820" s="177" t="e">
        <f>'[6]price list MAN'!R1820</f>
        <v>#N/A</v>
      </c>
      <c r="M1820" s="174" t="e">
        <f>'[6]price list MAN'!S1820</f>
        <v>#N/A</v>
      </c>
      <c r="N1820" s="174" t="e">
        <f>'[6]price list MAN'!Y1820</f>
        <v>#N/A</v>
      </c>
      <c r="O1820" s="174" t="e">
        <f>'[6]price list MAN'!AA1820</f>
        <v>#N/A</v>
      </c>
      <c r="P1820" s="68" t="e">
        <f t="shared" si="141"/>
        <v>#N/A</v>
      </c>
      <c r="Q1820" s="62" t="e">
        <f>O1820-#REF!</f>
        <v>#N/A</v>
      </c>
      <c r="AT1820" s="425" t="str">
        <f t="shared" si="142"/>
        <v>Special Order0</v>
      </c>
      <c r="AU1820" s="64" t="str">
        <f t="shared" si="143"/>
        <v>01-1900</v>
      </c>
      <c r="BA1820" s="428" t="str">
        <f t="shared" si="144"/>
        <v/>
      </c>
    </row>
    <row r="1821" spans="2:53">
      <c r="B1821" s="36">
        <f>'[6]price list MAN'!B1821</f>
        <v>0</v>
      </c>
      <c r="C1821" s="10">
        <f>'[6]price list MAN'!C1821</f>
        <v>0</v>
      </c>
      <c r="D1821" s="16" t="str">
        <f>IFERROR(VLOOKUP(C1821&amp;"",'[7]Retail Price List'!$A$3:$B$103,2,FALSE),"Special Order")</f>
        <v>Special Order</v>
      </c>
      <c r="E1821" s="494">
        <f>'[6]price list MAN'!E1821</f>
        <v>0</v>
      </c>
      <c r="F1821" s="11">
        <f>'[6]price list MAN'!F1821</f>
        <v>0</v>
      </c>
      <c r="G1821" s="32">
        <f>'[6]price list MAN'!G1821</f>
        <v>0</v>
      </c>
      <c r="H1821" s="26">
        <f>'[6]price list MAN'!H1821</f>
        <v>0</v>
      </c>
      <c r="I1821" s="51" t="str">
        <f t="shared" si="140"/>
        <v/>
      </c>
      <c r="J1821" s="177" t="e">
        <f>'[6]price list MAN'!J1821</f>
        <v>#N/A</v>
      </c>
      <c r="K1821" s="177" t="e">
        <f>'[6]price list MAN'!P1821</f>
        <v>#N/A</v>
      </c>
      <c r="L1821" s="177" t="e">
        <f>'[6]price list MAN'!R1821</f>
        <v>#N/A</v>
      </c>
      <c r="M1821" s="174" t="e">
        <f>'[6]price list MAN'!S1821</f>
        <v>#N/A</v>
      </c>
      <c r="N1821" s="174" t="e">
        <f>'[6]price list MAN'!Y1821</f>
        <v>#N/A</v>
      </c>
      <c r="O1821" s="174" t="e">
        <f>'[6]price list MAN'!AA1821</f>
        <v>#N/A</v>
      </c>
      <c r="P1821" s="68" t="e">
        <f t="shared" si="141"/>
        <v>#N/A</v>
      </c>
      <c r="Q1821" s="62" t="e">
        <f>O1821-#REF!</f>
        <v>#N/A</v>
      </c>
      <c r="AT1821" s="425" t="str">
        <f t="shared" si="142"/>
        <v>Special Order0</v>
      </c>
      <c r="AU1821" s="64" t="str">
        <f t="shared" si="143"/>
        <v>01-1900</v>
      </c>
      <c r="BA1821" s="428" t="str">
        <f t="shared" si="144"/>
        <v/>
      </c>
    </row>
    <row r="1822" spans="2:53">
      <c r="B1822" s="36">
        <f>'[6]price list MAN'!B1822</f>
        <v>0</v>
      </c>
      <c r="C1822" s="10">
        <f>'[6]price list MAN'!C1822</f>
        <v>0</v>
      </c>
      <c r="D1822" s="16" t="str">
        <f>IFERROR(VLOOKUP(C1822&amp;"",'[7]Retail Price List'!$A$3:$B$103,2,FALSE),"Special Order")</f>
        <v>Special Order</v>
      </c>
      <c r="E1822" s="494">
        <f>'[6]price list MAN'!E1822</f>
        <v>0</v>
      </c>
      <c r="F1822" s="11">
        <f>'[6]price list MAN'!F1822</f>
        <v>0</v>
      </c>
      <c r="G1822" s="32">
        <f>'[6]price list MAN'!G1822</f>
        <v>0</v>
      </c>
      <c r="H1822" s="26">
        <f>'[6]price list MAN'!H1822</f>
        <v>0</v>
      </c>
      <c r="I1822" s="51" t="str">
        <f t="shared" si="140"/>
        <v/>
      </c>
      <c r="J1822" s="177" t="e">
        <f>'[6]price list MAN'!J1822</f>
        <v>#N/A</v>
      </c>
      <c r="K1822" s="177" t="e">
        <f>'[6]price list MAN'!P1822</f>
        <v>#N/A</v>
      </c>
      <c r="L1822" s="177" t="e">
        <f>'[6]price list MAN'!R1822</f>
        <v>#N/A</v>
      </c>
      <c r="M1822" s="174" t="e">
        <f>'[6]price list MAN'!S1822</f>
        <v>#N/A</v>
      </c>
      <c r="N1822" s="174" t="e">
        <f>'[6]price list MAN'!Y1822</f>
        <v>#N/A</v>
      </c>
      <c r="O1822" s="174" t="e">
        <f>'[6]price list MAN'!AA1822</f>
        <v>#N/A</v>
      </c>
      <c r="P1822" s="68" t="e">
        <f t="shared" si="141"/>
        <v>#N/A</v>
      </c>
      <c r="Q1822" s="62" t="e">
        <f>O1822-#REF!</f>
        <v>#N/A</v>
      </c>
      <c r="AT1822" s="425" t="str">
        <f t="shared" si="142"/>
        <v>Special Order0</v>
      </c>
      <c r="AU1822" s="64" t="str">
        <f t="shared" si="143"/>
        <v>01-1900</v>
      </c>
      <c r="BA1822" s="428" t="str">
        <f t="shared" si="144"/>
        <v/>
      </c>
    </row>
    <row r="1823" spans="2:53">
      <c r="B1823" s="36">
        <f>'[6]price list MAN'!B1823</f>
        <v>0</v>
      </c>
      <c r="C1823" s="10">
        <f>'[6]price list MAN'!C1823</f>
        <v>0</v>
      </c>
      <c r="D1823" s="16" t="str">
        <f>IFERROR(VLOOKUP(C1823&amp;"",'[7]Retail Price List'!$A$3:$B$103,2,FALSE),"Special Order")</f>
        <v>Special Order</v>
      </c>
      <c r="E1823" s="494">
        <f>'[6]price list MAN'!E1823</f>
        <v>0</v>
      </c>
      <c r="F1823" s="11">
        <f>'[6]price list MAN'!F1823</f>
        <v>0</v>
      </c>
      <c r="G1823" s="32">
        <f>'[6]price list MAN'!G1823</f>
        <v>0</v>
      </c>
      <c r="H1823" s="26">
        <f>'[6]price list MAN'!H1823</f>
        <v>0</v>
      </c>
      <c r="I1823" s="51" t="str">
        <f t="shared" si="140"/>
        <v/>
      </c>
      <c r="J1823" s="177" t="e">
        <f>'[6]price list MAN'!J1823</f>
        <v>#N/A</v>
      </c>
      <c r="K1823" s="177" t="e">
        <f>'[6]price list MAN'!P1823</f>
        <v>#N/A</v>
      </c>
      <c r="L1823" s="177" t="e">
        <f>'[6]price list MAN'!R1823</f>
        <v>#N/A</v>
      </c>
      <c r="M1823" s="174" t="e">
        <f>'[6]price list MAN'!S1823</f>
        <v>#N/A</v>
      </c>
      <c r="N1823" s="174" t="e">
        <f>'[6]price list MAN'!Y1823</f>
        <v>#N/A</v>
      </c>
      <c r="O1823" s="174" t="e">
        <f>'[6]price list MAN'!AA1823</f>
        <v>#N/A</v>
      </c>
      <c r="P1823" s="68" t="e">
        <f t="shared" si="141"/>
        <v>#N/A</v>
      </c>
      <c r="Q1823" s="62" t="e">
        <f>O1823-#REF!</f>
        <v>#N/A</v>
      </c>
      <c r="AT1823" s="425" t="str">
        <f t="shared" si="142"/>
        <v>Special Order0</v>
      </c>
      <c r="AU1823" s="64" t="str">
        <f t="shared" si="143"/>
        <v>01-1900</v>
      </c>
      <c r="BA1823" s="428" t="str">
        <f t="shared" si="144"/>
        <v/>
      </c>
    </row>
    <row r="1824" spans="2:53">
      <c r="B1824" s="36">
        <f>'[6]price list MAN'!B1824</f>
        <v>0</v>
      </c>
      <c r="C1824" s="10">
        <f>'[6]price list MAN'!C1824</f>
        <v>0</v>
      </c>
      <c r="D1824" s="16" t="str">
        <f>IFERROR(VLOOKUP(C1824&amp;"",'[7]Retail Price List'!$A$3:$B$103,2,FALSE),"Special Order")</f>
        <v>Special Order</v>
      </c>
      <c r="E1824" s="494">
        <f>'[6]price list MAN'!E1824</f>
        <v>0</v>
      </c>
      <c r="F1824" s="11">
        <f>'[6]price list MAN'!F1824</f>
        <v>0</v>
      </c>
      <c r="G1824" s="32">
        <f>'[6]price list MAN'!G1824</f>
        <v>0</v>
      </c>
      <c r="H1824" s="26">
        <f>'[6]price list MAN'!H1824</f>
        <v>0</v>
      </c>
      <c r="I1824" s="51" t="str">
        <f t="shared" si="140"/>
        <v/>
      </c>
      <c r="J1824" s="177" t="e">
        <f>'[6]price list MAN'!J1824</f>
        <v>#N/A</v>
      </c>
      <c r="K1824" s="177" t="e">
        <f>'[6]price list MAN'!P1824</f>
        <v>#N/A</v>
      </c>
      <c r="L1824" s="177" t="e">
        <f>'[6]price list MAN'!R1824</f>
        <v>#N/A</v>
      </c>
      <c r="M1824" s="174" t="e">
        <f>'[6]price list MAN'!S1824</f>
        <v>#N/A</v>
      </c>
      <c r="N1824" s="174" t="e">
        <f>'[6]price list MAN'!Y1824</f>
        <v>#N/A</v>
      </c>
      <c r="O1824" s="174" t="e">
        <f>'[6]price list MAN'!AA1824</f>
        <v>#N/A</v>
      </c>
      <c r="P1824" s="68" t="e">
        <f t="shared" si="141"/>
        <v>#N/A</v>
      </c>
      <c r="Q1824" s="62" t="e">
        <f>O1824-#REF!</f>
        <v>#N/A</v>
      </c>
      <c r="AT1824" s="425" t="str">
        <f t="shared" si="142"/>
        <v>Special Order0</v>
      </c>
      <c r="AU1824" s="64" t="str">
        <f t="shared" si="143"/>
        <v>01-1900</v>
      </c>
      <c r="BA1824" s="428" t="str">
        <f t="shared" si="144"/>
        <v/>
      </c>
    </row>
    <row r="1825" spans="2:53">
      <c r="B1825" s="36">
        <f>'[6]price list MAN'!B1825</f>
        <v>0</v>
      </c>
      <c r="C1825" s="10">
        <f>'[6]price list MAN'!C1825</f>
        <v>0</v>
      </c>
      <c r="D1825" s="16" t="str">
        <f>IFERROR(VLOOKUP(C1825&amp;"",'[7]Retail Price List'!$A$3:$B$103,2,FALSE),"Special Order")</f>
        <v>Special Order</v>
      </c>
      <c r="E1825" s="494">
        <f>'[6]price list MAN'!E1825</f>
        <v>0</v>
      </c>
      <c r="F1825" s="11">
        <f>'[6]price list MAN'!F1825</f>
        <v>0</v>
      </c>
      <c r="G1825" s="32">
        <f>'[6]price list MAN'!G1825</f>
        <v>0</v>
      </c>
      <c r="H1825" s="26">
        <f>'[6]price list MAN'!H1825</f>
        <v>0</v>
      </c>
      <c r="I1825" s="51" t="str">
        <f t="shared" si="140"/>
        <v/>
      </c>
      <c r="J1825" s="177" t="e">
        <f>'[6]price list MAN'!J1825</f>
        <v>#N/A</v>
      </c>
      <c r="K1825" s="177" t="e">
        <f>'[6]price list MAN'!P1825</f>
        <v>#N/A</v>
      </c>
      <c r="L1825" s="177" t="e">
        <f>'[6]price list MAN'!R1825</f>
        <v>#N/A</v>
      </c>
      <c r="M1825" s="174" t="e">
        <f>'[6]price list MAN'!S1825</f>
        <v>#N/A</v>
      </c>
      <c r="N1825" s="174" t="e">
        <f>'[6]price list MAN'!Y1825</f>
        <v>#N/A</v>
      </c>
      <c r="O1825" s="174" t="e">
        <f>'[6]price list MAN'!AA1825</f>
        <v>#N/A</v>
      </c>
      <c r="P1825" s="68" t="e">
        <f t="shared" si="141"/>
        <v>#N/A</v>
      </c>
      <c r="Q1825" s="62" t="e">
        <f>O1825-#REF!</f>
        <v>#N/A</v>
      </c>
      <c r="AT1825" s="425" t="str">
        <f t="shared" si="142"/>
        <v>Special Order0</v>
      </c>
      <c r="AU1825" s="64" t="str">
        <f t="shared" si="143"/>
        <v>01-1900</v>
      </c>
      <c r="BA1825" s="428" t="str">
        <f t="shared" si="144"/>
        <v/>
      </c>
    </row>
    <row r="1826" spans="2:53">
      <c r="B1826" s="36">
        <f>'[6]price list MAN'!B1826</f>
        <v>0</v>
      </c>
      <c r="C1826" s="10">
        <f>'[6]price list MAN'!C1826</f>
        <v>0</v>
      </c>
      <c r="D1826" s="16" t="str">
        <f>IFERROR(VLOOKUP(C1826&amp;"",'[7]Retail Price List'!$A$3:$B$103,2,FALSE),"Special Order")</f>
        <v>Special Order</v>
      </c>
      <c r="E1826" s="494">
        <f>'[6]price list MAN'!E1826</f>
        <v>0</v>
      </c>
      <c r="F1826" s="11">
        <f>'[6]price list MAN'!F1826</f>
        <v>0</v>
      </c>
      <c r="G1826" s="32">
        <f>'[6]price list MAN'!G1826</f>
        <v>0</v>
      </c>
      <c r="H1826" s="26">
        <f>'[6]price list MAN'!H1826</f>
        <v>0</v>
      </c>
      <c r="I1826" s="51" t="str">
        <f t="shared" si="140"/>
        <v/>
      </c>
      <c r="J1826" s="177" t="e">
        <f>'[6]price list MAN'!J1826</f>
        <v>#N/A</v>
      </c>
      <c r="K1826" s="177" t="e">
        <f>'[6]price list MAN'!P1826</f>
        <v>#N/A</v>
      </c>
      <c r="L1826" s="177" t="e">
        <f>'[6]price list MAN'!R1826</f>
        <v>#N/A</v>
      </c>
      <c r="M1826" s="174" t="e">
        <f>'[6]price list MAN'!S1826</f>
        <v>#N/A</v>
      </c>
      <c r="N1826" s="174" t="e">
        <f>'[6]price list MAN'!Y1826</f>
        <v>#N/A</v>
      </c>
      <c r="O1826" s="174" t="e">
        <f>'[6]price list MAN'!AA1826</f>
        <v>#N/A</v>
      </c>
      <c r="P1826" s="68" t="e">
        <f t="shared" si="141"/>
        <v>#N/A</v>
      </c>
      <c r="Q1826" s="62" t="e">
        <f>O1826-#REF!</f>
        <v>#N/A</v>
      </c>
      <c r="AT1826" s="425" t="str">
        <f t="shared" si="142"/>
        <v>Special Order0</v>
      </c>
      <c r="AU1826" s="64" t="str">
        <f t="shared" si="143"/>
        <v>01-1900</v>
      </c>
      <c r="BA1826" s="428" t="str">
        <f t="shared" si="144"/>
        <v/>
      </c>
    </row>
    <row r="1827" spans="2:53">
      <c r="B1827" s="36">
        <f>'[6]price list MAN'!B1827</f>
        <v>0</v>
      </c>
      <c r="C1827" s="10">
        <f>'[6]price list MAN'!C1827</f>
        <v>0</v>
      </c>
      <c r="D1827" s="16" t="str">
        <f>IFERROR(VLOOKUP(C1827&amp;"",'[7]Retail Price List'!$A$3:$B$103,2,FALSE),"Special Order")</f>
        <v>Special Order</v>
      </c>
      <c r="E1827" s="494">
        <f>'[6]price list MAN'!E1827</f>
        <v>0</v>
      </c>
      <c r="F1827" s="11">
        <f>'[6]price list MAN'!F1827</f>
        <v>0</v>
      </c>
      <c r="G1827" s="32">
        <f>'[6]price list MAN'!G1827</f>
        <v>0</v>
      </c>
      <c r="H1827" s="26">
        <f>'[6]price list MAN'!H1827</f>
        <v>0</v>
      </c>
      <c r="I1827" s="51" t="str">
        <f t="shared" si="140"/>
        <v/>
      </c>
      <c r="J1827" s="177" t="e">
        <f>'[6]price list MAN'!J1827</f>
        <v>#N/A</v>
      </c>
      <c r="K1827" s="177" t="e">
        <f>'[6]price list MAN'!P1827</f>
        <v>#N/A</v>
      </c>
      <c r="L1827" s="177" t="e">
        <f>'[6]price list MAN'!R1827</f>
        <v>#N/A</v>
      </c>
      <c r="M1827" s="174" t="e">
        <f>'[6]price list MAN'!S1827</f>
        <v>#N/A</v>
      </c>
      <c r="N1827" s="174" t="e">
        <f>'[6]price list MAN'!Y1827</f>
        <v>#N/A</v>
      </c>
      <c r="O1827" s="174" t="e">
        <f>'[6]price list MAN'!AA1827</f>
        <v>#N/A</v>
      </c>
      <c r="P1827" s="68" t="e">
        <f t="shared" si="141"/>
        <v>#N/A</v>
      </c>
      <c r="Q1827" s="62" t="e">
        <f>O1827-#REF!</f>
        <v>#N/A</v>
      </c>
      <c r="AT1827" s="425" t="str">
        <f t="shared" si="142"/>
        <v>Special Order0</v>
      </c>
      <c r="AU1827" s="64" t="str">
        <f t="shared" si="143"/>
        <v>01-1900</v>
      </c>
      <c r="BA1827" s="428" t="str">
        <f t="shared" si="144"/>
        <v/>
      </c>
    </row>
    <row r="1828" spans="2:53">
      <c r="B1828" s="36">
        <f>'[6]price list MAN'!B1828</f>
        <v>0</v>
      </c>
      <c r="C1828" s="10">
        <f>'[6]price list MAN'!C1828</f>
        <v>0</v>
      </c>
      <c r="D1828" s="16" t="str">
        <f>IFERROR(VLOOKUP(C1828&amp;"",'[7]Retail Price List'!$A$3:$B$103,2,FALSE),"Special Order")</f>
        <v>Special Order</v>
      </c>
      <c r="E1828" s="494">
        <f>'[6]price list MAN'!E1828</f>
        <v>0</v>
      </c>
      <c r="F1828" s="11">
        <f>'[6]price list MAN'!F1828</f>
        <v>0</v>
      </c>
      <c r="G1828" s="32">
        <f>'[6]price list MAN'!G1828</f>
        <v>0</v>
      </c>
      <c r="H1828" s="26">
        <f>'[6]price list MAN'!H1828</f>
        <v>0</v>
      </c>
      <c r="I1828" s="51" t="str">
        <f t="shared" si="140"/>
        <v/>
      </c>
      <c r="J1828" s="177" t="e">
        <f>'[6]price list MAN'!J1828</f>
        <v>#N/A</v>
      </c>
      <c r="K1828" s="177" t="e">
        <f>'[6]price list MAN'!P1828</f>
        <v>#N/A</v>
      </c>
      <c r="L1828" s="177" t="e">
        <f>'[6]price list MAN'!R1828</f>
        <v>#N/A</v>
      </c>
      <c r="M1828" s="174" t="e">
        <f>'[6]price list MAN'!S1828</f>
        <v>#N/A</v>
      </c>
      <c r="N1828" s="174" t="e">
        <f>'[6]price list MAN'!Y1828</f>
        <v>#N/A</v>
      </c>
      <c r="O1828" s="174" t="e">
        <f>'[6]price list MAN'!AA1828</f>
        <v>#N/A</v>
      </c>
      <c r="P1828" s="68" t="e">
        <f t="shared" si="141"/>
        <v>#N/A</v>
      </c>
      <c r="Q1828" s="62" t="e">
        <f>O1828-#REF!</f>
        <v>#N/A</v>
      </c>
      <c r="AT1828" s="425" t="str">
        <f t="shared" si="142"/>
        <v>Special Order0</v>
      </c>
      <c r="AU1828" s="64" t="str">
        <f t="shared" si="143"/>
        <v>01-1900</v>
      </c>
      <c r="BA1828" s="428" t="str">
        <f t="shared" si="144"/>
        <v/>
      </c>
    </row>
    <row r="1829" spans="2:53">
      <c r="B1829" s="36">
        <f>'[6]price list MAN'!B1829</f>
        <v>0</v>
      </c>
      <c r="C1829" s="10">
        <f>'[6]price list MAN'!C1829</f>
        <v>0</v>
      </c>
      <c r="D1829" s="16" t="str">
        <f>IFERROR(VLOOKUP(C1829&amp;"",'[7]Retail Price List'!$A$3:$B$103,2,FALSE),"Special Order")</f>
        <v>Special Order</v>
      </c>
      <c r="E1829" s="494">
        <f>'[6]price list MAN'!E1829</f>
        <v>0</v>
      </c>
      <c r="F1829" s="11">
        <f>'[6]price list MAN'!F1829</f>
        <v>0</v>
      </c>
      <c r="G1829" s="32">
        <f>'[6]price list MAN'!G1829</f>
        <v>0</v>
      </c>
      <c r="H1829" s="26">
        <f>'[6]price list MAN'!H1829</f>
        <v>0</v>
      </c>
      <c r="I1829" s="51" t="str">
        <f t="shared" si="140"/>
        <v/>
      </c>
      <c r="J1829" s="177" t="e">
        <f>'[6]price list MAN'!J1829</f>
        <v>#N/A</v>
      </c>
      <c r="K1829" s="177" t="e">
        <f>'[6]price list MAN'!P1829</f>
        <v>#N/A</v>
      </c>
      <c r="L1829" s="177" t="e">
        <f>'[6]price list MAN'!R1829</f>
        <v>#N/A</v>
      </c>
      <c r="M1829" s="174" t="e">
        <f>'[6]price list MAN'!S1829</f>
        <v>#N/A</v>
      </c>
      <c r="N1829" s="174" t="e">
        <f>'[6]price list MAN'!Y1829</f>
        <v>#N/A</v>
      </c>
      <c r="O1829" s="174" t="e">
        <f>'[6]price list MAN'!AA1829</f>
        <v>#N/A</v>
      </c>
      <c r="P1829" s="68" t="e">
        <f t="shared" si="141"/>
        <v>#N/A</v>
      </c>
      <c r="Q1829" s="62" t="e">
        <f>O1829-#REF!</f>
        <v>#N/A</v>
      </c>
      <c r="AT1829" s="425" t="str">
        <f t="shared" si="142"/>
        <v>Special Order0</v>
      </c>
      <c r="AU1829" s="64" t="str">
        <f t="shared" si="143"/>
        <v>01-1900</v>
      </c>
      <c r="BA1829" s="428" t="str">
        <f t="shared" si="144"/>
        <v/>
      </c>
    </row>
    <row r="1830" spans="2:53">
      <c r="B1830" s="36">
        <f>'[6]price list MAN'!B1830</f>
        <v>0</v>
      </c>
      <c r="C1830" s="10">
        <f>'[6]price list MAN'!C1830</f>
        <v>0</v>
      </c>
      <c r="D1830" s="16" t="str">
        <f>IFERROR(VLOOKUP(C1830&amp;"",'[7]Retail Price List'!$A$3:$B$103,2,FALSE),"Special Order")</f>
        <v>Special Order</v>
      </c>
      <c r="E1830" s="494">
        <f>'[6]price list MAN'!E1830</f>
        <v>0</v>
      </c>
      <c r="F1830" s="11">
        <f>'[6]price list MAN'!F1830</f>
        <v>0</v>
      </c>
      <c r="G1830" s="32">
        <f>'[6]price list MAN'!G1830</f>
        <v>0</v>
      </c>
      <c r="H1830" s="26">
        <f>'[6]price list MAN'!H1830</f>
        <v>0</v>
      </c>
      <c r="I1830" s="51" t="str">
        <f t="shared" si="140"/>
        <v/>
      </c>
      <c r="J1830" s="177" t="e">
        <f>'[6]price list MAN'!J1830</f>
        <v>#N/A</v>
      </c>
      <c r="K1830" s="177" t="e">
        <f>'[6]price list MAN'!P1830</f>
        <v>#N/A</v>
      </c>
      <c r="L1830" s="177" t="e">
        <f>'[6]price list MAN'!R1830</f>
        <v>#N/A</v>
      </c>
      <c r="M1830" s="174" t="e">
        <f>'[6]price list MAN'!S1830</f>
        <v>#N/A</v>
      </c>
      <c r="N1830" s="174" t="e">
        <f>'[6]price list MAN'!Y1830</f>
        <v>#N/A</v>
      </c>
      <c r="O1830" s="174" t="e">
        <f>'[6]price list MAN'!AA1830</f>
        <v>#N/A</v>
      </c>
      <c r="P1830" s="68" t="e">
        <f t="shared" si="141"/>
        <v>#N/A</v>
      </c>
      <c r="Q1830" s="62" t="e">
        <f>O1830-#REF!</f>
        <v>#N/A</v>
      </c>
      <c r="AT1830" s="425" t="str">
        <f t="shared" si="142"/>
        <v>Special Order0</v>
      </c>
      <c r="AU1830" s="64" t="str">
        <f t="shared" si="143"/>
        <v>01-1900</v>
      </c>
      <c r="BA1830" s="428" t="str">
        <f t="shared" si="144"/>
        <v/>
      </c>
    </row>
    <row r="1831" spans="2:53">
      <c r="B1831" s="36">
        <f>'[6]price list MAN'!B1831</f>
        <v>0</v>
      </c>
      <c r="C1831" s="10">
        <f>'[6]price list MAN'!C1831</f>
        <v>0</v>
      </c>
      <c r="D1831" s="16" t="str">
        <f>IFERROR(VLOOKUP(C1831&amp;"",'[7]Retail Price List'!$A$3:$B$103,2,FALSE),"Special Order")</f>
        <v>Special Order</v>
      </c>
      <c r="E1831" s="494">
        <f>'[6]price list MAN'!E1831</f>
        <v>0</v>
      </c>
      <c r="F1831" s="11">
        <f>'[6]price list MAN'!F1831</f>
        <v>0</v>
      </c>
      <c r="G1831" s="32">
        <f>'[6]price list MAN'!G1831</f>
        <v>0</v>
      </c>
      <c r="H1831" s="26">
        <f>'[6]price list MAN'!H1831</f>
        <v>0</v>
      </c>
      <c r="I1831" s="51" t="str">
        <f t="shared" si="140"/>
        <v/>
      </c>
      <c r="J1831" s="177" t="e">
        <f>'[6]price list MAN'!J1831</f>
        <v>#N/A</v>
      </c>
      <c r="K1831" s="177" t="e">
        <f>'[6]price list MAN'!P1831</f>
        <v>#N/A</v>
      </c>
      <c r="L1831" s="177" t="e">
        <f>'[6]price list MAN'!R1831</f>
        <v>#N/A</v>
      </c>
      <c r="M1831" s="174" t="e">
        <f>'[6]price list MAN'!S1831</f>
        <v>#N/A</v>
      </c>
      <c r="N1831" s="174" t="e">
        <f>'[6]price list MAN'!Y1831</f>
        <v>#N/A</v>
      </c>
      <c r="O1831" s="174" t="e">
        <f>'[6]price list MAN'!AA1831</f>
        <v>#N/A</v>
      </c>
      <c r="P1831" s="68" t="e">
        <f t="shared" si="141"/>
        <v>#N/A</v>
      </c>
      <c r="Q1831" s="62" t="e">
        <f>O1831-#REF!</f>
        <v>#N/A</v>
      </c>
      <c r="AT1831" s="425" t="str">
        <f t="shared" si="142"/>
        <v>Special Order0</v>
      </c>
      <c r="AU1831" s="64" t="str">
        <f t="shared" si="143"/>
        <v>01-1900</v>
      </c>
      <c r="BA1831" s="428" t="str">
        <f t="shared" si="144"/>
        <v/>
      </c>
    </row>
    <row r="1832" spans="2:53">
      <c r="B1832" s="36">
        <f>'[6]price list MAN'!B1832</f>
        <v>0</v>
      </c>
      <c r="C1832" s="10">
        <f>'[6]price list MAN'!C1832</f>
        <v>0</v>
      </c>
      <c r="D1832" s="16" t="str">
        <f>IFERROR(VLOOKUP(C1832&amp;"",'[7]Retail Price List'!$A$3:$B$103,2,FALSE),"Special Order")</f>
        <v>Special Order</v>
      </c>
      <c r="E1832" s="494">
        <f>'[6]price list MAN'!E1832</f>
        <v>0</v>
      </c>
      <c r="F1832" s="11">
        <f>'[6]price list MAN'!F1832</f>
        <v>0</v>
      </c>
      <c r="G1832" s="32">
        <f>'[6]price list MAN'!G1832</f>
        <v>0</v>
      </c>
      <c r="H1832" s="26">
        <f>'[6]price list MAN'!H1832</f>
        <v>0</v>
      </c>
      <c r="I1832" s="51" t="str">
        <f t="shared" si="140"/>
        <v/>
      </c>
      <c r="J1832" s="177" t="e">
        <f>'[6]price list MAN'!J1832</f>
        <v>#N/A</v>
      </c>
      <c r="K1832" s="177" t="e">
        <f>'[6]price list MAN'!P1832</f>
        <v>#N/A</v>
      </c>
      <c r="L1832" s="177" t="e">
        <f>'[6]price list MAN'!R1832</f>
        <v>#N/A</v>
      </c>
      <c r="M1832" s="174" t="e">
        <f>'[6]price list MAN'!S1832</f>
        <v>#N/A</v>
      </c>
      <c r="N1832" s="174" t="e">
        <f>'[6]price list MAN'!Y1832</f>
        <v>#N/A</v>
      </c>
      <c r="O1832" s="174" t="e">
        <f>'[6]price list MAN'!AA1832</f>
        <v>#N/A</v>
      </c>
      <c r="P1832" s="68" t="e">
        <f t="shared" si="141"/>
        <v>#N/A</v>
      </c>
      <c r="Q1832" s="62" t="e">
        <f>O1832-#REF!</f>
        <v>#N/A</v>
      </c>
      <c r="AT1832" s="425" t="str">
        <f t="shared" si="142"/>
        <v>Special Order0</v>
      </c>
      <c r="AU1832" s="64" t="str">
        <f t="shared" si="143"/>
        <v>01-1900</v>
      </c>
      <c r="BA1832" s="428" t="str">
        <f t="shared" si="144"/>
        <v/>
      </c>
    </row>
    <row r="1833" spans="2:53">
      <c r="B1833" s="36">
        <f>'[6]price list MAN'!B1833</f>
        <v>0</v>
      </c>
      <c r="C1833" s="10">
        <f>'[6]price list MAN'!C1833</f>
        <v>0</v>
      </c>
      <c r="D1833" s="16" t="str">
        <f>IFERROR(VLOOKUP(C1833&amp;"",'[7]Retail Price List'!$A$3:$B$103,2,FALSE),"Special Order")</f>
        <v>Special Order</v>
      </c>
      <c r="E1833" s="494">
        <f>'[6]price list MAN'!E1833</f>
        <v>0</v>
      </c>
      <c r="F1833" s="11">
        <f>'[6]price list MAN'!F1833</f>
        <v>0</v>
      </c>
      <c r="G1833" s="32">
        <f>'[6]price list MAN'!G1833</f>
        <v>0</v>
      </c>
      <c r="H1833" s="26">
        <f>'[6]price list MAN'!H1833</f>
        <v>0</v>
      </c>
      <c r="I1833" s="51" t="str">
        <f t="shared" si="140"/>
        <v/>
      </c>
      <c r="J1833" s="177" t="e">
        <f>'[6]price list MAN'!J1833</f>
        <v>#N/A</v>
      </c>
      <c r="K1833" s="177" t="e">
        <f>'[6]price list MAN'!P1833</f>
        <v>#N/A</v>
      </c>
      <c r="L1833" s="177" t="e">
        <f>'[6]price list MAN'!R1833</f>
        <v>#N/A</v>
      </c>
      <c r="M1833" s="174" t="e">
        <f>'[6]price list MAN'!S1833</f>
        <v>#N/A</v>
      </c>
      <c r="N1833" s="174" t="e">
        <f>'[6]price list MAN'!Y1833</f>
        <v>#N/A</v>
      </c>
      <c r="O1833" s="174" t="e">
        <f>'[6]price list MAN'!AA1833</f>
        <v>#N/A</v>
      </c>
      <c r="P1833" s="68" t="e">
        <f t="shared" si="141"/>
        <v>#N/A</v>
      </c>
      <c r="Q1833" s="62" t="e">
        <f>O1833-#REF!</f>
        <v>#N/A</v>
      </c>
      <c r="AT1833" s="425" t="str">
        <f t="shared" si="142"/>
        <v>Special Order0</v>
      </c>
      <c r="AU1833" s="64" t="str">
        <f t="shared" si="143"/>
        <v>01-1900</v>
      </c>
      <c r="BA1833" s="428" t="str">
        <f t="shared" si="144"/>
        <v/>
      </c>
    </row>
    <row r="1834" spans="2:53">
      <c r="B1834" s="36">
        <f>'[6]price list MAN'!B1834</f>
        <v>0</v>
      </c>
      <c r="C1834" s="10">
        <f>'[6]price list MAN'!C1834</f>
        <v>0</v>
      </c>
      <c r="D1834" s="16" t="str">
        <f>IFERROR(VLOOKUP(C1834&amp;"",'[7]Retail Price List'!$A$3:$B$103,2,FALSE),"Special Order")</f>
        <v>Special Order</v>
      </c>
      <c r="E1834" s="494">
        <f>'[6]price list MAN'!E1834</f>
        <v>0</v>
      </c>
      <c r="F1834" s="11">
        <f>'[6]price list MAN'!F1834</f>
        <v>0</v>
      </c>
      <c r="G1834" s="32">
        <f>'[6]price list MAN'!G1834</f>
        <v>0</v>
      </c>
      <c r="H1834" s="26">
        <f>'[6]price list MAN'!H1834</f>
        <v>0</v>
      </c>
      <c r="I1834" s="51" t="str">
        <f t="shared" si="140"/>
        <v/>
      </c>
      <c r="J1834" s="177" t="e">
        <f>'[6]price list MAN'!J1834</f>
        <v>#N/A</v>
      </c>
      <c r="K1834" s="177" t="e">
        <f>'[6]price list MAN'!P1834</f>
        <v>#N/A</v>
      </c>
      <c r="L1834" s="177" t="e">
        <f>'[6]price list MAN'!R1834</f>
        <v>#N/A</v>
      </c>
      <c r="M1834" s="174" t="e">
        <f>'[6]price list MAN'!S1834</f>
        <v>#N/A</v>
      </c>
      <c r="N1834" s="174" t="e">
        <f>'[6]price list MAN'!Y1834</f>
        <v>#N/A</v>
      </c>
      <c r="O1834" s="174" t="e">
        <f>'[6]price list MAN'!AA1834</f>
        <v>#N/A</v>
      </c>
      <c r="P1834" s="68" t="e">
        <f t="shared" si="141"/>
        <v>#N/A</v>
      </c>
      <c r="Q1834" s="62" t="e">
        <f>O1834-#REF!</f>
        <v>#N/A</v>
      </c>
      <c r="AT1834" s="425" t="str">
        <f t="shared" si="142"/>
        <v>Special Order0</v>
      </c>
      <c r="AU1834" s="64" t="str">
        <f t="shared" si="143"/>
        <v>01-1900</v>
      </c>
      <c r="BA1834" s="428" t="str">
        <f t="shared" si="144"/>
        <v/>
      </c>
    </row>
    <row r="1835" spans="2:53">
      <c r="B1835" s="36">
        <f>'[6]price list MAN'!B1835</f>
        <v>0</v>
      </c>
      <c r="C1835" s="10">
        <f>'[6]price list MAN'!C1835</f>
        <v>0</v>
      </c>
      <c r="D1835" s="16" t="str">
        <f>IFERROR(VLOOKUP(C1835&amp;"",'[7]Retail Price List'!$A$3:$B$103,2,FALSE),"Special Order")</f>
        <v>Special Order</v>
      </c>
      <c r="E1835" s="494">
        <f>'[6]price list MAN'!E1835</f>
        <v>0</v>
      </c>
      <c r="F1835" s="11">
        <f>'[6]price list MAN'!F1835</f>
        <v>0</v>
      </c>
      <c r="G1835" s="32">
        <f>'[6]price list MAN'!G1835</f>
        <v>0</v>
      </c>
      <c r="H1835" s="26">
        <f>'[6]price list MAN'!H1835</f>
        <v>0</v>
      </c>
      <c r="I1835" s="51" t="str">
        <f t="shared" si="140"/>
        <v/>
      </c>
      <c r="J1835" s="177" t="e">
        <f>'[6]price list MAN'!J1835</f>
        <v>#N/A</v>
      </c>
      <c r="K1835" s="177" t="e">
        <f>'[6]price list MAN'!P1835</f>
        <v>#N/A</v>
      </c>
      <c r="L1835" s="177" t="e">
        <f>'[6]price list MAN'!R1835</f>
        <v>#N/A</v>
      </c>
      <c r="M1835" s="174" t="e">
        <f>'[6]price list MAN'!S1835</f>
        <v>#N/A</v>
      </c>
      <c r="N1835" s="174" t="e">
        <f>'[6]price list MAN'!Y1835</f>
        <v>#N/A</v>
      </c>
      <c r="O1835" s="174" t="e">
        <f>'[6]price list MAN'!AA1835</f>
        <v>#N/A</v>
      </c>
      <c r="P1835" s="68" t="e">
        <f t="shared" si="141"/>
        <v>#N/A</v>
      </c>
      <c r="Q1835" s="62" t="e">
        <f>O1835-#REF!</f>
        <v>#N/A</v>
      </c>
      <c r="AT1835" s="425" t="str">
        <f t="shared" si="142"/>
        <v>Special Order0</v>
      </c>
      <c r="AU1835" s="64" t="str">
        <f t="shared" si="143"/>
        <v>01-1900</v>
      </c>
      <c r="BA1835" s="428" t="str">
        <f t="shared" si="144"/>
        <v/>
      </c>
    </row>
    <row r="1836" spans="2:53">
      <c r="B1836" s="36">
        <f>'[6]price list MAN'!B1836</f>
        <v>0</v>
      </c>
      <c r="C1836" s="10">
        <f>'[6]price list MAN'!C1836</f>
        <v>0</v>
      </c>
      <c r="D1836" s="16" t="str">
        <f>IFERROR(VLOOKUP(C1836&amp;"",'[7]Retail Price List'!$A$3:$B$103,2,FALSE),"Special Order")</f>
        <v>Special Order</v>
      </c>
      <c r="E1836" s="494">
        <f>'[6]price list MAN'!E1836</f>
        <v>0</v>
      </c>
      <c r="F1836" s="11">
        <f>'[6]price list MAN'!F1836</f>
        <v>0</v>
      </c>
      <c r="G1836" s="32">
        <f>'[6]price list MAN'!G1836</f>
        <v>0</v>
      </c>
      <c r="H1836" s="26">
        <f>'[6]price list MAN'!H1836</f>
        <v>0</v>
      </c>
      <c r="I1836" s="51" t="str">
        <f t="shared" si="140"/>
        <v/>
      </c>
      <c r="J1836" s="177" t="e">
        <f>'[6]price list MAN'!J1836</f>
        <v>#N/A</v>
      </c>
      <c r="K1836" s="177" t="e">
        <f>'[6]price list MAN'!P1836</f>
        <v>#N/A</v>
      </c>
      <c r="L1836" s="177" t="e">
        <f>'[6]price list MAN'!R1836</f>
        <v>#N/A</v>
      </c>
      <c r="M1836" s="174" t="e">
        <f>'[6]price list MAN'!S1836</f>
        <v>#N/A</v>
      </c>
      <c r="N1836" s="174" t="e">
        <f>'[6]price list MAN'!Y1836</f>
        <v>#N/A</v>
      </c>
      <c r="O1836" s="174" t="e">
        <f>'[6]price list MAN'!AA1836</f>
        <v>#N/A</v>
      </c>
      <c r="P1836" s="68" t="e">
        <f t="shared" si="141"/>
        <v>#N/A</v>
      </c>
      <c r="Q1836" s="62" t="e">
        <f>O1836-#REF!</f>
        <v>#N/A</v>
      </c>
      <c r="AT1836" s="425" t="str">
        <f t="shared" si="142"/>
        <v>Special Order0</v>
      </c>
      <c r="AU1836" s="64" t="str">
        <f t="shared" si="143"/>
        <v>01-1900</v>
      </c>
      <c r="BA1836" s="428" t="str">
        <f t="shared" si="144"/>
        <v/>
      </c>
    </row>
    <row r="1837" spans="2:53">
      <c r="B1837" s="36">
        <f>'[6]price list MAN'!B1837</f>
        <v>0</v>
      </c>
      <c r="C1837" s="10">
        <f>'[6]price list MAN'!C1837</f>
        <v>0</v>
      </c>
      <c r="D1837" s="16" t="str">
        <f>IFERROR(VLOOKUP(C1837&amp;"",'[7]Retail Price List'!$A$3:$B$103,2,FALSE),"Special Order")</f>
        <v>Special Order</v>
      </c>
      <c r="E1837" s="494">
        <f>'[6]price list MAN'!E1837</f>
        <v>0</v>
      </c>
      <c r="F1837" s="11">
        <f>'[6]price list MAN'!F1837</f>
        <v>0</v>
      </c>
      <c r="G1837" s="32">
        <f>'[6]price list MAN'!G1837</f>
        <v>0</v>
      </c>
      <c r="H1837" s="26">
        <f>'[6]price list MAN'!H1837</f>
        <v>0</v>
      </c>
      <c r="I1837" s="51" t="str">
        <f t="shared" si="140"/>
        <v/>
      </c>
      <c r="J1837" s="177" t="e">
        <f>'[6]price list MAN'!J1837</f>
        <v>#N/A</v>
      </c>
      <c r="K1837" s="177" t="e">
        <f>'[6]price list MAN'!P1837</f>
        <v>#N/A</v>
      </c>
      <c r="L1837" s="177" t="e">
        <f>'[6]price list MAN'!R1837</f>
        <v>#N/A</v>
      </c>
      <c r="M1837" s="174" t="e">
        <f>'[6]price list MAN'!S1837</f>
        <v>#N/A</v>
      </c>
      <c r="N1837" s="174" t="e">
        <f>'[6]price list MAN'!Y1837</f>
        <v>#N/A</v>
      </c>
      <c r="O1837" s="174" t="e">
        <f>'[6]price list MAN'!AA1837</f>
        <v>#N/A</v>
      </c>
      <c r="P1837" s="68" t="e">
        <f t="shared" si="141"/>
        <v>#N/A</v>
      </c>
      <c r="Q1837" s="62" t="e">
        <f>O1837-#REF!</f>
        <v>#N/A</v>
      </c>
      <c r="AT1837" s="425" t="str">
        <f t="shared" si="142"/>
        <v>Special Order0</v>
      </c>
      <c r="AU1837" s="64" t="str">
        <f t="shared" si="143"/>
        <v>01-1900</v>
      </c>
      <c r="BA1837" s="428" t="str">
        <f t="shared" si="144"/>
        <v/>
      </c>
    </row>
    <row r="1838" spans="2:53">
      <c r="B1838" s="36">
        <f>'[6]price list MAN'!B1838</f>
        <v>0</v>
      </c>
      <c r="C1838" s="10">
        <f>'[6]price list MAN'!C1838</f>
        <v>0</v>
      </c>
      <c r="D1838" s="16" t="str">
        <f>IFERROR(VLOOKUP(C1838&amp;"",'[7]Retail Price List'!$A$3:$B$103,2,FALSE),"Special Order")</f>
        <v>Special Order</v>
      </c>
      <c r="E1838" s="494">
        <f>'[6]price list MAN'!E1838</f>
        <v>0</v>
      </c>
      <c r="F1838" s="11">
        <f>'[6]price list MAN'!F1838</f>
        <v>0</v>
      </c>
      <c r="G1838" s="32">
        <f>'[6]price list MAN'!G1838</f>
        <v>0</v>
      </c>
      <c r="H1838" s="26">
        <f>'[6]price list MAN'!H1838</f>
        <v>0</v>
      </c>
      <c r="I1838" s="51" t="str">
        <f t="shared" si="140"/>
        <v/>
      </c>
      <c r="J1838" s="177" t="e">
        <f>'[6]price list MAN'!J1838</f>
        <v>#N/A</v>
      </c>
      <c r="K1838" s="177" t="e">
        <f>'[6]price list MAN'!P1838</f>
        <v>#N/A</v>
      </c>
      <c r="L1838" s="177" t="e">
        <f>'[6]price list MAN'!R1838</f>
        <v>#N/A</v>
      </c>
      <c r="M1838" s="174" t="e">
        <f>'[6]price list MAN'!S1838</f>
        <v>#N/A</v>
      </c>
      <c r="N1838" s="174" t="e">
        <f>'[6]price list MAN'!Y1838</f>
        <v>#N/A</v>
      </c>
      <c r="O1838" s="174" t="e">
        <f>'[6]price list MAN'!AA1838</f>
        <v>#N/A</v>
      </c>
      <c r="P1838" s="68" t="e">
        <f t="shared" si="141"/>
        <v>#N/A</v>
      </c>
      <c r="Q1838" s="62" t="e">
        <f>O1838-#REF!</f>
        <v>#N/A</v>
      </c>
      <c r="AT1838" s="425" t="str">
        <f t="shared" si="142"/>
        <v>Special Order0</v>
      </c>
      <c r="AU1838" s="64" t="str">
        <f t="shared" si="143"/>
        <v>01-1900</v>
      </c>
      <c r="BA1838" s="428" t="str">
        <f t="shared" si="144"/>
        <v/>
      </c>
    </row>
    <row r="1839" spans="2:53">
      <c r="B1839" s="36">
        <f>'[6]price list MAN'!B1839</f>
        <v>0</v>
      </c>
      <c r="C1839" s="10">
        <f>'[6]price list MAN'!C1839</f>
        <v>0</v>
      </c>
      <c r="D1839" s="16" t="str">
        <f>IFERROR(VLOOKUP(C1839&amp;"",'[7]Retail Price List'!$A$3:$B$103,2,FALSE),"Special Order")</f>
        <v>Special Order</v>
      </c>
      <c r="E1839" s="494">
        <f>'[6]price list MAN'!E1839</f>
        <v>0</v>
      </c>
      <c r="F1839" s="11">
        <f>'[6]price list MAN'!F1839</f>
        <v>0</v>
      </c>
      <c r="G1839" s="32">
        <f>'[6]price list MAN'!G1839</f>
        <v>0</v>
      </c>
      <c r="H1839" s="26">
        <f>'[6]price list MAN'!H1839</f>
        <v>0</v>
      </c>
      <c r="I1839" s="51" t="str">
        <f t="shared" si="140"/>
        <v/>
      </c>
      <c r="J1839" s="177" t="e">
        <f>'[6]price list MAN'!J1839</f>
        <v>#N/A</v>
      </c>
      <c r="K1839" s="177" t="e">
        <f>'[6]price list MAN'!P1839</f>
        <v>#N/A</v>
      </c>
      <c r="L1839" s="177" t="e">
        <f>'[6]price list MAN'!R1839</f>
        <v>#N/A</v>
      </c>
      <c r="M1839" s="174" t="e">
        <f>'[6]price list MAN'!S1839</f>
        <v>#N/A</v>
      </c>
      <c r="N1839" s="174" t="e">
        <f>'[6]price list MAN'!Y1839</f>
        <v>#N/A</v>
      </c>
      <c r="O1839" s="174" t="e">
        <f>'[6]price list MAN'!AA1839</f>
        <v>#N/A</v>
      </c>
      <c r="P1839" s="68" t="e">
        <f t="shared" si="141"/>
        <v>#N/A</v>
      </c>
      <c r="Q1839" s="62" t="e">
        <f>O1839-#REF!</f>
        <v>#N/A</v>
      </c>
      <c r="AT1839" s="425" t="str">
        <f t="shared" si="142"/>
        <v>Special Order0</v>
      </c>
      <c r="AU1839" s="64" t="str">
        <f t="shared" si="143"/>
        <v>01-1900</v>
      </c>
      <c r="BA1839" s="428" t="str">
        <f t="shared" si="144"/>
        <v/>
      </c>
    </row>
    <row r="1840" spans="2:53">
      <c r="B1840" s="36">
        <f>'[6]price list MAN'!B1840</f>
        <v>0</v>
      </c>
      <c r="C1840" s="10">
        <f>'[6]price list MAN'!C1840</f>
        <v>0</v>
      </c>
      <c r="D1840" s="16" t="str">
        <f>IFERROR(VLOOKUP(C1840&amp;"",'[7]Retail Price List'!$A$3:$B$103,2,FALSE),"Special Order")</f>
        <v>Special Order</v>
      </c>
      <c r="E1840" s="494">
        <f>'[6]price list MAN'!E1840</f>
        <v>0</v>
      </c>
      <c r="F1840" s="11">
        <f>'[6]price list MAN'!F1840</f>
        <v>0</v>
      </c>
      <c r="G1840" s="32">
        <f>'[6]price list MAN'!G1840</f>
        <v>0</v>
      </c>
      <c r="H1840" s="26">
        <f>'[6]price list MAN'!H1840</f>
        <v>0</v>
      </c>
      <c r="I1840" s="51" t="str">
        <f t="shared" si="140"/>
        <v/>
      </c>
      <c r="J1840" s="177" t="e">
        <f>'[6]price list MAN'!J1840</f>
        <v>#N/A</v>
      </c>
      <c r="K1840" s="177" t="e">
        <f>'[6]price list MAN'!P1840</f>
        <v>#N/A</v>
      </c>
      <c r="L1840" s="177" t="e">
        <f>'[6]price list MAN'!R1840</f>
        <v>#N/A</v>
      </c>
      <c r="M1840" s="174" t="e">
        <f>'[6]price list MAN'!S1840</f>
        <v>#N/A</v>
      </c>
      <c r="N1840" s="174" t="e">
        <f>'[6]price list MAN'!Y1840</f>
        <v>#N/A</v>
      </c>
      <c r="O1840" s="174" t="e">
        <f>'[6]price list MAN'!AA1840</f>
        <v>#N/A</v>
      </c>
      <c r="P1840" s="68" t="e">
        <f t="shared" si="141"/>
        <v>#N/A</v>
      </c>
      <c r="Q1840" s="62" t="e">
        <f>O1840-#REF!</f>
        <v>#N/A</v>
      </c>
      <c r="AT1840" s="425" t="str">
        <f t="shared" si="142"/>
        <v>Special Order0</v>
      </c>
      <c r="AU1840" s="64" t="str">
        <f t="shared" si="143"/>
        <v>01-1900</v>
      </c>
      <c r="BA1840" s="428" t="str">
        <f t="shared" si="144"/>
        <v/>
      </c>
    </row>
    <row r="1841" spans="2:53">
      <c r="B1841" s="36">
        <f>'[6]price list MAN'!B1841</f>
        <v>0</v>
      </c>
      <c r="C1841" s="10">
        <f>'[6]price list MAN'!C1841</f>
        <v>0</v>
      </c>
      <c r="D1841" s="16" t="str">
        <f>IFERROR(VLOOKUP(C1841&amp;"",'[7]Retail Price List'!$A$3:$B$103,2,FALSE),"Special Order")</f>
        <v>Special Order</v>
      </c>
      <c r="E1841" s="494">
        <f>'[6]price list MAN'!E1841</f>
        <v>0</v>
      </c>
      <c r="F1841" s="11">
        <f>'[6]price list MAN'!F1841</f>
        <v>0</v>
      </c>
      <c r="G1841" s="32">
        <f>'[6]price list MAN'!G1841</f>
        <v>0</v>
      </c>
      <c r="H1841" s="26">
        <f>'[6]price list MAN'!H1841</f>
        <v>0</v>
      </c>
      <c r="I1841" s="51" t="str">
        <f t="shared" si="140"/>
        <v/>
      </c>
      <c r="J1841" s="177" t="e">
        <f>'[6]price list MAN'!J1841</f>
        <v>#N/A</v>
      </c>
      <c r="K1841" s="177" t="e">
        <f>'[6]price list MAN'!P1841</f>
        <v>#N/A</v>
      </c>
      <c r="L1841" s="177" t="e">
        <f>'[6]price list MAN'!R1841</f>
        <v>#N/A</v>
      </c>
      <c r="M1841" s="174" t="e">
        <f>'[6]price list MAN'!S1841</f>
        <v>#N/A</v>
      </c>
      <c r="N1841" s="174" t="e">
        <f>'[6]price list MAN'!Y1841</f>
        <v>#N/A</v>
      </c>
      <c r="O1841" s="174" t="e">
        <f>'[6]price list MAN'!AA1841</f>
        <v>#N/A</v>
      </c>
      <c r="P1841" s="68" t="e">
        <f t="shared" si="141"/>
        <v>#N/A</v>
      </c>
      <c r="Q1841" s="62" t="e">
        <f>O1841-#REF!</f>
        <v>#N/A</v>
      </c>
      <c r="AT1841" s="425" t="str">
        <f t="shared" si="142"/>
        <v>Special Order0</v>
      </c>
      <c r="AU1841" s="64" t="str">
        <f t="shared" si="143"/>
        <v>01-1900</v>
      </c>
      <c r="BA1841" s="428" t="str">
        <f t="shared" si="144"/>
        <v/>
      </c>
    </row>
    <row r="1842" spans="2:53">
      <c r="B1842" s="36">
        <f>'[6]price list MAN'!B1842</f>
        <v>0</v>
      </c>
      <c r="C1842" s="10">
        <f>'[6]price list MAN'!C1842</f>
        <v>0</v>
      </c>
      <c r="D1842" s="16" t="str">
        <f>IFERROR(VLOOKUP(C1842&amp;"",'[7]Retail Price List'!$A$3:$B$103,2,FALSE),"Special Order")</f>
        <v>Special Order</v>
      </c>
      <c r="E1842" s="494">
        <f>'[6]price list MAN'!E1842</f>
        <v>0</v>
      </c>
      <c r="F1842" s="11">
        <f>'[6]price list MAN'!F1842</f>
        <v>0</v>
      </c>
      <c r="G1842" s="32">
        <f>'[6]price list MAN'!G1842</f>
        <v>0</v>
      </c>
      <c r="H1842" s="26">
        <f>'[6]price list MAN'!H1842</f>
        <v>0</v>
      </c>
      <c r="I1842" s="51" t="str">
        <f t="shared" si="140"/>
        <v/>
      </c>
      <c r="J1842" s="177" t="e">
        <f>'[6]price list MAN'!J1842</f>
        <v>#N/A</v>
      </c>
      <c r="K1842" s="177" t="e">
        <f>'[6]price list MAN'!P1842</f>
        <v>#N/A</v>
      </c>
      <c r="L1842" s="177" t="e">
        <f>'[6]price list MAN'!R1842</f>
        <v>#N/A</v>
      </c>
      <c r="M1842" s="174" t="e">
        <f>'[6]price list MAN'!S1842</f>
        <v>#N/A</v>
      </c>
      <c r="N1842" s="174" t="e">
        <f>'[6]price list MAN'!Y1842</f>
        <v>#N/A</v>
      </c>
      <c r="O1842" s="174" t="e">
        <f>'[6]price list MAN'!AA1842</f>
        <v>#N/A</v>
      </c>
      <c r="P1842" s="68" t="e">
        <f t="shared" si="141"/>
        <v>#N/A</v>
      </c>
      <c r="Q1842" s="62" t="e">
        <f>O1842-#REF!</f>
        <v>#N/A</v>
      </c>
      <c r="AT1842" s="425" t="str">
        <f t="shared" si="142"/>
        <v>Special Order0</v>
      </c>
      <c r="AU1842" s="64" t="str">
        <f t="shared" si="143"/>
        <v>01-1900</v>
      </c>
      <c r="BA1842" s="428" t="str">
        <f t="shared" si="144"/>
        <v/>
      </c>
    </row>
    <row r="1843" spans="2:53">
      <c r="B1843" s="36">
        <f>'[6]price list MAN'!B1843</f>
        <v>0</v>
      </c>
      <c r="C1843" s="10">
        <f>'[6]price list MAN'!C1843</f>
        <v>0</v>
      </c>
      <c r="D1843" s="16" t="str">
        <f>IFERROR(VLOOKUP(C1843&amp;"",'[7]Retail Price List'!$A$3:$B$103,2,FALSE),"Special Order")</f>
        <v>Special Order</v>
      </c>
      <c r="E1843" s="494">
        <f>'[6]price list MAN'!E1843</f>
        <v>0</v>
      </c>
      <c r="F1843" s="11">
        <f>'[6]price list MAN'!F1843</f>
        <v>0</v>
      </c>
      <c r="G1843" s="32">
        <f>'[6]price list MAN'!G1843</f>
        <v>0</v>
      </c>
      <c r="H1843" s="26">
        <f>'[6]price list MAN'!H1843</f>
        <v>0</v>
      </c>
      <c r="I1843" s="51" t="str">
        <f t="shared" si="140"/>
        <v/>
      </c>
      <c r="J1843" s="177" t="e">
        <f>'[6]price list MAN'!J1843</f>
        <v>#N/A</v>
      </c>
      <c r="K1843" s="177" t="e">
        <f>'[6]price list MAN'!P1843</f>
        <v>#N/A</v>
      </c>
      <c r="L1843" s="177" t="e">
        <f>'[6]price list MAN'!R1843</f>
        <v>#N/A</v>
      </c>
      <c r="M1843" s="174" t="e">
        <f>'[6]price list MAN'!S1843</f>
        <v>#N/A</v>
      </c>
      <c r="N1843" s="174" t="e">
        <f>'[6]price list MAN'!Y1843</f>
        <v>#N/A</v>
      </c>
      <c r="O1843" s="174" t="e">
        <f>'[6]price list MAN'!AA1843</f>
        <v>#N/A</v>
      </c>
      <c r="P1843" s="68" t="e">
        <f t="shared" si="141"/>
        <v>#N/A</v>
      </c>
      <c r="Q1843" s="62" t="e">
        <f>O1843-#REF!</f>
        <v>#N/A</v>
      </c>
      <c r="AT1843" s="425" t="str">
        <f t="shared" si="142"/>
        <v>Special Order0</v>
      </c>
      <c r="AU1843" s="64" t="str">
        <f t="shared" si="143"/>
        <v>01-1900</v>
      </c>
      <c r="BA1843" s="428" t="str">
        <f t="shared" si="144"/>
        <v/>
      </c>
    </row>
    <row r="1844" spans="2:53">
      <c r="B1844" s="36">
        <f>'[6]price list MAN'!B1844</f>
        <v>0</v>
      </c>
      <c r="C1844" s="10">
        <f>'[6]price list MAN'!C1844</f>
        <v>0</v>
      </c>
      <c r="D1844" s="16" t="str">
        <f>IFERROR(VLOOKUP(C1844&amp;"",'[7]Retail Price List'!$A$3:$B$103,2,FALSE),"Special Order")</f>
        <v>Special Order</v>
      </c>
      <c r="E1844" s="494">
        <f>'[6]price list MAN'!E1844</f>
        <v>0</v>
      </c>
      <c r="F1844" s="11">
        <f>'[6]price list MAN'!F1844</f>
        <v>0</v>
      </c>
      <c r="G1844" s="32">
        <f>'[6]price list MAN'!G1844</f>
        <v>0</v>
      </c>
      <c r="H1844" s="26">
        <f>'[6]price list MAN'!H1844</f>
        <v>0</v>
      </c>
      <c r="I1844" s="51" t="str">
        <f t="shared" si="140"/>
        <v/>
      </c>
      <c r="J1844" s="177" t="e">
        <f>'[6]price list MAN'!J1844</f>
        <v>#N/A</v>
      </c>
      <c r="K1844" s="177" t="e">
        <f>'[6]price list MAN'!P1844</f>
        <v>#N/A</v>
      </c>
      <c r="L1844" s="177" t="e">
        <f>'[6]price list MAN'!R1844</f>
        <v>#N/A</v>
      </c>
      <c r="M1844" s="174" t="e">
        <f>'[6]price list MAN'!S1844</f>
        <v>#N/A</v>
      </c>
      <c r="N1844" s="174" t="e">
        <f>'[6]price list MAN'!Y1844</f>
        <v>#N/A</v>
      </c>
      <c r="O1844" s="174" t="e">
        <f>'[6]price list MAN'!AA1844</f>
        <v>#N/A</v>
      </c>
      <c r="P1844" s="68" t="e">
        <f t="shared" si="141"/>
        <v>#N/A</v>
      </c>
      <c r="Q1844" s="62" t="e">
        <f>O1844-#REF!</f>
        <v>#N/A</v>
      </c>
      <c r="AT1844" s="425" t="str">
        <f t="shared" si="142"/>
        <v>Special Order0</v>
      </c>
      <c r="AU1844" s="64" t="str">
        <f t="shared" si="143"/>
        <v>01-1900</v>
      </c>
      <c r="BA1844" s="428" t="str">
        <f t="shared" si="144"/>
        <v/>
      </c>
    </row>
    <row r="1845" spans="2:53">
      <c r="B1845" s="36">
        <f>'[6]price list MAN'!B1845</f>
        <v>0</v>
      </c>
      <c r="C1845" s="10">
        <f>'[6]price list MAN'!C1845</f>
        <v>0</v>
      </c>
      <c r="D1845" s="16" t="str">
        <f>IFERROR(VLOOKUP(C1845&amp;"",'[7]Retail Price List'!$A$3:$B$103,2,FALSE),"Special Order")</f>
        <v>Special Order</v>
      </c>
      <c r="E1845" s="494">
        <f>'[6]price list MAN'!E1845</f>
        <v>0</v>
      </c>
      <c r="F1845" s="11">
        <f>'[6]price list MAN'!F1845</f>
        <v>0</v>
      </c>
      <c r="G1845" s="32">
        <f>'[6]price list MAN'!G1845</f>
        <v>0</v>
      </c>
      <c r="H1845" s="26">
        <f>'[6]price list MAN'!H1845</f>
        <v>0</v>
      </c>
      <c r="I1845" s="51" t="str">
        <f t="shared" si="140"/>
        <v/>
      </c>
      <c r="J1845" s="177" t="e">
        <f>'[6]price list MAN'!J1845</f>
        <v>#N/A</v>
      </c>
      <c r="K1845" s="177" t="e">
        <f>'[6]price list MAN'!P1845</f>
        <v>#N/A</v>
      </c>
      <c r="L1845" s="177" t="e">
        <f>'[6]price list MAN'!R1845</f>
        <v>#N/A</v>
      </c>
      <c r="M1845" s="174" t="e">
        <f>'[6]price list MAN'!S1845</f>
        <v>#N/A</v>
      </c>
      <c r="N1845" s="174" t="e">
        <f>'[6]price list MAN'!Y1845</f>
        <v>#N/A</v>
      </c>
      <c r="O1845" s="174" t="e">
        <f>'[6]price list MAN'!AA1845</f>
        <v>#N/A</v>
      </c>
      <c r="P1845" s="68" t="e">
        <f t="shared" si="141"/>
        <v>#N/A</v>
      </c>
      <c r="Q1845" s="62" t="e">
        <f>O1845-#REF!</f>
        <v>#N/A</v>
      </c>
      <c r="AT1845" s="425" t="str">
        <f t="shared" si="142"/>
        <v>Special Order0</v>
      </c>
      <c r="AU1845" s="64" t="str">
        <f t="shared" si="143"/>
        <v>01-1900</v>
      </c>
      <c r="BA1845" s="428" t="str">
        <f t="shared" si="144"/>
        <v/>
      </c>
    </row>
    <row r="1846" spans="2:53">
      <c r="B1846" s="36">
        <f>'[6]price list MAN'!B1846</f>
        <v>0</v>
      </c>
      <c r="C1846" s="10">
        <f>'[6]price list MAN'!C1846</f>
        <v>0</v>
      </c>
      <c r="D1846" s="16" t="str">
        <f>IFERROR(VLOOKUP(C1846&amp;"",'[7]Retail Price List'!$A$3:$B$103,2,FALSE),"Special Order")</f>
        <v>Special Order</v>
      </c>
      <c r="E1846" s="494">
        <f>'[6]price list MAN'!E1846</f>
        <v>0</v>
      </c>
      <c r="F1846" s="11">
        <f>'[6]price list MAN'!F1846</f>
        <v>0</v>
      </c>
      <c r="G1846" s="32">
        <f>'[6]price list MAN'!G1846</f>
        <v>0</v>
      </c>
      <c r="H1846" s="26">
        <f>'[6]price list MAN'!H1846</f>
        <v>0</v>
      </c>
      <c r="I1846" s="51" t="str">
        <f t="shared" si="140"/>
        <v/>
      </c>
      <c r="J1846" s="177" t="e">
        <f>'[6]price list MAN'!J1846</f>
        <v>#N/A</v>
      </c>
      <c r="K1846" s="177" t="e">
        <f>'[6]price list MAN'!P1846</f>
        <v>#N/A</v>
      </c>
      <c r="L1846" s="177" t="e">
        <f>'[6]price list MAN'!R1846</f>
        <v>#N/A</v>
      </c>
      <c r="M1846" s="174" t="e">
        <f>'[6]price list MAN'!S1846</f>
        <v>#N/A</v>
      </c>
      <c r="N1846" s="174" t="e">
        <f>'[6]price list MAN'!Y1846</f>
        <v>#N/A</v>
      </c>
      <c r="O1846" s="174" t="e">
        <f>'[6]price list MAN'!AA1846</f>
        <v>#N/A</v>
      </c>
      <c r="P1846" s="68" t="e">
        <f t="shared" si="141"/>
        <v>#N/A</v>
      </c>
      <c r="Q1846" s="62" t="e">
        <f>O1846-#REF!</f>
        <v>#N/A</v>
      </c>
      <c r="AT1846" s="425" t="str">
        <f t="shared" si="142"/>
        <v>Special Order0</v>
      </c>
      <c r="AU1846" s="64" t="str">
        <f t="shared" si="143"/>
        <v>01-1900</v>
      </c>
      <c r="BA1846" s="428" t="str">
        <f t="shared" si="144"/>
        <v/>
      </c>
    </row>
    <row r="1847" spans="2:53">
      <c r="B1847" s="36">
        <f>'[6]price list MAN'!B1847</f>
        <v>0</v>
      </c>
      <c r="C1847" s="10">
        <f>'[6]price list MAN'!C1847</f>
        <v>0</v>
      </c>
      <c r="D1847" s="16" t="str">
        <f>IFERROR(VLOOKUP(C1847&amp;"",'[7]Retail Price List'!$A$3:$B$103,2,FALSE),"Special Order")</f>
        <v>Special Order</v>
      </c>
      <c r="E1847" s="494">
        <f>'[6]price list MAN'!E1847</f>
        <v>0</v>
      </c>
      <c r="F1847" s="11">
        <f>'[6]price list MAN'!F1847</f>
        <v>0</v>
      </c>
      <c r="G1847" s="32">
        <f>'[6]price list MAN'!G1847</f>
        <v>0</v>
      </c>
      <c r="H1847" s="26">
        <f>'[6]price list MAN'!H1847</f>
        <v>0</v>
      </c>
      <c r="I1847" s="51" t="str">
        <f t="shared" si="140"/>
        <v/>
      </c>
      <c r="J1847" s="177" t="e">
        <f>'[6]price list MAN'!J1847</f>
        <v>#N/A</v>
      </c>
      <c r="K1847" s="177" t="e">
        <f>'[6]price list MAN'!P1847</f>
        <v>#N/A</v>
      </c>
      <c r="L1847" s="177" t="e">
        <f>'[6]price list MAN'!R1847</f>
        <v>#N/A</v>
      </c>
      <c r="M1847" s="174" t="e">
        <f>'[6]price list MAN'!S1847</f>
        <v>#N/A</v>
      </c>
      <c r="N1847" s="174" t="e">
        <f>'[6]price list MAN'!Y1847</f>
        <v>#N/A</v>
      </c>
      <c r="O1847" s="174" t="e">
        <f>'[6]price list MAN'!AA1847</f>
        <v>#N/A</v>
      </c>
      <c r="P1847" s="68" t="e">
        <f t="shared" si="141"/>
        <v>#N/A</v>
      </c>
      <c r="Q1847" s="62" t="e">
        <f>O1847-#REF!</f>
        <v>#N/A</v>
      </c>
      <c r="AT1847" s="425" t="str">
        <f t="shared" si="142"/>
        <v>Special Order0</v>
      </c>
      <c r="AU1847" s="64" t="str">
        <f t="shared" si="143"/>
        <v>01-1900</v>
      </c>
      <c r="BA1847" s="428" t="str">
        <f t="shared" si="144"/>
        <v/>
      </c>
    </row>
    <row r="1848" spans="2:53">
      <c r="B1848" s="36">
        <f>'[6]price list MAN'!B1848</f>
        <v>0</v>
      </c>
      <c r="C1848" s="10">
        <f>'[6]price list MAN'!C1848</f>
        <v>0</v>
      </c>
      <c r="D1848" s="16" t="str">
        <f>IFERROR(VLOOKUP(C1848&amp;"",'[7]Retail Price List'!$A$3:$B$103,2,FALSE),"Special Order")</f>
        <v>Special Order</v>
      </c>
      <c r="E1848" s="494">
        <f>'[6]price list MAN'!E1848</f>
        <v>0</v>
      </c>
      <c r="F1848" s="11">
        <f>'[6]price list MAN'!F1848</f>
        <v>0</v>
      </c>
      <c r="G1848" s="32">
        <f>'[6]price list MAN'!G1848</f>
        <v>0</v>
      </c>
      <c r="H1848" s="26">
        <f>'[6]price list MAN'!H1848</f>
        <v>0</v>
      </c>
      <c r="I1848" s="51" t="str">
        <f t="shared" si="140"/>
        <v/>
      </c>
      <c r="J1848" s="177" t="e">
        <f>'[6]price list MAN'!J1848</f>
        <v>#N/A</v>
      </c>
      <c r="K1848" s="177" t="e">
        <f>'[6]price list MAN'!P1848</f>
        <v>#N/A</v>
      </c>
      <c r="L1848" s="177" t="e">
        <f>'[6]price list MAN'!R1848</f>
        <v>#N/A</v>
      </c>
      <c r="M1848" s="174" t="e">
        <f>'[6]price list MAN'!S1848</f>
        <v>#N/A</v>
      </c>
      <c r="N1848" s="174" t="e">
        <f>'[6]price list MAN'!Y1848</f>
        <v>#N/A</v>
      </c>
      <c r="O1848" s="174" t="e">
        <f>'[6]price list MAN'!AA1848</f>
        <v>#N/A</v>
      </c>
      <c r="P1848" s="68" t="e">
        <f t="shared" si="141"/>
        <v>#N/A</v>
      </c>
      <c r="Q1848" s="62" t="e">
        <f>O1848-#REF!</f>
        <v>#N/A</v>
      </c>
      <c r="AT1848" s="425" t="str">
        <f t="shared" si="142"/>
        <v>Special Order0</v>
      </c>
      <c r="AU1848" s="64" t="str">
        <f t="shared" si="143"/>
        <v>01-1900</v>
      </c>
      <c r="BA1848" s="428" t="str">
        <f t="shared" si="144"/>
        <v/>
      </c>
    </row>
    <row r="1849" spans="2:53">
      <c r="B1849" s="36">
        <f>'[6]price list MAN'!B1849</f>
        <v>0</v>
      </c>
      <c r="C1849" s="10">
        <f>'[6]price list MAN'!C1849</f>
        <v>0</v>
      </c>
      <c r="D1849" s="16" t="str">
        <f>IFERROR(VLOOKUP(C1849&amp;"",'[7]Retail Price List'!$A$3:$B$103,2,FALSE),"Special Order")</f>
        <v>Special Order</v>
      </c>
      <c r="E1849" s="494">
        <f>'[6]price list MAN'!E1849</f>
        <v>0</v>
      </c>
      <c r="F1849" s="11">
        <f>'[6]price list MAN'!F1849</f>
        <v>0</v>
      </c>
      <c r="G1849" s="32">
        <f>'[6]price list MAN'!G1849</f>
        <v>0</v>
      </c>
      <c r="H1849" s="26">
        <f>'[6]price list MAN'!H1849</f>
        <v>0</v>
      </c>
      <c r="I1849" s="51" t="str">
        <f t="shared" si="140"/>
        <v/>
      </c>
      <c r="J1849" s="177" t="e">
        <f>'[6]price list MAN'!J1849</f>
        <v>#N/A</v>
      </c>
      <c r="K1849" s="177" t="e">
        <f>'[6]price list MAN'!P1849</f>
        <v>#N/A</v>
      </c>
      <c r="L1849" s="177" t="e">
        <f>'[6]price list MAN'!R1849</f>
        <v>#N/A</v>
      </c>
      <c r="M1849" s="174" t="e">
        <f>'[6]price list MAN'!S1849</f>
        <v>#N/A</v>
      </c>
      <c r="N1849" s="174" t="e">
        <f>'[6]price list MAN'!Y1849</f>
        <v>#N/A</v>
      </c>
      <c r="O1849" s="174" t="e">
        <f>'[6]price list MAN'!AA1849</f>
        <v>#N/A</v>
      </c>
      <c r="P1849" s="68" t="e">
        <f t="shared" si="141"/>
        <v>#N/A</v>
      </c>
      <c r="Q1849" s="62" t="e">
        <f>O1849-#REF!</f>
        <v>#N/A</v>
      </c>
      <c r="AT1849" s="425" t="str">
        <f t="shared" si="142"/>
        <v>Special Order0</v>
      </c>
      <c r="AU1849" s="64" t="str">
        <f t="shared" si="143"/>
        <v>01-1900</v>
      </c>
      <c r="BA1849" s="428" t="str">
        <f t="shared" si="144"/>
        <v/>
      </c>
    </row>
    <row r="1850" spans="2:53">
      <c r="B1850" s="36">
        <f>'[6]price list MAN'!B1850</f>
        <v>0</v>
      </c>
      <c r="C1850" s="10">
        <f>'[6]price list MAN'!C1850</f>
        <v>0</v>
      </c>
      <c r="D1850" s="16" t="str">
        <f>IFERROR(VLOOKUP(C1850&amp;"",'[7]Retail Price List'!$A$3:$B$103,2,FALSE),"Special Order")</f>
        <v>Special Order</v>
      </c>
      <c r="E1850" s="494">
        <f>'[6]price list MAN'!E1850</f>
        <v>0</v>
      </c>
      <c r="F1850" s="11">
        <f>'[6]price list MAN'!F1850</f>
        <v>0</v>
      </c>
      <c r="G1850" s="32">
        <f>'[6]price list MAN'!G1850</f>
        <v>0</v>
      </c>
      <c r="H1850" s="26">
        <f>'[6]price list MAN'!H1850</f>
        <v>0</v>
      </c>
      <c r="I1850" s="51" t="str">
        <f t="shared" si="140"/>
        <v/>
      </c>
      <c r="J1850" s="177" t="e">
        <f>'[6]price list MAN'!J1850</f>
        <v>#N/A</v>
      </c>
      <c r="K1850" s="177" t="e">
        <f>'[6]price list MAN'!P1850</f>
        <v>#N/A</v>
      </c>
      <c r="L1850" s="177" t="e">
        <f>'[6]price list MAN'!R1850</f>
        <v>#N/A</v>
      </c>
      <c r="M1850" s="174" t="e">
        <f>'[6]price list MAN'!S1850</f>
        <v>#N/A</v>
      </c>
      <c r="N1850" s="174" t="e">
        <f>'[6]price list MAN'!Y1850</f>
        <v>#N/A</v>
      </c>
      <c r="O1850" s="174" t="e">
        <f>'[6]price list MAN'!AA1850</f>
        <v>#N/A</v>
      </c>
      <c r="P1850" s="68" t="e">
        <f t="shared" si="141"/>
        <v>#N/A</v>
      </c>
      <c r="Q1850" s="62" t="e">
        <f>O1850-#REF!</f>
        <v>#N/A</v>
      </c>
      <c r="AT1850" s="425" t="str">
        <f t="shared" si="142"/>
        <v>Special Order0</v>
      </c>
      <c r="AU1850" s="64" t="str">
        <f t="shared" si="143"/>
        <v>01-1900</v>
      </c>
      <c r="BA1850" s="428" t="str">
        <f t="shared" si="144"/>
        <v/>
      </c>
    </row>
    <row r="1851" spans="2:53">
      <c r="B1851" s="36">
        <f>'[6]price list MAN'!B1851</f>
        <v>0</v>
      </c>
      <c r="C1851" s="10">
        <f>'[6]price list MAN'!C1851</f>
        <v>0</v>
      </c>
      <c r="D1851" s="16" t="str">
        <f>IFERROR(VLOOKUP(C1851&amp;"",'[7]Retail Price List'!$A$3:$B$103,2,FALSE),"Special Order")</f>
        <v>Special Order</v>
      </c>
      <c r="E1851" s="494">
        <f>'[6]price list MAN'!E1851</f>
        <v>0</v>
      </c>
      <c r="F1851" s="11">
        <f>'[6]price list MAN'!F1851</f>
        <v>0</v>
      </c>
      <c r="G1851" s="32">
        <f>'[6]price list MAN'!G1851</f>
        <v>0</v>
      </c>
      <c r="H1851" s="26">
        <f>'[6]price list MAN'!H1851</f>
        <v>0</v>
      </c>
      <c r="I1851" s="51" t="str">
        <f t="shared" si="140"/>
        <v/>
      </c>
      <c r="J1851" s="177" t="e">
        <f>'[6]price list MAN'!J1851</f>
        <v>#N/A</v>
      </c>
      <c r="K1851" s="177" t="e">
        <f>'[6]price list MAN'!P1851</f>
        <v>#N/A</v>
      </c>
      <c r="L1851" s="177" t="e">
        <f>'[6]price list MAN'!R1851</f>
        <v>#N/A</v>
      </c>
      <c r="M1851" s="174" t="e">
        <f>'[6]price list MAN'!S1851</f>
        <v>#N/A</v>
      </c>
      <c r="N1851" s="174" t="e">
        <f>'[6]price list MAN'!Y1851</f>
        <v>#N/A</v>
      </c>
      <c r="O1851" s="174" t="e">
        <f>'[6]price list MAN'!AA1851</f>
        <v>#N/A</v>
      </c>
      <c r="P1851" s="68" t="e">
        <f t="shared" si="141"/>
        <v>#N/A</v>
      </c>
      <c r="Q1851" s="62" t="e">
        <f>O1851-#REF!</f>
        <v>#N/A</v>
      </c>
      <c r="AT1851" s="425" t="str">
        <f t="shared" si="142"/>
        <v>Special Order0</v>
      </c>
      <c r="AU1851" s="64" t="str">
        <f t="shared" si="143"/>
        <v>01-1900</v>
      </c>
      <c r="BA1851" s="428" t="str">
        <f t="shared" si="144"/>
        <v/>
      </c>
    </row>
    <row r="1852" spans="2:53">
      <c r="B1852" s="36">
        <f>'[6]price list MAN'!B1852</f>
        <v>0</v>
      </c>
      <c r="C1852" s="10">
        <f>'[6]price list MAN'!C1852</f>
        <v>0</v>
      </c>
      <c r="D1852" s="16" t="str">
        <f>IFERROR(VLOOKUP(C1852&amp;"",'[7]Retail Price List'!$A$3:$B$103,2,FALSE),"Special Order")</f>
        <v>Special Order</v>
      </c>
      <c r="E1852" s="494">
        <f>'[6]price list MAN'!E1852</f>
        <v>0</v>
      </c>
      <c r="F1852" s="11">
        <f>'[6]price list MAN'!F1852</f>
        <v>0</v>
      </c>
      <c r="G1852" s="32">
        <f>'[6]price list MAN'!G1852</f>
        <v>0</v>
      </c>
      <c r="H1852" s="26">
        <f>'[6]price list MAN'!H1852</f>
        <v>0</v>
      </c>
      <c r="I1852" s="51" t="str">
        <f t="shared" si="140"/>
        <v/>
      </c>
      <c r="J1852" s="177" t="e">
        <f>'[6]price list MAN'!J1852</f>
        <v>#N/A</v>
      </c>
      <c r="K1852" s="177" t="e">
        <f>'[6]price list MAN'!P1852</f>
        <v>#N/A</v>
      </c>
      <c r="L1852" s="177" t="e">
        <f>'[6]price list MAN'!R1852</f>
        <v>#N/A</v>
      </c>
      <c r="M1852" s="174" t="e">
        <f>'[6]price list MAN'!S1852</f>
        <v>#N/A</v>
      </c>
      <c r="N1852" s="174" t="e">
        <f>'[6]price list MAN'!Y1852</f>
        <v>#N/A</v>
      </c>
      <c r="O1852" s="174" t="e">
        <f>'[6]price list MAN'!AA1852</f>
        <v>#N/A</v>
      </c>
      <c r="P1852" s="68" t="e">
        <f t="shared" si="141"/>
        <v>#N/A</v>
      </c>
      <c r="Q1852" s="62" t="e">
        <f>O1852-#REF!</f>
        <v>#N/A</v>
      </c>
      <c r="AT1852" s="425" t="str">
        <f t="shared" si="142"/>
        <v>Special Order0</v>
      </c>
      <c r="AU1852" s="64" t="str">
        <f t="shared" si="143"/>
        <v>01-1900</v>
      </c>
      <c r="BA1852" s="428" t="str">
        <f t="shared" si="144"/>
        <v/>
      </c>
    </row>
    <row r="1853" spans="2:53">
      <c r="B1853" s="36">
        <f>'[6]price list MAN'!B1853</f>
        <v>0</v>
      </c>
      <c r="C1853" s="10">
        <f>'[6]price list MAN'!C1853</f>
        <v>0</v>
      </c>
      <c r="D1853" s="16" t="str">
        <f>IFERROR(VLOOKUP(C1853&amp;"",'[7]Retail Price List'!$A$3:$B$103,2,FALSE),"Special Order")</f>
        <v>Special Order</v>
      </c>
      <c r="E1853" s="494">
        <f>'[6]price list MAN'!E1853</f>
        <v>0</v>
      </c>
      <c r="F1853" s="11">
        <f>'[6]price list MAN'!F1853</f>
        <v>0</v>
      </c>
      <c r="G1853" s="32">
        <f>'[6]price list MAN'!G1853</f>
        <v>0</v>
      </c>
      <c r="H1853" s="26">
        <f>'[6]price list MAN'!H1853</f>
        <v>0</v>
      </c>
      <c r="I1853" s="51" t="str">
        <f t="shared" si="140"/>
        <v/>
      </c>
      <c r="J1853" s="177" t="e">
        <f>'[6]price list MAN'!J1853</f>
        <v>#N/A</v>
      </c>
      <c r="K1853" s="177" t="e">
        <f>'[6]price list MAN'!P1853</f>
        <v>#N/A</v>
      </c>
      <c r="L1853" s="177" t="e">
        <f>'[6]price list MAN'!R1853</f>
        <v>#N/A</v>
      </c>
      <c r="M1853" s="174" t="e">
        <f>'[6]price list MAN'!S1853</f>
        <v>#N/A</v>
      </c>
      <c r="N1853" s="174" t="e">
        <f>'[6]price list MAN'!Y1853</f>
        <v>#N/A</v>
      </c>
      <c r="O1853" s="174" t="e">
        <f>'[6]price list MAN'!AA1853</f>
        <v>#N/A</v>
      </c>
      <c r="P1853" s="68" t="e">
        <f t="shared" si="141"/>
        <v>#N/A</v>
      </c>
      <c r="Q1853" s="62" t="e">
        <f>O1853-#REF!</f>
        <v>#N/A</v>
      </c>
      <c r="AT1853" s="425" t="str">
        <f t="shared" si="142"/>
        <v>Special Order0</v>
      </c>
      <c r="AU1853" s="64" t="str">
        <f t="shared" si="143"/>
        <v>01-1900</v>
      </c>
      <c r="BA1853" s="428" t="str">
        <f t="shared" si="144"/>
        <v/>
      </c>
    </row>
    <row r="1854" spans="2:53">
      <c r="B1854" s="36">
        <f>'[6]price list MAN'!B1854</f>
        <v>0</v>
      </c>
      <c r="C1854" s="10">
        <f>'[6]price list MAN'!C1854</f>
        <v>0</v>
      </c>
      <c r="D1854" s="16" t="str">
        <f>IFERROR(VLOOKUP(C1854&amp;"",'[7]Retail Price List'!$A$3:$B$103,2,FALSE),"Special Order")</f>
        <v>Special Order</v>
      </c>
      <c r="E1854" s="494">
        <f>'[6]price list MAN'!E1854</f>
        <v>0</v>
      </c>
      <c r="F1854" s="11">
        <f>'[6]price list MAN'!F1854</f>
        <v>0</v>
      </c>
      <c r="G1854" s="32">
        <f>'[6]price list MAN'!G1854</f>
        <v>0</v>
      </c>
      <c r="H1854" s="26">
        <f>'[6]price list MAN'!H1854</f>
        <v>0</v>
      </c>
      <c r="I1854" s="51" t="str">
        <f t="shared" si="140"/>
        <v/>
      </c>
      <c r="J1854" s="177" t="e">
        <f>'[6]price list MAN'!J1854</f>
        <v>#N/A</v>
      </c>
      <c r="K1854" s="177" t="e">
        <f>'[6]price list MAN'!P1854</f>
        <v>#N/A</v>
      </c>
      <c r="L1854" s="177" t="e">
        <f>'[6]price list MAN'!R1854</f>
        <v>#N/A</v>
      </c>
      <c r="M1854" s="174" t="e">
        <f>'[6]price list MAN'!S1854</f>
        <v>#N/A</v>
      </c>
      <c r="N1854" s="174" t="e">
        <f>'[6]price list MAN'!Y1854</f>
        <v>#N/A</v>
      </c>
      <c r="O1854" s="174" t="e">
        <f>'[6]price list MAN'!AA1854</f>
        <v>#N/A</v>
      </c>
      <c r="P1854" s="68" t="e">
        <f t="shared" si="141"/>
        <v>#N/A</v>
      </c>
      <c r="Q1854" s="62" t="e">
        <f>O1854-#REF!</f>
        <v>#N/A</v>
      </c>
      <c r="AT1854" s="425" t="str">
        <f t="shared" si="142"/>
        <v>Special Order0</v>
      </c>
      <c r="AU1854" s="64" t="str">
        <f t="shared" si="143"/>
        <v>01-1900</v>
      </c>
      <c r="BA1854" s="428" t="str">
        <f t="shared" si="144"/>
        <v/>
      </c>
    </row>
    <row r="1855" spans="2:53">
      <c r="B1855" s="36">
        <f>'[6]price list MAN'!B1855</f>
        <v>0</v>
      </c>
      <c r="C1855" s="10">
        <f>'[6]price list MAN'!C1855</f>
        <v>0</v>
      </c>
      <c r="D1855" s="16" t="str">
        <f>IFERROR(VLOOKUP(C1855&amp;"",'[7]Retail Price List'!$A$3:$B$103,2,FALSE),"Special Order")</f>
        <v>Special Order</v>
      </c>
      <c r="E1855" s="494">
        <f>'[6]price list MAN'!E1855</f>
        <v>0</v>
      </c>
      <c r="F1855" s="11">
        <f>'[6]price list MAN'!F1855</f>
        <v>0</v>
      </c>
      <c r="G1855" s="32">
        <f>'[6]price list MAN'!G1855</f>
        <v>0</v>
      </c>
      <c r="H1855" s="26">
        <f>'[6]price list MAN'!H1855</f>
        <v>0</v>
      </c>
      <c r="I1855" s="51" t="str">
        <f t="shared" si="140"/>
        <v/>
      </c>
      <c r="J1855" s="177" t="e">
        <f>'[6]price list MAN'!J1855</f>
        <v>#N/A</v>
      </c>
      <c r="K1855" s="177" t="e">
        <f>'[6]price list MAN'!P1855</f>
        <v>#N/A</v>
      </c>
      <c r="L1855" s="177" t="e">
        <f>'[6]price list MAN'!R1855</f>
        <v>#N/A</v>
      </c>
      <c r="M1855" s="174" t="e">
        <f>'[6]price list MAN'!S1855</f>
        <v>#N/A</v>
      </c>
      <c r="N1855" s="174" t="e">
        <f>'[6]price list MAN'!Y1855</f>
        <v>#N/A</v>
      </c>
      <c r="O1855" s="174" t="e">
        <f>'[6]price list MAN'!AA1855</f>
        <v>#N/A</v>
      </c>
      <c r="P1855" s="68" t="e">
        <f t="shared" si="141"/>
        <v>#N/A</v>
      </c>
      <c r="Q1855" s="62" t="e">
        <f>O1855-#REF!</f>
        <v>#N/A</v>
      </c>
      <c r="AT1855" s="425" t="str">
        <f t="shared" si="142"/>
        <v>Special Order0</v>
      </c>
      <c r="AU1855" s="64" t="str">
        <f t="shared" si="143"/>
        <v>01-1900</v>
      </c>
      <c r="BA1855" s="428" t="str">
        <f t="shared" si="144"/>
        <v/>
      </c>
    </row>
    <row r="1856" spans="2:53">
      <c r="B1856" s="36">
        <f>'[6]price list MAN'!B1856</f>
        <v>0</v>
      </c>
      <c r="C1856" s="10">
        <f>'[6]price list MAN'!C1856</f>
        <v>0</v>
      </c>
      <c r="D1856" s="16" t="str">
        <f>IFERROR(VLOOKUP(C1856&amp;"",'[7]Retail Price List'!$A$3:$B$103,2,FALSE),"Special Order")</f>
        <v>Special Order</v>
      </c>
      <c r="E1856" s="494">
        <f>'[6]price list MAN'!E1856</f>
        <v>0</v>
      </c>
      <c r="F1856" s="11">
        <f>'[6]price list MAN'!F1856</f>
        <v>0</v>
      </c>
      <c r="G1856" s="32">
        <f>'[6]price list MAN'!G1856</f>
        <v>0</v>
      </c>
      <c r="H1856" s="26">
        <f>'[6]price list MAN'!H1856</f>
        <v>0</v>
      </c>
      <c r="I1856" s="51" t="str">
        <f t="shared" si="140"/>
        <v/>
      </c>
      <c r="J1856" s="177" t="e">
        <f>'[6]price list MAN'!J1856</f>
        <v>#N/A</v>
      </c>
      <c r="K1856" s="177" t="e">
        <f>'[6]price list MAN'!P1856</f>
        <v>#N/A</v>
      </c>
      <c r="L1856" s="177" t="e">
        <f>'[6]price list MAN'!R1856</f>
        <v>#N/A</v>
      </c>
      <c r="M1856" s="174" t="e">
        <f>'[6]price list MAN'!S1856</f>
        <v>#N/A</v>
      </c>
      <c r="N1856" s="174" t="e">
        <f>'[6]price list MAN'!Y1856</f>
        <v>#N/A</v>
      </c>
      <c r="O1856" s="174" t="e">
        <f>'[6]price list MAN'!AA1856</f>
        <v>#N/A</v>
      </c>
      <c r="P1856" s="68" t="e">
        <f t="shared" si="141"/>
        <v>#N/A</v>
      </c>
      <c r="Q1856" s="62" t="e">
        <f>O1856-#REF!</f>
        <v>#N/A</v>
      </c>
      <c r="AT1856" s="425" t="str">
        <f t="shared" si="142"/>
        <v>Special Order0</v>
      </c>
      <c r="AU1856" s="64" t="str">
        <f t="shared" si="143"/>
        <v>01-1900</v>
      </c>
      <c r="BA1856" s="428" t="str">
        <f t="shared" si="144"/>
        <v/>
      </c>
    </row>
    <row r="1857" spans="2:53">
      <c r="B1857" s="36">
        <f>'[6]price list MAN'!B1857</f>
        <v>0</v>
      </c>
      <c r="C1857" s="10">
        <f>'[6]price list MAN'!C1857</f>
        <v>0</v>
      </c>
      <c r="D1857" s="16" t="str">
        <f>IFERROR(VLOOKUP(C1857&amp;"",'[7]Retail Price List'!$A$3:$B$103,2,FALSE),"Special Order")</f>
        <v>Special Order</v>
      </c>
      <c r="E1857" s="494">
        <f>'[6]price list MAN'!E1857</f>
        <v>0</v>
      </c>
      <c r="F1857" s="11">
        <f>'[6]price list MAN'!F1857</f>
        <v>0</v>
      </c>
      <c r="G1857" s="32">
        <f>'[6]price list MAN'!G1857</f>
        <v>0</v>
      </c>
      <c r="H1857" s="26">
        <f>'[6]price list MAN'!H1857</f>
        <v>0</v>
      </c>
      <c r="I1857" s="51" t="str">
        <f t="shared" si="140"/>
        <v/>
      </c>
      <c r="J1857" s="177" t="e">
        <f>'[6]price list MAN'!J1857</f>
        <v>#N/A</v>
      </c>
      <c r="K1857" s="177" t="e">
        <f>'[6]price list MAN'!P1857</f>
        <v>#N/A</v>
      </c>
      <c r="L1857" s="177" t="e">
        <f>'[6]price list MAN'!R1857</f>
        <v>#N/A</v>
      </c>
      <c r="M1857" s="174" t="e">
        <f>'[6]price list MAN'!S1857</f>
        <v>#N/A</v>
      </c>
      <c r="N1857" s="174" t="e">
        <f>'[6]price list MAN'!Y1857</f>
        <v>#N/A</v>
      </c>
      <c r="O1857" s="174" t="e">
        <f>'[6]price list MAN'!AA1857</f>
        <v>#N/A</v>
      </c>
      <c r="P1857" s="68" t="e">
        <f t="shared" si="141"/>
        <v>#N/A</v>
      </c>
      <c r="Q1857" s="62" t="e">
        <f>O1857-#REF!</f>
        <v>#N/A</v>
      </c>
      <c r="AT1857" s="425" t="str">
        <f t="shared" si="142"/>
        <v>Special Order0</v>
      </c>
      <c r="AU1857" s="64" t="str">
        <f t="shared" si="143"/>
        <v>01-1900</v>
      </c>
      <c r="BA1857" s="428" t="str">
        <f t="shared" si="144"/>
        <v/>
      </c>
    </row>
    <row r="1858" spans="2:53">
      <c r="B1858" s="36">
        <f>'[6]price list MAN'!B1858</f>
        <v>0</v>
      </c>
      <c r="C1858" s="10">
        <f>'[6]price list MAN'!C1858</f>
        <v>0</v>
      </c>
      <c r="D1858" s="16" t="str">
        <f>IFERROR(VLOOKUP(C1858&amp;"",'[7]Retail Price List'!$A$3:$B$103,2,FALSE),"Special Order")</f>
        <v>Special Order</v>
      </c>
      <c r="E1858" s="494">
        <f>'[6]price list MAN'!E1858</f>
        <v>0</v>
      </c>
      <c r="F1858" s="11">
        <f>'[6]price list MAN'!F1858</f>
        <v>0</v>
      </c>
      <c r="G1858" s="32">
        <f>'[6]price list MAN'!G1858</f>
        <v>0</v>
      </c>
      <c r="H1858" s="26">
        <f>'[6]price list MAN'!H1858</f>
        <v>0</v>
      </c>
      <c r="I1858" s="51" t="str">
        <f t="shared" si="140"/>
        <v/>
      </c>
      <c r="J1858" s="177" t="e">
        <f>'[6]price list MAN'!J1858</f>
        <v>#N/A</v>
      </c>
      <c r="K1858" s="177" t="e">
        <f>'[6]price list MAN'!P1858</f>
        <v>#N/A</v>
      </c>
      <c r="L1858" s="177" t="e">
        <f>'[6]price list MAN'!R1858</f>
        <v>#N/A</v>
      </c>
      <c r="M1858" s="174" t="e">
        <f>'[6]price list MAN'!S1858</f>
        <v>#N/A</v>
      </c>
      <c r="N1858" s="174" t="e">
        <f>'[6]price list MAN'!Y1858</f>
        <v>#N/A</v>
      </c>
      <c r="O1858" s="174" t="e">
        <f>'[6]price list MAN'!AA1858</f>
        <v>#N/A</v>
      </c>
      <c r="P1858" s="68" t="e">
        <f t="shared" si="141"/>
        <v>#N/A</v>
      </c>
      <c r="Q1858" s="62" t="e">
        <f>O1858-#REF!</f>
        <v>#N/A</v>
      </c>
      <c r="AT1858" s="425" t="str">
        <f t="shared" si="142"/>
        <v>Special Order0</v>
      </c>
      <c r="AU1858" s="64" t="str">
        <f t="shared" si="143"/>
        <v>01-1900</v>
      </c>
      <c r="BA1858" s="428" t="str">
        <f t="shared" si="144"/>
        <v/>
      </c>
    </row>
    <row r="1859" spans="2:53">
      <c r="B1859" s="36">
        <f>'[6]price list MAN'!B1859</f>
        <v>0</v>
      </c>
      <c r="C1859" s="10">
        <f>'[6]price list MAN'!C1859</f>
        <v>0</v>
      </c>
      <c r="D1859" s="16" t="str">
        <f>IFERROR(VLOOKUP(C1859&amp;"",'[7]Retail Price List'!$A$3:$B$103,2,FALSE),"Special Order")</f>
        <v>Special Order</v>
      </c>
      <c r="E1859" s="494">
        <f>'[6]price list MAN'!E1859</f>
        <v>0</v>
      </c>
      <c r="F1859" s="11">
        <f>'[6]price list MAN'!F1859</f>
        <v>0</v>
      </c>
      <c r="G1859" s="32">
        <f>'[6]price list MAN'!G1859</f>
        <v>0</v>
      </c>
      <c r="H1859" s="26">
        <f>'[6]price list MAN'!H1859</f>
        <v>0</v>
      </c>
      <c r="I1859" s="51" t="str">
        <f t="shared" si="140"/>
        <v/>
      </c>
      <c r="J1859" s="177" t="e">
        <f>'[6]price list MAN'!J1859</f>
        <v>#N/A</v>
      </c>
      <c r="K1859" s="177" t="e">
        <f>'[6]price list MAN'!P1859</f>
        <v>#N/A</v>
      </c>
      <c r="L1859" s="177" t="e">
        <f>'[6]price list MAN'!R1859</f>
        <v>#N/A</v>
      </c>
      <c r="M1859" s="174" t="e">
        <f>'[6]price list MAN'!S1859</f>
        <v>#N/A</v>
      </c>
      <c r="N1859" s="174" t="e">
        <f>'[6]price list MAN'!Y1859</f>
        <v>#N/A</v>
      </c>
      <c r="O1859" s="174" t="e">
        <f>'[6]price list MAN'!AA1859</f>
        <v>#N/A</v>
      </c>
      <c r="P1859" s="68" t="e">
        <f t="shared" si="141"/>
        <v>#N/A</v>
      </c>
      <c r="Q1859" s="62" t="e">
        <f>O1859-#REF!</f>
        <v>#N/A</v>
      </c>
      <c r="AT1859" s="425" t="str">
        <f t="shared" si="142"/>
        <v>Special Order0</v>
      </c>
      <c r="AU1859" s="64" t="str">
        <f t="shared" si="143"/>
        <v>01-1900</v>
      </c>
      <c r="BA1859" s="428" t="str">
        <f t="shared" si="144"/>
        <v/>
      </c>
    </row>
    <row r="1860" spans="2:53">
      <c r="B1860" s="36">
        <f>'[6]price list MAN'!B1860</f>
        <v>0</v>
      </c>
      <c r="C1860" s="10">
        <f>'[6]price list MAN'!C1860</f>
        <v>0</v>
      </c>
      <c r="D1860" s="16" t="str">
        <f>IFERROR(VLOOKUP(C1860&amp;"",'[7]Retail Price List'!$A$3:$B$103,2,FALSE),"Special Order")</f>
        <v>Special Order</v>
      </c>
      <c r="E1860" s="494">
        <f>'[6]price list MAN'!E1860</f>
        <v>0</v>
      </c>
      <c r="F1860" s="11">
        <f>'[6]price list MAN'!F1860</f>
        <v>0</v>
      </c>
      <c r="G1860" s="32">
        <f>'[6]price list MAN'!G1860</f>
        <v>0</v>
      </c>
      <c r="H1860" s="26">
        <f>'[6]price list MAN'!H1860</f>
        <v>0</v>
      </c>
      <c r="I1860" s="51" t="str">
        <f t="shared" si="140"/>
        <v/>
      </c>
      <c r="J1860" s="177" t="e">
        <f>'[6]price list MAN'!J1860</f>
        <v>#N/A</v>
      </c>
      <c r="K1860" s="177" t="e">
        <f>'[6]price list MAN'!P1860</f>
        <v>#N/A</v>
      </c>
      <c r="L1860" s="177" t="e">
        <f>'[6]price list MAN'!R1860</f>
        <v>#N/A</v>
      </c>
      <c r="M1860" s="174" t="e">
        <f>'[6]price list MAN'!S1860</f>
        <v>#N/A</v>
      </c>
      <c r="N1860" s="174" t="e">
        <f>'[6]price list MAN'!Y1860</f>
        <v>#N/A</v>
      </c>
      <c r="O1860" s="174" t="e">
        <f>'[6]price list MAN'!AA1860</f>
        <v>#N/A</v>
      </c>
      <c r="P1860" s="68" t="e">
        <f t="shared" si="141"/>
        <v>#N/A</v>
      </c>
      <c r="Q1860" s="62" t="e">
        <f>O1860-#REF!</f>
        <v>#N/A</v>
      </c>
      <c r="AT1860" s="425" t="str">
        <f t="shared" si="142"/>
        <v>Special Order0</v>
      </c>
      <c r="AU1860" s="64" t="str">
        <f t="shared" si="143"/>
        <v>01-1900</v>
      </c>
      <c r="BA1860" s="428" t="str">
        <f t="shared" si="144"/>
        <v/>
      </c>
    </row>
    <row r="1861" spans="2:53">
      <c r="B1861" s="36">
        <f>'[6]price list MAN'!B1861</f>
        <v>0</v>
      </c>
      <c r="C1861" s="10">
        <f>'[6]price list MAN'!C1861</f>
        <v>0</v>
      </c>
      <c r="D1861" s="16" t="str">
        <f>IFERROR(VLOOKUP(C1861&amp;"",'[7]Retail Price List'!$A$3:$B$103,2,FALSE),"Special Order")</f>
        <v>Special Order</v>
      </c>
      <c r="E1861" s="494">
        <f>'[6]price list MAN'!E1861</f>
        <v>0</v>
      </c>
      <c r="F1861" s="11">
        <f>'[6]price list MAN'!F1861</f>
        <v>0</v>
      </c>
      <c r="G1861" s="32">
        <f>'[6]price list MAN'!G1861</f>
        <v>0</v>
      </c>
      <c r="H1861" s="26">
        <f>'[6]price list MAN'!H1861</f>
        <v>0</v>
      </c>
      <c r="I1861" s="51" t="str">
        <f t="shared" ref="I1861:I1924" si="145">IFERROR(VLOOKUP(AU1861,$AW$5:$AY$40,3,FALSE),"")</f>
        <v/>
      </c>
      <c r="J1861" s="177" t="e">
        <f>'[6]price list MAN'!J1861</f>
        <v>#N/A</v>
      </c>
      <c r="K1861" s="177" t="e">
        <f>'[6]price list MAN'!P1861</f>
        <v>#N/A</v>
      </c>
      <c r="L1861" s="177" t="e">
        <f>'[6]price list MAN'!R1861</f>
        <v>#N/A</v>
      </c>
      <c r="M1861" s="174" t="e">
        <f>'[6]price list MAN'!S1861</f>
        <v>#N/A</v>
      </c>
      <c r="N1861" s="174" t="e">
        <f>'[6]price list MAN'!Y1861</f>
        <v>#N/A</v>
      </c>
      <c r="O1861" s="174" t="e">
        <f>'[6]price list MAN'!AA1861</f>
        <v>#N/A</v>
      </c>
      <c r="P1861" s="68" t="e">
        <f t="shared" ref="P1861:P1924" si="146">(M1861-O1861)/M1861</f>
        <v>#N/A</v>
      </c>
      <c r="Q1861" s="62" t="e">
        <f>O1861-#REF!</f>
        <v>#N/A</v>
      </c>
      <c r="AT1861" s="425" t="str">
        <f t="shared" ref="AT1861:AT1924" si="147">D1861&amp;I1861&amp;G1861</f>
        <v>Special Order0</v>
      </c>
      <c r="AU1861" s="64" t="str">
        <f t="shared" ref="AU1861:AU1924" si="148">IF(MONTH(H1861)&lt;10,0&amp;MONTH(H1861)&amp;"-"&amp;YEAR(H1861),MONTH(H1861)&amp;"-"&amp;YEAR(H1861))</f>
        <v>01-1900</v>
      </c>
      <c r="BA1861" s="428" t="str">
        <f t="shared" ref="BA1861:BA1924" si="149">IF(B1861=0,"",IF(AND(F1861&gt;=31,F1861&lt;=120),"31-120 Days",IF(AND(F1861&gt;=121,F1861&lt;=365),"121-365 Days",IF(OR(E1861="CKD",F1861&lt;=30),"WIP - 30 Days","&gt;365 Days"))))</f>
        <v/>
      </c>
    </row>
    <row r="1862" spans="2:53">
      <c r="B1862" s="36">
        <f>'[6]price list MAN'!B1862</f>
        <v>0</v>
      </c>
      <c r="C1862" s="10">
        <f>'[6]price list MAN'!C1862</f>
        <v>0</v>
      </c>
      <c r="D1862" s="16" t="str">
        <f>IFERROR(VLOOKUP(C1862&amp;"",'[7]Retail Price List'!$A$3:$B$103,2,FALSE),"Special Order")</f>
        <v>Special Order</v>
      </c>
      <c r="E1862" s="494">
        <f>'[6]price list MAN'!E1862</f>
        <v>0</v>
      </c>
      <c r="F1862" s="11">
        <f>'[6]price list MAN'!F1862</f>
        <v>0</v>
      </c>
      <c r="G1862" s="32">
        <f>'[6]price list MAN'!G1862</f>
        <v>0</v>
      </c>
      <c r="H1862" s="26">
        <f>'[6]price list MAN'!H1862</f>
        <v>0</v>
      </c>
      <c r="I1862" s="51" t="str">
        <f t="shared" si="145"/>
        <v/>
      </c>
      <c r="J1862" s="177" t="e">
        <f>'[6]price list MAN'!J1862</f>
        <v>#N/A</v>
      </c>
      <c r="K1862" s="177" t="e">
        <f>'[6]price list MAN'!P1862</f>
        <v>#N/A</v>
      </c>
      <c r="L1862" s="177" t="e">
        <f>'[6]price list MAN'!R1862</f>
        <v>#N/A</v>
      </c>
      <c r="M1862" s="174" t="e">
        <f>'[6]price list MAN'!S1862</f>
        <v>#N/A</v>
      </c>
      <c r="N1862" s="174" t="e">
        <f>'[6]price list MAN'!Y1862</f>
        <v>#N/A</v>
      </c>
      <c r="O1862" s="174" t="e">
        <f>'[6]price list MAN'!AA1862</f>
        <v>#N/A</v>
      </c>
      <c r="P1862" s="68" t="e">
        <f t="shared" si="146"/>
        <v>#N/A</v>
      </c>
      <c r="Q1862" s="62" t="e">
        <f>O1862-#REF!</f>
        <v>#N/A</v>
      </c>
      <c r="AT1862" s="425" t="str">
        <f t="shared" si="147"/>
        <v>Special Order0</v>
      </c>
      <c r="AU1862" s="64" t="str">
        <f t="shared" si="148"/>
        <v>01-1900</v>
      </c>
      <c r="BA1862" s="428" t="str">
        <f t="shared" si="149"/>
        <v/>
      </c>
    </row>
    <row r="1863" spans="2:53">
      <c r="B1863" s="36">
        <f>'[6]price list MAN'!B1863</f>
        <v>0</v>
      </c>
      <c r="C1863" s="10">
        <f>'[6]price list MAN'!C1863</f>
        <v>0</v>
      </c>
      <c r="D1863" s="16" t="str">
        <f>IFERROR(VLOOKUP(C1863&amp;"",'[7]Retail Price List'!$A$3:$B$103,2,FALSE),"Special Order")</f>
        <v>Special Order</v>
      </c>
      <c r="E1863" s="494">
        <f>'[6]price list MAN'!E1863</f>
        <v>0</v>
      </c>
      <c r="F1863" s="11">
        <f>'[6]price list MAN'!F1863</f>
        <v>0</v>
      </c>
      <c r="G1863" s="32">
        <f>'[6]price list MAN'!G1863</f>
        <v>0</v>
      </c>
      <c r="H1863" s="26">
        <f>'[6]price list MAN'!H1863</f>
        <v>0</v>
      </c>
      <c r="I1863" s="51" t="str">
        <f t="shared" si="145"/>
        <v/>
      </c>
      <c r="J1863" s="177" t="e">
        <f>'[6]price list MAN'!J1863</f>
        <v>#N/A</v>
      </c>
      <c r="K1863" s="177" t="e">
        <f>'[6]price list MAN'!P1863</f>
        <v>#N/A</v>
      </c>
      <c r="L1863" s="177" t="e">
        <f>'[6]price list MAN'!R1863</f>
        <v>#N/A</v>
      </c>
      <c r="M1863" s="174" t="e">
        <f>'[6]price list MAN'!S1863</f>
        <v>#N/A</v>
      </c>
      <c r="N1863" s="174" t="e">
        <f>'[6]price list MAN'!Y1863</f>
        <v>#N/A</v>
      </c>
      <c r="O1863" s="174" t="e">
        <f>'[6]price list MAN'!AA1863</f>
        <v>#N/A</v>
      </c>
      <c r="P1863" s="68" t="e">
        <f t="shared" si="146"/>
        <v>#N/A</v>
      </c>
      <c r="Q1863" s="62" t="e">
        <f>O1863-#REF!</f>
        <v>#N/A</v>
      </c>
      <c r="AT1863" s="425" t="str">
        <f t="shared" si="147"/>
        <v>Special Order0</v>
      </c>
      <c r="AU1863" s="64" t="str">
        <f t="shared" si="148"/>
        <v>01-1900</v>
      </c>
      <c r="BA1863" s="428" t="str">
        <f t="shared" si="149"/>
        <v/>
      </c>
    </row>
    <row r="1864" spans="2:53">
      <c r="B1864" s="36">
        <f>'[6]price list MAN'!B1864</f>
        <v>0</v>
      </c>
      <c r="C1864" s="10">
        <f>'[6]price list MAN'!C1864</f>
        <v>0</v>
      </c>
      <c r="D1864" s="16" t="str">
        <f>IFERROR(VLOOKUP(C1864&amp;"",'[7]Retail Price List'!$A$3:$B$103,2,FALSE),"Special Order")</f>
        <v>Special Order</v>
      </c>
      <c r="E1864" s="494">
        <f>'[6]price list MAN'!E1864</f>
        <v>0</v>
      </c>
      <c r="F1864" s="11">
        <f>'[6]price list MAN'!F1864</f>
        <v>0</v>
      </c>
      <c r="G1864" s="32">
        <f>'[6]price list MAN'!G1864</f>
        <v>0</v>
      </c>
      <c r="H1864" s="26">
        <f>'[6]price list MAN'!H1864</f>
        <v>0</v>
      </c>
      <c r="I1864" s="51" t="str">
        <f t="shared" si="145"/>
        <v/>
      </c>
      <c r="J1864" s="177" t="e">
        <f>'[6]price list MAN'!J1864</f>
        <v>#N/A</v>
      </c>
      <c r="K1864" s="177" t="e">
        <f>'[6]price list MAN'!P1864</f>
        <v>#N/A</v>
      </c>
      <c r="L1864" s="177" t="e">
        <f>'[6]price list MAN'!R1864</f>
        <v>#N/A</v>
      </c>
      <c r="M1864" s="174" t="e">
        <f>'[6]price list MAN'!S1864</f>
        <v>#N/A</v>
      </c>
      <c r="N1864" s="174" t="e">
        <f>'[6]price list MAN'!Y1864</f>
        <v>#N/A</v>
      </c>
      <c r="O1864" s="174" t="e">
        <f>'[6]price list MAN'!AA1864</f>
        <v>#N/A</v>
      </c>
      <c r="P1864" s="68" t="e">
        <f t="shared" si="146"/>
        <v>#N/A</v>
      </c>
      <c r="Q1864" s="62" t="e">
        <f>O1864-#REF!</f>
        <v>#N/A</v>
      </c>
      <c r="AT1864" s="425" t="str">
        <f t="shared" si="147"/>
        <v>Special Order0</v>
      </c>
      <c r="AU1864" s="64" t="str">
        <f t="shared" si="148"/>
        <v>01-1900</v>
      </c>
      <c r="BA1864" s="428" t="str">
        <f t="shared" si="149"/>
        <v/>
      </c>
    </row>
    <row r="1865" spans="2:53">
      <c r="B1865" s="36">
        <f>'[6]price list MAN'!B1865</f>
        <v>0</v>
      </c>
      <c r="C1865" s="10">
        <f>'[6]price list MAN'!C1865</f>
        <v>0</v>
      </c>
      <c r="D1865" s="16" t="str">
        <f>IFERROR(VLOOKUP(C1865&amp;"",'[7]Retail Price List'!$A$3:$B$103,2,FALSE),"Special Order")</f>
        <v>Special Order</v>
      </c>
      <c r="E1865" s="494">
        <f>'[6]price list MAN'!E1865</f>
        <v>0</v>
      </c>
      <c r="F1865" s="11">
        <f>'[6]price list MAN'!F1865</f>
        <v>0</v>
      </c>
      <c r="G1865" s="32">
        <f>'[6]price list MAN'!G1865</f>
        <v>0</v>
      </c>
      <c r="H1865" s="26">
        <f>'[6]price list MAN'!H1865</f>
        <v>0</v>
      </c>
      <c r="I1865" s="51" t="str">
        <f t="shared" si="145"/>
        <v/>
      </c>
      <c r="J1865" s="177" t="e">
        <f>'[6]price list MAN'!J1865</f>
        <v>#N/A</v>
      </c>
      <c r="K1865" s="177" t="e">
        <f>'[6]price list MAN'!P1865</f>
        <v>#N/A</v>
      </c>
      <c r="L1865" s="177" t="e">
        <f>'[6]price list MAN'!R1865</f>
        <v>#N/A</v>
      </c>
      <c r="M1865" s="174" t="e">
        <f>'[6]price list MAN'!S1865</f>
        <v>#N/A</v>
      </c>
      <c r="N1865" s="174" t="e">
        <f>'[6]price list MAN'!Y1865</f>
        <v>#N/A</v>
      </c>
      <c r="O1865" s="174" t="e">
        <f>'[6]price list MAN'!AA1865</f>
        <v>#N/A</v>
      </c>
      <c r="P1865" s="68" t="e">
        <f t="shared" si="146"/>
        <v>#N/A</v>
      </c>
      <c r="Q1865" s="62" t="e">
        <f>O1865-#REF!</f>
        <v>#N/A</v>
      </c>
      <c r="AT1865" s="425" t="str">
        <f t="shared" si="147"/>
        <v>Special Order0</v>
      </c>
      <c r="AU1865" s="64" t="str">
        <f t="shared" si="148"/>
        <v>01-1900</v>
      </c>
      <c r="BA1865" s="428" t="str">
        <f t="shared" si="149"/>
        <v/>
      </c>
    </row>
    <row r="1866" spans="2:53">
      <c r="B1866" s="36">
        <f>'[6]price list MAN'!B1866</f>
        <v>0</v>
      </c>
      <c r="C1866" s="10">
        <f>'[6]price list MAN'!C1866</f>
        <v>0</v>
      </c>
      <c r="D1866" s="16" t="str">
        <f>IFERROR(VLOOKUP(C1866&amp;"",'[7]Retail Price List'!$A$3:$B$103,2,FALSE),"Special Order")</f>
        <v>Special Order</v>
      </c>
      <c r="E1866" s="494">
        <f>'[6]price list MAN'!E1866</f>
        <v>0</v>
      </c>
      <c r="F1866" s="11">
        <f>'[6]price list MAN'!F1866</f>
        <v>0</v>
      </c>
      <c r="G1866" s="32">
        <f>'[6]price list MAN'!G1866</f>
        <v>0</v>
      </c>
      <c r="H1866" s="26">
        <f>'[6]price list MAN'!H1866</f>
        <v>0</v>
      </c>
      <c r="I1866" s="51" t="str">
        <f t="shared" si="145"/>
        <v/>
      </c>
      <c r="J1866" s="177" t="e">
        <f>'[6]price list MAN'!J1866</f>
        <v>#N/A</v>
      </c>
      <c r="K1866" s="177" t="e">
        <f>'[6]price list MAN'!P1866</f>
        <v>#N/A</v>
      </c>
      <c r="L1866" s="177" t="e">
        <f>'[6]price list MAN'!R1866</f>
        <v>#N/A</v>
      </c>
      <c r="M1866" s="174" t="e">
        <f>'[6]price list MAN'!S1866</f>
        <v>#N/A</v>
      </c>
      <c r="N1866" s="174" t="e">
        <f>'[6]price list MAN'!Y1866</f>
        <v>#N/A</v>
      </c>
      <c r="O1866" s="174" t="e">
        <f>'[6]price list MAN'!AA1866</f>
        <v>#N/A</v>
      </c>
      <c r="P1866" s="68" t="e">
        <f t="shared" si="146"/>
        <v>#N/A</v>
      </c>
      <c r="Q1866" s="62" t="e">
        <f>O1866-#REF!</f>
        <v>#N/A</v>
      </c>
      <c r="AT1866" s="425" t="str">
        <f t="shared" si="147"/>
        <v>Special Order0</v>
      </c>
      <c r="AU1866" s="64" t="str">
        <f t="shared" si="148"/>
        <v>01-1900</v>
      </c>
      <c r="BA1866" s="428" t="str">
        <f t="shared" si="149"/>
        <v/>
      </c>
    </row>
    <row r="1867" spans="2:53">
      <c r="B1867" s="36">
        <f>'[6]price list MAN'!B1867</f>
        <v>0</v>
      </c>
      <c r="C1867" s="10">
        <f>'[6]price list MAN'!C1867</f>
        <v>0</v>
      </c>
      <c r="D1867" s="16" t="str">
        <f>IFERROR(VLOOKUP(C1867&amp;"",'[7]Retail Price List'!$A$3:$B$103,2,FALSE),"Special Order")</f>
        <v>Special Order</v>
      </c>
      <c r="E1867" s="494">
        <f>'[6]price list MAN'!E1867</f>
        <v>0</v>
      </c>
      <c r="F1867" s="11">
        <f>'[6]price list MAN'!F1867</f>
        <v>0</v>
      </c>
      <c r="G1867" s="32">
        <f>'[6]price list MAN'!G1867</f>
        <v>0</v>
      </c>
      <c r="H1867" s="26">
        <f>'[6]price list MAN'!H1867</f>
        <v>0</v>
      </c>
      <c r="I1867" s="51" t="str">
        <f t="shared" si="145"/>
        <v/>
      </c>
      <c r="J1867" s="177" t="e">
        <f>'[6]price list MAN'!J1867</f>
        <v>#N/A</v>
      </c>
      <c r="K1867" s="177" t="e">
        <f>'[6]price list MAN'!P1867</f>
        <v>#N/A</v>
      </c>
      <c r="L1867" s="177" t="e">
        <f>'[6]price list MAN'!R1867</f>
        <v>#N/A</v>
      </c>
      <c r="M1867" s="174" t="e">
        <f>'[6]price list MAN'!S1867</f>
        <v>#N/A</v>
      </c>
      <c r="N1867" s="174" t="e">
        <f>'[6]price list MAN'!Y1867</f>
        <v>#N/A</v>
      </c>
      <c r="O1867" s="174" t="e">
        <f>'[6]price list MAN'!AA1867</f>
        <v>#N/A</v>
      </c>
      <c r="P1867" s="68" t="e">
        <f t="shared" si="146"/>
        <v>#N/A</v>
      </c>
      <c r="Q1867" s="62" t="e">
        <f>O1867-#REF!</f>
        <v>#N/A</v>
      </c>
      <c r="AT1867" s="425" t="str">
        <f t="shared" si="147"/>
        <v>Special Order0</v>
      </c>
      <c r="AU1867" s="64" t="str">
        <f t="shared" si="148"/>
        <v>01-1900</v>
      </c>
      <c r="BA1867" s="428" t="str">
        <f t="shared" si="149"/>
        <v/>
      </c>
    </row>
    <row r="1868" spans="2:53">
      <c r="B1868" s="36">
        <f>'[6]price list MAN'!B1868</f>
        <v>0</v>
      </c>
      <c r="C1868" s="10">
        <f>'[6]price list MAN'!C1868</f>
        <v>0</v>
      </c>
      <c r="D1868" s="16" t="str">
        <f>IFERROR(VLOOKUP(C1868&amp;"",'[7]Retail Price List'!$A$3:$B$103,2,FALSE),"Special Order")</f>
        <v>Special Order</v>
      </c>
      <c r="E1868" s="494">
        <f>'[6]price list MAN'!E1868</f>
        <v>0</v>
      </c>
      <c r="F1868" s="11">
        <f>'[6]price list MAN'!F1868</f>
        <v>0</v>
      </c>
      <c r="G1868" s="32">
        <f>'[6]price list MAN'!G1868</f>
        <v>0</v>
      </c>
      <c r="H1868" s="26">
        <f>'[6]price list MAN'!H1868</f>
        <v>0</v>
      </c>
      <c r="I1868" s="51" t="str">
        <f t="shared" si="145"/>
        <v/>
      </c>
      <c r="J1868" s="177" t="e">
        <f>'[6]price list MAN'!J1868</f>
        <v>#N/A</v>
      </c>
      <c r="K1868" s="177" t="e">
        <f>'[6]price list MAN'!P1868</f>
        <v>#N/A</v>
      </c>
      <c r="L1868" s="177" t="e">
        <f>'[6]price list MAN'!R1868</f>
        <v>#N/A</v>
      </c>
      <c r="M1868" s="174" t="e">
        <f>'[6]price list MAN'!S1868</f>
        <v>#N/A</v>
      </c>
      <c r="N1868" s="174" t="e">
        <f>'[6]price list MAN'!Y1868</f>
        <v>#N/A</v>
      </c>
      <c r="O1868" s="174" t="e">
        <f>'[6]price list MAN'!AA1868</f>
        <v>#N/A</v>
      </c>
      <c r="P1868" s="68" t="e">
        <f t="shared" si="146"/>
        <v>#N/A</v>
      </c>
      <c r="Q1868" s="62" t="e">
        <f>O1868-#REF!</f>
        <v>#N/A</v>
      </c>
      <c r="AT1868" s="425" t="str">
        <f t="shared" si="147"/>
        <v>Special Order0</v>
      </c>
      <c r="AU1868" s="64" t="str">
        <f t="shared" si="148"/>
        <v>01-1900</v>
      </c>
      <c r="BA1868" s="428" t="str">
        <f t="shared" si="149"/>
        <v/>
      </c>
    </row>
    <row r="1869" spans="2:53">
      <c r="B1869" s="36">
        <f>'[6]price list MAN'!B1869</f>
        <v>0</v>
      </c>
      <c r="C1869" s="10">
        <f>'[6]price list MAN'!C1869</f>
        <v>0</v>
      </c>
      <c r="D1869" s="16" t="str">
        <f>IFERROR(VLOOKUP(C1869&amp;"",'[7]Retail Price List'!$A$3:$B$103,2,FALSE),"Special Order")</f>
        <v>Special Order</v>
      </c>
      <c r="E1869" s="494">
        <f>'[6]price list MAN'!E1869</f>
        <v>0</v>
      </c>
      <c r="F1869" s="11">
        <f>'[6]price list MAN'!F1869</f>
        <v>0</v>
      </c>
      <c r="G1869" s="32">
        <f>'[6]price list MAN'!G1869</f>
        <v>0</v>
      </c>
      <c r="H1869" s="26">
        <f>'[6]price list MAN'!H1869</f>
        <v>0</v>
      </c>
      <c r="I1869" s="51" t="str">
        <f t="shared" si="145"/>
        <v/>
      </c>
      <c r="J1869" s="177" t="e">
        <f>'[6]price list MAN'!J1869</f>
        <v>#N/A</v>
      </c>
      <c r="K1869" s="177" t="e">
        <f>'[6]price list MAN'!P1869</f>
        <v>#N/A</v>
      </c>
      <c r="L1869" s="177" t="e">
        <f>'[6]price list MAN'!R1869</f>
        <v>#N/A</v>
      </c>
      <c r="M1869" s="174" t="e">
        <f>'[6]price list MAN'!S1869</f>
        <v>#N/A</v>
      </c>
      <c r="N1869" s="174" t="e">
        <f>'[6]price list MAN'!Y1869</f>
        <v>#N/A</v>
      </c>
      <c r="O1869" s="174" t="e">
        <f>'[6]price list MAN'!AA1869</f>
        <v>#N/A</v>
      </c>
      <c r="P1869" s="68" t="e">
        <f t="shared" si="146"/>
        <v>#N/A</v>
      </c>
      <c r="Q1869" s="62" t="e">
        <f>O1869-#REF!</f>
        <v>#N/A</v>
      </c>
      <c r="AT1869" s="425" t="str">
        <f t="shared" si="147"/>
        <v>Special Order0</v>
      </c>
      <c r="AU1869" s="64" t="str">
        <f t="shared" si="148"/>
        <v>01-1900</v>
      </c>
      <c r="BA1869" s="428" t="str">
        <f t="shared" si="149"/>
        <v/>
      </c>
    </row>
    <row r="1870" spans="2:53">
      <c r="B1870" s="36">
        <f>'[6]price list MAN'!B1870</f>
        <v>0</v>
      </c>
      <c r="C1870" s="10">
        <f>'[6]price list MAN'!C1870</f>
        <v>0</v>
      </c>
      <c r="D1870" s="16" t="str">
        <f>IFERROR(VLOOKUP(C1870&amp;"",'[7]Retail Price List'!$A$3:$B$103,2,FALSE),"Special Order")</f>
        <v>Special Order</v>
      </c>
      <c r="E1870" s="494">
        <f>'[6]price list MAN'!E1870</f>
        <v>0</v>
      </c>
      <c r="F1870" s="11">
        <f>'[6]price list MAN'!F1870</f>
        <v>0</v>
      </c>
      <c r="G1870" s="32">
        <f>'[6]price list MAN'!G1870</f>
        <v>0</v>
      </c>
      <c r="H1870" s="26">
        <f>'[6]price list MAN'!H1870</f>
        <v>0</v>
      </c>
      <c r="I1870" s="51" t="str">
        <f t="shared" si="145"/>
        <v/>
      </c>
      <c r="J1870" s="177" t="e">
        <f>'[6]price list MAN'!J1870</f>
        <v>#N/A</v>
      </c>
      <c r="K1870" s="177" t="e">
        <f>'[6]price list MAN'!P1870</f>
        <v>#N/A</v>
      </c>
      <c r="L1870" s="177" t="e">
        <f>'[6]price list MAN'!R1870</f>
        <v>#N/A</v>
      </c>
      <c r="M1870" s="174" t="e">
        <f>'[6]price list MAN'!S1870</f>
        <v>#N/A</v>
      </c>
      <c r="N1870" s="174" t="e">
        <f>'[6]price list MAN'!Y1870</f>
        <v>#N/A</v>
      </c>
      <c r="O1870" s="174" t="e">
        <f>'[6]price list MAN'!AA1870</f>
        <v>#N/A</v>
      </c>
      <c r="P1870" s="68" t="e">
        <f t="shared" si="146"/>
        <v>#N/A</v>
      </c>
      <c r="Q1870" s="62" t="e">
        <f>O1870-#REF!</f>
        <v>#N/A</v>
      </c>
      <c r="AT1870" s="425" t="str">
        <f t="shared" si="147"/>
        <v>Special Order0</v>
      </c>
      <c r="AU1870" s="64" t="str">
        <f t="shared" si="148"/>
        <v>01-1900</v>
      </c>
      <c r="BA1870" s="428" t="str">
        <f t="shared" si="149"/>
        <v/>
      </c>
    </row>
    <row r="1871" spans="2:53">
      <c r="B1871" s="36">
        <f>'[6]price list MAN'!B1871</f>
        <v>0</v>
      </c>
      <c r="C1871" s="10">
        <f>'[6]price list MAN'!C1871</f>
        <v>0</v>
      </c>
      <c r="D1871" s="16" t="str">
        <f>IFERROR(VLOOKUP(C1871&amp;"",'[7]Retail Price List'!$A$3:$B$103,2,FALSE),"Special Order")</f>
        <v>Special Order</v>
      </c>
      <c r="E1871" s="494">
        <f>'[6]price list MAN'!E1871</f>
        <v>0</v>
      </c>
      <c r="F1871" s="11">
        <f>'[6]price list MAN'!F1871</f>
        <v>0</v>
      </c>
      <c r="G1871" s="32">
        <f>'[6]price list MAN'!G1871</f>
        <v>0</v>
      </c>
      <c r="H1871" s="26">
        <f>'[6]price list MAN'!H1871</f>
        <v>0</v>
      </c>
      <c r="I1871" s="51" t="str">
        <f t="shared" si="145"/>
        <v/>
      </c>
      <c r="J1871" s="177" t="e">
        <f>'[6]price list MAN'!J1871</f>
        <v>#N/A</v>
      </c>
      <c r="K1871" s="177" t="e">
        <f>'[6]price list MAN'!P1871</f>
        <v>#N/A</v>
      </c>
      <c r="L1871" s="177" t="e">
        <f>'[6]price list MAN'!R1871</f>
        <v>#N/A</v>
      </c>
      <c r="M1871" s="174" t="e">
        <f>'[6]price list MAN'!S1871</f>
        <v>#N/A</v>
      </c>
      <c r="N1871" s="174" t="e">
        <f>'[6]price list MAN'!Y1871</f>
        <v>#N/A</v>
      </c>
      <c r="O1871" s="174" t="e">
        <f>'[6]price list MAN'!AA1871</f>
        <v>#N/A</v>
      </c>
      <c r="P1871" s="68" t="e">
        <f t="shared" si="146"/>
        <v>#N/A</v>
      </c>
      <c r="Q1871" s="62" t="e">
        <f>O1871-#REF!</f>
        <v>#N/A</v>
      </c>
      <c r="AT1871" s="425" t="str">
        <f t="shared" si="147"/>
        <v>Special Order0</v>
      </c>
      <c r="AU1871" s="64" t="str">
        <f t="shared" si="148"/>
        <v>01-1900</v>
      </c>
      <c r="BA1871" s="428" t="str">
        <f t="shared" si="149"/>
        <v/>
      </c>
    </row>
    <row r="1872" spans="2:53">
      <c r="B1872" s="36">
        <f>'[6]price list MAN'!B1872</f>
        <v>0</v>
      </c>
      <c r="C1872" s="10">
        <f>'[6]price list MAN'!C1872</f>
        <v>0</v>
      </c>
      <c r="D1872" s="16" t="str">
        <f>IFERROR(VLOOKUP(C1872&amp;"",'[7]Retail Price List'!$A$3:$B$103,2,FALSE),"Special Order")</f>
        <v>Special Order</v>
      </c>
      <c r="E1872" s="494">
        <f>'[6]price list MAN'!E1872</f>
        <v>0</v>
      </c>
      <c r="F1872" s="11">
        <f>'[6]price list MAN'!F1872</f>
        <v>0</v>
      </c>
      <c r="G1872" s="32">
        <f>'[6]price list MAN'!G1872</f>
        <v>0</v>
      </c>
      <c r="H1872" s="26">
        <f>'[6]price list MAN'!H1872</f>
        <v>0</v>
      </c>
      <c r="I1872" s="51" t="str">
        <f t="shared" si="145"/>
        <v/>
      </c>
      <c r="J1872" s="177" t="e">
        <f>'[6]price list MAN'!J1872</f>
        <v>#N/A</v>
      </c>
      <c r="K1872" s="177" t="e">
        <f>'[6]price list MAN'!P1872</f>
        <v>#N/A</v>
      </c>
      <c r="L1872" s="177" t="e">
        <f>'[6]price list MAN'!R1872</f>
        <v>#N/A</v>
      </c>
      <c r="M1872" s="174" t="e">
        <f>'[6]price list MAN'!S1872</f>
        <v>#N/A</v>
      </c>
      <c r="N1872" s="174" t="e">
        <f>'[6]price list MAN'!Y1872</f>
        <v>#N/A</v>
      </c>
      <c r="O1872" s="174" t="e">
        <f>'[6]price list MAN'!AA1872</f>
        <v>#N/A</v>
      </c>
      <c r="P1872" s="68" t="e">
        <f t="shared" si="146"/>
        <v>#N/A</v>
      </c>
      <c r="Q1872" s="62" t="e">
        <f>O1872-#REF!</f>
        <v>#N/A</v>
      </c>
      <c r="AT1872" s="425" t="str">
        <f t="shared" si="147"/>
        <v>Special Order0</v>
      </c>
      <c r="AU1872" s="64" t="str">
        <f t="shared" si="148"/>
        <v>01-1900</v>
      </c>
      <c r="BA1872" s="428" t="str">
        <f t="shared" si="149"/>
        <v/>
      </c>
    </row>
    <row r="1873" spans="2:53">
      <c r="B1873" s="36">
        <f>'[6]price list MAN'!B1873</f>
        <v>0</v>
      </c>
      <c r="C1873" s="10">
        <f>'[6]price list MAN'!C1873</f>
        <v>0</v>
      </c>
      <c r="D1873" s="16" t="str">
        <f>IFERROR(VLOOKUP(C1873&amp;"",'[7]Retail Price List'!$A$3:$B$103,2,FALSE),"Special Order")</f>
        <v>Special Order</v>
      </c>
      <c r="E1873" s="494">
        <f>'[6]price list MAN'!E1873</f>
        <v>0</v>
      </c>
      <c r="F1873" s="11">
        <f>'[6]price list MAN'!F1873</f>
        <v>0</v>
      </c>
      <c r="G1873" s="32">
        <f>'[6]price list MAN'!G1873</f>
        <v>0</v>
      </c>
      <c r="H1873" s="26">
        <f>'[6]price list MAN'!H1873</f>
        <v>0</v>
      </c>
      <c r="I1873" s="51" t="str">
        <f t="shared" si="145"/>
        <v/>
      </c>
      <c r="J1873" s="177" t="e">
        <f>'[6]price list MAN'!J1873</f>
        <v>#N/A</v>
      </c>
      <c r="K1873" s="177" t="e">
        <f>'[6]price list MAN'!P1873</f>
        <v>#N/A</v>
      </c>
      <c r="L1873" s="177" t="e">
        <f>'[6]price list MAN'!R1873</f>
        <v>#N/A</v>
      </c>
      <c r="M1873" s="174" t="e">
        <f>'[6]price list MAN'!S1873</f>
        <v>#N/A</v>
      </c>
      <c r="N1873" s="174" t="e">
        <f>'[6]price list MAN'!Y1873</f>
        <v>#N/A</v>
      </c>
      <c r="O1873" s="174" t="e">
        <f>'[6]price list MAN'!AA1873</f>
        <v>#N/A</v>
      </c>
      <c r="P1873" s="68" t="e">
        <f t="shared" si="146"/>
        <v>#N/A</v>
      </c>
      <c r="Q1873" s="62" t="e">
        <f>O1873-#REF!</f>
        <v>#N/A</v>
      </c>
      <c r="AT1873" s="425" t="str">
        <f t="shared" si="147"/>
        <v>Special Order0</v>
      </c>
      <c r="AU1873" s="64" t="str">
        <f t="shared" si="148"/>
        <v>01-1900</v>
      </c>
      <c r="BA1873" s="428" t="str">
        <f t="shared" si="149"/>
        <v/>
      </c>
    </row>
    <row r="1874" spans="2:53">
      <c r="B1874" s="36">
        <f>'[6]price list MAN'!B1874</f>
        <v>0</v>
      </c>
      <c r="C1874" s="10">
        <f>'[6]price list MAN'!C1874</f>
        <v>0</v>
      </c>
      <c r="D1874" s="16" t="str">
        <f>IFERROR(VLOOKUP(C1874&amp;"",'[7]Retail Price List'!$A$3:$B$103,2,FALSE),"Special Order")</f>
        <v>Special Order</v>
      </c>
      <c r="E1874" s="494">
        <f>'[6]price list MAN'!E1874</f>
        <v>0</v>
      </c>
      <c r="F1874" s="11">
        <f>'[6]price list MAN'!F1874</f>
        <v>0</v>
      </c>
      <c r="G1874" s="32">
        <f>'[6]price list MAN'!G1874</f>
        <v>0</v>
      </c>
      <c r="H1874" s="26">
        <f>'[6]price list MAN'!H1874</f>
        <v>0</v>
      </c>
      <c r="I1874" s="51" t="str">
        <f t="shared" si="145"/>
        <v/>
      </c>
      <c r="J1874" s="177" t="e">
        <f>'[6]price list MAN'!J1874</f>
        <v>#N/A</v>
      </c>
      <c r="K1874" s="177" t="e">
        <f>'[6]price list MAN'!P1874</f>
        <v>#N/A</v>
      </c>
      <c r="L1874" s="177" t="e">
        <f>'[6]price list MAN'!R1874</f>
        <v>#N/A</v>
      </c>
      <c r="M1874" s="174" t="e">
        <f>'[6]price list MAN'!S1874</f>
        <v>#N/A</v>
      </c>
      <c r="N1874" s="174" t="e">
        <f>'[6]price list MAN'!Y1874</f>
        <v>#N/A</v>
      </c>
      <c r="O1874" s="174" t="e">
        <f>'[6]price list MAN'!AA1874</f>
        <v>#N/A</v>
      </c>
      <c r="P1874" s="68" t="e">
        <f t="shared" si="146"/>
        <v>#N/A</v>
      </c>
      <c r="Q1874" s="62" t="e">
        <f>O1874-#REF!</f>
        <v>#N/A</v>
      </c>
      <c r="AT1874" s="425" t="str">
        <f t="shared" si="147"/>
        <v>Special Order0</v>
      </c>
      <c r="AU1874" s="64" t="str">
        <f t="shared" si="148"/>
        <v>01-1900</v>
      </c>
      <c r="BA1874" s="428" t="str">
        <f t="shared" si="149"/>
        <v/>
      </c>
    </row>
    <row r="1875" spans="2:53">
      <c r="B1875" s="36">
        <f>'[6]price list MAN'!B1875</f>
        <v>0</v>
      </c>
      <c r="C1875" s="10">
        <f>'[6]price list MAN'!C1875</f>
        <v>0</v>
      </c>
      <c r="D1875" s="16" t="str">
        <f>IFERROR(VLOOKUP(C1875&amp;"",'[7]Retail Price List'!$A$3:$B$103,2,FALSE),"Special Order")</f>
        <v>Special Order</v>
      </c>
      <c r="E1875" s="494">
        <f>'[6]price list MAN'!E1875</f>
        <v>0</v>
      </c>
      <c r="F1875" s="11">
        <f>'[6]price list MAN'!F1875</f>
        <v>0</v>
      </c>
      <c r="G1875" s="32">
        <f>'[6]price list MAN'!G1875</f>
        <v>0</v>
      </c>
      <c r="H1875" s="26">
        <f>'[6]price list MAN'!H1875</f>
        <v>0</v>
      </c>
      <c r="I1875" s="51" t="str">
        <f t="shared" si="145"/>
        <v/>
      </c>
      <c r="J1875" s="177" t="e">
        <f>'[6]price list MAN'!J1875</f>
        <v>#N/A</v>
      </c>
      <c r="K1875" s="177" t="e">
        <f>'[6]price list MAN'!P1875</f>
        <v>#N/A</v>
      </c>
      <c r="L1875" s="177" t="e">
        <f>'[6]price list MAN'!R1875</f>
        <v>#N/A</v>
      </c>
      <c r="M1875" s="174" t="e">
        <f>'[6]price list MAN'!S1875</f>
        <v>#N/A</v>
      </c>
      <c r="N1875" s="174" t="e">
        <f>'[6]price list MAN'!Y1875</f>
        <v>#N/A</v>
      </c>
      <c r="O1875" s="174" t="e">
        <f>'[6]price list MAN'!AA1875</f>
        <v>#N/A</v>
      </c>
      <c r="P1875" s="68" t="e">
        <f t="shared" si="146"/>
        <v>#N/A</v>
      </c>
      <c r="Q1875" s="62" t="e">
        <f>O1875-#REF!</f>
        <v>#N/A</v>
      </c>
      <c r="AT1875" s="425" t="str">
        <f t="shared" si="147"/>
        <v>Special Order0</v>
      </c>
      <c r="AU1875" s="64" t="str">
        <f t="shared" si="148"/>
        <v>01-1900</v>
      </c>
      <c r="BA1875" s="428" t="str">
        <f t="shared" si="149"/>
        <v/>
      </c>
    </row>
    <row r="1876" spans="2:53">
      <c r="B1876" s="36">
        <f>'[6]price list MAN'!B1876</f>
        <v>0</v>
      </c>
      <c r="C1876" s="10">
        <f>'[6]price list MAN'!C1876</f>
        <v>0</v>
      </c>
      <c r="D1876" s="16" t="str">
        <f>IFERROR(VLOOKUP(C1876&amp;"",'[7]Retail Price List'!$A$3:$B$103,2,FALSE),"Special Order")</f>
        <v>Special Order</v>
      </c>
      <c r="E1876" s="494">
        <f>'[6]price list MAN'!E1876</f>
        <v>0</v>
      </c>
      <c r="F1876" s="11">
        <f>'[6]price list MAN'!F1876</f>
        <v>0</v>
      </c>
      <c r="G1876" s="32">
        <f>'[6]price list MAN'!G1876</f>
        <v>0</v>
      </c>
      <c r="H1876" s="26">
        <f>'[6]price list MAN'!H1876</f>
        <v>0</v>
      </c>
      <c r="I1876" s="51" t="str">
        <f t="shared" si="145"/>
        <v/>
      </c>
      <c r="J1876" s="177" t="e">
        <f>'[6]price list MAN'!J1876</f>
        <v>#N/A</v>
      </c>
      <c r="K1876" s="177" t="e">
        <f>'[6]price list MAN'!P1876</f>
        <v>#N/A</v>
      </c>
      <c r="L1876" s="177" t="e">
        <f>'[6]price list MAN'!R1876</f>
        <v>#N/A</v>
      </c>
      <c r="M1876" s="174" t="e">
        <f>'[6]price list MAN'!S1876</f>
        <v>#N/A</v>
      </c>
      <c r="N1876" s="174" t="e">
        <f>'[6]price list MAN'!Y1876</f>
        <v>#N/A</v>
      </c>
      <c r="O1876" s="174" t="e">
        <f>'[6]price list MAN'!AA1876</f>
        <v>#N/A</v>
      </c>
      <c r="P1876" s="68" t="e">
        <f t="shared" si="146"/>
        <v>#N/A</v>
      </c>
      <c r="Q1876" s="62" t="e">
        <f>O1876-#REF!</f>
        <v>#N/A</v>
      </c>
      <c r="AT1876" s="425" t="str">
        <f t="shared" si="147"/>
        <v>Special Order0</v>
      </c>
      <c r="AU1876" s="64" t="str">
        <f t="shared" si="148"/>
        <v>01-1900</v>
      </c>
      <c r="BA1876" s="428" t="str">
        <f t="shared" si="149"/>
        <v/>
      </c>
    </row>
    <row r="1877" spans="2:53">
      <c r="B1877" s="36">
        <f>'[6]price list MAN'!B1877</f>
        <v>0</v>
      </c>
      <c r="C1877" s="10">
        <f>'[6]price list MAN'!C1877</f>
        <v>0</v>
      </c>
      <c r="D1877" s="16" t="str">
        <f>IFERROR(VLOOKUP(C1877&amp;"",'[7]Retail Price List'!$A$3:$B$103,2,FALSE),"Special Order")</f>
        <v>Special Order</v>
      </c>
      <c r="E1877" s="494">
        <f>'[6]price list MAN'!E1877</f>
        <v>0</v>
      </c>
      <c r="F1877" s="11">
        <f>'[6]price list MAN'!F1877</f>
        <v>0</v>
      </c>
      <c r="G1877" s="32">
        <f>'[6]price list MAN'!G1877</f>
        <v>0</v>
      </c>
      <c r="H1877" s="26">
        <f>'[6]price list MAN'!H1877</f>
        <v>0</v>
      </c>
      <c r="I1877" s="51" t="str">
        <f t="shared" si="145"/>
        <v/>
      </c>
      <c r="J1877" s="177" t="e">
        <f>'[6]price list MAN'!J1877</f>
        <v>#N/A</v>
      </c>
      <c r="K1877" s="177" t="e">
        <f>'[6]price list MAN'!P1877</f>
        <v>#N/A</v>
      </c>
      <c r="L1877" s="177" t="e">
        <f>'[6]price list MAN'!R1877</f>
        <v>#N/A</v>
      </c>
      <c r="M1877" s="174" t="e">
        <f>'[6]price list MAN'!S1877</f>
        <v>#N/A</v>
      </c>
      <c r="N1877" s="174" t="e">
        <f>'[6]price list MAN'!Y1877</f>
        <v>#N/A</v>
      </c>
      <c r="O1877" s="174" t="e">
        <f>'[6]price list MAN'!AA1877</f>
        <v>#N/A</v>
      </c>
      <c r="P1877" s="68" t="e">
        <f t="shared" si="146"/>
        <v>#N/A</v>
      </c>
      <c r="Q1877" s="62" t="e">
        <f>O1877-#REF!</f>
        <v>#N/A</v>
      </c>
      <c r="AT1877" s="425" t="str">
        <f t="shared" si="147"/>
        <v>Special Order0</v>
      </c>
      <c r="AU1877" s="64" t="str">
        <f t="shared" si="148"/>
        <v>01-1900</v>
      </c>
      <c r="BA1877" s="428" t="str">
        <f t="shared" si="149"/>
        <v/>
      </c>
    </row>
    <row r="1878" spans="2:53">
      <c r="B1878" s="36">
        <f>'[6]price list MAN'!B1878</f>
        <v>0</v>
      </c>
      <c r="C1878" s="10">
        <f>'[6]price list MAN'!C1878</f>
        <v>0</v>
      </c>
      <c r="D1878" s="16" t="str">
        <f>IFERROR(VLOOKUP(C1878&amp;"",'[7]Retail Price List'!$A$3:$B$103,2,FALSE),"Special Order")</f>
        <v>Special Order</v>
      </c>
      <c r="E1878" s="494">
        <f>'[6]price list MAN'!E1878</f>
        <v>0</v>
      </c>
      <c r="F1878" s="11">
        <f>'[6]price list MAN'!F1878</f>
        <v>0</v>
      </c>
      <c r="G1878" s="32">
        <f>'[6]price list MAN'!G1878</f>
        <v>0</v>
      </c>
      <c r="H1878" s="26">
        <f>'[6]price list MAN'!H1878</f>
        <v>0</v>
      </c>
      <c r="I1878" s="51" t="str">
        <f t="shared" si="145"/>
        <v/>
      </c>
      <c r="J1878" s="177" t="e">
        <f>'[6]price list MAN'!J1878</f>
        <v>#N/A</v>
      </c>
      <c r="K1878" s="177" t="e">
        <f>'[6]price list MAN'!P1878</f>
        <v>#N/A</v>
      </c>
      <c r="L1878" s="177" t="e">
        <f>'[6]price list MAN'!R1878</f>
        <v>#N/A</v>
      </c>
      <c r="M1878" s="174" t="e">
        <f>'[6]price list MAN'!S1878</f>
        <v>#N/A</v>
      </c>
      <c r="N1878" s="174" t="e">
        <f>'[6]price list MAN'!Y1878</f>
        <v>#N/A</v>
      </c>
      <c r="O1878" s="174" t="e">
        <f>'[6]price list MAN'!AA1878</f>
        <v>#N/A</v>
      </c>
      <c r="P1878" s="68" t="e">
        <f t="shared" si="146"/>
        <v>#N/A</v>
      </c>
      <c r="Q1878" s="62" t="e">
        <f>O1878-#REF!</f>
        <v>#N/A</v>
      </c>
      <c r="AT1878" s="425" t="str">
        <f t="shared" si="147"/>
        <v>Special Order0</v>
      </c>
      <c r="AU1878" s="64" t="str">
        <f t="shared" si="148"/>
        <v>01-1900</v>
      </c>
      <c r="BA1878" s="428" t="str">
        <f t="shared" si="149"/>
        <v/>
      </c>
    </row>
    <row r="1879" spans="2:53">
      <c r="B1879" s="36">
        <f>'[6]price list MAN'!B1879</f>
        <v>0</v>
      </c>
      <c r="C1879" s="10">
        <f>'[6]price list MAN'!C1879</f>
        <v>0</v>
      </c>
      <c r="D1879" s="16" t="str">
        <f>IFERROR(VLOOKUP(C1879&amp;"",'[7]Retail Price List'!$A$3:$B$103,2,FALSE),"Special Order")</f>
        <v>Special Order</v>
      </c>
      <c r="E1879" s="494">
        <f>'[6]price list MAN'!E1879</f>
        <v>0</v>
      </c>
      <c r="F1879" s="11">
        <f>'[6]price list MAN'!F1879</f>
        <v>0</v>
      </c>
      <c r="G1879" s="32">
        <f>'[6]price list MAN'!G1879</f>
        <v>0</v>
      </c>
      <c r="H1879" s="26">
        <f>'[6]price list MAN'!H1879</f>
        <v>0</v>
      </c>
      <c r="I1879" s="51" t="str">
        <f t="shared" si="145"/>
        <v/>
      </c>
      <c r="J1879" s="177" t="e">
        <f>'[6]price list MAN'!J1879</f>
        <v>#N/A</v>
      </c>
      <c r="K1879" s="177" t="e">
        <f>'[6]price list MAN'!P1879</f>
        <v>#N/A</v>
      </c>
      <c r="L1879" s="177" t="e">
        <f>'[6]price list MAN'!R1879</f>
        <v>#N/A</v>
      </c>
      <c r="M1879" s="174" t="e">
        <f>'[6]price list MAN'!S1879</f>
        <v>#N/A</v>
      </c>
      <c r="N1879" s="174" t="e">
        <f>'[6]price list MAN'!Y1879</f>
        <v>#N/A</v>
      </c>
      <c r="O1879" s="174" t="e">
        <f>'[6]price list MAN'!AA1879</f>
        <v>#N/A</v>
      </c>
      <c r="P1879" s="68" t="e">
        <f t="shared" si="146"/>
        <v>#N/A</v>
      </c>
      <c r="Q1879" s="62" t="e">
        <f>O1879-#REF!</f>
        <v>#N/A</v>
      </c>
      <c r="AT1879" s="425" t="str">
        <f t="shared" si="147"/>
        <v>Special Order0</v>
      </c>
      <c r="AU1879" s="64" t="str">
        <f t="shared" si="148"/>
        <v>01-1900</v>
      </c>
      <c r="BA1879" s="428" t="str">
        <f t="shared" si="149"/>
        <v/>
      </c>
    </row>
    <row r="1880" spans="2:53">
      <c r="B1880" s="36">
        <f>'[6]price list MAN'!B1880</f>
        <v>0</v>
      </c>
      <c r="C1880" s="10">
        <f>'[6]price list MAN'!C1880</f>
        <v>0</v>
      </c>
      <c r="D1880" s="16" t="str">
        <f>IFERROR(VLOOKUP(C1880&amp;"",'[7]Retail Price List'!$A$3:$B$103,2,FALSE),"Special Order")</f>
        <v>Special Order</v>
      </c>
      <c r="E1880" s="494">
        <f>'[6]price list MAN'!E1880</f>
        <v>0</v>
      </c>
      <c r="F1880" s="11">
        <f>'[6]price list MAN'!F1880</f>
        <v>0</v>
      </c>
      <c r="G1880" s="32">
        <f>'[6]price list MAN'!G1880</f>
        <v>0</v>
      </c>
      <c r="H1880" s="26">
        <f>'[6]price list MAN'!H1880</f>
        <v>0</v>
      </c>
      <c r="I1880" s="51" t="str">
        <f t="shared" si="145"/>
        <v/>
      </c>
      <c r="J1880" s="177" t="e">
        <f>'[6]price list MAN'!J1880</f>
        <v>#N/A</v>
      </c>
      <c r="K1880" s="177" t="e">
        <f>'[6]price list MAN'!P1880</f>
        <v>#N/A</v>
      </c>
      <c r="L1880" s="177" t="e">
        <f>'[6]price list MAN'!R1880</f>
        <v>#N/A</v>
      </c>
      <c r="M1880" s="174" t="e">
        <f>'[6]price list MAN'!S1880</f>
        <v>#N/A</v>
      </c>
      <c r="N1880" s="174" t="e">
        <f>'[6]price list MAN'!Y1880</f>
        <v>#N/A</v>
      </c>
      <c r="O1880" s="174" t="e">
        <f>'[6]price list MAN'!AA1880</f>
        <v>#N/A</v>
      </c>
      <c r="P1880" s="68" t="e">
        <f t="shared" si="146"/>
        <v>#N/A</v>
      </c>
      <c r="Q1880" s="62" t="e">
        <f>O1880-#REF!</f>
        <v>#N/A</v>
      </c>
      <c r="AT1880" s="425" t="str">
        <f t="shared" si="147"/>
        <v>Special Order0</v>
      </c>
      <c r="AU1880" s="64" t="str">
        <f t="shared" si="148"/>
        <v>01-1900</v>
      </c>
      <c r="BA1880" s="428" t="str">
        <f t="shared" si="149"/>
        <v/>
      </c>
    </row>
    <row r="1881" spans="2:53">
      <c r="B1881" s="36">
        <f>'[6]price list MAN'!B1881</f>
        <v>0</v>
      </c>
      <c r="C1881" s="10">
        <f>'[6]price list MAN'!C1881</f>
        <v>0</v>
      </c>
      <c r="D1881" s="16" t="str">
        <f>IFERROR(VLOOKUP(C1881&amp;"",'[7]Retail Price List'!$A$3:$B$103,2,FALSE),"Special Order")</f>
        <v>Special Order</v>
      </c>
      <c r="E1881" s="494">
        <f>'[6]price list MAN'!E1881</f>
        <v>0</v>
      </c>
      <c r="F1881" s="11">
        <f>'[6]price list MAN'!F1881</f>
        <v>0</v>
      </c>
      <c r="G1881" s="32">
        <f>'[6]price list MAN'!G1881</f>
        <v>0</v>
      </c>
      <c r="H1881" s="26">
        <f>'[6]price list MAN'!H1881</f>
        <v>0</v>
      </c>
      <c r="I1881" s="51" t="str">
        <f t="shared" si="145"/>
        <v/>
      </c>
      <c r="J1881" s="177" t="e">
        <f>'[6]price list MAN'!J1881</f>
        <v>#N/A</v>
      </c>
      <c r="K1881" s="177" t="e">
        <f>'[6]price list MAN'!P1881</f>
        <v>#N/A</v>
      </c>
      <c r="L1881" s="177" t="e">
        <f>'[6]price list MAN'!R1881</f>
        <v>#N/A</v>
      </c>
      <c r="M1881" s="174" t="e">
        <f>'[6]price list MAN'!S1881</f>
        <v>#N/A</v>
      </c>
      <c r="N1881" s="174" t="e">
        <f>'[6]price list MAN'!Y1881</f>
        <v>#N/A</v>
      </c>
      <c r="O1881" s="174" t="e">
        <f>'[6]price list MAN'!AA1881</f>
        <v>#N/A</v>
      </c>
      <c r="P1881" s="68" t="e">
        <f t="shared" si="146"/>
        <v>#N/A</v>
      </c>
      <c r="Q1881" s="62" t="e">
        <f>O1881-#REF!</f>
        <v>#N/A</v>
      </c>
      <c r="AT1881" s="425" t="str">
        <f t="shared" si="147"/>
        <v>Special Order0</v>
      </c>
      <c r="AU1881" s="64" t="str">
        <f t="shared" si="148"/>
        <v>01-1900</v>
      </c>
      <c r="BA1881" s="428" t="str">
        <f t="shared" si="149"/>
        <v/>
      </c>
    </row>
    <row r="1882" spans="2:53">
      <c r="B1882" s="36">
        <f>'[6]price list MAN'!B1882</f>
        <v>0</v>
      </c>
      <c r="C1882" s="10">
        <f>'[6]price list MAN'!C1882</f>
        <v>0</v>
      </c>
      <c r="D1882" s="16" t="str">
        <f>IFERROR(VLOOKUP(C1882&amp;"",'[7]Retail Price List'!$A$3:$B$103,2,FALSE),"Special Order")</f>
        <v>Special Order</v>
      </c>
      <c r="E1882" s="494">
        <f>'[6]price list MAN'!E1882</f>
        <v>0</v>
      </c>
      <c r="F1882" s="11">
        <f>'[6]price list MAN'!F1882</f>
        <v>0</v>
      </c>
      <c r="G1882" s="32">
        <f>'[6]price list MAN'!G1882</f>
        <v>0</v>
      </c>
      <c r="H1882" s="26">
        <f>'[6]price list MAN'!H1882</f>
        <v>0</v>
      </c>
      <c r="I1882" s="51" t="str">
        <f t="shared" si="145"/>
        <v/>
      </c>
      <c r="J1882" s="177" t="e">
        <f>'[6]price list MAN'!J1882</f>
        <v>#N/A</v>
      </c>
      <c r="K1882" s="177" t="e">
        <f>'[6]price list MAN'!P1882</f>
        <v>#N/A</v>
      </c>
      <c r="L1882" s="177" t="e">
        <f>'[6]price list MAN'!R1882</f>
        <v>#N/A</v>
      </c>
      <c r="M1882" s="174" t="e">
        <f>'[6]price list MAN'!S1882</f>
        <v>#N/A</v>
      </c>
      <c r="N1882" s="174" t="e">
        <f>'[6]price list MAN'!Y1882</f>
        <v>#N/A</v>
      </c>
      <c r="O1882" s="174" t="e">
        <f>'[6]price list MAN'!AA1882</f>
        <v>#N/A</v>
      </c>
      <c r="P1882" s="68" t="e">
        <f t="shared" si="146"/>
        <v>#N/A</v>
      </c>
      <c r="Q1882" s="62" t="e">
        <f>O1882-#REF!</f>
        <v>#N/A</v>
      </c>
      <c r="AT1882" s="425" t="str">
        <f t="shared" si="147"/>
        <v>Special Order0</v>
      </c>
      <c r="AU1882" s="64" t="str">
        <f t="shared" si="148"/>
        <v>01-1900</v>
      </c>
      <c r="BA1882" s="428" t="str">
        <f t="shared" si="149"/>
        <v/>
      </c>
    </row>
    <row r="1883" spans="2:53">
      <c r="B1883" s="36">
        <f>'[6]price list MAN'!B1883</f>
        <v>0</v>
      </c>
      <c r="C1883" s="10">
        <f>'[6]price list MAN'!C1883</f>
        <v>0</v>
      </c>
      <c r="D1883" s="16" t="str">
        <f>IFERROR(VLOOKUP(C1883&amp;"",'[7]Retail Price List'!$A$3:$B$103,2,FALSE),"Special Order")</f>
        <v>Special Order</v>
      </c>
      <c r="E1883" s="494">
        <f>'[6]price list MAN'!E1883</f>
        <v>0</v>
      </c>
      <c r="F1883" s="11">
        <f>'[6]price list MAN'!F1883</f>
        <v>0</v>
      </c>
      <c r="G1883" s="32">
        <f>'[6]price list MAN'!G1883</f>
        <v>0</v>
      </c>
      <c r="H1883" s="26">
        <f>'[6]price list MAN'!H1883</f>
        <v>0</v>
      </c>
      <c r="I1883" s="51" t="str">
        <f t="shared" si="145"/>
        <v/>
      </c>
      <c r="J1883" s="177" t="e">
        <f>'[6]price list MAN'!J1883</f>
        <v>#N/A</v>
      </c>
      <c r="K1883" s="177" t="e">
        <f>'[6]price list MAN'!P1883</f>
        <v>#N/A</v>
      </c>
      <c r="L1883" s="177" t="e">
        <f>'[6]price list MAN'!R1883</f>
        <v>#N/A</v>
      </c>
      <c r="M1883" s="174" t="e">
        <f>'[6]price list MAN'!S1883</f>
        <v>#N/A</v>
      </c>
      <c r="N1883" s="174" t="e">
        <f>'[6]price list MAN'!Y1883</f>
        <v>#N/A</v>
      </c>
      <c r="O1883" s="174" t="e">
        <f>'[6]price list MAN'!AA1883</f>
        <v>#N/A</v>
      </c>
      <c r="P1883" s="68" t="e">
        <f t="shared" si="146"/>
        <v>#N/A</v>
      </c>
      <c r="Q1883" s="62" t="e">
        <f>O1883-#REF!</f>
        <v>#N/A</v>
      </c>
      <c r="AT1883" s="425" t="str">
        <f t="shared" si="147"/>
        <v>Special Order0</v>
      </c>
      <c r="AU1883" s="64" t="str">
        <f t="shared" si="148"/>
        <v>01-1900</v>
      </c>
      <c r="BA1883" s="428" t="str">
        <f t="shared" si="149"/>
        <v/>
      </c>
    </row>
    <row r="1884" spans="2:53">
      <c r="B1884" s="36">
        <f>'[6]price list MAN'!B1884</f>
        <v>0</v>
      </c>
      <c r="C1884" s="10">
        <f>'[6]price list MAN'!C1884</f>
        <v>0</v>
      </c>
      <c r="D1884" s="16" t="str">
        <f>IFERROR(VLOOKUP(C1884&amp;"",'[7]Retail Price List'!$A$3:$B$103,2,FALSE),"Special Order")</f>
        <v>Special Order</v>
      </c>
      <c r="E1884" s="494">
        <f>'[6]price list MAN'!E1884</f>
        <v>0</v>
      </c>
      <c r="F1884" s="11">
        <f>'[6]price list MAN'!F1884</f>
        <v>0</v>
      </c>
      <c r="G1884" s="32">
        <f>'[6]price list MAN'!G1884</f>
        <v>0</v>
      </c>
      <c r="H1884" s="26">
        <f>'[6]price list MAN'!H1884</f>
        <v>0</v>
      </c>
      <c r="I1884" s="51" t="str">
        <f t="shared" si="145"/>
        <v/>
      </c>
      <c r="J1884" s="177" t="e">
        <f>'[6]price list MAN'!J1884</f>
        <v>#N/A</v>
      </c>
      <c r="K1884" s="177" t="e">
        <f>'[6]price list MAN'!P1884</f>
        <v>#N/A</v>
      </c>
      <c r="L1884" s="177" t="e">
        <f>'[6]price list MAN'!R1884</f>
        <v>#N/A</v>
      </c>
      <c r="M1884" s="174" t="e">
        <f>'[6]price list MAN'!S1884</f>
        <v>#N/A</v>
      </c>
      <c r="N1884" s="174" t="e">
        <f>'[6]price list MAN'!Y1884</f>
        <v>#N/A</v>
      </c>
      <c r="O1884" s="174" t="e">
        <f>'[6]price list MAN'!AA1884</f>
        <v>#N/A</v>
      </c>
      <c r="P1884" s="68" t="e">
        <f t="shared" si="146"/>
        <v>#N/A</v>
      </c>
      <c r="Q1884" s="62" t="e">
        <f>O1884-#REF!</f>
        <v>#N/A</v>
      </c>
      <c r="AT1884" s="425" t="str">
        <f t="shared" si="147"/>
        <v>Special Order0</v>
      </c>
      <c r="AU1884" s="64" t="str">
        <f t="shared" si="148"/>
        <v>01-1900</v>
      </c>
      <c r="BA1884" s="428" t="str">
        <f t="shared" si="149"/>
        <v/>
      </c>
    </row>
    <row r="1885" spans="2:53">
      <c r="B1885" s="36">
        <f>'[6]price list MAN'!B1885</f>
        <v>0</v>
      </c>
      <c r="C1885" s="10">
        <f>'[6]price list MAN'!C1885</f>
        <v>0</v>
      </c>
      <c r="D1885" s="16" t="str">
        <f>IFERROR(VLOOKUP(C1885&amp;"",'[7]Retail Price List'!$A$3:$B$103,2,FALSE),"Special Order")</f>
        <v>Special Order</v>
      </c>
      <c r="E1885" s="494">
        <f>'[6]price list MAN'!E1885</f>
        <v>0</v>
      </c>
      <c r="F1885" s="11">
        <f>'[6]price list MAN'!F1885</f>
        <v>0</v>
      </c>
      <c r="G1885" s="32">
        <f>'[6]price list MAN'!G1885</f>
        <v>0</v>
      </c>
      <c r="H1885" s="26">
        <f>'[6]price list MAN'!H1885</f>
        <v>0</v>
      </c>
      <c r="I1885" s="51" t="str">
        <f t="shared" si="145"/>
        <v/>
      </c>
      <c r="J1885" s="177" t="e">
        <f>'[6]price list MAN'!J1885</f>
        <v>#N/A</v>
      </c>
      <c r="K1885" s="177" t="e">
        <f>'[6]price list MAN'!P1885</f>
        <v>#N/A</v>
      </c>
      <c r="L1885" s="177" t="e">
        <f>'[6]price list MAN'!R1885</f>
        <v>#N/A</v>
      </c>
      <c r="M1885" s="174" t="e">
        <f>'[6]price list MAN'!S1885</f>
        <v>#N/A</v>
      </c>
      <c r="N1885" s="174" t="e">
        <f>'[6]price list MAN'!Y1885</f>
        <v>#N/A</v>
      </c>
      <c r="O1885" s="174" t="e">
        <f>'[6]price list MAN'!AA1885</f>
        <v>#N/A</v>
      </c>
      <c r="P1885" s="68" t="e">
        <f t="shared" si="146"/>
        <v>#N/A</v>
      </c>
      <c r="Q1885" s="62" t="e">
        <f>O1885-#REF!</f>
        <v>#N/A</v>
      </c>
      <c r="AT1885" s="425" t="str">
        <f t="shared" si="147"/>
        <v>Special Order0</v>
      </c>
      <c r="AU1885" s="64" t="str">
        <f t="shared" si="148"/>
        <v>01-1900</v>
      </c>
      <c r="BA1885" s="428" t="str">
        <f t="shared" si="149"/>
        <v/>
      </c>
    </row>
    <row r="1886" spans="2:53">
      <c r="B1886" s="36">
        <f>'[6]price list MAN'!B1886</f>
        <v>0</v>
      </c>
      <c r="C1886" s="10">
        <f>'[6]price list MAN'!C1886</f>
        <v>0</v>
      </c>
      <c r="D1886" s="16" t="str">
        <f>IFERROR(VLOOKUP(C1886&amp;"",'[7]Retail Price List'!$A$3:$B$103,2,FALSE),"Special Order")</f>
        <v>Special Order</v>
      </c>
      <c r="E1886" s="494">
        <f>'[6]price list MAN'!E1886</f>
        <v>0</v>
      </c>
      <c r="F1886" s="11">
        <f>'[6]price list MAN'!F1886</f>
        <v>0</v>
      </c>
      <c r="G1886" s="32">
        <f>'[6]price list MAN'!G1886</f>
        <v>0</v>
      </c>
      <c r="H1886" s="26">
        <f>'[6]price list MAN'!H1886</f>
        <v>0</v>
      </c>
      <c r="I1886" s="51" t="str">
        <f t="shared" si="145"/>
        <v/>
      </c>
      <c r="J1886" s="177" t="e">
        <f>'[6]price list MAN'!J1886</f>
        <v>#N/A</v>
      </c>
      <c r="K1886" s="177" t="e">
        <f>'[6]price list MAN'!P1886</f>
        <v>#N/A</v>
      </c>
      <c r="L1886" s="177" t="e">
        <f>'[6]price list MAN'!R1886</f>
        <v>#N/A</v>
      </c>
      <c r="M1886" s="174" t="e">
        <f>'[6]price list MAN'!S1886</f>
        <v>#N/A</v>
      </c>
      <c r="N1886" s="174" t="e">
        <f>'[6]price list MAN'!Y1886</f>
        <v>#N/A</v>
      </c>
      <c r="O1886" s="174" t="e">
        <f>'[6]price list MAN'!AA1886</f>
        <v>#N/A</v>
      </c>
      <c r="P1886" s="68" t="e">
        <f t="shared" si="146"/>
        <v>#N/A</v>
      </c>
      <c r="Q1886" s="62" t="e">
        <f>O1886-#REF!</f>
        <v>#N/A</v>
      </c>
      <c r="AT1886" s="425" t="str">
        <f t="shared" si="147"/>
        <v>Special Order0</v>
      </c>
      <c r="AU1886" s="64" t="str">
        <f t="shared" si="148"/>
        <v>01-1900</v>
      </c>
      <c r="BA1886" s="428" t="str">
        <f t="shared" si="149"/>
        <v/>
      </c>
    </row>
    <row r="1887" spans="2:53">
      <c r="B1887" s="36">
        <f>'[6]price list MAN'!B1887</f>
        <v>0</v>
      </c>
      <c r="C1887" s="10">
        <f>'[6]price list MAN'!C1887</f>
        <v>0</v>
      </c>
      <c r="D1887" s="16" t="str">
        <f>IFERROR(VLOOKUP(C1887&amp;"",'[7]Retail Price List'!$A$3:$B$103,2,FALSE),"Special Order")</f>
        <v>Special Order</v>
      </c>
      <c r="E1887" s="494">
        <f>'[6]price list MAN'!E1887</f>
        <v>0</v>
      </c>
      <c r="F1887" s="11">
        <f>'[6]price list MAN'!F1887</f>
        <v>0</v>
      </c>
      <c r="G1887" s="32">
        <f>'[6]price list MAN'!G1887</f>
        <v>0</v>
      </c>
      <c r="H1887" s="26">
        <f>'[6]price list MAN'!H1887</f>
        <v>0</v>
      </c>
      <c r="I1887" s="51" t="str">
        <f t="shared" si="145"/>
        <v/>
      </c>
      <c r="J1887" s="177" t="e">
        <f>'[6]price list MAN'!J1887</f>
        <v>#N/A</v>
      </c>
      <c r="K1887" s="177" t="e">
        <f>'[6]price list MAN'!P1887</f>
        <v>#N/A</v>
      </c>
      <c r="L1887" s="177" t="e">
        <f>'[6]price list MAN'!R1887</f>
        <v>#N/A</v>
      </c>
      <c r="M1887" s="174" t="e">
        <f>'[6]price list MAN'!S1887</f>
        <v>#N/A</v>
      </c>
      <c r="N1887" s="174" t="e">
        <f>'[6]price list MAN'!Y1887</f>
        <v>#N/A</v>
      </c>
      <c r="O1887" s="174" t="e">
        <f>'[6]price list MAN'!AA1887</f>
        <v>#N/A</v>
      </c>
      <c r="P1887" s="68" t="e">
        <f t="shared" si="146"/>
        <v>#N/A</v>
      </c>
      <c r="Q1887" s="62" t="e">
        <f>O1887-#REF!</f>
        <v>#N/A</v>
      </c>
      <c r="AT1887" s="425" t="str">
        <f t="shared" si="147"/>
        <v>Special Order0</v>
      </c>
      <c r="AU1887" s="64" t="str">
        <f t="shared" si="148"/>
        <v>01-1900</v>
      </c>
      <c r="BA1887" s="428" t="str">
        <f t="shared" si="149"/>
        <v/>
      </c>
    </row>
    <row r="1888" spans="2:53">
      <c r="B1888" s="36">
        <f>'[6]price list MAN'!B1888</f>
        <v>0</v>
      </c>
      <c r="C1888" s="10">
        <f>'[6]price list MAN'!C1888</f>
        <v>0</v>
      </c>
      <c r="D1888" s="16" t="str">
        <f>IFERROR(VLOOKUP(C1888&amp;"",'[7]Retail Price List'!$A$3:$B$103,2,FALSE),"Special Order")</f>
        <v>Special Order</v>
      </c>
      <c r="E1888" s="494">
        <f>'[6]price list MAN'!E1888</f>
        <v>0</v>
      </c>
      <c r="F1888" s="11">
        <f>'[6]price list MAN'!F1888</f>
        <v>0</v>
      </c>
      <c r="G1888" s="32">
        <f>'[6]price list MAN'!G1888</f>
        <v>0</v>
      </c>
      <c r="H1888" s="26">
        <f>'[6]price list MAN'!H1888</f>
        <v>0</v>
      </c>
      <c r="I1888" s="51" t="str">
        <f t="shared" si="145"/>
        <v/>
      </c>
      <c r="J1888" s="177" t="e">
        <f>'[6]price list MAN'!J1888</f>
        <v>#N/A</v>
      </c>
      <c r="K1888" s="177" t="e">
        <f>'[6]price list MAN'!P1888</f>
        <v>#N/A</v>
      </c>
      <c r="L1888" s="177" t="e">
        <f>'[6]price list MAN'!R1888</f>
        <v>#N/A</v>
      </c>
      <c r="M1888" s="174" t="e">
        <f>'[6]price list MAN'!S1888</f>
        <v>#N/A</v>
      </c>
      <c r="N1888" s="174" t="e">
        <f>'[6]price list MAN'!Y1888</f>
        <v>#N/A</v>
      </c>
      <c r="O1888" s="174" t="e">
        <f>'[6]price list MAN'!AA1888</f>
        <v>#N/A</v>
      </c>
      <c r="P1888" s="68" t="e">
        <f t="shared" si="146"/>
        <v>#N/A</v>
      </c>
      <c r="Q1888" s="62" t="e">
        <f>O1888-#REF!</f>
        <v>#N/A</v>
      </c>
      <c r="AT1888" s="425" t="str">
        <f t="shared" si="147"/>
        <v>Special Order0</v>
      </c>
      <c r="AU1888" s="64" t="str">
        <f t="shared" si="148"/>
        <v>01-1900</v>
      </c>
      <c r="BA1888" s="428" t="str">
        <f t="shared" si="149"/>
        <v/>
      </c>
    </row>
    <row r="1889" spans="2:53">
      <c r="B1889" s="36">
        <f>'[6]price list MAN'!B1889</f>
        <v>0</v>
      </c>
      <c r="C1889" s="10">
        <f>'[6]price list MAN'!C1889</f>
        <v>0</v>
      </c>
      <c r="D1889" s="16" t="str">
        <f>IFERROR(VLOOKUP(C1889&amp;"",'[7]Retail Price List'!$A$3:$B$103,2,FALSE),"Special Order")</f>
        <v>Special Order</v>
      </c>
      <c r="E1889" s="494">
        <f>'[6]price list MAN'!E1889</f>
        <v>0</v>
      </c>
      <c r="F1889" s="11">
        <f>'[6]price list MAN'!F1889</f>
        <v>0</v>
      </c>
      <c r="G1889" s="32">
        <f>'[6]price list MAN'!G1889</f>
        <v>0</v>
      </c>
      <c r="H1889" s="26">
        <f>'[6]price list MAN'!H1889</f>
        <v>0</v>
      </c>
      <c r="I1889" s="51" t="str">
        <f t="shared" si="145"/>
        <v/>
      </c>
      <c r="J1889" s="177" t="e">
        <f>'[6]price list MAN'!J1889</f>
        <v>#N/A</v>
      </c>
      <c r="K1889" s="177" t="e">
        <f>'[6]price list MAN'!P1889</f>
        <v>#N/A</v>
      </c>
      <c r="L1889" s="177" t="e">
        <f>'[6]price list MAN'!R1889</f>
        <v>#N/A</v>
      </c>
      <c r="M1889" s="174" t="e">
        <f>'[6]price list MAN'!S1889</f>
        <v>#N/A</v>
      </c>
      <c r="N1889" s="174" t="e">
        <f>'[6]price list MAN'!Y1889</f>
        <v>#N/A</v>
      </c>
      <c r="O1889" s="174" t="e">
        <f>'[6]price list MAN'!AA1889</f>
        <v>#N/A</v>
      </c>
      <c r="P1889" s="68" t="e">
        <f t="shared" si="146"/>
        <v>#N/A</v>
      </c>
      <c r="Q1889" s="62" t="e">
        <f>O1889-#REF!</f>
        <v>#N/A</v>
      </c>
      <c r="AT1889" s="425" t="str">
        <f t="shared" si="147"/>
        <v>Special Order0</v>
      </c>
      <c r="AU1889" s="64" t="str">
        <f t="shared" si="148"/>
        <v>01-1900</v>
      </c>
      <c r="BA1889" s="428" t="str">
        <f t="shared" si="149"/>
        <v/>
      </c>
    </row>
    <row r="1890" spans="2:53">
      <c r="B1890" s="36">
        <f>'[6]price list MAN'!B1890</f>
        <v>0</v>
      </c>
      <c r="C1890" s="10">
        <f>'[6]price list MAN'!C1890</f>
        <v>0</v>
      </c>
      <c r="D1890" s="16" t="str">
        <f>IFERROR(VLOOKUP(C1890&amp;"",'[7]Retail Price List'!$A$3:$B$103,2,FALSE),"Special Order")</f>
        <v>Special Order</v>
      </c>
      <c r="E1890" s="494">
        <f>'[6]price list MAN'!E1890</f>
        <v>0</v>
      </c>
      <c r="F1890" s="11">
        <f>'[6]price list MAN'!F1890</f>
        <v>0</v>
      </c>
      <c r="G1890" s="32">
        <f>'[6]price list MAN'!G1890</f>
        <v>0</v>
      </c>
      <c r="H1890" s="26">
        <f>'[6]price list MAN'!H1890</f>
        <v>0</v>
      </c>
      <c r="I1890" s="51" t="str">
        <f t="shared" si="145"/>
        <v/>
      </c>
      <c r="J1890" s="177" t="e">
        <f>'[6]price list MAN'!J1890</f>
        <v>#N/A</v>
      </c>
      <c r="K1890" s="177" t="e">
        <f>'[6]price list MAN'!P1890</f>
        <v>#N/A</v>
      </c>
      <c r="L1890" s="177" t="e">
        <f>'[6]price list MAN'!R1890</f>
        <v>#N/A</v>
      </c>
      <c r="M1890" s="174" t="e">
        <f>'[6]price list MAN'!S1890</f>
        <v>#N/A</v>
      </c>
      <c r="N1890" s="174" t="e">
        <f>'[6]price list MAN'!Y1890</f>
        <v>#N/A</v>
      </c>
      <c r="O1890" s="174" t="e">
        <f>'[6]price list MAN'!AA1890</f>
        <v>#N/A</v>
      </c>
      <c r="P1890" s="68" t="e">
        <f t="shared" si="146"/>
        <v>#N/A</v>
      </c>
      <c r="Q1890" s="62" t="e">
        <f>O1890-#REF!</f>
        <v>#N/A</v>
      </c>
      <c r="AT1890" s="425" t="str">
        <f t="shared" si="147"/>
        <v>Special Order0</v>
      </c>
      <c r="AU1890" s="64" t="str">
        <f t="shared" si="148"/>
        <v>01-1900</v>
      </c>
      <c r="BA1890" s="428" t="str">
        <f t="shared" si="149"/>
        <v/>
      </c>
    </row>
    <row r="1891" spans="2:53">
      <c r="B1891" s="36">
        <f>'[6]price list MAN'!B1891</f>
        <v>0</v>
      </c>
      <c r="C1891" s="10">
        <f>'[6]price list MAN'!C1891</f>
        <v>0</v>
      </c>
      <c r="D1891" s="16" t="str">
        <f>IFERROR(VLOOKUP(C1891&amp;"",'[7]Retail Price List'!$A$3:$B$103,2,FALSE),"Special Order")</f>
        <v>Special Order</v>
      </c>
      <c r="E1891" s="494">
        <f>'[6]price list MAN'!E1891</f>
        <v>0</v>
      </c>
      <c r="F1891" s="11">
        <f>'[6]price list MAN'!F1891</f>
        <v>0</v>
      </c>
      <c r="G1891" s="32">
        <f>'[6]price list MAN'!G1891</f>
        <v>0</v>
      </c>
      <c r="H1891" s="26">
        <f>'[6]price list MAN'!H1891</f>
        <v>0</v>
      </c>
      <c r="I1891" s="51" t="str">
        <f t="shared" si="145"/>
        <v/>
      </c>
      <c r="J1891" s="177" t="e">
        <f>'[6]price list MAN'!J1891</f>
        <v>#N/A</v>
      </c>
      <c r="K1891" s="177" t="e">
        <f>'[6]price list MAN'!P1891</f>
        <v>#N/A</v>
      </c>
      <c r="L1891" s="177" t="e">
        <f>'[6]price list MAN'!R1891</f>
        <v>#N/A</v>
      </c>
      <c r="M1891" s="174" t="e">
        <f>'[6]price list MAN'!S1891</f>
        <v>#N/A</v>
      </c>
      <c r="N1891" s="174" t="e">
        <f>'[6]price list MAN'!Y1891</f>
        <v>#N/A</v>
      </c>
      <c r="O1891" s="174" t="e">
        <f>'[6]price list MAN'!AA1891</f>
        <v>#N/A</v>
      </c>
      <c r="P1891" s="68" t="e">
        <f t="shared" si="146"/>
        <v>#N/A</v>
      </c>
      <c r="Q1891" s="62" t="e">
        <f>O1891-#REF!</f>
        <v>#N/A</v>
      </c>
      <c r="AT1891" s="425" t="str">
        <f t="shared" si="147"/>
        <v>Special Order0</v>
      </c>
      <c r="AU1891" s="64" t="str">
        <f t="shared" si="148"/>
        <v>01-1900</v>
      </c>
      <c r="BA1891" s="428" t="str">
        <f t="shared" si="149"/>
        <v/>
      </c>
    </row>
    <row r="1892" spans="2:53">
      <c r="B1892" s="36">
        <f>'[6]price list MAN'!B1892</f>
        <v>0</v>
      </c>
      <c r="C1892" s="10">
        <f>'[6]price list MAN'!C1892</f>
        <v>0</v>
      </c>
      <c r="D1892" s="16" t="str">
        <f>IFERROR(VLOOKUP(C1892&amp;"",'[7]Retail Price List'!$A$3:$B$103,2,FALSE),"Special Order")</f>
        <v>Special Order</v>
      </c>
      <c r="E1892" s="494">
        <f>'[6]price list MAN'!E1892</f>
        <v>0</v>
      </c>
      <c r="F1892" s="11">
        <f>'[6]price list MAN'!F1892</f>
        <v>0</v>
      </c>
      <c r="G1892" s="32">
        <f>'[6]price list MAN'!G1892</f>
        <v>0</v>
      </c>
      <c r="H1892" s="26">
        <f>'[6]price list MAN'!H1892</f>
        <v>0</v>
      </c>
      <c r="I1892" s="51" t="str">
        <f t="shared" si="145"/>
        <v/>
      </c>
      <c r="J1892" s="177" t="e">
        <f>'[6]price list MAN'!J1892</f>
        <v>#N/A</v>
      </c>
      <c r="K1892" s="177" t="e">
        <f>'[6]price list MAN'!P1892</f>
        <v>#N/A</v>
      </c>
      <c r="L1892" s="177" t="e">
        <f>'[6]price list MAN'!R1892</f>
        <v>#N/A</v>
      </c>
      <c r="M1892" s="174" t="e">
        <f>'[6]price list MAN'!S1892</f>
        <v>#N/A</v>
      </c>
      <c r="N1892" s="174" t="e">
        <f>'[6]price list MAN'!Y1892</f>
        <v>#N/A</v>
      </c>
      <c r="O1892" s="174" t="e">
        <f>'[6]price list MAN'!AA1892</f>
        <v>#N/A</v>
      </c>
      <c r="P1892" s="68" t="e">
        <f t="shared" si="146"/>
        <v>#N/A</v>
      </c>
      <c r="Q1892" s="62" t="e">
        <f>O1892-#REF!</f>
        <v>#N/A</v>
      </c>
      <c r="AT1892" s="425" t="str">
        <f t="shared" si="147"/>
        <v>Special Order0</v>
      </c>
      <c r="AU1892" s="64" t="str">
        <f t="shared" si="148"/>
        <v>01-1900</v>
      </c>
      <c r="BA1892" s="428" t="str">
        <f t="shared" si="149"/>
        <v/>
      </c>
    </row>
    <row r="1893" spans="2:53">
      <c r="B1893" s="36">
        <f>'[6]price list MAN'!B1893</f>
        <v>0</v>
      </c>
      <c r="C1893" s="10">
        <f>'[6]price list MAN'!C1893</f>
        <v>0</v>
      </c>
      <c r="D1893" s="16" t="str">
        <f>IFERROR(VLOOKUP(C1893&amp;"",'[7]Retail Price List'!$A$3:$B$103,2,FALSE),"Special Order")</f>
        <v>Special Order</v>
      </c>
      <c r="E1893" s="494">
        <f>'[6]price list MAN'!E1893</f>
        <v>0</v>
      </c>
      <c r="F1893" s="11">
        <f>'[6]price list MAN'!F1893</f>
        <v>0</v>
      </c>
      <c r="G1893" s="32">
        <f>'[6]price list MAN'!G1893</f>
        <v>0</v>
      </c>
      <c r="H1893" s="26">
        <f>'[6]price list MAN'!H1893</f>
        <v>0</v>
      </c>
      <c r="I1893" s="51" t="str">
        <f t="shared" si="145"/>
        <v/>
      </c>
      <c r="J1893" s="177" t="e">
        <f>'[6]price list MAN'!J1893</f>
        <v>#N/A</v>
      </c>
      <c r="K1893" s="177" t="e">
        <f>'[6]price list MAN'!P1893</f>
        <v>#N/A</v>
      </c>
      <c r="L1893" s="177" t="e">
        <f>'[6]price list MAN'!R1893</f>
        <v>#N/A</v>
      </c>
      <c r="M1893" s="174" t="e">
        <f>'[6]price list MAN'!S1893</f>
        <v>#N/A</v>
      </c>
      <c r="N1893" s="174" t="e">
        <f>'[6]price list MAN'!Y1893</f>
        <v>#N/A</v>
      </c>
      <c r="O1893" s="174" t="e">
        <f>'[6]price list MAN'!AA1893</f>
        <v>#N/A</v>
      </c>
      <c r="P1893" s="68" t="e">
        <f t="shared" si="146"/>
        <v>#N/A</v>
      </c>
      <c r="Q1893" s="62" t="e">
        <f>O1893-#REF!</f>
        <v>#N/A</v>
      </c>
      <c r="AT1893" s="425" t="str">
        <f t="shared" si="147"/>
        <v>Special Order0</v>
      </c>
      <c r="AU1893" s="64" t="str">
        <f t="shared" si="148"/>
        <v>01-1900</v>
      </c>
      <c r="BA1893" s="428" t="str">
        <f t="shared" si="149"/>
        <v/>
      </c>
    </row>
    <row r="1894" spans="2:53">
      <c r="B1894" s="36">
        <f>'[6]price list MAN'!B1894</f>
        <v>0</v>
      </c>
      <c r="C1894" s="10">
        <f>'[6]price list MAN'!C1894</f>
        <v>0</v>
      </c>
      <c r="D1894" s="16" t="str">
        <f>IFERROR(VLOOKUP(C1894&amp;"",'[7]Retail Price List'!$A$3:$B$103,2,FALSE),"Special Order")</f>
        <v>Special Order</v>
      </c>
      <c r="E1894" s="494">
        <f>'[6]price list MAN'!E1894</f>
        <v>0</v>
      </c>
      <c r="F1894" s="11">
        <f>'[6]price list MAN'!F1894</f>
        <v>0</v>
      </c>
      <c r="G1894" s="32">
        <f>'[6]price list MAN'!G1894</f>
        <v>0</v>
      </c>
      <c r="H1894" s="26">
        <f>'[6]price list MAN'!H1894</f>
        <v>0</v>
      </c>
      <c r="I1894" s="51" t="str">
        <f t="shared" si="145"/>
        <v/>
      </c>
      <c r="J1894" s="177" t="e">
        <f>'[6]price list MAN'!J1894</f>
        <v>#N/A</v>
      </c>
      <c r="K1894" s="177" t="e">
        <f>'[6]price list MAN'!P1894</f>
        <v>#N/A</v>
      </c>
      <c r="L1894" s="177" t="e">
        <f>'[6]price list MAN'!R1894</f>
        <v>#N/A</v>
      </c>
      <c r="M1894" s="174" t="e">
        <f>'[6]price list MAN'!S1894</f>
        <v>#N/A</v>
      </c>
      <c r="N1894" s="174" t="e">
        <f>'[6]price list MAN'!Y1894</f>
        <v>#N/A</v>
      </c>
      <c r="O1894" s="174" t="e">
        <f>'[6]price list MAN'!AA1894</f>
        <v>#N/A</v>
      </c>
      <c r="P1894" s="68" t="e">
        <f t="shared" si="146"/>
        <v>#N/A</v>
      </c>
      <c r="Q1894" s="62" t="e">
        <f>O1894-#REF!</f>
        <v>#N/A</v>
      </c>
      <c r="AT1894" s="425" t="str">
        <f t="shared" si="147"/>
        <v>Special Order0</v>
      </c>
      <c r="AU1894" s="64" t="str">
        <f t="shared" si="148"/>
        <v>01-1900</v>
      </c>
      <c r="BA1894" s="428" t="str">
        <f t="shared" si="149"/>
        <v/>
      </c>
    </row>
    <row r="1895" spans="2:53">
      <c r="B1895" s="36">
        <f>'[6]price list MAN'!B1895</f>
        <v>0</v>
      </c>
      <c r="C1895" s="10">
        <f>'[6]price list MAN'!C1895</f>
        <v>0</v>
      </c>
      <c r="D1895" s="16" t="str">
        <f>IFERROR(VLOOKUP(C1895&amp;"",'[7]Retail Price List'!$A$3:$B$103,2,FALSE),"Special Order")</f>
        <v>Special Order</v>
      </c>
      <c r="E1895" s="494">
        <f>'[6]price list MAN'!E1895</f>
        <v>0</v>
      </c>
      <c r="F1895" s="11">
        <f>'[6]price list MAN'!F1895</f>
        <v>0</v>
      </c>
      <c r="G1895" s="32">
        <f>'[6]price list MAN'!G1895</f>
        <v>0</v>
      </c>
      <c r="H1895" s="26">
        <f>'[6]price list MAN'!H1895</f>
        <v>0</v>
      </c>
      <c r="I1895" s="51" t="str">
        <f t="shared" si="145"/>
        <v/>
      </c>
      <c r="J1895" s="177" t="e">
        <f>'[6]price list MAN'!J1895</f>
        <v>#N/A</v>
      </c>
      <c r="K1895" s="177" t="e">
        <f>'[6]price list MAN'!P1895</f>
        <v>#N/A</v>
      </c>
      <c r="L1895" s="177" t="e">
        <f>'[6]price list MAN'!R1895</f>
        <v>#N/A</v>
      </c>
      <c r="M1895" s="174" t="e">
        <f>'[6]price list MAN'!S1895</f>
        <v>#N/A</v>
      </c>
      <c r="N1895" s="174" t="e">
        <f>'[6]price list MAN'!Y1895</f>
        <v>#N/A</v>
      </c>
      <c r="O1895" s="174" t="e">
        <f>'[6]price list MAN'!AA1895</f>
        <v>#N/A</v>
      </c>
      <c r="P1895" s="68" t="e">
        <f t="shared" si="146"/>
        <v>#N/A</v>
      </c>
      <c r="Q1895" s="62" t="e">
        <f>O1895-#REF!</f>
        <v>#N/A</v>
      </c>
      <c r="AT1895" s="425" t="str">
        <f t="shared" si="147"/>
        <v>Special Order0</v>
      </c>
      <c r="AU1895" s="64" t="str">
        <f t="shared" si="148"/>
        <v>01-1900</v>
      </c>
      <c r="BA1895" s="428" t="str">
        <f t="shared" si="149"/>
        <v/>
      </c>
    </row>
    <row r="1896" spans="2:53">
      <c r="B1896" s="36">
        <f>'[6]price list MAN'!B1896</f>
        <v>0</v>
      </c>
      <c r="C1896" s="10">
        <f>'[6]price list MAN'!C1896</f>
        <v>0</v>
      </c>
      <c r="D1896" s="16" t="str">
        <f>IFERROR(VLOOKUP(C1896&amp;"",'[7]Retail Price List'!$A$3:$B$103,2,FALSE),"Special Order")</f>
        <v>Special Order</v>
      </c>
      <c r="E1896" s="494">
        <f>'[6]price list MAN'!E1896</f>
        <v>0</v>
      </c>
      <c r="F1896" s="11">
        <f>'[6]price list MAN'!F1896</f>
        <v>0</v>
      </c>
      <c r="G1896" s="32">
        <f>'[6]price list MAN'!G1896</f>
        <v>0</v>
      </c>
      <c r="H1896" s="26">
        <f>'[6]price list MAN'!H1896</f>
        <v>0</v>
      </c>
      <c r="I1896" s="51" t="str">
        <f t="shared" si="145"/>
        <v/>
      </c>
      <c r="J1896" s="177" t="e">
        <f>'[6]price list MAN'!J1896</f>
        <v>#N/A</v>
      </c>
      <c r="K1896" s="177" t="e">
        <f>'[6]price list MAN'!P1896</f>
        <v>#N/A</v>
      </c>
      <c r="L1896" s="177" t="e">
        <f>'[6]price list MAN'!R1896</f>
        <v>#N/A</v>
      </c>
      <c r="M1896" s="174" t="e">
        <f>'[6]price list MAN'!S1896</f>
        <v>#N/A</v>
      </c>
      <c r="N1896" s="174" t="e">
        <f>'[6]price list MAN'!Y1896</f>
        <v>#N/A</v>
      </c>
      <c r="O1896" s="174" t="e">
        <f>'[6]price list MAN'!AA1896</f>
        <v>#N/A</v>
      </c>
      <c r="P1896" s="68" t="e">
        <f t="shared" si="146"/>
        <v>#N/A</v>
      </c>
      <c r="Q1896" s="62" t="e">
        <f>O1896-#REF!</f>
        <v>#N/A</v>
      </c>
      <c r="AT1896" s="425" t="str">
        <f t="shared" si="147"/>
        <v>Special Order0</v>
      </c>
      <c r="AU1896" s="64" t="str">
        <f t="shared" si="148"/>
        <v>01-1900</v>
      </c>
      <c r="BA1896" s="428" t="str">
        <f t="shared" si="149"/>
        <v/>
      </c>
    </row>
    <row r="1897" spans="2:53">
      <c r="B1897" s="36">
        <f>'[6]price list MAN'!B1897</f>
        <v>0</v>
      </c>
      <c r="C1897" s="10">
        <f>'[6]price list MAN'!C1897</f>
        <v>0</v>
      </c>
      <c r="D1897" s="16" t="str">
        <f>IFERROR(VLOOKUP(C1897&amp;"",'[7]Retail Price List'!$A$3:$B$103,2,FALSE),"Special Order")</f>
        <v>Special Order</v>
      </c>
      <c r="E1897" s="494">
        <f>'[6]price list MAN'!E1897</f>
        <v>0</v>
      </c>
      <c r="F1897" s="11">
        <f>'[6]price list MAN'!F1897</f>
        <v>0</v>
      </c>
      <c r="G1897" s="32">
        <f>'[6]price list MAN'!G1897</f>
        <v>0</v>
      </c>
      <c r="H1897" s="26">
        <f>'[6]price list MAN'!H1897</f>
        <v>0</v>
      </c>
      <c r="I1897" s="51" t="str">
        <f t="shared" si="145"/>
        <v/>
      </c>
      <c r="J1897" s="177" t="e">
        <f>'[6]price list MAN'!J1897</f>
        <v>#N/A</v>
      </c>
      <c r="K1897" s="177" t="e">
        <f>'[6]price list MAN'!P1897</f>
        <v>#N/A</v>
      </c>
      <c r="L1897" s="177" t="e">
        <f>'[6]price list MAN'!R1897</f>
        <v>#N/A</v>
      </c>
      <c r="M1897" s="174" t="e">
        <f>'[6]price list MAN'!S1897</f>
        <v>#N/A</v>
      </c>
      <c r="N1897" s="174" t="e">
        <f>'[6]price list MAN'!Y1897</f>
        <v>#N/A</v>
      </c>
      <c r="O1897" s="174" t="e">
        <f>'[6]price list MAN'!AA1897</f>
        <v>#N/A</v>
      </c>
      <c r="P1897" s="68" t="e">
        <f t="shared" si="146"/>
        <v>#N/A</v>
      </c>
      <c r="Q1897" s="62" t="e">
        <f>O1897-#REF!</f>
        <v>#N/A</v>
      </c>
      <c r="AT1897" s="425" t="str">
        <f t="shared" si="147"/>
        <v>Special Order0</v>
      </c>
      <c r="AU1897" s="64" t="str">
        <f t="shared" si="148"/>
        <v>01-1900</v>
      </c>
      <c r="BA1897" s="428" t="str">
        <f t="shared" si="149"/>
        <v/>
      </c>
    </row>
    <row r="1898" spans="2:53">
      <c r="B1898" s="36">
        <f>'[6]price list MAN'!B1898</f>
        <v>0</v>
      </c>
      <c r="C1898" s="10">
        <f>'[6]price list MAN'!C1898</f>
        <v>0</v>
      </c>
      <c r="D1898" s="16" t="str">
        <f>IFERROR(VLOOKUP(C1898&amp;"",'[7]Retail Price List'!$A$3:$B$103,2,FALSE),"Special Order")</f>
        <v>Special Order</v>
      </c>
      <c r="E1898" s="494">
        <f>'[6]price list MAN'!E1898</f>
        <v>0</v>
      </c>
      <c r="F1898" s="11">
        <f>'[6]price list MAN'!F1898</f>
        <v>0</v>
      </c>
      <c r="G1898" s="32">
        <f>'[6]price list MAN'!G1898</f>
        <v>0</v>
      </c>
      <c r="H1898" s="26">
        <f>'[6]price list MAN'!H1898</f>
        <v>0</v>
      </c>
      <c r="I1898" s="51" t="str">
        <f t="shared" si="145"/>
        <v/>
      </c>
      <c r="J1898" s="177" t="e">
        <f>'[6]price list MAN'!J1898</f>
        <v>#N/A</v>
      </c>
      <c r="K1898" s="177" t="e">
        <f>'[6]price list MAN'!P1898</f>
        <v>#N/A</v>
      </c>
      <c r="L1898" s="177" t="e">
        <f>'[6]price list MAN'!R1898</f>
        <v>#N/A</v>
      </c>
      <c r="M1898" s="174" t="e">
        <f>'[6]price list MAN'!S1898</f>
        <v>#N/A</v>
      </c>
      <c r="N1898" s="174" t="e">
        <f>'[6]price list MAN'!Y1898</f>
        <v>#N/A</v>
      </c>
      <c r="O1898" s="174" t="e">
        <f>'[6]price list MAN'!AA1898</f>
        <v>#N/A</v>
      </c>
      <c r="P1898" s="68" t="e">
        <f t="shared" si="146"/>
        <v>#N/A</v>
      </c>
      <c r="Q1898" s="62" t="e">
        <f>O1898-#REF!</f>
        <v>#N/A</v>
      </c>
      <c r="AT1898" s="425" t="str">
        <f t="shared" si="147"/>
        <v>Special Order0</v>
      </c>
      <c r="AU1898" s="64" t="str">
        <f t="shared" si="148"/>
        <v>01-1900</v>
      </c>
      <c r="BA1898" s="428" t="str">
        <f t="shared" si="149"/>
        <v/>
      </c>
    </row>
    <row r="1899" spans="2:53">
      <c r="B1899" s="36">
        <f>'[6]price list MAN'!B1899</f>
        <v>0</v>
      </c>
      <c r="C1899" s="10">
        <f>'[6]price list MAN'!C1899</f>
        <v>0</v>
      </c>
      <c r="D1899" s="16" t="str">
        <f>IFERROR(VLOOKUP(C1899&amp;"",'[7]Retail Price List'!$A$3:$B$103,2,FALSE),"Special Order")</f>
        <v>Special Order</v>
      </c>
      <c r="E1899" s="494">
        <f>'[6]price list MAN'!E1899</f>
        <v>0</v>
      </c>
      <c r="F1899" s="11">
        <f>'[6]price list MAN'!F1899</f>
        <v>0</v>
      </c>
      <c r="G1899" s="32">
        <f>'[6]price list MAN'!G1899</f>
        <v>0</v>
      </c>
      <c r="H1899" s="26">
        <f>'[6]price list MAN'!H1899</f>
        <v>0</v>
      </c>
      <c r="I1899" s="51" t="str">
        <f t="shared" si="145"/>
        <v/>
      </c>
      <c r="J1899" s="177" t="e">
        <f>'[6]price list MAN'!J1899</f>
        <v>#N/A</v>
      </c>
      <c r="K1899" s="177" t="e">
        <f>'[6]price list MAN'!P1899</f>
        <v>#N/A</v>
      </c>
      <c r="L1899" s="177" t="e">
        <f>'[6]price list MAN'!R1899</f>
        <v>#N/A</v>
      </c>
      <c r="M1899" s="174" t="e">
        <f>'[6]price list MAN'!S1899</f>
        <v>#N/A</v>
      </c>
      <c r="N1899" s="174" t="e">
        <f>'[6]price list MAN'!Y1899</f>
        <v>#N/A</v>
      </c>
      <c r="O1899" s="174" t="e">
        <f>'[6]price list MAN'!AA1899</f>
        <v>#N/A</v>
      </c>
      <c r="P1899" s="68" t="e">
        <f t="shared" si="146"/>
        <v>#N/A</v>
      </c>
      <c r="Q1899" s="62" t="e">
        <f>O1899-#REF!</f>
        <v>#N/A</v>
      </c>
      <c r="AT1899" s="425" t="str">
        <f t="shared" si="147"/>
        <v>Special Order0</v>
      </c>
      <c r="AU1899" s="64" t="str">
        <f t="shared" si="148"/>
        <v>01-1900</v>
      </c>
      <c r="BA1899" s="428" t="str">
        <f t="shared" si="149"/>
        <v/>
      </c>
    </row>
    <row r="1900" spans="2:53">
      <c r="B1900" s="36">
        <f>'[6]price list MAN'!B1900</f>
        <v>0</v>
      </c>
      <c r="C1900" s="10">
        <f>'[6]price list MAN'!C1900</f>
        <v>0</v>
      </c>
      <c r="D1900" s="16" t="str">
        <f>IFERROR(VLOOKUP(C1900&amp;"",'[7]Retail Price List'!$A$3:$B$103,2,FALSE),"Special Order")</f>
        <v>Special Order</v>
      </c>
      <c r="E1900" s="494">
        <f>'[6]price list MAN'!E1900</f>
        <v>0</v>
      </c>
      <c r="F1900" s="11">
        <f>'[6]price list MAN'!F1900</f>
        <v>0</v>
      </c>
      <c r="G1900" s="32">
        <f>'[6]price list MAN'!G1900</f>
        <v>0</v>
      </c>
      <c r="H1900" s="26">
        <f>'[6]price list MAN'!H1900</f>
        <v>0</v>
      </c>
      <c r="I1900" s="51" t="str">
        <f t="shared" si="145"/>
        <v/>
      </c>
      <c r="J1900" s="177" t="e">
        <f>'[6]price list MAN'!J1900</f>
        <v>#N/A</v>
      </c>
      <c r="K1900" s="177" t="e">
        <f>'[6]price list MAN'!P1900</f>
        <v>#N/A</v>
      </c>
      <c r="L1900" s="177" t="e">
        <f>'[6]price list MAN'!R1900</f>
        <v>#N/A</v>
      </c>
      <c r="M1900" s="174" t="e">
        <f>'[6]price list MAN'!S1900</f>
        <v>#N/A</v>
      </c>
      <c r="N1900" s="174" t="e">
        <f>'[6]price list MAN'!Y1900</f>
        <v>#N/A</v>
      </c>
      <c r="O1900" s="174" t="e">
        <f>'[6]price list MAN'!AA1900</f>
        <v>#N/A</v>
      </c>
      <c r="P1900" s="68" t="e">
        <f t="shared" si="146"/>
        <v>#N/A</v>
      </c>
      <c r="Q1900" s="62" t="e">
        <f>O1900-#REF!</f>
        <v>#N/A</v>
      </c>
      <c r="AT1900" s="425" t="str">
        <f t="shared" si="147"/>
        <v>Special Order0</v>
      </c>
      <c r="AU1900" s="64" t="str">
        <f t="shared" si="148"/>
        <v>01-1900</v>
      </c>
      <c r="BA1900" s="428" t="str">
        <f t="shared" si="149"/>
        <v/>
      </c>
    </row>
    <row r="1901" spans="2:53">
      <c r="B1901" s="36">
        <f>'[6]price list MAN'!B1901</f>
        <v>0</v>
      </c>
      <c r="C1901" s="10">
        <f>'[6]price list MAN'!C1901</f>
        <v>0</v>
      </c>
      <c r="D1901" s="16" t="str">
        <f>IFERROR(VLOOKUP(C1901&amp;"",'[7]Retail Price List'!$A$3:$B$103,2,FALSE),"Special Order")</f>
        <v>Special Order</v>
      </c>
      <c r="E1901" s="494">
        <f>'[6]price list MAN'!E1901</f>
        <v>0</v>
      </c>
      <c r="F1901" s="11">
        <f>'[6]price list MAN'!F1901</f>
        <v>0</v>
      </c>
      <c r="G1901" s="32">
        <f>'[6]price list MAN'!G1901</f>
        <v>0</v>
      </c>
      <c r="H1901" s="26">
        <f>'[6]price list MAN'!H1901</f>
        <v>0</v>
      </c>
      <c r="I1901" s="51" t="str">
        <f t="shared" si="145"/>
        <v/>
      </c>
      <c r="J1901" s="177" t="e">
        <f>'[6]price list MAN'!J1901</f>
        <v>#N/A</v>
      </c>
      <c r="K1901" s="177" t="e">
        <f>'[6]price list MAN'!P1901</f>
        <v>#N/A</v>
      </c>
      <c r="L1901" s="177" t="e">
        <f>'[6]price list MAN'!R1901</f>
        <v>#N/A</v>
      </c>
      <c r="M1901" s="174" t="e">
        <f>'[6]price list MAN'!S1901</f>
        <v>#N/A</v>
      </c>
      <c r="N1901" s="174" t="e">
        <f>'[6]price list MAN'!Y1901</f>
        <v>#N/A</v>
      </c>
      <c r="O1901" s="174" t="e">
        <f>'[6]price list MAN'!AA1901</f>
        <v>#N/A</v>
      </c>
      <c r="P1901" s="68" t="e">
        <f t="shared" si="146"/>
        <v>#N/A</v>
      </c>
      <c r="Q1901" s="62" t="e">
        <f>O1901-#REF!</f>
        <v>#N/A</v>
      </c>
      <c r="AT1901" s="425" t="str">
        <f t="shared" si="147"/>
        <v>Special Order0</v>
      </c>
      <c r="AU1901" s="64" t="str">
        <f t="shared" si="148"/>
        <v>01-1900</v>
      </c>
      <c r="BA1901" s="428" t="str">
        <f t="shared" si="149"/>
        <v/>
      </c>
    </row>
    <row r="1902" spans="2:53">
      <c r="B1902" s="36">
        <f>'[6]price list MAN'!B1902</f>
        <v>0</v>
      </c>
      <c r="C1902" s="10">
        <f>'[6]price list MAN'!C1902</f>
        <v>0</v>
      </c>
      <c r="D1902" s="16" t="str">
        <f>IFERROR(VLOOKUP(C1902&amp;"",'[7]Retail Price List'!$A$3:$B$103,2,FALSE),"Special Order")</f>
        <v>Special Order</v>
      </c>
      <c r="E1902" s="494">
        <f>'[6]price list MAN'!E1902</f>
        <v>0</v>
      </c>
      <c r="F1902" s="11">
        <f>'[6]price list MAN'!F1902</f>
        <v>0</v>
      </c>
      <c r="G1902" s="32">
        <f>'[6]price list MAN'!G1902</f>
        <v>0</v>
      </c>
      <c r="H1902" s="26">
        <f>'[6]price list MAN'!H1902</f>
        <v>0</v>
      </c>
      <c r="I1902" s="51" t="str">
        <f t="shared" si="145"/>
        <v/>
      </c>
      <c r="J1902" s="177" t="e">
        <f>'[6]price list MAN'!J1902</f>
        <v>#N/A</v>
      </c>
      <c r="K1902" s="177" t="e">
        <f>'[6]price list MAN'!P1902</f>
        <v>#N/A</v>
      </c>
      <c r="L1902" s="177" t="e">
        <f>'[6]price list MAN'!R1902</f>
        <v>#N/A</v>
      </c>
      <c r="M1902" s="174" t="e">
        <f>'[6]price list MAN'!S1902</f>
        <v>#N/A</v>
      </c>
      <c r="N1902" s="174" t="e">
        <f>'[6]price list MAN'!Y1902</f>
        <v>#N/A</v>
      </c>
      <c r="O1902" s="174" t="e">
        <f>'[6]price list MAN'!AA1902</f>
        <v>#N/A</v>
      </c>
      <c r="P1902" s="68" t="e">
        <f t="shared" si="146"/>
        <v>#N/A</v>
      </c>
      <c r="Q1902" s="62" t="e">
        <f>O1902-#REF!</f>
        <v>#N/A</v>
      </c>
      <c r="AT1902" s="425" t="str">
        <f t="shared" si="147"/>
        <v>Special Order0</v>
      </c>
      <c r="AU1902" s="64" t="str">
        <f t="shared" si="148"/>
        <v>01-1900</v>
      </c>
      <c r="BA1902" s="428" t="str">
        <f t="shared" si="149"/>
        <v/>
      </c>
    </row>
    <row r="1903" spans="2:53">
      <c r="B1903" s="36">
        <f>'[6]price list MAN'!B1903</f>
        <v>0</v>
      </c>
      <c r="C1903" s="10">
        <f>'[6]price list MAN'!C1903</f>
        <v>0</v>
      </c>
      <c r="D1903" s="16" t="str">
        <f>IFERROR(VLOOKUP(C1903&amp;"",'[7]Retail Price List'!$A$3:$B$103,2,FALSE),"Special Order")</f>
        <v>Special Order</v>
      </c>
      <c r="E1903" s="494">
        <f>'[6]price list MAN'!E1903</f>
        <v>0</v>
      </c>
      <c r="F1903" s="11">
        <f>'[6]price list MAN'!F1903</f>
        <v>0</v>
      </c>
      <c r="G1903" s="32">
        <f>'[6]price list MAN'!G1903</f>
        <v>0</v>
      </c>
      <c r="H1903" s="26">
        <f>'[6]price list MAN'!H1903</f>
        <v>0</v>
      </c>
      <c r="I1903" s="51" t="str">
        <f t="shared" si="145"/>
        <v/>
      </c>
      <c r="J1903" s="177" t="e">
        <f>'[6]price list MAN'!J1903</f>
        <v>#N/A</v>
      </c>
      <c r="K1903" s="177" t="e">
        <f>'[6]price list MAN'!P1903</f>
        <v>#N/A</v>
      </c>
      <c r="L1903" s="177" t="e">
        <f>'[6]price list MAN'!R1903</f>
        <v>#N/A</v>
      </c>
      <c r="M1903" s="174" t="e">
        <f>'[6]price list MAN'!S1903</f>
        <v>#N/A</v>
      </c>
      <c r="N1903" s="174" t="e">
        <f>'[6]price list MAN'!Y1903</f>
        <v>#N/A</v>
      </c>
      <c r="O1903" s="174" t="e">
        <f>'[6]price list MAN'!AA1903</f>
        <v>#N/A</v>
      </c>
      <c r="P1903" s="68" t="e">
        <f t="shared" si="146"/>
        <v>#N/A</v>
      </c>
      <c r="Q1903" s="62" t="e">
        <f>O1903-#REF!</f>
        <v>#N/A</v>
      </c>
      <c r="AT1903" s="425" t="str">
        <f t="shared" si="147"/>
        <v>Special Order0</v>
      </c>
      <c r="AU1903" s="64" t="str">
        <f t="shared" si="148"/>
        <v>01-1900</v>
      </c>
      <c r="BA1903" s="428" t="str">
        <f t="shared" si="149"/>
        <v/>
      </c>
    </row>
    <row r="1904" spans="2:53">
      <c r="B1904" s="36">
        <f>'[6]price list MAN'!B1904</f>
        <v>0</v>
      </c>
      <c r="C1904" s="10">
        <f>'[6]price list MAN'!C1904</f>
        <v>0</v>
      </c>
      <c r="D1904" s="16" t="str">
        <f>IFERROR(VLOOKUP(C1904&amp;"",'[7]Retail Price List'!$A$3:$B$103,2,FALSE),"Special Order")</f>
        <v>Special Order</v>
      </c>
      <c r="E1904" s="494">
        <f>'[6]price list MAN'!E1904</f>
        <v>0</v>
      </c>
      <c r="F1904" s="11">
        <f>'[6]price list MAN'!F1904</f>
        <v>0</v>
      </c>
      <c r="G1904" s="32">
        <f>'[6]price list MAN'!G1904</f>
        <v>0</v>
      </c>
      <c r="H1904" s="26">
        <f>'[6]price list MAN'!H1904</f>
        <v>0</v>
      </c>
      <c r="I1904" s="51" t="str">
        <f t="shared" si="145"/>
        <v/>
      </c>
      <c r="J1904" s="177" t="e">
        <f>'[6]price list MAN'!J1904</f>
        <v>#N/A</v>
      </c>
      <c r="K1904" s="177" t="e">
        <f>'[6]price list MAN'!P1904</f>
        <v>#N/A</v>
      </c>
      <c r="L1904" s="177" t="e">
        <f>'[6]price list MAN'!R1904</f>
        <v>#N/A</v>
      </c>
      <c r="M1904" s="174" t="e">
        <f>'[6]price list MAN'!S1904</f>
        <v>#N/A</v>
      </c>
      <c r="N1904" s="174" t="e">
        <f>'[6]price list MAN'!Y1904</f>
        <v>#N/A</v>
      </c>
      <c r="O1904" s="174" t="e">
        <f>'[6]price list MAN'!AA1904</f>
        <v>#N/A</v>
      </c>
      <c r="P1904" s="68" t="e">
        <f t="shared" si="146"/>
        <v>#N/A</v>
      </c>
      <c r="Q1904" s="62" t="e">
        <f>O1904-#REF!</f>
        <v>#N/A</v>
      </c>
      <c r="AT1904" s="425" t="str">
        <f t="shared" si="147"/>
        <v>Special Order0</v>
      </c>
      <c r="AU1904" s="64" t="str">
        <f t="shared" si="148"/>
        <v>01-1900</v>
      </c>
      <c r="BA1904" s="428" t="str">
        <f t="shared" si="149"/>
        <v/>
      </c>
    </row>
    <row r="1905" spans="2:53">
      <c r="B1905" s="36">
        <f>'[6]price list MAN'!B1905</f>
        <v>0</v>
      </c>
      <c r="C1905" s="10">
        <f>'[6]price list MAN'!C1905</f>
        <v>0</v>
      </c>
      <c r="D1905" s="16" t="str">
        <f>IFERROR(VLOOKUP(C1905&amp;"",'[7]Retail Price List'!$A$3:$B$103,2,FALSE),"Special Order")</f>
        <v>Special Order</v>
      </c>
      <c r="E1905" s="494">
        <f>'[6]price list MAN'!E1905</f>
        <v>0</v>
      </c>
      <c r="F1905" s="11">
        <f>'[6]price list MAN'!F1905</f>
        <v>0</v>
      </c>
      <c r="G1905" s="32">
        <f>'[6]price list MAN'!G1905</f>
        <v>0</v>
      </c>
      <c r="H1905" s="26">
        <f>'[6]price list MAN'!H1905</f>
        <v>0</v>
      </c>
      <c r="I1905" s="51" t="str">
        <f t="shared" si="145"/>
        <v/>
      </c>
      <c r="J1905" s="177" t="e">
        <f>'[6]price list MAN'!J1905</f>
        <v>#N/A</v>
      </c>
      <c r="K1905" s="177" t="e">
        <f>'[6]price list MAN'!P1905</f>
        <v>#N/A</v>
      </c>
      <c r="L1905" s="177" t="e">
        <f>'[6]price list MAN'!R1905</f>
        <v>#N/A</v>
      </c>
      <c r="M1905" s="174" t="e">
        <f>'[6]price list MAN'!S1905</f>
        <v>#N/A</v>
      </c>
      <c r="N1905" s="174" t="e">
        <f>'[6]price list MAN'!Y1905</f>
        <v>#N/A</v>
      </c>
      <c r="O1905" s="174" t="e">
        <f>'[6]price list MAN'!AA1905</f>
        <v>#N/A</v>
      </c>
      <c r="P1905" s="68" t="e">
        <f t="shared" si="146"/>
        <v>#N/A</v>
      </c>
      <c r="Q1905" s="62" t="e">
        <f>O1905-#REF!</f>
        <v>#N/A</v>
      </c>
      <c r="AT1905" s="425" t="str">
        <f t="shared" si="147"/>
        <v>Special Order0</v>
      </c>
      <c r="AU1905" s="64" t="str">
        <f t="shared" si="148"/>
        <v>01-1900</v>
      </c>
      <c r="BA1905" s="428" t="str">
        <f t="shared" si="149"/>
        <v/>
      </c>
    </row>
    <row r="1906" spans="2:53">
      <c r="B1906" s="36">
        <f>'[6]price list MAN'!B1906</f>
        <v>0</v>
      </c>
      <c r="C1906" s="10">
        <f>'[6]price list MAN'!C1906</f>
        <v>0</v>
      </c>
      <c r="D1906" s="16" t="str">
        <f>IFERROR(VLOOKUP(C1906&amp;"",'[7]Retail Price List'!$A$3:$B$103,2,FALSE),"Special Order")</f>
        <v>Special Order</v>
      </c>
      <c r="E1906" s="494">
        <f>'[6]price list MAN'!E1906</f>
        <v>0</v>
      </c>
      <c r="F1906" s="11">
        <f>'[6]price list MAN'!F1906</f>
        <v>0</v>
      </c>
      <c r="G1906" s="32">
        <f>'[6]price list MAN'!G1906</f>
        <v>0</v>
      </c>
      <c r="H1906" s="26">
        <f>'[6]price list MAN'!H1906</f>
        <v>0</v>
      </c>
      <c r="I1906" s="51" t="str">
        <f t="shared" si="145"/>
        <v/>
      </c>
      <c r="J1906" s="177" t="e">
        <f>'[6]price list MAN'!J1906</f>
        <v>#N/A</v>
      </c>
      <c r="K1906" s="177" t="e">
        <f>'[6]price list MAN'!P1906</f>
        <v>#N/A</v>
      </c>
      <c r="L1906" s="177" t="e">
        <f>'[6]price list MAN'!R1906</f>
        <v>#N/A</v>
      </c>
      <c r="M1906" s="174" t="e">
        <f>'[6]price list MAN'!S1906</f>
        <v>#N/A</v>
      </c>
      <c r="N1906" s="174" t="e">
        <f>'[6]price list MAN'!Y1906</f>
        <v>#N/A</v>
      </c>
      <c r="O1906" s="174" t="e">
        <f>'[6]price list MAN'!AA1906</f>
        <v>#N/A</v>
      </c>
      <c r="P1906" s="68" t="e">
        <f t="shared" si="146"/>
        <v>#N/A</v>
      </c>
      <c r="Q1906" s="62" t="e">
        <f>O1906-#REF!</f>
        <v>#N/A</v>
      </c>
      <c r="AT1906" s="425" t="str">
        <f t="shared" si="147"/>
        <v>Special Order0</v>
      </c>
      <c r="AU1906" s="64" t="str">
        <f t="shared" si="148"/>
        <v>01-1900</v>
      </c>
      <c r="BA1906" s="428" t="str">
        <f t="shared" si="149"/>
        <v/>
      </c>
    </row>
    <row r="1907" spans="2:53">
      <c r="B1907" s="36">
        <f>'[6]price list MAN'!B1907</f>
        <v>0</v>
      </c>
      <c r="C1907" s="10">
        <f>'[6]price list MAN'!C1907</f>
        <v>0</v>
      </c>
      <c r="D1907" s="16" t="str">
        <f>IFERROR(VLOOKUP(C1907&amp;"",'[7]Retail Price List'!$A$3:$B$103,2,FALSE),"Special Order")</f>
        <v>Special Order</v>
      </c>
      <c r="E1907" s="494">
        <f>'[6]price list MAN'!E1907</f>
        <v>0</v>
      </c>
      <c r="F1907" s="11">
        <f>'[6]price list MAN'!F1907</f>
        <v>0</v>
      </c>
      <c r="G1907" s="32">
        <f>'[6]price list MAN'!G1907</f>
        <v>0</v>
      </c>
      <c r="H1907" s="26">
        <f>'[6]price list MAN'!H1907</f>
        <v>0</v>
      </c>
      <c r="I1907" s="51" t="str">
        <f t="shared" si="145"/>
        <v/>
      </c>
      <c r="J1907" s="177" t="e">
        <f>'[6]price list MAN'!J1907</f>
        <v>#N/A</v>
      </c>
      <c r="K1907" s="177" t="e">
        <f>'[6]price list MAN'!P1907</f>
        <v>#N/A</v>
      </c>
      <c r="L1907" s="177" t="e">
        <f>'[6]price list MAN'!R1907</f>
        <v>#N/A</v>
      </c>
      <c r="M1907" s="174" t="e">
        <f>'[6]price list MAN'!S1907</f>
        <v>#N/A</v>
      </c>
      <c r="N1907" s="174" t="e">
        <f>'[6]price list MAN'!Y1907</f>
        <v>#N/A</v>
      </c>
      <c r="O1907" s="174" t="e">
        <f>'[6]price list MAN'!AA1907</f>
        <v>#N/A</v>
      </c>
      <c r="P1907" s="68" t="e">
        <f t="shared" si="146"/>
        <v>#N/A</v>
      </c>
      <c r="Q1907" s="62" t="e">
        <f>O1907-#REF!</f>
        <v>#N/A</v>
      </c>
      <c r="AT1907" s="425" t="str">
        <f t="shared" si="147"/>
        <v>Special Order0</v>
      </c>
      <c r="AU1907" s="64" t="str">
        <f t="shared" si="148"/>
        <v>01-1900</v>
      </c>
      <c r="BA1907" s="428" t="str">
        <f t="shared" si="149"/>
        <v/>
      </c>
    </row>
    <row r="1908" spans="2:53">
      <c r="B1908" s="36">
        <f>'[6]price list MAN'!B1908</f>
        <v>0</v>
      </c>
      <c r="C1908" s="10">
        <f>'[6]price list MAN'!C1908</f>
        <v>0</v>
      </c>
      <c r="D1908" s="16" t="str">
        <f>IFERROR(VLOOKUP(C1908&amp;"",'[7]Retail Price List'!$A$3:$B$103,2,FALSE),"Special Order")</f>
        <v>Special Order</v>
      </c>
      <c r="E1908" s="494">
        <f>'[6]price list MAN'!E1908</f>
        <v>0</v>
      </c>
      <c r="F1908" s="11">
        <f>'[6]price list MAN'!F1908</f>
        <v>0</v>
      </c>
      <c r="G1908" s="32">
        <f>'[6]price list MAN'!G1908</f>
        <v>0</v>
      </c>
      <c r="H1908" s="26">
        <f>'[6]price list MAN'!H1908</f>
        <v>0</v>
      </c>
      <c r="I1908" s="51" t="str">
        <f t="shared" si="145"/>
        <v/>
      </c>
      <c r="J1908" s="177" t="e">
        <f>'[6]price list MAN'!J1908</f>
        <v>#N/A</v>
      </c>
      <c r="K1908" s="177" t="e">
        <f>'[6]price list MAN'!P1908</f>
        <v>#N/A</v>
      </c>
      <c r="L1908" s="177" t="e">
        <f>'[6]price list MAN'!R1908</f>
        <v>#N/A</v>
      </c>
      <c r="M1908" s="174" t="e">
        <f>'[6]price list MAN'!S1908</f>
        <v>#N/A</v>
      </c>
      <c r="N1908" s="174" t="e">
        <f>'[6]price list MAN'!Y1908</f>
        <v>#N/A</v>
      </c>
      <c r="O1908" s="174" t="e">
        <f>'[6]price list MAN'!AA1908</f>
        <v>#N/A</v>
      </c>
      <c r="P1908" s="68" t="e">
        <f t="shared" si="146"/>
        <v>#N/A</v>
      </c>
      <c r="Q1908" s="62" t="e">
        <f>O1908-#REF!</f>
        <v>#N/A</v>
      </c>
      <c r="AT1908" s="425" t="str">
        <f t="shared" si="147"/>
        <v>Special Order0</v>
      </c>
      <c r="AU1908" s="64" t="str">
        <f t="shared" si="148"/>
        <v>01-1900</v>
      </c>
      <c r="BA1908" s="428" t="str">
        <f t="shared" si="149"/>
        <v/>
      </c>
    </row>
    <row r="1909" spans="2:53">
      <c r="B1909" s="36">
        <f>'[6]price list MAN'!B1909</f>
        <v>0</v>
      </c>
      <c r="C1909" s="10">
        <f>'[6]price list MAN'!C1909</f>
        <v>0</v>
      </c>
      <c r="D1909" s="16" t="str">
        <f>IFERROR(VLOOKUP(C1909&amp;"",'[7]Retail Price List'!$A$3:$B$103,2,FALSE),"Special Order")</f>
        <v>Special Order</v>
      </c>
      <c r="E1909" s="494">
        <f>'[6]price list MAN'!E1909</f>
        <v>0</v>
      </c>
      <c r="F1909" s="11">
        <f>'[6]price list MAN'!F1909</f>
        <v>0</v>
      </c>
      <c r="G1909" s="32">
        <f>'[6]price list MAN'!G1909</f>
        <v>0</v>
      </c>
      <c r="H1909" s="26">
        <f>'[6]price list MAN'!H1909</f>
        <v>0</v>
      </c>
      <c r="I1909" s="51" t="str">
        <f t="shared" si="145"/>
        <v/>
      </c>
      <c r="J1909" s="177" t="e">
        <f>'[6]price list MAN'!J1909</f>
        <v>#N/A</v>
      </c>
      <c r="K1909" s="177" t="e">
        <f>'[6]price list MAN'!P1909</f>
        <v>#N/A</v>
      </c>
      <c r="L1909" s="177" t="e">
        <f>'[6]price list MAN'!R1909</f>
        <v>#N/A</v>
      </c>
      <c r="M1909" s="174" t="e">
        <f>'[6]price list MAN'!S1909</f>
        <v>#N/A</v>
      </c>
      <c r="N1909" s="174" t="e">
        <f>'[6]price list MAN'!Y1909</f>
        <v>#N/A</v>
      </c>
      <c r="O1909" s="174" t="e">
        <f>'[6]price list MAN'!AA1909</f>
        <v>#N/A</v>
      </c>
      <c r="P1909" s="68" t="e">
        <f t="shared" si="146"/>
        <v>#N/A</v>
      </c>
      <c r="Q1909" s="62" t="e">
        <f>O1909-#REF!</f>
        <v>#N/A</v>
      </c>
      <c r="AT1909" s="425" t="str">
        <f t="shared" si="147"/>
        <v>Special Order0</v>
      </c>
      <c r="AU1909" s="64" t="str">
        <f t="shared" si="148"/>
        <v>01-1900</v>
      </c>
      <c r="BA1909" s="428" t="str">
        <f t="shared" si="149"/>
        <v/>
      </c>
    </row>
    <row r="1910" spans="2:53">
      <c r="B1910" s="36">
        <f>'[6]price list MAN'!B1910</f>
        <v>0</v>
      </c>
      <c r="C1910" s="10">
        <f>'[6]price list MAN'!C1910</f>
        <v>0</v>
      </c>
      <c r="D1910" s="16" t="str">
        <f>IFERROR(VLOOKUP(C1910&amp;"",'[7]Retail Price List'!$A$3:$B$103,2,FALSE),"Special Order")</f>
        <v>Special Order</v>
      </c>
      <c r="E1910" s="494">
        <f>'[6]price list MAN'!E1910</f>
        <v>0</v>
      </c>
      <c r="F1910" s="11">
        <f>'[6]price list MAN'!F1910</f>
        <v>0</v>
      </c>
      <c r="G1910" s="32">
        <f>'[6]price list MAN'!G1910</f>
        <v>0</v>
      </c>
      <c r="H1910" s="26">
        <f>'[6]price list MAN'!H1910</f>
        <v>0</v>
      </c>
      <c r="I1910" s="51" t="str">
        <f t="shared" si="145"/>
        <v/>
      </c>
      <c r="J1910" s="177" t="e">
        <f>'[6]price list MAN'!J1910</f>
        <v>#N/A</v>
      </c>
      <c r="K1910" s="177" t="e">
        <f>'[6]price list MAN'!P1910</f>
        <v>#N/A</v>
      </c>
      <c r="L1910" s="177" t="e">
        <f>'[6]price list MAN'!R1910</f>
        <v>#N/A</v>
      </c>
      <c r="M1910" s="174" t="e">
        <f>'[6]price list MAN'!S1910</f>
        <v>#N/A</v>
      </c>
      <c r="N1910" s="174" t="e">
        <f>'[6]price list MAN'!Y1910</f>
        <v>#N/A</v>
      </c>
      <c r="O1910" s="174" t="e">
        <f>'[6]price list MAN'!AA1910</f>
        <v>#N/A</v>
      </c>
      <c r="P1910" s="68" t="e">
        <f t="shared" si="146"/>
        <v>#N/A</v>
      </c>
      <c r="Q1910" s="62" t="e">
        <f>O1910-#REF!</f>
        <v>#N/A</v>
      </c>
      <c r="AT1910" s="425" t="str">
        <f t="shared" si="147"/>
        <v>Special Order0</v>
      </c>
      <c r="AU1910" s="64" t="str">
        <f t="shared" si="148"/>
        <v>01-1900</v>
      </c>
      <c r="BA1910" s="428" t="str">
        <f t="shared" si="149"/>
        <v/>
      </c>
    </row>
    <row r="1911" spans="2:53">
      <c r="B1911" s="36">
        <f>'[6]price list MAN'!B1911</f>
        <v>0</v>
      </c>
      <c r="C1911" s="10">
        <f>'[6]price list MAN'!C1911</f>
        <v>0</v>
      </c>
      <c r="D1911" s="16" t="str">
        <f>IFERROR(VLOOKUP(C1911&amp;"",'[7]Retail Price List'!$A$3:$B$103,2,FALSE),"Special Order")</f>
        <v>Special Order</v>
      </c>
      <c r="E1911" s="494">
        <f>'[6]price list MAN'!E1911</f>
        <v>0</v>
      </c>
      <c r="F1911" s="11">
        <f>'[6]price list MAN'!F1911</f>
        <v>0</v>
      </c>
      <c r="G1911" s="32">
        <f>'[6]price list MAN'!G1911</f>
        <v>0</v>
      </c>
      <c r="H1911" s="26">
        <f>'[6]price list MAN'!H1911</f>
        <v>0</v>
      </c>
      <c r="I1911" s="51" t="str">
        <f t="shared" si="145"/>
        <v/>
      </c>
      <c r="J1911" s="177" t="e">
        <f>'[6]price list MAN'!J1911</f>
        <v>#N/A</v>
      </c>
      <c r="K1911" s="177" t="e">
        <f>'[6]price list MAN'!P1911</f>
        <v>#N/A</v>
      </c>
      <c r="L1911" s="177" t="e">
        <f>'[6]price list MAN'!R1911</f>
        <v>#N/A</v>
      </c>
      <c r="M1911" s="174" t="e">
        <f>'[6]price list MAN'!S1911</f>
        <v>#N/A</v>
      </c>
      <c r="N1911" s="174" t="e">
        <f>'[6]price list MAN'!Y1911</f>
        <v>#N/A</v>
      </c>
      <c r="O1911" s="174" t="e">
        <f>'[6]price list MAN'!AA1911</f>
        <v>#N/A</v>
      </c>
      <c r="P1911" s="68" t="e">
        <f t="shared" si="146"/>
        <v>#N/A</v>
      </c>
      <c r="Q1911" s="62" t="e">
        <f>O1911-#REF!</f>
        <v>#N/A</v>
      </c>
      <c r="AT1911" s="425" t="str">
        <f t="shared" si="147"/>
        <v>Special Order0</v>
      </c>
      <c r="AU1911" s="64" t="str">
        <f t="shared" si="148"/>
        <v>01-1900</v>
      </c>
      <c r="BA1911" s="428" t="str">
        <f t="shared" si="149"/>
        <v/>
      </c>
    </row>
    <row r="1912" spans="2:53">
      <c r="B1912" s="36">
        <f>'[6]price list MAN'!B1912</f>
        <v>0</v>
      </c>
      <c r="C1912" s="10">
        <f>'[6]price list MAN'!C1912</f>
        <v>0</v>
      </c>
      <c r="D1912" s="16" t="str">
        <f>IFERROR(VLOOKUP(C1912&amp;"",'[7]Retail Price List'!$A$3:$B$103,2,FALSE),"Special Order")</f>
        <v>Special Order</v>
      </c>
      <c r="E1912" s="494">
        <f>'[6]price list MAN'!E1912</f>
        <v>0</v>
      </c>
      <c r="F1912" s="11">
        <f>'[6]price list MAN'!F1912</f>
        <v>0</v>
      </c>
      <c r="G1912" s="32">
        <f>'[6]price list MAN'!G1912</f>
        <v>0</v>
      </c>
      <c r="H1912" s="26">
        <f>'[6]price list MAN'!H1912</f>
        <v>0</v>
      </c>
      <c r="I1912" s="51" t="str">
        <f t="shared" si="145"/>
        <v/>
      </c>
      <c r="J1912" s="177" t="e">
        <f>'[6]price list MAN'!J1912</f>
        <v>#N/A</v>
      </c>
      <c r="K1912" s="177" t="e">
        <f>'[6]price list MAN'!P1912</f>
        <v>#N/A</v>
      </c>
      <c r="L1912" s="177" t="e">
        <f>'[6]price list MAN'!R1912</f>
        <v>#N/A</v>
      </c>
      <c r="M1912" s="174" t="e">
        <f>'[6]price list MAN'!S1912</f>
        <v>#N/A</v>
      </c>
      <c r="N1912" s="174" t="e">
        <f>'[6]price list MAN'!Y1912</f>
        <v>#N/A</v>
      </c>
      <c r="O1912" s="174" t="e">
        <f>'[6]price list MAN'!AA1912</f>
        <v>#N/A</v>
      </c>
      <c r="P1912" s="68" t="e">
        <f t="shared" si="146"/>
        <v>#N/A</v>
      </c>
      <c r="Q1912" s="62" t="e">
        <f>O1912-#REF!</f>
        <v>#N/A</v>
      </c>
      <c r="AT1912" s="425" t="str">
        <f t="shared" si="147"/>
        <v>Special Order0</v>
      </c>
      <c r="AU1912" s="64" t="str">
        <f t="shared" si="148"/>
        <v>01-1900</v>
      </c>
      <c r="BA1912" s="428" t="str">
        <f t="shared" si="149"/>
        <v/>
      </c>
    </row>
    <row r="1913" spans="2:53">
      <c r="B1913" s="36">
        <f>'[6]price list MAN'!B1913</f>
        <v>0</v>
      </c>
      <c r="C1913" s="10">
        <f>'[6]price list MAN'!C1913</f>
        <v>0</v>
      </c>
      <c r="D1913" s="16" t="str">
        <f>IFERROR(VLOOKUP(C1913&amp;"",'[7]Retail Price List'!$A$3:$B$103,2,FALSE),"Special Order")</f>
        <v>Special Order</v>
      </c>
      <c r="E1913" s="494">
        <f>'[6]price list MAN'!E1913</f>
        <v>0</v>
      </c>
      <c r="F1913" s="11">
        <f>'[6]price list MAN'!F1913</f>
        <v>0</v>
      </c>
      <c r="G1913" s="32">
        <f>'[6]price list MAN'!G1913</f>
        <v>0</v>
      </c>
      <c r="H1913" s="26">
        <f>'[6]price list MAN'!H1913</f>
        <v>0</v>
      </c>
      <c r="I1913" s="51" t="str">
        <f t="shared" si="145"/>
        <v/>
      </c>
      <c r="J1913" s="177" t="e">
        <f>'[6]price list MAN'!J1913</f>
        <v>#N/A</v>
      </c>
      <c r="K1913" s="177" t="e">
        <f>'[6]price list MAN'!P1913</f>
        <v>#N/A</v>
      </c>
      <c r="L1913" s="177" t="e">
        <f>'[6]price list MAN'!R1913</f>
        <v>#N/A</v>
      </c>
      <c r="M1913" s="174" t="e">
        <f>'[6]price list MAN'!S1913</f>
        <v>#N/A</v>
      </c>
      <c r="N1913" s="174" t="e">
        <f>'[6]price list MAN'!Y1913</f>
        <v>#N/A</v>
      </c>
      <c r="O1913" s="174" t="e">
        <f>'[6]price list MAN'!AA1913</f>
        <v>#N/A</v>
      </c>
      <c r="P1913" s="68" t="e">
        <f t="shared" si="146"/>
        <v>#N/A</v>
      </c>
      <c r="Q1913" s="62" t="e">
        <f>O1913-#REF!</f>
        <v>#N/A</v>
      </c>
      <c r="AT1913" s="425" t="str">
        <f t="shared" si="147"/>
        <v>Special Order0</v>
      </c>
      <c r="AU1913" s="64" t="str">
        <f t="shared" si="148"/>
        <v>01-1900</v>
      </c>
      <c r="BA1913" s="428" t="str">
        <f t="shared" si="149"/>
        <v/>
      </c>
    </row>
    <row r="1914" spans="2:53">
      <c r="B1914" s="36">
        <f>'[6]price list MAN'!B1914</f>
        <v>0</v>
      </c>
      <c r="C1914" s="10">
        <f>'[6]price list MAN'!C1914</f>
        <v>0</v>
      </c>
      <c r="D1914" s="16" t="str">
        <f>IFERROR(VLOOKUP(C1914&amp;"",'[7]Retail Price List'!$A$3:$B$103,2,FALSE),"Special Order")</f>
        <v>Special Order</v>
      </c>
      <c r="E1914" s="494">
        <f>'[6]price list MAN'!E1914</f>
        <v>0</v>
      </c>
      <c r="F1914" s="11">
        <f>'[6]price list MAN'!F1914</f>
        <v>0</v>
      </c>
      <c r="G1914" s="32">
        <f>'[6]price list MAN'!G1914</f>
        <v>0</v>
      </c>
      <c r="H1914" s="26">
        <f>'[6]price list MAN'!H1914</f>
        <v>0</v>
      </c>
      <c r="I1914" s="51" t="str">
        <f t="shared" si="145"/>
        <v/>
      </c>
      <c r="J1914" s="177" t="e">
        <f>'[6]price list MAN'!J1914</f>
        <v>#N/A</v>
      </c>
      <c r="K1914" s="177" t="e">
        <f>'[6]price list MAN'!P1914</f>
        <v>#N/A</v>
      </c>
      <c r="L1914" s="177" t="e">
        <f>'[6]price list MAN'!R1914</f>
        <v>#N/A</v>
      </c>
      <c r="M1914" s="174" t="e">
        <f>'[6]price list MAN'!S1914</f>
        <v>#N/A</v>
      </c>
      <c r="N1914" s="174" t="e">
        <f>'[6]price list MAN'!Y1914</f>
        <v>#N/A</v>
      </c>
      <c r="O1914" s="174" t="e">
        <f>'[6]price list MAN'!AA1914</f>
        <v>#N/A</v>
      </c>
      <c r="P1914" s="68" t="e">
        <f t="shared" si="146"/>
        <v>#N/A</v>
      </c>
      <c r="Q1914" s="62" t="e">
        <f>O1914-#REF!</f>
        <v>#N/A</v>
      </c>
      <c r="AT1914" s="425" t="str">
        <f t="shared" si="147"/>
        <v>Special Order0</v>
      </c>
      <c r="AU1914" s="64" t="str">
        <f t="shared" si="148"/>
        <v>01-1900</v>
      </c>
      <c r="BA1914" s="428" t="str">
        <f t="shared" si="149"/>
        <v/>
      </c>
    </row>
    <row r="1915" spans="2:53">
      <c r="B1915" s="36">
        <f>'[6]price list MAN'!B1915</f>
        <v>0</v>
      </c>
      <c r="C1915" s="10">
        <f>'[6]price list MAN'!C1915</f>
        <v>0</v>
      </c>
      <c r="D1915" s="16" t="str">
        <f>IFERROR(VLOOKUP(C1915&amp;"",'[7]Retail Price List'!$A$3:$B$103,2,FALSE),"Special Order")</f>
        <v>Special Order</v>
      </c>
      <c r="E1915" s="494">
        <f>'[6]price list MAN'!E1915</f>
        <v>0</v>
      </c>
      <c r="F1915" s="11">
        <f>'[6]price list MAN'!F1915</f>
        <v>0</v>
      </c>
      <c r="G1915" s="32">
        <f>'[6]price list MAN'!G1915</f>
        <v>0</v>
      </c>
      <c r="H1915" s="26">
        <f>'[6]price list MAN'!H1915</f>
        <v>0</v>
      </c>
      <c r="I1915" s="51" t="str">
        <f t="shared" si="145"/>
        <v/>
      </c>
      <c r="J1915" s="177" t="e">
        <f>'[6]price list MAN'!J1915</f>
        <v>#N/A</v>
      </c>
      <c r="K1915" s="177" t="e">
        <f>'[6]price list MAN'!P1915</f>
        <v>#N/A</v>
      </c>
      <c r="L1915" s="177" t="e">
        <f>'[6]price list MAN'!R1915</f>
        <v>#N/A</v>
      </c>
      <c r="M1915" s="174" t="e">
        <f>'[6]price list MAN'!S1915</f>
        <v>#N/A</v>
      </c>
      <c r="N1915" s="174" t="e">
        <f>'[6]price list MAN'!Y1915</f>
        <v>#N/A</v>
      </c>
      <c r="O1915" s="174" t="e">
        <f>'[6]price list MAN'!AA1915</f>
        <v>#N/A</v>
      </c>
      <c r="P1915" s="68" t="e">
        <f t="shared" si="146"/>
        <v>#N/A</v>
      </c>
      <c r="Q1915" s="62" t="e">
        <f>O1915-#REF!</f>
        <v>#N/A</v>
      </c>
      <c r="AT1915" s="425" t="str">
        <f t="shared" si="147"/>
        <v>Special Order0</v>
      </c>
      <c r="AU1915" s="64" t="str">
        <f t="shared" si="148"/>
        <v>01-1900</v>
      </c>
      <c r="BA1915" s="428" t="str">
        <f t="shared" si="149"/>
        <v/>
      </c>
    </row>
    <row r="1916" spans="2:53">
      <c r="B1916" s="36">
        <f>'[6]price list MAN'!B1916</f>
        <v>0</v>
      </c>
      <c r="C1916" s="10">
        <f>'[6]price list MAN'!C1916</f>
        <v>0</v>
      </c>
      <c r="D1916" s="16" t="str">
        <f>IFERROR(VLOOKUP(C1916&amp;"",'[7]Retail Price List'!$A$3:$B$103,2,FALSE),"Special Order")</f>
        <v>Special Order</v>
      </c>
      <c r="E1916" s="494">
        <f>'[6]price list MAN'!E1916</f>
        <v>0</v>
      </c>
      <c r="F1916" s="11">
        <f>'[6]price list MAN'!F1916</f>
        <v>0</v>
      </c>
      <c r="G1916" s="32">
        <f>'[6]price list MAN'!G1916</f>
        <v>0</v>
      </c>
      <c r="H1916" s="26">
        <f>'[6]price list MAN'!H1916</f>
        <v>0</v>
      </c>
      <c r="I1916" s="51" t="str">
        <f t="shared" si="145"/>
        <v/>
      </c>
      <c r="J1916" s="177" t="e">
        <f>'[6]price list MAN'!J1916</f>
        <v>#N/A</v>
      </c>
      <c r="K1916" s="177" t="e">
        <f>'[6]price list MAN'!P1916</f>
        <v>#N/A</v>
      </c>
      <c r="L1916" s="177" t="e">
        <f>'[6]price list MAN'!R1916</f>
        <v>#N/A</v>
      </c>
      <c r="M1916" s="174" t="e">
        <f>'[6]price list MAN'!S1916</f>
        <v>#N/A</v>
      </c>
      <c r="N1916" s="174" t="e">
        <f>'[6]price list MAN'!Y1916</f>
        <v>#N/A</v>
      </c>
      <c r="O1916" s="174" t="e">
        <f>'[6]price list MAN'!AA1916</f>
        <v>#N/A</v>
      </c>
      <c r="P1916" s="68" t="e">
        <f t="shared" si="146"/>
        <v>#N/A</v>
      </c>
      <c r="Q1916" s="62" t="e">
        <f>O1916-#REF!</f>
        <v>#N/A</v>
      </c>
      <c r="AT1916" s="425" t="str">
        <f t="shared" si="147"/>
        <v>Special Order0</v>
      </c>
      <c r="AU1916" s="64" t="str">
        <f t="shared" si="148"/>
        <v>01-1900</v>
      </c>
      <c r="BA1916" s="428" t="str">
        <f t="shared" si="149"/>
        <v/>
      </c>
    </row>
    <row r="1917" spans="2:53">
      <c r="B1917" s="36">
        <f>'[6]price list MAN'!B1917</f>
        <v>0</v>
      </c>
      <c r="C1917" s="10">
        <f>'[6]price list MAN'!C1917</f>
        <v>0</v>
      </c>
      <c r="D1917" s="16" t="str">
        <f>IFERROR(VLOOKUP(C1917&amp;"",'[7]Retail Price List'!$A$3:$B$103,2,FALSE),"Special Order")</f>
        <v>Special Order</v>
      </c>
      <c r="E1917" s="494">
        <f>'[6]price list MAN'!E1917</f>
        <v>0</v>
      </c>
      <c r="F1917" s="11">
        <f>'[6]price list MAN'!F1917</f>
        <v>0</v>
      </c>
      <c r="G1917" s="32">
        <f>'[6]price list MAN'!G1917</f>
        <v>0</v>
      </c>
      <c r="H1917" s="26">
        <f>'[6]price list MAN'!H1917</f>
        <v>0</v>
      </c>
      <c r="I1917" s="51" t="str">
        <f t="shared" si="145"/>
        <v/>
      </c>
      <c r="J1917" s="177" t="e">
        <f>'[6]price list MAN'!J1917</f>
        <v>#N/A</v>
      </c>
      <c r="K1917" s="177" t="e">
        <f>'[6]price list MAN'!P1917</f>
        <v>#N/A</v>
      </c>
      <c r="L1917" s="177" t="e">
        <f>'[6]price list MAN'!R1917</f>
        <v>#N/A</v>
      </c>
      <c r="M1917" s="174" t="e">
        <f>'[6]price list MAN'!S1917</f>
        <v>#N/A</v>
      </c>
      <c r="N1917" s="174" t="e">
        <f>'[6]price list MAN'!Y1917</f>
        <v>#N/A</v>
      </c>
      <c r="O1917" s="174" t="e">
        <f>'[6]price list MAN'!AA1917</f>
        <v>#N/A</v>
      </c>
      <c r="P1917" s="68" t="e">
        <f t="shared" si="146"/>
        <v>#N/A</v>
      </c>
      <c r="Q1917" s="62" t="e">
        <f>O1917-#REF!</f>
        <v>#N/A</v>
      </c>
      <c r="AT1917" s="425" t="str">
        <f t="shared" si="147"/>
        <v>Special Order0</v>
      </c>
      <c r="AU1917" s="64" t="str">
        <f t="shared" si="148"/>
        <v>01-1900</v>
      </c>
      <c r="BA1917" s="428" t="str">
        <f t="shared" si="149"/>
        <v/>
      </c>
    </row>
    <row r="1918" spans="2:53">
      <c r="B1918" s="36">
        <f>'[6]price list MAN'!B1918</f>
        <v>0</v>
      </c>
      <c r="C1918" s="10">
        <f>'[6]price list MAN'!C1918</f>
        <v>0</v>
      </c>
      <c r="D1918" s="16" t="str">
        <f>IFERROR(VLOOKUP(C1918&amp;"",'[7]Retail Price List'!$A$3:$B$103,2,FALSE),"Special Order")</f>
        <v>Special Order</v>
      </c>
      <c r="E1918" s="494">
        <f>'[6]price list MAN'!E1918</f>
        <v>0</v>
      </c>
      <c r="F1918" s="11">
        <f>'[6]price list MAN'!F1918</f>
        <v>0</v>
      </c>
      <c r="G1918" s="32">
        <f>'[6]price list MAN'!G1918</f>
        <v>0</v>
      </c>
      <c r="H1918" s="26">
        <f>'[6]price list MAN'!H1918</f>
        <v>0</v>
      </c>
      <c r="I1918" s="51" t="str">
        <f t="shared" si="145"/>
        <v/>
      </c>
      <c r="J1918" s="177" t="e">
        <f>'[6]price list MAN'!J1918</f>
        <v>#N/A</v>
      </c>
      <c r="K1918" s="177" t="e">
        <f>'[6]price list MAN'!P1918</f>
        <v>#N/A</v>
      </c>
      <c r="L1918" s="177" t="e">
        <f>'[6]price list MAN'!R1918</f>
        <v>#N/A</v>
      </c>
      <c r="M1918" s="174" t="e">
        <f>'[6]price list MAN'!S1918</f>
        <v>#N/A</v>
      </c>
      <c r="N1918" s="174" t="e">
        <f>'[6]price list MAN'!Y1918</f>
        <v>#N/A</v>
      </c>
      <c r="O1918" s="174" t="e">
        <f>'[6]price list MAN'!AA1918</f>
        <v>#N/A</v>
      </c>
      <c r="P1918" s="68" t="e">
        <f t="shared" si="146"/>
        <v>#N/A</v>
      </c>
      <c r="Q1918" s="62" t="e">
        <f>O1918-#REF!</f>
        <v>#N/A</v>
      </c>
      <c r="AT1918" s="425" t="str">
        <f t="shared" si="147"/>
        <v>Special Order0</v>
      </c>
      <c r="AU1918" s="64" t="str">
        <f t="shared" si="148"/>
        <v>01-1900</v>
      </c>
      <c r="BA1918" s="428" t="str">
        <f t="shared" si="149"/>
        <v/>
      </c>
    </row>
    <row r="1919" spans="2:53">
      <c r="B1919" s="36">
        <f>'[6]price list MAN'!B1919</f>
        <v>0</v>
      </c>
      <c r="C1919" s="10">
        <f>'[6]price list MAN'!C1919</f>
        <v>0</v>
      </c>
      <c r="D1919" s="16" t="str">
        <f>IFERROR(VLOOKUP(C1919&amp;"",'[7]Retail Price List'!$A$3:$B$103,2,FALSE),"Special Order")</f>
        <v>Special Order</v>
      </c>
      <c r="E1919" s="494">
        <f>'[6]price list MAN'!E1919</f>
        <v>0</v>
      </c>
      <c r="F1919" s="11">
        <f>'[6]price list MAN'!F1919</f>
        <v>0</v>
      </c>
      <c r="G1919" s="32">
        <f>'[6]price list MAN'!G1919</f>
        <v>0</v>
      </c>
      <c r="H1919" s="26">
        <f>'[6]price list MAN'!H1919</f>
        <v>0</v>
      </c>
      <c r="I1919" s="51" t="str">
        <f t="shared" si="145"/>
        <v/>
      </c>
      <c r="J1919" s="177" t="e">
        <f>'[6]price list MAN'!J1919</f>
        <v>#N/A</v>
      </c>
      <c r="K1919" s="177" t="e">
        <f>'[6]price list MAN'!P1919</f>
        <v>#N/A</v>
      </c>
      <c r="L1919" s="177" t="e">
        <f>'[6]price list MAN'!R1919</f>
        <v>#N/A</v>
      </c>
      <c r="M1919" s="174" t="e">
        <f>'[6]price list MAN'!S1919</f>
        <v>#N/A</v>
      </c>
      <c r="N1919" s="174" t="e">
        <f>'[6]price list MAN'!Y1919</f>
        <v>#N/A</v>
      </c>
      <c r="O1919" s="174" t="e">
        <f>'[6]price list MAN'!AA1919</f>
        <v>#N/A</v>
      </c>
      <c r="P1919" s="68" t="e">
        <f t="shared" si="146"/>
        <v>#N/A</v>
      </c>
      <c r="Q1919" s="62" t="e">
        <f>O1919-#REF!</f>
        <v>#N/A</v>
      </c>
      <c r="AT1919" s="425" t="str">
        <f t="shared" si="147"/>
        <v>Special Order0</v>
      </c>
      <c r="AU1919" s="64" t="str">
        <f t="shared" si="148"/>
        <v>01-1900</v>
      </c>
      <c r="BA1919" s="428" t="str">
        <f t="shared" si="149"/>
        <v/>
      </c>
    </row>
    <row r="1920" spans="2:53">
      <c r="B1920" s="36">
        <f>'[6]price list MAN'!B1920</f>
        <v>0</v>
      </c>
      <c r="C1920" s="10">
        <f>'[6]price list MAN'!C1920</f>
        <v>0</v>
      </c>
      <c r="D1920" s="16" t="str">
        <f>IFERROR(VLOOKUP(C1920&amp;"",'[7]Retail Price List'!$A$3:$B$103,2,FALSE),"Special Order")</f>
        <v>Special Order</v>
      </c>
      <c r="E1920" s="494">
        <f>'[6]price list MAN'!E1920</f>
        <v>0</v>
      </c>
      <c r="F1920" s="11">
        <f>'[6]price list MAN'!F1920</f>
        <v>0</v>
      </c>
      <c r="G1920" s="32">
        <f>'[6]price list MAN'!G1920</f>
        <v>0</v>
      </c>
      <c r="H1920" s="26">
        <f>'[6]price list MAN'!H1920</f>
        <v>0</v>
      </c>
      <c r="I1920" s="51" t="str">
        <f t="shared" si="145"/>
        <v/>
      </c>
      <c r="J1920" s="177" t="e">
        <f>'[6]price list MAN'!J1920</f>
        <v>#N/A</v>
      </c>
      <c r="K1920" s="177" t="e">
        <f>'[6]price list MAN'!P1920</f>
        <v>#N/A</v>
      </c>
      <c r="L1920" s="177" t="e">
        <f>'[6]price list MAN'!R1920</f>
        <v>#N/A</v>
      </c>
      <c r="M1920" s="174" t="e">
        <f>'[6]price list MAN'!S1920</f>
        <v>#N/A</v>
      </c>
      <c r="N1920" s="174" t="e">
        <f>'[6]price list MAN'!Y1920</f>
        <v>#N/A</v>
      </c>
      <c r="O1920" s="174" t="e">
        <f>'[6]price list MAN'!AA1920</f>
        <v>#N/A</v>
      </c>
      <c r="P1920" s="68" t="e">
        <f t="shared" si="146"/>
        <v>#N/A</v>
      </c>
      <c r="Q1920" s="62" t="e">
        <f>O1920-#REF!</f>
        <v>#N/A</v>
      </c>
      <c r="AT1920" s="425" t="str">
        <f t="shared" si="147"/>
        <v>Special Order0</v>
      </c>
      <c r="AU1920" s="64" t="str">
        <f t="shared" si="148"/>
        <v>01-1900</v>
      </c>
      <c r="BA1920" s="428" t="str">
        <f t="shared" si="149"/>
        <v/>
      </c>
    </row>
    <row r="1921" spans="2:53">
      <c r="B1921" s="36">
        <f>'[6]price list MAN'!B1921</f>
        <v>0</v>
      </c>
      <c r="C1921" s="10">
        <f>'[6]price list MAN'!C1921</f>
        <v>0</v>
      </c>
      <c r="D1921" s="16" t="str">
        <f>IFERROR(VLOOKUP(C1921&amp;"",'[7]Retail Price List'!$A$3:$B$103,2,FALSE),"Special Order")</f>
        <v>Special Order</v>
      </c>
      <c r="E1921" s="494">
        <f>'[6]price list MAN'!E1921</f>
        <v>0</v>
      </c>
      <c r="F1921" s="11">
        <f>'[6]price list MAN'!F1921</f>
        <v>0</v>
      </c>
      <c r="G1921" s="32">
        <f>'[6]price list MAN'!G1921</f>
        <v>0</v>
      </c>
      <c r="H1921" s="26">
        <f>'[6]price list MAN'!H1921</f>
        <v>0</v>
      </c>
      <c r="I1921" s="51" t="str">
        <f t="shared" si="145"/>
        <v/>
      </c>
      <c r="J1921" s="177" t="e">
        <f>'[6]price list MAN'!J1921</f>
        <v>#N/A</v>
      </c>
      <c r="K1921" s="177" t="e">
        <f>'[6]price list MAN'!P1921</f>
        <v>#N/A</v>
      </c>
      <c r="L1921" s="177" t="e">
        <f>'[6]price list MAN'!R1921</f>
        <v>#N/A</v>
      </c>
      <c r="M1921" s="174" t="e">
        <f>'[6]price list MAN'!S1921</f>
        <v>#N/A</v>
      </c>
      <c r="N1921" s="174" t="e">
        <f>'[6]price list MAN'!Y1921</f>
        <v>#N/A</v>
      </c>
      <c r="O1921" s="174" t="e">
        <f>'[6]price list MAN'!AA1921</f>
        <v>#N/A</v>
      </c>
      <c r="P1921" s="68" t="e">
        <f t="shared" si="146"/>
        <v>#N/A</v>
      </c>
      <c r="Q1921" s="62" t="e">
        <f>O1921-#REF!</f>
        <v>#N/A</v>
      </c>
      <c r="AT1921" s="425" t="str">
        <f t="shared" si="147"/>
        <v>Special Order0</v>
      </c>
      <c r="AU1921" s="64" t="str">
        <f t="shared" si="148"/>
        <v>01-1900</v>
      </c>
      <c r="BA1921" s="428" t="str">
        <f t="shared" si="149"/>
        <v/>
      </c>
    </row>
    <row r="1922" spans="2:53">
      <c r="B1922" s="36">
        <f>'[6]price list MAN'!B1922</f>
        <v>0</v>
      </c>
      <c r="C1922" s="10">
        <f>'[6]price list MAN'!C1922</f>
        <v>0</v>
      </c>
      <c r="D1922" s="16" t="str">
        <f>IFERROR(VLOOKUP(C1922&amp;"",'[7]Retail Price List'!$A$3:$B$103,2,FALSE),"Special Order")</f>
        <v>Special Order</v>
      </c>
      <c r="E1922" s="494">
        <f>'[6]price list MAN'!E1922</f>
        <v>0</v>
      </c>
      <c r="F1922" s="11">
        <f>'[6]price list MAN'!F1922</f>
        <v>0</v>
      </c>
      <c r="G1922" s="32">
        <f>'[6]price list MAN'!G1922</f>
        <v>0</v>
      </c>
      <c r="H1922" s="26">
        <f>'[6]price list MAN'!H1922</f>
        <v>0</v>
      </c>
      <c r="I1922" s="51" t="str">
        <f t="shared" si="145"/>
        <v/>
      </c>
      <c r="J1922" s="177" t="e">
        <f>'[6]price list MAN'!J1922</f>
        <v>#N/A</v>
      </c>
      <c r="K1922" s="177" t="e">
        <f>'[6]price list MAN'!P1922</f>
        <v>#N/A</v>
      </c>
      <c r="L1922" s="177" t="e">
        <f>'[6]price list MAN'!R1922</f>
        <v>#N/A</v>
      </c>
      <c r="M1922" s="174" t="e">
        <f>'[6]price list MAN'!S1922</f>
        <v>#N/A</v>
      </c>
      <c r="N1922" s="174" t="e">
        <f>'[6]price list MAN'!Y1922</f>
        <v>#N/A</v>
      </c>
      <c r="O1922" s="174" t="e">
        <f>'[6]price list MAN'!AA1922</f>
        <v>#N/A</v>
      </c>
      <c r="P1922" s="68" t="e">
        <f t="shared" si="146"/>
        <v>#N/A</v>
      </c>
      <c r="Q1922" s="62" t="e">
        <f>O1922-#REF!</f>
        <v>#N/A</v>
      </c>
      <c r="AT1922" s="425" t="str">
        <f t="shared" si="147"/>
        <v>Special Order0</v>
      </c>
      <c r="AU1922" s="64" t="str">
        <f t="shared" si="148"/>
        <v>01-1900</v>
      </c>
      <c r="BA1922" s="428" t="str">
        <f t="shared" si="149"/>
        <v/>
      </c>
    </row>
    <row r="1923" spans="2:53">
      <c r="B1923" s="36">
        <f>'[6]price list MAN'!B1923</f>
        <v>0</v>
      </c>
      <c r="C1923" s="10">
        <f>'[6]price list MAN'!C1923</f>
        <v>0</v>
      </c>
      <c r="D1923" s="16" t="str">
        <f>IFERROR(VLOOKUP(C1923&amp;"",'[7]Retail Price List'!$A$3:$B$103,2,FALSE),"Special Order")</f>
        <v>Special Order</v>
      </c>
      <c r="E1923" s="494">
        <f>'[6]price list MAN'!E1923</f>
        <v>0</v>
      </c>
      <c r="F1923" s="11">
        <f>'[6]price list MAN'!F1923</f>
        <v>0</v>
      </c>
      <c r="G1923" s="32">
        <f>'[6]price list MAN'!G1923</f>
        <v>0</v>
      </c>
      <c r="H1923" s="26">
        <f>'[6]price list MAN'!H1923</f>
        <v>0</v>
      </c>
      <c r="I1923" s="51" t="str">
        <f t="shared" si="145"/>
        <v/>
      </c>
      <c r="J1923" s="177" t="e">
        <f>'[6]price list MAN'!J1923</f>
        <v>#N/A</v>
      </c>
      <c r="K1923" s="177" t="e">
        <f>'[6]price list MAN'!P1923</f>
        <v>#N/A</v>
      </c>
      <c r="L1923" s="177" t="e">
        <f>'[6]price list MAN'!R1923</f>
        <v>#N/A</v>
      </c>
      <c r="M1923" s="174" t="e">
        <f>'[6]price list MAN'!S1923</f>
        <v>#N/A</v>
      </c>
      <c r="N1923" s="174" t="e">
        <f>'[6]price list MAN'!Y1923</f>
        <v>#N/A</v>
      </c>
      <c r="O1923" s="174" t="e">
        <f>'[6]price list MAN'!AA1923</f>
        <v>#N/A</v>
      </c>
      <c r="P1923" s="68" t="e">
        <f t="shared" si="146"/>
        <v>#N/A</v>
      </c>
      <c r="Q1923" s="62" t="e">
        <f>O1923-#REF!</f>
        <v>#N/A</v>
      </c>
      <c r="AT1923" s="425" t="str">
        <f t="shared" si="147"/>
        <v>Special Order0</v>
      </c>
      <c r="AU1923" s="64" t="str">
        <f t="shared" si="148"/>
        <v>01-1900</v>
      </c>
      <c r="BA1923" s="428" t="str">
        <f t="shared" si="149"/>
        <v/>
      </c>
    </row>
    <row r="1924" spans="2:53">
      <c r="B1924" s="36">
        <f>'[6]price list MAN'!B1924</f>
        <v>0</v>
      </c>
      <c r="C1924" s="10">
        <f>'[6]price list MAN'!C1924</f>
        <v>0</v>
      </c>
      <c r="D1924" s="16" t="str">
        <f>IFERROR(VLOOKUP(C1924&amp;"",'[7]Retail Price List'!$A$3:$B$103,2,FALSE),"Special Order")</f>
        <v>Special Order</v>
      </c>
      <c r="E1924" s="494">
        <f>'[6]price list MAN'!E1924</f>
        <v>0</v>
      </c>
      <c r="F1924" s="11">
        <f>'[6]price list MAN'!F1924</f>
        <v>0</v>
      </c>
      <c r="G1924" s="32">
        <f>'[6]price list MAN'!G1924</f>
        <v>0</v>
      </c>
      <c r="H1924" s="26">
        <f>'[6]price list MAN'!H1924</f>
        <v>0</v>
      </c>
      <c r="I1924" s="51" t="str">
        <f t="shared" si="145"/>
        <v/>
      </c>
      <c r="J1924" s="177" t="e">
        <f>'[6]price list MAN'!J1924</f>
        <v>#N/A</v>
      </c>
      <c r="K1924" s="177" t="e">
        <f>'[6]price list MAN'!P1924</f>
        <v>#N/A</v>
      </c>
      <c r="L1924" s="177" t="e">
        <f>'[6]price list MAN'!R1924</f>
        <v>#N/A</v>
      </c>
      <c r="M1924" s="174" t="e">
        <f>'[6]price list MAN'!S1924</f>
        <v>#N/A</v>
      </c>
      <c r="N1924" s="174" t="e">
        <f>'[6]price list MAN'!Y1924</f>
        <v>#N/A</v>
      </c>
      <c r="O1924" s="174" t="e">
        <f>'[6]price list MAN'!AA1924</f>
        <v>#N/A</v>
      </c>
      <c r="P1924" s="68" t="e">
        <f t="shared" si="146"/>
        <v>#N/A</v>
      </c>
      <c r="Q1924" s="62" t="e">
        <f>O1924-#REF!</f>
        <v>#N/A</v>
      </c>
      <c r="AT1924" s="425" t="str">
        <f t="shared" si="147"/>
        <v>Special Order0</v>
      </c>
      <c r="AU1924" s="64" t="str">
        <f t="shared" si="148"/>
        <v>01-1900</v>
      </c>
      <c r="BA1924" s="428" t="str">
        <f t="shared" si="149"/>
        <v/>
      </c>
    </row>
    <row r="1925" spans="2:53">
      <c r="B1925" s="36">
        <f>'[6]price list MAN'!B1925</f>
        <v>0</v>
      </c>
      <c r="C1925" s="10">
        <f>'[6]price list MAN'!C1925</f>
        <v>0</v>
      </c>
      <c r="D1925" s="16" t="str">
        <f>IFERROR(VLOOKUP(C1925&amp;"",'[7]Retail Price List'!$A$3:$B$103,2,FALSE),"Special Order")</f>
        <v>Special Order</v>
      </c>
      <c r="E1925" s="494">
        <f>'[6]price list MAN'!E1925</f>
        <v>0</v>
      </c>
      <c r="F1925" s="11">
        <f>'[6]price list MAN'!F1925</f>
        <v>0</v>
      </c>
      <c r="G1925" s="32">
        <f>'[6]price list MAN'!G1925</f>
        <v>0</v>
      </c>
      <c r="H1925" s="26">
        <f>'[6]price list MAN'!H1925</f>
        <v>0</v>
      </c>
      <c r="I1925" s="51" t="str">
        <f t="shared" ref="I1925:I1988" si="150">IFERROR(VLOOKUP(AU1925,$AW$5:$AY$40,3,FALSE),"")</f>
        <v/>
      </c>
      <c r="J1925" s="177" t="e">
        <f>'[6]price list MAN'!J1925</f>
        <v>#N/A</v>
      </c>
      <c r="K1925" s="177" t="e">
        <f>'[6]price list MAN'!P1925</f>
        <v>#N/A</v>
      </c>
      <c r="L1925" s="177" t="e">
        <f>'[6]price list MAN'!R1925</f>
        <v>#N/A</v>
      </c>
      <c r="M1925" s="174" t="e">
        <f>'[6]price list MAN'!S1925</f>
        <v>#N/A</v>
      </c>
      <c r="N1925" s="174" t="e">
        <f>'[6]price list MAN'!Y1925</f>
        <v>#N/A</v>
      </c>
      <c r="O1925" s="174" t="e">
        <f>'[6]price list MAN'!AA1925</f>
        <v>#N/A</v>
      </c>
      <c r="P1925" s="68" t="e">
        <f t="shared" ref="P1925:P1988" si="151">(M1925-O1925)/M1925</f>
        <v>#N/A</v>
      </c>
      <c r="Q1925" s="62" t="e">
        <f>O1925-#REF!</f>
        <v>#N/A</v>
      </c>
      <c r="AT1925" s="425" t="str">
        <f t="shared" ref="AT1925:AT1988" si="152">D1925&amp;I1925&amp;G1925</f>
        <v>Special Order0</v>
      </c>
      <c r="AU1925" s="64" t="str">
        <f t="shared" ref="AU1925:AU1988" si="153">IF(MONTH(H1925)&lt;10,0&amp;MONTH(H1925)&amp;"-"&amp;YEAR(H1925),MONTH(H1925)&amp;"-"&amp;YEAR(H1925))</f>
        <v>01-1900</v>
      </c>
      <c r="BA1925" s="428" t="str">
        <f t="shared" ref="BA1925:BA1989" si="154">IF(B1925=0,"",IF(AND(F1925&gt;=31,F1925&lt;=120),"31-120 Days",IF(AND(F1925&gt;=121,F1925&lt;=365),"121-365 Days",IF(OR(E1925="CKD",F1925&lt;=30),"WIP - 30 Days","&gt;365 Days"))))</f>
        <v/>
      </c>
    </row>
    <row r="1926" spans="2:53">
      <c r="B1926" s="36">
        <f>'[6]price list MAN'!B1926</f>
        <v>0</v>
      </c>
      <c r="C1926" s="10">
        <f>'[6]price list MAN'!C1926</f>
        <v>0</v>
      </c>
      <c r="D1926" s="16" t="str">
        <f>IFERROR(VLOOKUP(C1926&amp;"",'[7]Retail Price List'!$A$3:$B$103,2,FALSE),"Special Order")</f>
        <v>Special Order</v>
      </c>
      <c r="E1926" s="494">
        <f>'[6]price list MAN'!E1926</f>
        <v>0</v>
      </c>
      <c r="F1926" s="11">
        <f>'[6]price list MAN'!F1926</f>
        <v>0</v>
      </c>
      <c r="G1926" s="32">
        <f>'[6]price list MAN'!G1926</f>
        <v>0</v>
      </c>
      <c r="H1926" s="26">
        <f>'[6]price list MAN'!H1926</f>
        <v>0</v>
      </c>
      <c r="I1926" s="51" t="str">
        <f t="shared" si="150"/>
        <v/>
      </c>
      <c r="J1926" s="177" t="e">
        <f>'[6]price list MAN'!J1926</f>
        <v>#N/A</v>
      </c>
      <c r="K1926" s="177" t="e">
        <f>'[6]price list MAN'!P1926</f>
        <v>#N/A</v>
      </c>
      <c r="L1926" s="177" t="e">
        <f>'[6]price list MAN'!R1926</f>
        <v>#N/A</v>
      </c>
      <c r="M1926" s="174" t="e">
        <f>'[6]price list MAN'!S1926</f>
        <v>#N/A</v>
      </c>
      <c r="N1926" s="174" t="e">
        <f>'[6]price list MAN'!Y1926</f>
        <v>#N/A</v>
      </c>
      <c r="O1926" s="174" t="e">
        <f>'[6]price list MAN'!AA1926</f>
        <v>#N/A</v>
      </c>
      <c r="P1926" s="68" t="e">
        <f t="shared" si="151"/>
        <v>#N/A</v>
      </c>
      <c r="Q1926" s="62" t="e">
        <f>O1926-#REF!</f>
        <v>#N/A</v>
      </c>
      <c r="AT1926" s="425" t="str">
        <f t="shared" si="152"/>
        <v>Special Order0</v>
      </c>
      <c r="AU1926" s="64" t="str">
        <f t="shared" si="153"/>
        <v>01-1900</v>
      </c>
      <c r="BA1926" s="428" t="str">
        <f t="shared" si="154"/>
        <v/>
      </c>
    </row>
    <row r="1927" spans="2:53">
      <c r="B1927" s="36">
        <f>'[6]price list MAN'!B1927</f>
        <v>0</v>
      </c>
      <c r="C1927" s="10">
        <f>'[6]price list MAN'!C1927</f>
        <v>0</v>
      </c>
      <c r="D1927" s="16" t="str">
        <f>IFERROR(VLOOKUP(C1927&amp;"",'[7]Retail Price List'!$A$3:$B$103,2,FALSE),"Special Order")</f>
        <v>Special Order</v>
      </c>
      <c r="E1927" s="494">
        <f>'[6]price list MAN'!E1927</f>
        <v>0</v>
      </c>
      <c r="F1927" s="11">
        <f>'[6]price list MAN'!F1927</f>
        <v>0</v>
      </c>
      <c r="G1927" s="32">
        <f>'[6]price list MAN'!G1927</f>
        <v>0</v>
      </c>
      <c r="H1927" s="26">
        <f>'[6]price list MAN'!H1927</f>
        <v>0</v>
      </c>
      <c r="I1927" s="51" t="str">
        <f t="shared" si="150"/>
        <v/>
      </c>
      <c r="J1927" s="177" t="e">
        <f>'[6]price list MAN'!J1927</f>
        <v>#N/A</v>
      </c>
      <c r="K1927" s="177" t="e">
        <f>'[6]price list MAN'!P1927</f>
        <v>#N/A</v>
      </c>
      <c r="L1927" s="177" t="e">
        <f>'[6]price list MAN'!R1927</f>
        <v>#N/A</v>
      </c>
      <c r="M1927" s="174" t="e">
        <f>'[6]price list MAN'!S1927</f>
        <v>#N/A</v>
      </c>
      <c r="N1927" s="174" t="e">
        <f>'[6]price list MAN'!Y1927</f>
        <v>#N/A</v>
      </c>
      <c r="O1927" s="174" t="e">
        <f>'[6]price list MAN'!AA1927</f>
        <v>#N/A</v>
      </c>
      <c r="P1927" s="68" t="e">
        <f t="shared" si="151"/>
        <v>#N/A</v>
      </c>
      <c r="Q1927" s="62" t="e">
        <f>O1927-#REF!</f>
        <v>#N/A</v>
      </c>
      <c r="AT1927" s="425" t="str">
        <f t="shared" si="152"/>
        <v>Special Order0</v>
      </c>
      <c r="AU1927" s="64" t="str">
        <f t="shared" si="153"/>
        <v>01-1900</v>
      </c>
      <c r="BA1927" s="428" t="str">
        <f t="shared" si="154"/>
        <v/>
      </c>
    </row>
    <row r="1928" spans="2:53">
      <c r="B1928" s="36">
        <f>'[6]price list MAN'!B1928</f>
        <v>0</v>
      </c>
      <c r="C1928" s="10">
        <f>'[6]price list MAN'!C1928</f>
        <v>0</v>
      </c>
      <c r="D1928" s="16" t="str">
        <f>IFERROR(VLOOKUP(C1928&amp;"",'[7]Retail Price List'!$A$3:$B$103,2,FALSE),"Special Order")</f>
        <v>Special Order</v>
      </c>
      <c r="E1928" s="494">
        <f>'[6]price list MAN'!E1928</f>
        <v>0</v>
      </c>
      <c r="F1928" s="11">
        <f>'[6]price list MAN'!F1928</f>
        <v>0</v>
      </c>
      <c r="G1928" s="32">
        <f>'[6]price list MAN'!G1928</f>
        <v>0</v>
      </c>
      <c r="H1928" s="26">
        <f>'[6]price list MAN'!H1928</f>
        <v>0</v>
      </c>
      <c r="I1928" s="51" t="str">
        <f t="shared" si="150"/>
        <v/>
      </c>
      <c r="J1928" s="177" t="e">
        <f>'[6]price list MAN'!J1928</f>
        <v>#N/A</v>
      </c>
      <c r="K1928" s="177" t="e">
        <f>'[6]price list MAN'!P1928</f>
        <v>#N/A</v>
      </c>
      <c r="L1928" s="177" t="e">
        <f>'[6]price list MAN'!R1928</f>
        <v>#N/A</v>
      </c>
      <c r="M1928" s="174" t="e">
        <f>'[6]price list MAN'!S1928</f>
        <v>#N/A</v>
      </c>
      <c r="N1928" s="174" t="e">
        <f>'[6]price list MAN'!Y1928</f>
        <v>#N/A</v>
      </c>
      <c r="O1928" s="174" t="e">
        <f>'[6]price list MAN'!AA1928</f>
        <v>#N/A</v>
      </c>
      <c r="P1928" s="68" t="e">
        <f t="shared" si="151"/>
        <v>#N/A</v>
      </c>
      <c r="Q1928" s="62" t="e">
        <f>O1928-#REF!</f>
        <v>#N/A</v>
      </c>
      <c r="AT1928" s="425" t="str">
        <f t="shared" si="152"/>
        <v>Special Order0</v>
      </c>
      <c r="AU1928" s="64" t="str">
        <f t="shared" si="153"/>
        <v>01-1900</v>
      </c>
      <c r="BA1928" s="428" t="str">
        <f t="shared" si="154"/>
        <v/>
      </c>
    </row>
    <row r="1929" spans="2:53">
      <c r="B1929" s="36">
        <f>'[6]price list MAN'!B1929</f>
        <v>0</v>
      </c>
      <c r="C1929" s="10">
        <f>'[6]price list MAN'!C1929</f>
        <v>0</v>
      </c>
      <c r="D1929" s="16" t="str">
        <f>IFERROR(VLOOKUP(C1929&amp;"",'[7]Retail Price List'!$A$3:$B$103,2,FALSE),"Special Order")</f>
        <v>Special Order</v>
      </c>
      <c r="E1929" s="494">
        <f>'[6]price list MAN'!E1929</f>
        <v>0</v>
      </c>
      <c r="F1929" s="11">
        <f>'[6]price list MAN'!F1929</f>
        <v>0</v>
      </c>
      <c r="G1929" s="32">
        <f>'[6]price list MAN'!G1929</f>
        <v>0</v>
      </c>
      <c r="H1929" s="26">
        <f>'[6]price list MAN'!H1929</f>
        <v>0</v>
      </c>
      <c r="I1929" s="51" t="str">
        <f t="shared" si="150"/>
        <v/>
      </c>
      <c r="J1929" s="177" t="e">
        <f>'[6]price list MAN'!J1929</f>
        <v>#N/A</v>
      </c>
      <c r="K1929" s="177" t="e">
        <f>'[6]price list MAN'!P1929</f>
        <v>#N/A</v>
      </c>
      <c r="L1929" s="177" t="e">
        <f>'[6]price list MAN'!R1929</f>
        <v>#N/A</v>
      </c>
      <c r="M1929" s="174" t="e">
        <f>'[6]price list MAN'!S1929</f>
        <v>#N/A</v>
      </c>
      <c r="N1929" s="174" t="e">
        <f>'[6]price list MAN'!Y1929</f>
        <v>#N/A</v>
      </c>
      <c r="O1929" s="174" t="e">
        <f>'[6]price list MAN'!AA1929</f>
        <v>#N/A</v>
      </c>
      <c r="P1929" s="68" t="e">
        <f t="shared" si="151"/>
        <v>#N/A</v>
      </c>
      <c r="Q1929" s="62" t="e">
        <f>O1929-#REF!</f>
        <v>#N/A</v>
      </c>
      <c r="AT1929" s="425" t="str">
        <f t="shared" si="152"/>
        <v>Special Order0</v>
      </c>
      <c r="AU1929" s="64" t="str">
        <f t="shared" si="153"/>
        <v>01-1900</v>
      </c>
      <c r="BA1929" s="428" t="str">
        <f t="shared" si="154"/>
        <v/>
      </c>
    </row>
    <row r="1930" spans="2:53">
      <c r="B1930" s="36">
        <f>'[6]price list MAN'!B1930</f>
        <v>0</v>
      </c>
      <c r="C1930" s="10">
        <f>'[6]price list MAN'!C1930</f>
        <v>0</v>
      </c>
      <c r="D1930" s="16" t="str">
        <f>IFERROR(VLOOKUP(C1930&amp;"",'[7]Retail Price List'!$A$3:$B$103,2,FALSE),"Special Order")</f>
        <v>Special Order</v>
      </c>
      <c r="E1930" s="494">
        <f>'[6]price list MAN'!E1930</f>
        <v>0</v>
      </c>
      <c r="F1930" s="11">
        <f>'[6]price list MAN'!F1930</f>
        <v>0</v>
      </c>
      <c r="G1930" s="32">
        <f>'[6]price list MAN'!G1930</f>
        <v>0</v>
      </c>
      <c r="H1930" s="26">
        <f>'[6]price list MAN'!H1930</f>
        <v>0</v>
      </c>
      <c r="I1930" s="51" t="str">
        <f t="shared" si="150"/>
        <v/>
      </c>
      <c r="J1930" s="177" t="e">
        <f>'[6]price list MAN'!J1930</f>
        <v>#N/A</v>
      </c>
      <c r="K1930" s="177" t="e">
        <f>'[6]price list MAN'!P1930</f>
        <v>#N/A</v>
      </c>
      <c r="L1930" s="177" t="e">
        <f>'[6]price list MAN'!R1930</f>
        <v>#N/A</v>
      </c>
      <c r="M1930" s="174" t="e">
        <f>'[6]price list MAN'!S1930</f>
        <v>#N/A</v>
      </c>
      <c r="N1930" s="174" t="e">
        <f>'[6]price list MAN'!Y1930</f>
        <v>#N/A</v>
      </c>
      <c r="O1930" s="174" t="e">
        <f>'[6]price list MAN'!AA1930</f>
        <v>#N/A</v>
      </c>
      <c r="P1930" s="68" t="e">
        <f t="shared" si="151"/>
        <v>#N/A</v>
      </c>
      <c r="Q1930" s="62" t="e">
        <f>O1930-#REF!</f>
        <v>#N/A</v>
      </c>
      <c r="AT1930" s="425" t="str">
        <f t="shared" si="152"/>
        <v>Special Order0</v>
      </c>
      <c r="AU1930" s="64" t="str">
        <f t="shared" si="153"/>
        <v>01-1900</v>
      </c>
      <c r="BA1930" s="428" t="str">
        <f t="shared" si="154"/>
        <v/>
      </c>
    </row>
    <row r="1931" spans="2:53">
      <c r="B1931" s="36">
        <f>'[6]price list MAN'!B1931</f>
        <v>0</v>
      </c>
      <c r="C1931" s="10">
        <f>'[6]price list MAN'!C1931</f>
        <v>0</v>
      </c>
      <c r="D1931" s="16" t="str">
        <f>IFERROR(VLOOKUP(C1931&amp;"",'[7]Retail Price List'!$A$3:$B$103,2,FALSE),"Special Order")</f>
        <v>Special Order</v>
      </c>
      <c r="E1931" s="494">
        <f>'[6]price list MAN'!E1931</f>
        <v>0</v>
      </c>
      <c r="F1931" s="11">
        <f>'[6]price list MAN'!F1931</f>
        <v>0</v>
      </c>
      <c r="G1931" s="32">
        <f>'[6]price list MAN'!G1931</f>
        <v>0</v>
      </c>
      <c r="H1931" s="26">
        <f>'[6]price list MAN'!H1931</f>
        <v>0</v>
      </c>
      <c r="I1931" s="51" t="str">
        <f t="shared" si="150"/>
        <v/>
      </c>
      <c r="J1931" s="177" t="e">
        <f>'[6]price list MAN'!J1931</f>
        <v>#N/A</v>
      </c>
      <c r="K1931" s="177" t="e">
        <f>'[6]price list MAN'!P1931</f>
        <v>#N/A</v>
      </c>
      <c r="L1931" s="177" t="e">
        <f>'[6]price list MAN'!R1931</f>
        <v>#N/A</v>
      </c>
      <c r="M1931" s="174" t="e">
        <f>'[6]price list MAN'!S1931</f>
        <v>#N/A</v>
      </c>
      <c r="N1931" s="174" t="e">
        <f>'[6]price list MAN'!Y1931</f>
        <v>#N/A</v>
      </c>
      <c r="O1931" s="174" t="e">
        <f>'[6]price list MAN'!AA1931</f>
        <v>#N/A</v>
      </c>
      <c r="P1931" s="68" t="e">
        <f t="shared" si="151"/>
        <v>#N/A</v>
      </c>
      <c r="Q1931" s="62" t="e">
        <f>O1931-#REF!</f>
        <v>#N/A</v>
      </c>
      <c r="AT1931" s="425" t="str">
        <f t="shared" si="152"/>
        <v>Special Order0</v>
      </c>
      <c r="AU1931" s="64" t="str">
        <f t="shared" si="153"/>
        <v>01-1900</v>
      </c>
      <c r="BA1931" s="428" t="str">
        <f t="shared" si="154"/>
        <v/>
      </c>
    </row>
    <row r="1932" spans="2:53">
      <c r="B1932" s="36">
        <f>'[6]price list MAN'!B1932</f>
        <v>0</v>
      </c>
      <c r="C1932" s="10">
        <f>'[6]price list MAN'!C1932</f>
        <v>0</v>
      </c>
      <c r="D1932" s="16" t="str">
        <f>IFERROR(VLOOKUP(C1932&amp;"",'[7]Retail Price List'!$A$3:$B$103,2,FALSE),"Special Order")</f>
        <v>Special Order</v>
      </c>
      <c r="E1932" s="494">
        <f>'[6]price list MAN'!E1932</f>
        <v>0</v>
      </c>
      <c r="F1932" s="11">
        <f>'[6]price list MAN'!F1932</f>
        <v>0</v>
      </c>
      <c r="G1932" s="32">
        <f>'[6]price list MAN'!G1932</f>
        <v>0</v>
      </c>
      <c r="H1932" s="26">
        <f>'[6]price list MAN'!H1932</f>
        <v>0</v>
      </c>
      <c r="I1932" s="51" t="str">
        <f t="shared" si="150"/>
        <v/>
      </c>
      <c r="J1932" s="177" t="e">
        <f>'[6]price list MAN'!J1932</f>
        <v>#N/A</v>
      </c>
      <c r="K1932" s="177" t="e">
        <f>'[6]price list MAN'!P1932</f>
        <v>#N/A</v>
      </c>
      <c r="L1932" s="177" t="e">
        <f>'[6]price list MAN'!R1932</f>
        <v>#N/A</v>
      </c>
      <c r="M1932" s="174" t="e">
        <f>'[6]price list MAN'!S1932</f>
        <v>#N/A</v>
      </c>
      <c r="N1932" s="174" t="e">
        <f>'[6]price list MAN'!Y1932</f>
        <v>#N/A</v>
      </c>
      <c r="O1932" s="174" t="e">
        <f>'[6]price list MAN'!AA1932</f>
        <v>#N/A</v>
      </c>
      <c r="P1932" s="68" t="e">
        <f t="shared" si="151"/>
        <v>#N/A</v>
      </c>
      <c r="Q1932" s="62" t="e">
        <f>O1932-#REF!</f>
        <v>#N/A</v>
      </c>
      <c r="AT1932" s="425" t="str">
        <f t="shared" si="152"/>
        <v>Special Order0</v>
      </c>
      <c r="AU1932" s="64" t="str">
        <f t="shared" si="153"/>
        <v>01-1900</v>
      </c>
      <c r="BA1932" s="428" t="str">
        <f t="shared" si="154"/>
        <v/>
      </c>
    </row>
    <row r="1933" spans="2:53">
      <c r="B1933" s="36">
        <f>'[6]price list MAN'!B1933</f>
        <v>0</v>
      </c>
      <c r="C1933" s="10">
        <f>'[6]price list MAN'!C1933</f>
        <v>0</v>
      </c>
      <c r="D1933" s="16" t="str">
        <f>IFERROR(VLOOKUP(C1933&amp;"",'[7]Retail Price List'!$A$3:$B$103,2,FALSE),"Special Order")</f>
        <v>Special Order</v>
      </c>
      <c r="E1933" s="494">
        <f>'[6]price list MAN'!E1933</f>
        <v>0</v>
      </c>
      <c r="F1933" s="11">
        <f>'[6]price list MAN'!F1933</f>
        <v>0</v>
      </c>
      <c r="G1933" s="32">
        <f>'[6]price list MAN'!G1933</f>
        <v>0</v>
      </c>
      <c r="H1933" s="26">
        <f>'[6]price list MAN'!H1933</f>
        <v>0</v>
      </c>
      <c r="I1933" s="51" t="str">
        <f t="shared" si="150"/>
        <v/>
      </c>
      <c r="J1933" s="177" t="e">
        <f>'[6]price list MAN'!J1933</f>
        <v>#N/A</v>
      </c>
      <c r="K1933" s="177" t="e">
        <f>'[6]price list MAN'!P1933</f>
        <v>#N/A</v>
      </c>
      <c r="L1933" s="177" t="e">
        <f>'[6]price list MAN'!R1933</f>
        <v>#N/A</v>
      </c>
      <c r="M1933" s="174" t="e">
        <f>'[6]price list MAN'!S1933</f>
        <v>#N/A</v>
      </c>
      <c r="N1933" s="174" t="e">
        <f>'[6]price list MAN'!Y1933</f>
        <v>#N/A</v>
      </c>
      <c r="O1933" s="174" t="e">
        <f>'[6]price list MAN'!AA1933</f>
        <v>#N/A</v>
      </c>
      <c r="P1933" s="68" t="e">
        <f t="shared" si="151"/>
        <v>#N/A</v>
      </c>
      <c r="Q1933" s="62" t="e">
        <f>O1933-#REF!</f>
        <v>#N/A</v>
      </c>
      <c r="AT1933" s="425" t="str">
        <f t="shared" si="152"/>
        <v>Special Order0</v>
      </c>
      <c r="AU1933" s="64" t="str">
        <f t="shared" si="153"/>
        <v>01-1900</v>
      </c>
      <c r="BA1933" s="428" t="str">
        <f t="shared" si="154"/>
        <v/>
      </c>
    </row>
    <row r="1934" spans="2:53">
      <c r="B1934" s="36">
        <f>'[6]price list MAN'!B1934</f>
        <v>0</v>
      </c>
      <c r="C1934" s="10">
        <f>'[6]price list MAN'!C1934</f>
        <v>0</v>
      </c>
      <c r="D1934" s="16" t="str">
        <f>IFERROR(VLOOKUP(C1934&amp;"",'[7]Retail Price List'!$A$3:$B$103,2,FALSE),"Special Order")</f>
        <v>Special Order</v>
      </c>
      <c r="E1934" s="494">
        <f>'[6]price list MAN'!E1934</f>
        <v>0</v>
      </c>
      <c r="F1934" s="11">
        <f>'[6]price list MAN'!F1934</f>
        <v>0</v>
      </c>
      <c r="G1934" s="32">
        <f>'[6]price list MAN'!G1934</f>
        <v>0</v>
      </c>
      <c r="H1934" s="26">
        <f>'[6]price list MAN'!H1934</f>
        <v>0</v>
      </c>
      <c r="I1934" s="51" t="str">
        <f t="shared" si="150"/>
        <v/>
      </c>
      <c r="J1934" s="177" t="e">
        <f>'[6]price list MAN'!J1934</f>
        <v>#N/A</v>
      </c>
      <c r="K1934" s="177" t="e">
        <f>'[6]price list MAN'!P1934</f>
        <v>#N/A</v>
      </c>
      <c r="L1934" s="177" t="e">
        <f>'[6]price list MAN'!R1934</f>
        <v>#N/A</v>
      </c>
      <c r="M1934" s="174" t="e">
        <f>'[6]price list MAN'!S1934</f>
        <v>#N/A</v>
      </c>
      <c r="N1934" s="174" t="e">
        <f>'[6]price list MAN'!Y1934</f>
        <v>#N/A</v>
      </c>
      <c r="O1934" s="174" t="e">
        <f>'[6]price list MAN'!AA1934</f>
        <v>#N/A</v>
      </c>
      <c r="P1934" s="68" t="e">
        <f t="shared" si="151"/>
        <v>#N/A</v>
      </c>
      <c r="Q1934" s="62" t="e">
        <f>O1934-#REF!</f>
        <v>#N/A</v>
      </c>
      <c r="AT1934" s="425" t="str">
        <f t="shared" si="152"/>
        <v>Special Order0</v>
      </c>
      <c r="AU1934" s="64" t="str">
        <f t="shared" si="153"/>
        <v>01-1900</v>
      </c>
      <c r="BA1934" s="428" t="str">
        <f t="shared" si="154"/>
        <v/>
      </c>
    </row>
    <row r="1935" spans="2:53">
      <c r="B1935" s="36">
        <f>'[6]price list MAN'!B1935</f>
        <v>0</v>
      </c>
      <c r="C1935" s="10">
        <f>'[6]price list MAN'!C1935</f>
        <v>0</v>
      </c>
      <c r="D1935" s="16" t="str">
        <f>IFERROR(VLOOKUP(C1935&amp;"",'[7]Retail Price List'!$A$3:$B$103,2,FALSE),"Special Order")</f>
        <v>Special Order</v>
      </c>
      <c r="E1935" s="494">
        <f>'[6]price list MAN'!E1935</f>
        <v>0</v>
      </c>
      <c r="F1935" s="11">
        <f>'[6]price list MAN'!F1935</f>
        <v>0</v>
      </c>
      <c r="G1935" s="32">
        <f>'[6]price list MAN'!G1935</f>
        <v>0</v>
      </c>
      <c r="H1935" s="26">
        <f>'[6]price list MAN'!H1935</f>
        <v>0</v>
      </c>
      <c r="I1935" s="51" t="str">
        <f t="shared" si="150"/>
        <v/>
      </c>
      <c r="J1935" s="177" t="e">
        <f>'[6]price list MAN'!J1935</f>
        <v>#N/A</v>
      </c>
      <c r="K1935" s="177" t="e">
        <f>'[6]price list MAN'!P1935</f>
        <v>#N/A</v>
      </c>
      <c r="L1935" s="177" t="e">
        <f>'[6]price list MAN'!R1935</f>
        <v>#N/A</v>
      </c>
      <c r="M1935" s="174" t="e">
        <f>'[6]price list MAN'!S1935</f>
        <v>#N/A</v>
      </c>
      <c r="N1935" s="174" t="e">
        <f>'[6]price list MAN'!Y1935</f>
        <v>#N/A</v>
      </c>
      <c r="O1935" s="174" t="e">
        <f>'[6]price list MAN'!AA1935</f>
        <v>#N/A</v>
      </c>
      <c r="P1935" s="68" t="e">
        <f t="shared" si="151"/>
        <v>#N/A</v>
      </c>
      <c r="Q1935" s="62" t="e">
        <f>O1935-#REF!</f>
        <v>#N/A</v>
      </c>
      <c r="AT1935" s="425" t="str">
        <f t="shared" si="152"/>
        <v>Special Order0</v>
      </c>
      <c r="AU1935" s="64" t="str">
        <f t="shared" si="153"/>
        <v>01-1900</v>
      </c>
      <c r="BA1935" s="428" t="str">
        <f t="shared" si="154"/>
        <v/>
      </c>
    </row>
    <row r="1936" spans="2:53">
      <c r="B1936" s="36">
        <f>'[6]price list MAN'!B1936</f>
        <v>0</v>
      </c>
      <c r="C1936" s="10">
        <f>'[6]price list MAN'!C1936</f>
        <v>0</v>
      </c>
      <c r="D1936" s="16" t="str">
        <f>IFERROR(VLOOKUP(C1936&amp;"",'[7]Retail Price List'!$A$3:$B$103,2,FALSE),"Special Order")</f>
        <v>Special Order</v>
      </c>
      <c r="E1936" s="494">
        <f>'[6]price list MAN'!E1936</f>
        <v>0</v>
      </c>
      <c r="F1936" s="11">
        <f>'[6]price list MAN'!F1936</f>
        <v>0</v>
      </c>
      <c r="G1936" s="32">
        <f>'[6]price list MAN'!G1936</f>
        <v>0</v>
      </c>
      <c r="H1936" s="26">
        <f>'[6]price list MAN'!H1936</f>
        <v>0</v>
      </c>
      <c r="I1936" s="51" t="str">
        <f t="shared" si="150"/>
        <v/>
      </c>
      <c r="J1936" s="177" t="e">
        <f>'[6]price list MAN'!J1936</f>
        <v>#N/A</v>
      </c>
      <c r="K1936" s="177" t="e">
        <f>'[6]price list MAN'!P1936</f>
        <v>#N/A</v>
      </c>
      <c r="L1936" s="177" t="e">
        <f>'[6]price list MAN'!R1936</f>
        <v>#N/A</v>
      </c>
      <c r="M1936" s="174" t="e">
        <f>'[6]price list MAN'!S1936</f>
        <v>#N/A</v>
      </c>
      <c r="N1936" s="174" t="e">
        <f>'[6]price list MAN'!Y1936</f>
        <v>#N/A</v>
      </c>
      <c r="O1936" s="174" t="e">
        <f>'[6]price list MAN'!AA1936</f>
        <v>#N/A</v>
      </c>
      <c r="P1936" s="68" t="e">
        <f t="shared" si="151"/>
        <v>#N/A</v>
      </c>
      <c r="Q1936" s="62" t="e">
        <f>O1936-#REF!</f>
        <v>#N/A</v>
      </c>
      <c r="AT1936" s="425" t="str">
        <f t="shared" si="152"/>
        <v>Special Order0</v>
      </c>
      <c r="AU1936" s="64" t="str">
        <f t="shared" si="153"/>
        <v>01-1900</v>
      </c>
      <c r="BA1936" s="428" t="str">
        <f t="shared" si="154"/>
        <v/>
      </c>
    </row>
    <row r="1937" spans="2:53">
      <c r="B1937" s="36">
        <f>'[6]price list MAN'!B1937</f>
        <v>0</v>
      </c>
      <c r="C1937" s="10">
        <f>'[6]price list MAN'!C1937</f>
        <v>0</v>
      </c>
      <c r="D1937" s="16" t="str">
        <f>IFERROR(VLOOKUP(C1937&amp;"",'[7]Retail Price List'!$A$3:$B$103,2,FALSE),"Special Order")</f>
        <v>Special Order</v>
      </c>
      <c r="E1937" s="494">
        <f>'[6]price list MAN'!E1937</f>
        <v>0</v>
      </c>
      <c r="F1937" s="11">
        <f>'[6]price list MAN'!F1937</f>
        <v>0</v>
      </c>
      <c r="G1937" s="32">
        <f>'[6]price list MAN'!G1937</f>
        <v>0</v>
      </c>
      <c r="H1937" s="26">
        <f>'[6]price list MAN'!H1937</f>
        <v>0</v>
      </c>
      <c r="I1937" s="51" t="str">
        <f t="shared" si="150"/>
        <v/>
      </c>
      <c r="J1937" s="177" t="e">
        <f>'[6]price list MAN'!J1937</f>
        <v>#N/A</v>
      </c>
      <c r="K1937" s="177" t="e">
        <f>'[6]price list MAN'!P1937</f>
        <v>#N/A</v>
      </c>
      <c r="L1937" s="177" t="e">
        <f>'[6]price list MAN'!R1937</f>
        <v>#N/A</v>
      </c>
      <c r="M1937" s="174" t="e">
        <f>'[6]price list MAN'!S1937</f>
        <v>#N/A</v>
      </c>
      <c r="N1937" s="174" t="e">
        <f>'[6]price list MAN'!Y1937</f>
        <v>#N/A</v>
      </c>
      <c r="O1937" s="174" t="e">
        <f>'[6]price list MAN'!AA1937</f>
        <v>#N/A</v>
      </c>
      <c r="P1937" s="68" t="e">
        <f t="shared" si="151"/>
        <v>#N/A</v>
      </c>
      <c r="Q1937" s="62" t="e">
        <f>O1937-#REF!</f>
        <v>#N/A</v>
      </c>
      <c r="AT1937" s="425" t="str">
        <f t="shared" si="152"/>
        <v>Special Order0</v>
      </c>
      <c r="AU1937" s="64" t="str">
        <f t="shared" si="153"/>
        <v>01-1900</v>
      </c>
      <c r="BA1937" s="428" t="str">
        <f t="shared" si="154"/>
        <v/>
      </c>
    </row>
    <row r="1938" spans="2:53">
      <c r="B1938" s="36">
        <f>'[6]price list MAN'!B1938</f>
        <v>0</v>
      </c>
      <c r="C1938" s="10">
        <f>'[6]price list MAN'!C1938</f>
        <v>0</v>
      </c>
      <c r="D1938" s="16" t="str">
        <f>IFERROR(VLOOKUP(C1938&amp;"",'[7]Retail Price List'!$A$3:$B$103,2,FALSE),"Special Order")</f>
        <v>Special Order</v>
      </c>
      <c r="E1938" s="494">
        <f>'[6]price list MAN'!E1938</f>
        <v>0</v>
      </c>
      <c r="F1938" s="11">
        <f>'[6]price list MAN'!F1938</f>
        <v>0</v>
      </c>
      <c r="G1938" s="32">
        <f>'[6]price list MAN'!G1938</f>
        <v>0</v>
      </c>
      <c r="H1938" s="26">
        <f>'[6]price list MAN'!H1938</f>
        <v>0</v>
      </c>
      <c r="I1938" s="51" t="str">
        <f t="shared" si="150"/>
        <v/>
      </c>
      <c r="J1938" s="177" t="e">
        <f>'[6]price list MAN'!J1938</f>
        <v>#N/A</v>
      </c>
      <c r="K1938" s="177" t="e">
        <f>'[6]price list MAN'!P1938</f>
        <v>#N/A</v>
      </c>
      <c r="L1938" s="177" t="e">
        <f>'[6]price list MAN'!R1938</f>
        <v>#N/A</v>
      </c>
      <c r="M1938" s="174" t="e">
        <f>'[6]price list MAN'!S1938</f>
        <v>#N/A</v>
      </c>
      <c r="N1938" s="174" t="e">
        <f>'[6]price list MAN'!Y1938</f>
        <v>#N/A</v>
      </c>
      <c r="O1938" s="174" t="e">
        <f>'[6]price list MAN'!AA1938</f>
        <v>#N/A</v>
      </c>
      <c r="P1938" s="68" t="e">
        <f t="shared" si="151"/>
        <v>#N/A</v>
      </c>
      <c r="Q1938" s="62" t="e">
        <f>O1938-#REF!</f>
        <v>#N/A</v>
      </c>
      <c r="AT1938" s="425" t="str">
        <f t="shared" si="152"/>
        <v>Special Order0</v>
      </c>
      <c r="AU1938" s="64" t="str">
        <f t="shared" si="153"/>
        <v>01-1900</v>
      </c>
      <c r="BA1938" s="428" t="str">
        <f t="shared" si="154"/>
        <v/>
      </c>
    </row>
    <row r="1939" spans="2:53">
      <c r="B1939" s="36">
        <f>'[6]price list MAN'!B1939</f>
        <v>0</v>
      </c>
      <c r="C1939" s="10">
        <f>'[6]price list MAN'!C1939</f>
        <v>0</v>
      </c>
      <c r="D1939" s="16" t="str">
        <f>IFERROR(VLOOKUP(C1939&amp;"",'[7]Retail Price List'!$A$3:$B$103,2,FALSE),"Special Order")</f>
        <v>Special Order</v>
      </c>
      <c r="E1939" s="494">
        <f>'[6]price list MAN'!E1939</f>
        <v>0</v>
      </c>
      <c r="F1939" s="11">
        <f>'[6]price list MAN'!F1939</f>
        <v>0</v>
      </c>
      <c r="G1939" s="32">
        <f>'[6]price list MAN'!G1939</f>
        <v>0</v>
      </c>
      <c r="H1939" s="26">
        <f>'[6]price list MAN'!H1939</f>
        <v>0</v>
      </c>
      <c r="I1939" s="51" t="str">
        <f t="shared" si="150"/>
        <v/>
      </c>
      <c r="J1939" s="177" t="e">
        <f>'[6]price list MAN'!J1939</f>
        <v>#N/A</v>
      </c>
      <c r="K1939" s="177" t="e">
        <f>'[6]price list MAN'!P1939</f>
        <v>#N/A</v>
      </c>
      <c r="L1939" s="177" t="e">
        <f>'[6]price list MAN'!R1939</f>
        <v>#N/A</v>
      </c>
      <c r="M1939" s="174" t="e">
        <f>'[6]price list MAN'!S1939</f>
        <v>#N/A</v>
      </c>
      <c r="N1939" s="174" t="e">
        <f>'[6]price list MAN'!Y1939</f>
        <v>#N/A</v>
      </c>
      <c r="O1939" s="174" t="e">
        <f>'[6]price list MAN'!AA1939</f>
        <v>#N/A</v>
      </c>
      <c r="P1939" s="68" t="e">
        <f t="shared" si="151"/>
        <v>#N/A</v>
      </c>
      <c r="Q1939" s="62" t="e">
        <f>O1939-#REF!</f>
        <v>#N/A</v>
      </c>
      <c r="AT1939" s="425" t="str">
        <f t="shared" si="152"/>
        <v>Special Order0</v>
      </c>
      <c r="AU1939" s="64" t="str">
        <f t="shared" si="153"/>
        <v>01-1900</v>
      </c>
      <c r="BA1939" s="428" t="str">
        <f t="shared" si="154"/>
        <v/>
      </c>
    </row>
    <row r="1940" spans="2:53">
      <c r="B1940" s="36">
        <f>'[6]price list MAN'!B1940</f>
        <v>0</v>
      </c>
      <c r="C1940" s="10">
        <f>'[6]price list MAN'!C1940</f>
        <v>0</v>
      </c>
      <c r="D1940" s="16" t="str">
        <f>IFERROR(VLOOKUP(C1940&amp;"",'[7]Retail Price List'!$A$3:$B$103,2,FALSE),"Special Order")</f>
        <v>Special Order</v>
      </c>
      <c r="E1940" s="494">
        <f>'[6]price list MAN'!E1940</f>
        <v>0</v>
      </c>
      <c r="F1940" s="11">
        <f>'[6]price list MAN'!F1940</f>
        <v>0</v>
      </c>
      <c r="G1940" s="32">
        <f>'[6]price list MAN'!G1940</f>
        <v>0</v>
      </c>
      <c r="H1940" s="26">
        <f>'[6]price list MAN'!H1940</f>
        <v>0</v>
      </c>
      <c r="I1940" s="51" t="str">
        <f t="shared" si="150"/>
        <v/>
      </c>
      <c r="J1940" s="177" t="e">
        <f>'[6]price list MAN'!J1940</f>
        <v>#N/A</v>
      </c>
      <c r="K1940" s="177" t="e">
        <f>'[6]price list MAN'!P1940</f>
        <v>#N/A</v>
      </c>
      <c r="L1940" s="177" t="e">
        <f>'[6]price list MAN'!R1940</f>
        <v>#N/A</v>
      </c>
      <c r="M1940" s="174" t="e">
        <f>'[6]price list MAN'!S1940</f>
        <v>#N/A</v>
      </c>
      <c r="N1940" s="174" t="e">
        <f>'[6]price list MAN'!Y1940</f>
        <v>#N/A</v>
      </c>
      <c r="O1940" s="174" t="e">
        <f>'[6]price list MAN'!AA1940</f>
        <v>#N/A</v>
      </c>
      <c r="P1940" s="68" t="e">
        <f t="shared" si="151"/>
        <v>#N/A</v>
      </c>
      <c r="Q1940" s="62" t="e">
        <f>O1940-#REF!</f>
        <v>#N/A</v>
      </c>
      <c r="AT1940" s="425" t="str">
        <f t="shared" si="152"/>
        <v>Special Order0</v>
      </c>
      <c r="AU1940" s="64" t="str">
        <f t="shared" si="153"/>
        <v>01-1900</v>
      </c>
      <c r="BA1940" s="428" t="str">
        <f t="shared" si="154"/>
        <v/>
      </c>
    </row>
    <row r="1941" spans="2:53">
      <c r="B1941" s="36">
        <f>'[6]price list MAN'!B1941</f>
        <v>0</v>
      </c>
      <c r="C1941" s="10">
        <f>'[6]price list MAN'!C1941</f>
        <v>0</v>
      </c>
      <c r="D1941" s="16" t="str">
        <f>IFERROR(VLOOKUP(C1941&amp;"",'[7]Retail Price List'!$A$3:$B$103,2,FALSE),"Special Order")</f>
        <v>Special Order</v>
      </c>
      <c r="E1941" s="494">
        <f>'[6]price list MAN'!E1941</f>
        <v>0</v>
      </c>
      <c r="F1941" s="11">
        <f>'[6]price list MAN'!F1941</f>
        <v>0</v>
      </c>
      <c r="G1941" s="32">
        <f>'[6]price list MAN'!G1941</f>
        <v>0</v>
      </c>
      <c r="H1941" s="26">
        <f>'[6]price list MAN'!H1941</f>
        <v>0</v>
      </c>
      <c r="I1941" s="51" t="str">
        <f t="shared" si="150"/>
        <v/>
      </c>
      <c r="J1941" s="177" t="e">
        <f>'[6]price list MAN'!J1941</f>
        <v>#N/A</v>
      </c>
      <c r="K1941" s="177" t="e">
        <f>'[6]price list MAN'!P1941</f>
        <v>#N/A</v>
      </c>
      <c r="L1941" s="177" t="e">
        <f>'[6]price list MAN'!R1941</f>
        <v>#N/A</v>
      </c>
      <c r="M1941" s="174" t="e">
        <f>'[6]price list MAN'!S1941</f>
        <v>#N/A</v>
      </c>
      <c r="N1941" s="174" t="e">
        <f>'[6]price list MAN'!Y1941</f>
        <v>#N/A</v>
      </c>
      <c r="O1941" s="174" t="e">
        <f>'[6]price list MAN'!AA1941</f>
        <v>#N/A</v>
      </c>
      <c r="P1941" s="68" t="e">
        <f t="shared" si="151"/>
        <v>#N/A</v>
      </c>
      <c r="Q1941" s="62" t="e">
        <f>O1941-#REF!</f>
        <v>#N/A</v>
      </c>
      <c r="AT1941" s="425" t="str">
        <f t="shared" si="152"/>
        <v>Special Order0</v>
      </c>
      <c r="AU1941" s="64" t="str">
        <f t="shared" si="153"/>
        <v>01-1900</v>
      </c>
      <c r="BA1941" s="428" t="str">
        <f t="shared" si="154"/>
        <v/>
      </c>
    </row>
    <row r="1942" spans="2:53">
      <c r="B1942" s="36">
        <f>'[6]price list MAN'!B1942</f>
        <v>0</v>
      </c>
      <c r="C1942" s="10">
        <f>'[6]price list MAN'!C1942</f>
        <v>0</v>
      </c>
      <c r="D1942" s="16" t="str">
        <f>IFERROR(VLOOKUP(C1942&amp;"",'[7]Retail Price List'!$A$3:$B$103,2,FALSE),"Special Order")</f>
        <v>Special Order</v>
      </c>
      <c r="E1942" s="494">
        <f>'[6]price list MAN'!E1942</f>
        <v>0</v>
      </c>
      <c r="F1942" s="11">
        <f>'[6]price list MAN'!F1942</f>
        <v>0</v>
      </c>
      <c r="G1942" s="32">
        <f>'[6]price list MAN'!G1942</f>
        <v>0</v>
      </c>
      <c r="H1942" s="26">
        <f>'[6]price list MAN'!H1942</f>
        <v>0</v>
      </c>
      <c r="I1942" s="51" t="str">
        <f t="shared" si="150"/>
        <v/>
      </c>
      <c r="J1942" s="177" t="e">
        <f>'[6]price list MAN'!J1942</f>
        <v>#N/A</v>
      </c>
      <c r="K1942" s="177" t="e">
        <f>'[6]price list MAN'!P1942</f>
        <v>#N/A</v>
      </c>
      <c r="L1942" s="177" t="e">
        <f>'[6]price list MAN'!R1942</f>
        <v>#N/A</v>
      </c>
      <c r="M1942" s="174" t="e">
        <f>'[6]price list MAN'!S1942</f>
        <v>#N/A</v>
      </c>
      <c r="N1942" s="174" t="e">
        <f>'[6]price list MAN'!Y1942</f>
        <v>#N/A</v>
      </c>
      <c r="O1942" s="174" t="e">
        <f>'[6]price list MAN'!AA1942</f>
        <v>#N/A</v>
      </c>
      <c r="P1942" s="68" t="e">
        <f t="shared" si="151"/>
        <v>#N/A</v>
      </c>
      <c r="Q1942" s="62" t="e">
        <f>O1942-#REF!</f>
        <v>#N/A</v>
      </c>
      <c r="AT1942" s="425" t="str">
        <f t="shared" si="152"/>
        <v>Special Order0</v>
      </c>
      <c r="AU1942" s="64" t="str">
        <f t="shared" si="153"/>
        <v>01-1900</v>
      </c>
      <c r="BA1942" s="428" t="str">
        <f t="shared" si="154"/>
        <v/>
      </c>
    </row>
    <row r="1943" spans="2:53">
      <c r="B1943" s="36">
        <f>'[6]price list MAN'!B1943</f>
        <v>0</v>
      </c>
      <c r="C1943" s="10">
        <f>'[6]price list MAN'!C1943</f>
        <v>0</v>
      </c>
      <c r="D1943" s="16" t="str">
        <f>IFERROR(VLOOKUP(C1943&amp;"",'[7]Retail Price List'!$A$3:$B$103,2,FALSE),"Special Order")</f>
        <v>Special Order</v>
      </c>
      <c r="E1943" s="494">
        <f>'[6]price list MAN'!E1943</f>
        <v>0</v>
      </c>
      <c r="F1943" s="11">
        <f>'[6]price list MAN'!F1943</f>
        <v>0</v>
      </c>
      <c r="G1943" s="32">
        <f>'[6]price list MAN'!G1943</f>
        <v>0</v>
      </c>
      <c r="H1943" s="26">
        <f>'[6]price list MAN'!H1943</f>
        <v>0</v>
      </c>
      <c r="I1943" s="51" t="str">
        <f t="shared" si="150"/>
        <v/>
      </c>
      <c r="J1943" s="177" t="e">
        <f>'[6]price list MAN'!J1943</f>
        <v>#N/A</v>
      </c>
      <c r="K1943" s="177" t="e">
        <f>'[6]price list MAN'!P1943</f>
        <v>#N/A</v>
      </c>
      <c r="L1943" s="177" t="e">
        <f>'[6]price list MAN'!R1943</f>
        <v>#N/A</v>
      </c>
      <c r="M1943" s="174" t="e">
        <f>'[6]price list MAN'!S1943</f>
        <v>#N/A</v>
      </c>
      <c r="N1943" s="174" t="e">
        <f>'[6]price list MAN'!Y1943</f>
        <v>#N/A</v>
      </c>
      <c r="O1943" s="174" t="e">
        <f>'[6]price list MAN'!AA1943</f>
        <v>#N/A</v>
      </c>
      <c r="P1943" s="68" t="e">
        <f t="shared" si="151"/>
        <v>#N/A</v>
      </c>
      <c r="Q1943" s="62" t="e">
        <f>O1943-#REF!</f>
        <v>#N/A</v>
      </c>
      <c r="AT1943" s="425" t="str">
        <f t="shared" si="152"/>
        <v>Special Order0</v>
      </c>
      <c r="AU1943" s="64" t="str">
        <f t="shared" si="153"/>
        <v>01-1900</v>
      </c>
      <c r="BA1943" s="428" t="str">
        <f t="shared" si="154"/>
        <v/>
      </c>
    </row>
    <row r="1944" spans="2:53">
      <c r="B1944" s="36">
        <f>'[6]price list MAN'!B1944</f>
        <v>0</v>
      </c>
      <c r="C1944" s="10">
        <f>'[6]price list MAN'!C1944</f>
        <v>0</v>
      </c>
      <c r="D1944" s="16" t="str">
        <f>IFERROR(VLOOKUP(C1944&amp;"",'[7]Retail Price List'!$A$3:$B$103,2,FALSE),"Special Order")</f>
        <v>Special Order</v>
      </c>
      <c r="E1944" s="494">
        <f>'[6]price list MAN'!E1944</f>
        <v>0</v>
      </c>
      <c r="F1944" s="11">
        <f>'[6]price list MAN'!F1944</f>
        <v>0</v>
      </c>
      <c r="G1944" s="32">
        <f>'[6]price list MAN'!G1944</f>
        <v>0</v>
      </c>
      <c r="H1944" s="26">
        <f>'[6]price list MAN'!H1944</f>
        <v>0</v>
      </c>
      <c r="I1944" s="51" t="str">
        <f t="shared" si="150"/>
        <v/>
      </c>
      <c r="J1944" s="177" t="e">
        <f>'[6]price list MAN'!J1944</f>
        <v>#N/A</v>
      </c>
      <c r="K1944" s="177" t="e">
        <f>'[6]price list MAN'!P1944</f>
        <v>#N/A</v>
      </c>
      <c r="L1944" s="177" t="e">
        <f>'[6]price list MAN'!R1944</f>
        <v>#N/A</v>
      </c>
      <c r="M1944" s="174" t="e">
        <f>'[6]price list MAN'!S1944</f>
        <v>#N/A</v>
      </c>
      <c r="N1944" s="174" t="e">
        <f>'[6]price list MAN'!Y1944</f>
        <v>#N/A</v>
      </c>
      <c r="O1944" s="174" t="e">
        <f>'[6]price list MAN'!AA1944</f>
        <v>#N/A</v>
      </c>
      <c r="P1944" s="68" t="e">
        <f t="shared" si="151"/>
        <v>#N/A</v>
      </c>
      <c r="Q1944" s="62" t="e">
        <f>O1944-#REF!</f>
        <v>#N/A</v>
      </c>
      <c r="AT1944" s="425" t="str">
        <f t="shared" si="152"/>
        <v>Special Order0</v>
      </c>
      <c r="AU1944" s="64" t="str">
        <f t="shared" si="153"/>
        <v>01-1900</v>
      </c>
      <c r="BA1944" s="428" t="str">
        <f t="shared" si="154"/>
        <v/>
      </c>
    </row>
    <row r="1945" spans="2:53">
      <c r="B1945" s="36">
        <f>'[6]price list MAN'!B1945</f>
        <v>0</v>
      </c>
      <c r="C1945" s="10">
        <f>'[6]price list MAN'!C1945</f>
        <v>0</v>
      </c>
      <c r="D1945" s="16" t="str">
        <f>IFERROR(VLOOKUP(C1945&amp;"",'[7]Retail Price List'!$A$3:$B$103,2,FALSE),"Special Order")</f>
        <v>Special Order</v>
      </c>
      <c r="E1945" s="494">
        <f>'[6]price list MAN'!E1945</f>
        <v>0</v>
      </c>
      <c r="F1945" s="11">
        <f>'[6]price list MAN'!F1945</f>
        <v>0</v>
      </c>
      <c r="G1945" s="32">
        <f>'[6]price list MAN'!G1945</f>
        <v>0</v>
      </c>
      <c r="H1945" s="26">
        <f>'[6]price list MAN'!H1945</f>
        <v>0</v>
      </c>
      <c r="I1945" s="51" t="str">
        <f t="shared" si="150"/>
        <v/>
      </c>
      <c r="J1945" s="177" t="e">
        <f>'[6]price list MAN'!J1945</f>
        <v>#N/A</v>
      </c>
      <c r="K1945" s="177" t="e">
        <f>'[6]price list MAN'!P1945</f>
        <v>#N/A</v>
      </c>
      <c r="L1945" s="177" t="e">
        <f>'[6]price list MAN'!R1945</f>
        <v>#N/A</v>
      </c>
      <c r="M1945" s="174" t="e">
        <f>'[6]price list MAN'!S1945</f>
        <v>#N/A</v>
      </c>
      <c r="N1945" s="174" t="e">
        <f>'[6]price list MAN'!Y1945</f>
        <v>#N/A</v>
      </c>
      <c r="O1945" s="174" t="e">
        <f>'[6]price list MAN'!AA1945</f>
        <v>#N/A</v>
      </c>
      <c r="P1945" s="68" t="e">
        <f t="shared" si="151"/>
        <v>#N/A</v>
      </c>
      <c r="Q1945" s="62" t="e">
        <f>O1945-#REF!</f>
        <v>#N/A</v>
      </c>
      <c r="AT1945" s="425" t="str">
        <f t="shared" si="152"/>
        <v>Special Order0</v>
      </c>
      <c r="AU1945" s="64" t="str">
        <f t="shared" si="153"/>
        <v>01-1900</v>
      </c>
      <c r="BA1945" s="428" t="str">
        <f t="shared" si="154"/>
        <v/>
      </c>
    </row>
    <row r="1946" spans="2:53">
      <c r="B1946" s="36">
        <f>'[6]price list MAN'!B1946</f>
        <v>0</v>
      </c>
      <c r="C1946" s="10">
        <f>'[6]price list MAN'!C1946</f>
        <v>0</v>
      </c>
      <c r="D1946" s="16" t="str">
        <f>IFERROR(VLOOKUP(C1946&amp;"",'[7]Retail Price List'!$A$3:$B$103,2,FALSE),"Special Order")</f>
        <v>Special Order</v>
      </c>
      <c r="E1946" s="494">
        <f>'[6]price list MAN'!E1946</f>
        <v>0</v>
      </c>
      <c r="F1946" s="11">
        <f>'[6]price list MAN'!F1946</f>
        <v>0</v>
      </c>
      <c r="G1946" s="32">
        <f>'[6]price list MAN'!G1946</f>
        <v>0</v>
      </c>
      <c r="H1946" s="26">
        <f>'[6]price list MAN'!H1946</f>
        <v>0</v>
      </c>
      <c r="I1946" s="51" t="str">
        <f t="shared" si="150"/>
        <v/>
      </c>
      <c r="J1946" s="177" t="e">
        <f>'[6]price list MAN'!J1946</f>
        <v>#N/A</v>
      </c>
      <c r="K1946" s="177" t="e">
        <f>'[6]price list MAN'!P1946</f>
        <v>#N/A</v>
      </c>
      <c r="L1946" s="177" t="e">
        <f>'[6]price list MAN'!R1946</f>
        <v>#N/A</v>
      </c>
      <c r="M1946" s="174" t="e">
        <f>'[6]price list MAN'!S1946</f>
        <v>#N/A</v>
      </c>
      <c r="N1946" s="174" t="e">
        <f>'[6]price list MAN'!Y1946</f>
        <v>#N/A</v>
      </c>
      <c r="O1946" s="174" t="e">
        <f>'[6]price list MAN'!AA1946</f>
        <v>#N/A</v>
      </c>
      <c r="P1946" s="68" t="e">
        <f t="shared" si="151"/>
        <v>#N/A</v>
      </c>
      <c r="Q1946" s="62" t="e">
        <f>O1946-#REF!</f>
        <v>#N/A</v>
      </c>
      <c r="AT1946" s="425" t="str">
        <f t="shared" si="152"/>
        <v>Special Order0</v>
      </c>
      <c r="AU1946" s="64" t="str">
        <f t="shared" si="153"/>
        <v>01-1900</v>
      </c>
      <c r="BA1946" s="428" t="str">
        <f t="shared" si="154"/>
        <v/>
      </c>
    </row>
    <row r="1947" spans="2:53">
      <c r="B1947" s="36">
        <f>'[6]price list MAN'!B1947</f>
        <v>0</v>
      </c>
      <c r="C1947" s="10">
        <f>'[6]price list MAN'!C1947</f>
        <v>0</v>
      </c>
      <c r="D1947" s="16" t="str">
        <f>IFERROR(VLOOKUP(C1947&amp;"",'[7]Retail Price List'!$A$3:$B$103,2,FALSE),"Special Order")</f>
        <v>Special Order</v>
      </c>
      <c r="E1947" s="494">
        <f>'[6]price list MAN'!E1947</f>
        <v>0</v>
      </c>
      <c r="F1947" s="11">
        <f>'[6]price list MAN'!F1947</f>
        <v>0</v>
      </c>
      <c r="G1947" s="32">
        <f>'[6]price list MAN'!G1947</f>
        <v>0</v>
      </c>
      <c r="H1947" s="26">
        <f>'[6]price list MAN'!H1947</f>
        <v>0</v>
      </c>
      <c r="I1947" s="51" t="str">
        <f t="shared" si="150"/>
        <v/>
      </c>
      <c r="J1947" s="177" t="e">
        <f>'[6]price list MAN'!J1947</f>
        <v>#N/A</v>
      </c>
      <c r="K1947" s="177" t="e">
        <f>'[6]price list MAN'!P1947</f>
        <v>#N/A</v>
      </c>
      <c r="L1947" s="177" t="e">
        <f>'[6]price list MAN'!R1947</f>
        <v>#N/A</v>
      </c>
      <c r="M1947" s="174" t="e">
        <f>'[6]price list MAN'!S1947</f>
        <v>#N/A</v>
      </c>
      <c r="N1947" s="174" t="e">
        <f>'[6]price list MAN'!Y1947</f>
        <v>#N/A</v>
      </c>
      <c r="O1947" s="174" t="e">
        <f>'[6]price list MAN'!AA1947</f>
        <v>#N/A</v>
      </c>
      <c r="P1947" s="68" t="e">
        <f t="shared" si="151"/>
        <v>#N/A</v>
      </c>
      <c r="Q1947" s="62" t="e">
        <f>O1947-#REF!</f>
        <v>#N/A</v>
      </c>
      <c r="AT1947" s="425" t="str">
        <f t="shared" si="152"/>
        <v>Special Order0</v>
      </c>
      <c r="AU1947" s="64" t="str">
        <f t="shared" si="153"/>
        <v>01-1900</v>
      </c>
      <c r="BA1947" s="428" t="str">
        <f t="shared" si="154"/>
        <v/>
      </c>
    </row>
    <row r="1948" spans="2:53">
      <c r="B1948" s="36">
        <f>'[6]price list MAN'!B1948</f>
        <v>0</v>
      </c>
      <c r="C1948" s="10">
        <f>'[6]price list MAN'!C1948</f>
        <v>0</v>
      </c>
      <c r="D1948" s="16" t="str">
        <f>IFERROR(VLOOKUP(C1948&amp;"",'[7]Retail Price List'!$A$3:$B$103,2,FALSE),"Special Order")</f>
        <v>Special Order</v>
      </c>
      <c r="E1948" s="494">
        <f>'[6]price list MAN'!E1948</f>
        <v>0</v>
      </c>
      <c r="F1948" s="11">
        <f>'[6]price list MAN'!F1948</f>
        <v>0</v>
      </c>
      <c r="G1948" s="32">
        <f>'[6]price list MAN'!G1948</f>
        <v>0</v>
      </c>
      <c r="H1948" s="26">
        <f>'[6]price list MAN'!H1948</f>
        <v>0</v>
      </c>
      <c r="I1948" s="51" t="str">
        <f t="shared" si="150"/>
        <v/>
      </c>
      <c r="J1948" s="177" t="e">
        <f>'[6]price list MAN'!J1948</f>
        <v>#N/A</v>
      </c>
      <c r="K1948" s="177" t="e">
        <f>'[6]price list MAN'!P1948</f>
        <v>#N/A</v>
      </c>
      <c r="L1948" s="177" t="e">
        <f>'[6]price list MAN'!R1948</f>
        <v>#N/A</v>
      </c>
      <c r="M1948" s="174" t="e">
        <f>'[6]price list MAN'!S1948</f>
        <v>#N/A</v>
      </c>
      <c r="N1948" s="174" t="e">
        <f>'[6]price list MAN'!Y1948</f>
        <v>#N/A</v>
      </c>
      <c r="O1948" s="174" t="e">
        <f>'[6]price list MAN'!AA1948</f>
        <v>#N/A</v>
      </c>
      <c r="P1948" s="68" t="e">
        <f t="shared" si="151"/>
        <v>#N/A</v>
      </c>
      <c r="Q1948" s="62" t="e">
        <f>O1948-#REF!</f>
        <v>#N/A</v>
      </c>
      <c r="AT1948" s="425" t="str">
        <f t="shared" si="152"/>
        <v>Special Order0</v>
      </c>
      <c r="AU1948" s="64" t="str">
        <f t="shared" si="153"/>
        <v>01-1900</v>
      </c>
      <c r="BA1948" s="428" t="str">
        <f t="shared" si="154"/>
        <v/>
      </c>
    </row>
    <row r="1949" spans="2:53">
      <c r="B1949" s="36">
        <f>'[6]price list MAN'!B1949</f>
        <v>0</v>
      </c>
      <c r="C1949" s="10">
        <f>'[6]price list MAN'!C1949</f>
        <v>0</v>
      </c>
      <c r="D1949" s="16" t="str">
        <f>IFERROR(VLOOKUP(C1949&amp;"",'[7]Retail Price List'!$A$3:$B$103,2,FALSE),"Special Order")</f>
        <v>Special Order</v>
      </c>
      <c r="E1949" s="494">
        <f>'[6]price list MAN'!E1949</f>
        <v>0</v>
      </c>
      <c r="F1949" s="11">
        <f>'[6]price list MAN'!F1949</f>
        <v>0</v>
      </c>
      <c r="G1949" s="32">
        <f>'[6]price list MAN'!G1949</f>
        <v>0</v>
      </c>
      <c r="H1949" s="26">
        <f>'[6]price list MAN'!H1949</f>
        <v>0</v>
      </c>
      <c r="I1949" s="51" t="str">
        <f t="shared" si="150"/>
        <v/>
      </c>
      <c r="J1949" s="177" t="e">
        <f>'[6]price list MAN'!J1949</f>
        <v>#N/A</v>
      </c>
      <c r="K1949" s="177" t="e">
        <f>'[6]price list MAN'!P1949</f>
        <v>#N/A</v>
      </c>
      <c r="L1949" s="177" t="e">
        <f>'[6]price list MAN'!R1949</f>
        <v>#N/A</v>
      </c>
      <c r="M1949" s="174" t="e">
        <f>'[6]price list MAN'!S1949</f>
        <v>#N/A</v>
      </c>
      <c r="N1949" s="174" t="e">
        <f>'[6]price list MAN'!Y1949</f>
        <v>#N/A</v>
      </c>
      <c r="O1949" s="174" t="e">
        <f>'[6]price list MAN'!AA1949</f>
        <v>#N/A</v>
      </c>
      <c r="P1949" s="68" t="e">
        <f t="shared" si="151"/>
        <v>#N/A</v>
      </c>
      <c r="Q1949" s="62" t="e">
        <f>O1949-#REF!</f>
        <v>#N/A</v>
      </c>
      <c r="AT1949" s="425" t="str">
        <f t="shared" si="152"/>
        <v>Special Order0</v>
      </c>
      <c r="AU1949" s="64" t="str">
        <f t="shared" si="153"/>
        <v>01-1900</v>
      </c>
      <c r="BA1949" s="428" t="str">
        <f t="shared" si="154"/>
        <v/>
      </c>
    </row>
    <row r="1950" spans="2:53">
      <c r="B1950" s="36">
        <f>'[6]price list MAN'!B1950</f>
        <v>0</v>
      </c>
      <c r="C1950" s="10">
        <f>'[6]price list MAN'!C1950</f>
        <v>0</v>
      </c>
      <c r="D1950" s="16" t="str">
        <f>IFERROR(VLOOKUP(C1950&amp;"",'[7]Retail Price List'!$A$3:$B$103,2,FALSE),"Special Order")</f>
        <v>Special Order</v>
      </c>
      <c r="E1950" s="494">
        <f>'[6]price list MAN'!E1950</f>
        <v>0</v>
      </c>
      <c r="F1950" s="11">
        <f>'[6]price list MAN'!F1950</f>
        <v>0</v>
      </c>
      <c r="G1950" s="32">
        <f>'[6]price list MAN'!G1950</f>
        <v>0</v>
      </c>
      <c r="H1950" s="26">
        <f>'[6]price list MAN'!H1950</f>
        <v>0</v>
      </c>
      <c r="I1950" s="51" t="str">
        <f t="shared" si="150"/>
        <v/>
      </c>
      <c r="J1950" s="177" t="e">
        <f>'[6]price list MAN'!J1950</f>
        <v>#N/A</v>
      </c>
      <c r="K1950" s="177" t="e">
        <f>'[6]price list MAN'!P1950</f>
        <v>#N/A</v>
      </c>
      <c r="L1950" s="177" t="e">
        <f>'[6]price list MAN'!R1950</f>
        <v>#N/A</v>
      </c>
      <c r="M1950" s="174" t="e">
        <f>'[6]price list MAN'!S1950</f>
        <v>#N/A</v>
      </c>
      <c r="N1950" s="174" t="e">
        <f>'[6]price list MAN'!Y1950</f>
        <v>#N/A</v>
      </c>
      <c r="O1950" s="174" t="e">
        <f>'[6]price list MAN'!AA1950</f>
        <v>#N/A</v>
      </c>
      <c r="P1950" s="68" t="e">
        <f t="shared" si="151"/>
        <v>#N/A</v>
      </c>
      <c r="Q1950" s="62" t="e">
        <f>O1950-#REF!</f>
        <v>#N/A</v>
      </c>
      <c r="AT1950" s="425" t="str">
        <f t="shared" si="152"/>
        <v>Special Order0</v>
      </c>
      <c r="AU1950" s="64" t="str">
        <f t="shared" si="153"/>
        <v>01-1900</v>
      </c>
      <c r="BA1950" s="428" t="str">
        <f t="shared" si="154"/>
        <v/>
      </c>
    </row>
    <row r="1951" spans="2:53">
      <c r="B1951" s="36">
        <f>'[6]price list MAN'!B1951</f>
        <v>0</v>
      </c>
      <c r="C1951" s="10">
        <f>'[6]price list MAN'!C1951</f>
        <v>0</v>
      </c>
      <c r="D1951" s="16" t="str">
        <f>IFERROR(VLOOKUP(C1951&amp;"",'[7]Retail Price List'!$A$3:$B$103,2,FALSE),"Special Order")</f>
        <v>Special Order</v>
      </c>
      <c r="E1951" s="494">
        <f>'[6]price list MAN'!E1951</f>
        <v>0</v>
      </c>
      <c r="F1951" s="11">
        <f>'[6]price list MAN'!F1951</f>
        <v>0</v>
      </c>
      <c r="G1951" s="32">
        <f>'[6]price list MAN'!G1951</f>
        <v>0</v>
      </c>
      <c r="H1951" s="26">
        <f>'[6]price list MAN'!H1951</f>
        <v>0</v>
      </c>
      <c r="I1951" s="51" t="str">
        <f t="shared" si="150"/>
        <v/>
      </c>
      <c r="J1951" s="177" t="e">
        <f>'[6]price list MAN'!J1951</f>
        <v>#N/A</v>
      </c>
      <c r="K1951" s="177" t="e">
        <f>'[6]price list MAN'!P1951</f>
        <v>#N/A</v>
      </c>
      <c r="L1951" s="177" t="e">
        <f>'[6]price list MAN'!R1951</f>
        <v>#N/A</v>
      </c>
      <c r="M1951" s="174" t="e">
        <f>'[6]price list MAN'!S1951</f>
        <v>#N/A</v>
      </c>
      <c r="N1951" s="174" t="e">
        <f>'[6]price list MAN'!Y1951</f>
        <v>#N/A</v>
      </c>
      <c r="O1951" s="174" t="e">
        <f>'[6]price list MAN'!AA1951</f>
        <v>#N/A</v>
      </c>
      <c r="P1951" s="68" t="e">
        <f t="shared" si="151"/>
        <v>#N/A</v>
      </c>
      <c r="Q1951" s="62" t="e">
        <f>O1951-#REF!</f>
        <v>#N/A</v>
      </c>
      <c r="AT1951" s="425" t="str">
        <f t="shared" si="152"/>
        <v>Special Order0</v>
      </c>
      <c r="AU1951" s="64" t="str">
        <f t="shared" si="153"/>
        <v>01-1900</v>
      </c>
      <c r="BA1951" s="428" t="str">
        <f t="shared" si="154"/>
        <v/>
      </c>
    </row>
    <row r="1952" spans="2:53">
      <c r="B1952" s="36">
        <f>'[6]price list MAN'!B1952</f>
        <v>0</v>
      </c>
      <c r="C1952" s="10">
        <f>'[6]price list MAN'!C1952</f>
        <v>0</v>
      </c>
      <c r="D1952" s="16" t="str">
        <f>IFERROR(VLOOKUP(C1952&amp;"",'[7]Retail Price List'!$A$3:$B$103,2,FALSE),"Special Order")</f>
        <v>Special Order</v>
      </c>
      <c r="E1952" s="494">
        <f>'[6]price list MAN'!E1952</f>
        <v>0</v>
      </c>
      <c r="F1952" s="11">
        <f>'[6]price list MAN'!F1952</f>
        <v>0</v>
      </c>
      <c r="G1952" s="32">
        <f>'[6]price list MAN'!G1952</f>
        <v>0</v>
      </c>
      <c r="H1952" s="26">
        <f>'[6]price list MAN'!H1952</f>
        <v>0</v>
      </c>
      <c r="I1952" s="51" t="str">
        <f t="shared" si="150"/>
        <v/>
      </c>
      <c r="J1952" s="177" t="e">
        <f>'[6]price list MAN'!J1952</f>
        <v>#N/A</v>
      </c>
      <c r="K1952" s="177" t="e">
        <f>'[6]price list MAN'!P1952</f>
        <v>#N/A</v>
      </c>
      <c r="L1952" s="177" t="e">
        <f>'[6]price list MAN'!R1952</f>
        <v>#N/A</v>
      </c>
      <c r="M1952" s="174" t="e">
        <f>'[6]price list MAN'!S1952</f>
        <v>#N/A</v>
      </c>
      <c r="N1952" s="174" t="e">
        <f>'[6]price list MAN'!Y1952</f>
        <v>#N/A</v>
      </c>
      <c r="O1952" s="174" t="e">
        <f>'[6]price list MAN'!AA1952</f>
        <v>#N/A</v>
      </c>
      <c r="P1952" s="68" t="e">
        <f t="shared" si="151"/>
        <v>#N/A</v>
      </c>
      <c r="Q1952" s="62" t="e">
        <f>O1952-#REF!</f>
        <v>#N/A</v>
      </c>
      <c r="AT1952" s="425" t="str">
        <f t="shared" si="152"/>
        <v>Special Order0</v>
      </c>
      <c r="AU1952" s="64" t="str">
        <f t="shared" si="153"/>
        <v>01-1900</v>
      </c>
      <c r="BA1952" s="428" t="str">
        <f t="shared" si="154"/>
        <v/>
      </c>
    </row>
    <row r="1953" spans="2:53">
      <c r="B1953" s="36">
        <f>'[6]price list MAN'!B1953</f>
        <v>0</v>
      </c>
      <c r="C1953" s="10">
        <f>'[6]price list MAN'!C1953</f>
        <v>0</v>
      </c>
      <c r="D1953" s="16" t="str">
        <f>IFERROR(VLOOKUP(C1953&amp;"",'[7]Retail Price List'!$A$3:$B$103,2,FALSE),"Special Order")</f>
        <v>Special Order</v>
      </c>
      <c r="E1953" s="494">
        <f>'[6]price list MAN'!E1953</f>
        <v>0</v>
      </c>
      <c r="F1953" s="11">
        <f>'[6]price list MAN'!F1953</f>
        <v>0</v>
      </c>
      <c r="G1953" s="32">
        <f>'[6]price list MAN'!G1953</f>
        <v>0</v>
      </c>
      <c r="H1953" s="26">
        <f>'[6]price list MAN'!H1953</f>
        <v>0</v>
      </c>
      <c r="I1953" s="51" t="str">
        <f t="shared" si="150"/>
        <v/>
      </c>
      <c r="J1953" s="177" t="e">
        <f>'[6]price list MAN'!J1953</f>
        <v>#N/A</v>
      </c>
      <c r="K1953" s="177" t="e">
        <f>'[6]price list MAN'!P1953</f>
        <v>#N/A</v>
      </c>
      <c r="L1953" s="177" t="e">
        <f>'[6]price list MAN'!R1953</f>
        <v>#N/A</v>
      </c>
      <c r="M1953" s="174" t="e">
        <f>'[6]price list MAN'!S1953</f>
        <v>#N/A</v>
      </c>
      <c r="N1953" s="174" t="e">
        <f>'[6]price list MAN'!Y1953</f>
        <v>#N/A</v>
      </c>
      <c r="O1953" s="174" t="e">
        <f>'[6]price list MAN'!AA1953</f>
        <v>#N/A</v>
      </c>
      <c r="P1953" s="68" t="e">
        <f t="shared" si="151"/>
        <v>#N/A</v>
      </c>
      <c r="Q1953" s="62" t="e">
        <f>O1953-#REF!</f>
        <v>#N/A</v>
      </c>
      <c r="AT1953" s="425" t="str">
        <f t="shared" si="152"/>
        <v>Special Order0</v>
      </c>
      <c r="AU1953" s="64" t="str">
        <f t="shared" si="153"/>
        <v>01-1900</v>
      </c>
      <c r="BA1953" s="428" t="str">
        <f t="shared" si="154"/>
        <v/>
      </c>
    </row>
    <row r="1954" spans="2:53">
      <c r="B1954" s="36">
        <f>'[6]price list MAN'!B1954</f>
        <v>0</v>
      </c>
      <c r="C1954" s="10">
        <f>'[6]price list MAN'!C1954</f>
        <v>0</v>
      </c>
      <c r="D1954" s="16" t="str">
        <f>IFERROR(VLOOKUP(C1954&amp;"",'[7]Retail Price List'!$A$3:$B$103,2,FALSE),"Special Order")</f>
        <v>Special Order</v>
      </c>
      <c r="E1954" s="494">
        <f>'[6]price list MAN'!E1954</f>
        <v>0</v>
      </c>
      <c r="F1954" s="11">
        <f>'[6]price list MAN'!F1954</f>
        <v>0</v>
      </c>
      <c r="G1954" s="32">
        <f>'[6]price list MAN'!G1954</f>
        <v>0</v>
      </c>
      <c r="H1954" s="26">
        <f>'[6]price list MAN'!H1954</f>
        <v>0</v>
      </c>
      <c r="I1954" s="51" t="str">
        <f t="shared" si="150"/>
        <v/>
      </c>
      <c r="J1954" s="177" t="e">
        <f>'[6]price list MAN'!J1954</f>
        <v>#N/A</v>
      </c>
      <c r="K1954" s="177" t="e">
        <f>'[6]price list MAN'!P1954</f>
        <v>#N/A</v>
      </c>
      <c r="L1954" s="177" t="e">
        <f>'[6]price list MAN'!R1954</f>
        <v>#N/A</v>
      </c>
      <c r="M1954" s="174" t="e">
        <f>'[6]price list MAN'!S1954</f>
        <v>#N/A</v>
      </c>
      <c r="N1954" s="174" t="e">
        <f>'[6]price list MAN'!Y1954</f>
        <v>#N/A</v>
      </c>
      <c r="O1954" s="174" t="e">
        <f>'[6]price list MAN'!AA1954</f>
        <v>#N/A</v>
      </c>
      <c r="P1954" s="68" t="e">
        <f t="shared" si="151"/>
        <v>#N/A</v>
      </c>
      <c r="Q1954" s="62" t="e">
        <f>O1954-#REF!</f>
        <v>#N/A</v>
      </c>
      <c r="AT1954" s="425" t="str">
        <f t="shared" si="152"/>
        <v>Special Order0</v>
      </c>
      <c r="AU1954" s="64" t="str">
        <f t="shared" si="153"/>
        <v>01-1900</v>
      </c>
      <c r="BA1954" s="428" t="str">
        <f t="shared" si="154"/>
        <v/>
      </c>
    </row>
    <row r="1955" spans="2:53">
      <c r="B1955" s="36">
        <f>'[6]price list MAN'!B1955</f>
        <v>0</v>
      </c>
      <c r="C1955" s="10">
        <f>'[6]price list MAN'!C1955</f>
        <v>0</v>
      </c>
      <c r="D1955" s="16" t="str">
        <f>IFERROR(VLOOKUP(C1955&amp;"",'[7]Retail Price List'!$A$3:$B$103,2,FALSE),"Special Order")</f>
        <v>Special Order</v>
      </c>
      <c r="E1955" s="494">
        <f>'[6]price list MAN'!E1955</f>
        <v>0</v>
      </c>
      <c r="F1955" s="11">
        <f>'[6]price list MAN'!F1955</f>
        <v>0</v>
      </c>
      <c r="G1955" s="32">
        <f>'[6]price list MAN'!G1955</f>
        <v>0</v>
      </c>
      <c r="H1955" s="26">
        <f>'[6]price list MAN'!H1955</f>
        <v>0</v>
      </c>
      <c r="I1955" s="51" t="str">
        <f t="shared" si="150"/>
        <v/>
      </c>
      <c r="J1955" s="177" t="e">
        <f>'[6]price list MAN'!J1955</f>
        <v>#N/A</v>
      </c>
      <c r="K1955" s="177" t="e">
        <f>'[6]price list MAN'!P1955</f>
        <v>#N/A</v>
      </c>
      <c r="L1955" s="177" t="e">
        <f>'[6]price list MAN'!R1955</f>
        <v>#N/A</v>
      </c>
      <c r="M1955" s="174" t="e">
        <f>'[6]price list MAN'!S1955</f>
        <v>#N/A</v>
      </c>
      <c r="N1955" s="174" t="e">
        <f>'[6]price list MAN'!Y1955</f>
        <v>#N/A</v>
      </c>
      <c r="O1955" s="174" t="e">
        <f>'[6]price list MAN'!AA1955</f>
        <v>#N/A</v>
      </c>
      <c r="P1955" s="68" t="e">
        <f t="shared" si="151"/>
        <v>#N/A</v>
      </c>
      <c r="Q1955" s="62" t="e">
        <f>O1955-#REF!</f>
        <v>#N/A</v>
      </c>
      <c r="AT1955" s="425" t="str">
        <f t="shared" si="152"/>
        <v>Special Order0</v>
      </c>
      <c r="AU1955" s="64" t="str">
        <f t="shared" si="153"/>
        <v>01-1900</v>
      </c>
      <c r="BA1955" s="428" t="str">
        <f t="shared" si="154"/>
        <v/>
      </c>
    </row>
    <row r="1956" spans="2:53">
      <c r="B1956" s="36">
        <f>'[6]price list MAN'!B1956</f>
        <v>0</v>
      </c>
      <c r="C1956" s="10">
        <f>'[6]price list MAN'!C1956</f>
        <v>0</v>
      </c>
      <c r="D1956" s="16" t="str">
        <f>IFERROR(VLOOKUP(C1956&amp;"",'[7]Retail Price List'!$A$3:$B$103,2,FALSE),"Special Order")</f>
        <v>Special Order</v>
      </c>
      <c r="E1956" s="494">
        <f>'[6]price list MAN'!E1956</f>
        <v>0</v>
      </c>
      <c r="F1956" s="11">
        <f>'[6]price list MAN'!F1956</f>
        <v>0</v>
      </c>
      <c r="G1956" s="32">
        <f>'[6]price list MAN'!G1956</f>
        <v>0</v>
      </c>
      <c r="H1956" s="26">
        <f>'[6]price list MAN'!H1956</f>
        <v>0</v>
      </c>
      <c r="I1956" s="51" t="str">
        <f t="shared" si="150"/>
        <v/>
      </c>
      <c r="J1956" s="177" t="e">
        <f>'[6]price list MAN'!J1956</f>
        <v>#N/A</v>
      </c>
      <c r="K1956" s="177" t="e">
        <f>'[6]price list MAN'!P1956</f>
        <v>#N/A</v>
      </c>
      <c r="L1956" s="177" t="e">
        <f>'[6]price list MAN'!R1956</f>
        <v>#N/A</v>
      </c>
      <c r="M1956" s="174" t="e">
        <f>'[6]price list MAN'!S1956</f>
        <v>#N/A</v>
      </c>
      <c r="N1956" s="174" t="e">
        <f>'[6]price list MAN'!Y1956</f>
        <v>#N/A</v>
      </c>
      <c r="O1956" s="174" t="e">
        <f>'[6]price list MAN'!AA1956</f>
        <v>#N/A</v>
      </c>
      <c r="P1956" s="68" t="e">
        <f t="shared" si="151"/>
        <v>#N/A</v>
      </c>
      <c r="Q1956" s="62" t="e">
        <f>O1956-#REF!</f>
        <v>#N/A</v>
      </c>
      <c r="AT1956" s="425" t="str">
        <f t="shared" si="152"/>
        <v>Special Order0</v>
      </c>
      <c r="AU1956" s="64" t="str">
        <f t="shared" si="153"/>
        <v>01-1900</v>
      </c>
      <c r="BA1956" s="428" t="str">
        <f t="shared" si="154"/>
        <v/>
      </c>
    </row>
    <row r="1957" spans="2:53">
      <c r="B1957" s="36">
        <f>'[6]price list MAN'!B1957</f>
        <v>0</v>
      </c>
      <c r="C1957" s="10">
        <f>'[6]price list MAN'!C1957</f>
        <v>0</v>
      </c>
      <c r="D1957" s="16" t="str">
        <f>IFERROR(VLOOKUP(C1957&amp;"",'[7]Retail Price List'!$A$3:$B$103,2,FALSE),"Special Order")</f>
        <v>Special Order</v>
      </c>
      <c r="E1957" s="494">
        <f>'[6]price list MAN'!E1957</f>
        <v>0</v>
      </c>
      <c r="F1957" s="11">
        <f>'[6]price list MAN'!F1957</f>
        <v>0</v>
      </c>
      <c r="G1957" s="32">
        <f>'[6]price list MAN'!G1957</f>
        <v>0</v>
      </c>
      <c r="H1957" s="26">
        <f>'[6]price list MAN'!H1957</f>
        <v>0</v>
      </c>
      <c r="I1957" s="51" t="str">
        <f t="shared" si="150"/>
        <v/>
      </c>
      <c r="J1957" s="177" t="e">
        <f>'[6]price list MAN'!J1957</f>
        <v>#N/A</v>
      </c>
      <c r="K1957" s="177" t="e">
        <f>'[6]price list MAN'!P1957</f>
        <v>#N/A</v>
      </c>
      <c r="L1957" s="177" t="e">
        <f>'[6]price list MAN'!R1957</f>
        <v>#N/A</v>
      </c>
      <c r="M1957" s="174" t="e">
        <f>'[6]price list MAN'!S1957</f>
        <v>#N/A</v>
      </c>
      <c r="N1957" s="174" t="e">
        <f>'[6]price list MAN'!Y1957</f>
        <v>#N/A</v>
      </c>
      <c r="O1957" s="174" t="e">
        <f>'[6]price list MAN'!AA1957</f>
        <v>#N/A</v>
      </c>
      <c r="P1957" s="68" t="e">
        <f t="shared" si="151"/>
        <v>#N/A</v>
      </c>
      <c r="Q1957" s="62" t="e">
        <f>O1957-#REF!</f>
        <v>#N/A</v>
      </c>
      <c r="AT1957" s="425" t="str">
        <f t="shared" si="152"/>
        <v>Special Order0</v>
      </c>
      <c r="AU1957" s="64" t="str">
        <f t="shared" si="153"/>
        <v>01-1900</v>
      </c>
      <c r="BA1957" s="428" t="str">
        <f t="shared" si="154"/>
        <v/>
      </c>
    </row>
    <row r="1958" spans="2:53">
      <c r="B1958" s="36">
        <f>'[6]price list MAN'!B1958</f>
        <v>0</v>
      </c>
      <c r="C1958" s="10">
        <f>'[6]price list MAN'!C1958</f>
        <v>0</v>
      </c>
      <c r="D1958" s="16" t="str">
        <f>IFERROR(VLOOKUP(C1958&amp;"",'[7]Retail Price List'!$A$3:$B$103,2,FALSE),"Special Order")</f>
        <v>Special Order</v>
      </c>
      <c r="E1958" s="494">
        <f>'[6]price list MAN'!E1958</f>
        <v>0</v>
      </c>
      <c r="F1958" s="11">
        <f>'[6]price list MAN'!F1958</f>
        <v>0</v>
      </c>
      <c r="G1958" s="32">
        <f>'[6]price list MAN'!G1958</f>
        <v>0</v>
      </c>
      <c r="H1958" s="26">
        <f>'[6]price list MAN'!H1958</f>
        <v>0</v>
      </c>
      <c r="I1958" s="51" t="str">
        <f t="shared" si="150"/>
        <v/>
      </c>
      <c r="J1958" s="177" t="e">
        <f>'[6]price list MAN'!J1958</f>
        <v>#N/A</v>
      </c>
      <c r="K1958" s="177" t="e">
        <f>'[6]price list MAN'!P1958</f>
        <v>#N/A</v>
      </c>
      <c r="L1958" s="177" t="e">
        <f>'[6]price list MAN'!R1958</f>
        <v>#N/A</v>
      </c>
      <c r="M1958" s="174" t="e">
        <f>'[6]price list MAN'!S1958</f>
        <v>#N/A</v>
      </c>
      <c r="N1958" s="174" t="e">
        <f>'[6]price list MAN'!Y1958</f>
        <v>#N/A</v>
      </c>
      <c r="O1958" s="174" t="e">
        <f>'[6]price list MAN'!AA1958</f>
        <v>#N/A</v>
      </c>
      <c r="P1958" s="68" t="e">
        <f t="shared" si="151"/>
        <v>#N/A</v>
      </c>
      <c r="Q1958" s="62" t="e">
        <f>O1958-#REF!</f>
        <v>#N/A</v>
      </c>
      <c r="AT1958" s="425" t="str">
        <f t="shared" si="152"/>
        <v>Special Order0</v>
      </c>
      <c r="AU1958" s="64" t="str">
        <f t="shared" si="153"/>
        <v>01-1900</v>
      </c>
      <c r="BA1958" s="428" t="str">
        <f t="shared" si="154"/>
        <v/>
      </c>
    </row>
    <row r="1959" spans="2:53">
      <c r="B1959" s="36">
        <f>'[6]price list MAN'!B1959</f>
        <v>0</v>
      </c>
      <c r="C1959" s="10">
        <f>'[6]price list MAN'!C1959</f>
        <v>0</v>
      </c>
      <c r="D1959" s="16" t="str">
        <f>IFERROR(VLOOKUP(C1959&amp;"",'[7]Retail Price List'!$A$3:$B$103,2,FALSE),"Special Order")</f>
        <v>Special Order</v>
      </c>
      <c r="E1959" s="494">
        <f>'[6]price list MAN'!E1959</f>
        <v>0</v>
      </c>
      <c r="F1959" s="11">
        <f>'[6]price list MAN'!F1959</f>
        <v>0</v>
      </c>
      <c r="G1959" s="32">
        <f>'[6]price list MAN'!G1959</f>
        <v>0</v>
      </c>
      <c r="H1959" s="26">
        <f>'[6]price list MAN'!H1959</f>
        <v>0</v>
      </c>
      <c r="I1959" s="51" t="str">
        <f t="shared" si="150"/>
        <v/>
      </c>
      <c r="J1959" s="177" t="e">
        <f>'[6]price list MAN'!J1959</f>
        <v>#N/A</v>
      </c>
      <c r="K1959" s="177" t="e">
        <f>'[6]price list MAN'!P1959</f>
        <v>#N/A</v>
      </c>
      <c r="L1959" s="177" t="e">
        <f>'[6]price list MAN'!R1959</f>
        <v>#N/A</v>
      </c>
      <c r="M1959" s="174" t="e">
        <f>'[6]price list MAN'!S1959</f>
        <v>#N/A</v>
      </c>
      <c r="N1959" s="174" t="e">
        <f>'[6]price list MAN'!Y1959</f>
        <v>#N/A</v>
      </c>
      <c r="O1959" s="174" t="e">
        <f>'[6]price list MAN'!AA1959</f>
        <v>#N/A</v>
      </c>
      <c r="P1959" s="68" t="e">
        <f t="shared" si="151"/>
        <v>#N/A</v>
      </c>
      <c r="Q1959" s="62" t="e">
        <f>O1959-#REF!</f>
        <v>#N/A</v>
      </c>
      <c r="AT1959" s="425" t="str">
        <f t="shared" si="152"/>
        <v>Special Order0</v>
      </c>
      <c r="AU1959" s="64" t="str">
        <f t="shared" si="153"/>
        <v>01-1900</v>
      </c>
      <c r="BA1959" s="428" t="str">
        <f t="shared" si="154"/>
        <v/>
      </c>
    </row>
    <row r="1960" spans="2:53">
      <c r="B1960" s="36">
        <f>'[6]price list MAN'!B1960</f>
        <v>0</v>
      </c>
      <c r="C1960" s="10">
        <f>'[6]price list MAN'!C1960</f>
        <v>0</v>
      </c>
      <c r="D1960" s="16" t="str">
        <f>IFERROR(VLOOKUP(C1960&amp;"",'[7]Retail Price List'!$A$3:$B$103,2,FALSE),"Special Order")</f>
        <v>Special Order</v>
      </c>
      <c r="E1960" s="494">
        <f>'[6]price list MAN'!E1960</f>
        <v>0</v>
      </c>
      <c r="F1960" s="11">
        <f>'[6]price list MAN'!F1960</f>
        <v>0</v>
      </c>
      <c r="G1960" s="32">
        <f>'[6]price list MAN'!G1960</f>
        <v>0</v>
      </c>
      <c r="H1960" s="26">
        <f>'[6]price list MAN'!H1960</f>
        <v>0</v>
      </c>
      <c r="I1960" s="51" t="str">
        <f t="shared" si="150"/>
        <v/>
      </c>
      <c r="J1960" s="177" t="e">
        <f>'[6]price list MAN'!J1960</f>
        <v>#N/A</v>
      </c>
      <c r="K1960" s="177" t="e">
        <f>'[6]price list MAN'!P1960</f>
        <v>#N/A</v>
      </c>
      <c r="L1960" s="177" t="e">
        <f>'[6]price list MAN'!R1960</f>
        <v>#N/A</v>
      </c>
      <c r="M1960" s="174" t="e">
        <f>'[6]price list MAN'!S1960</f>
        <v>#N/A</v>
      </c>
      <c r="N1960" s="174" t="e">
        <f>'[6]price list MAN'!Y1960</f>
        <v>#N/A</v>
      </c>
      <c r="O1960" s="174" t="e">
        <f>'[6]price list MAN'!AA1960</f>
        <v>#N/A</v>
      </c>
      <c r="P1960" s="68" t="e">
        <f t="shared" si="151"/>
        <v>#N/A</v>
      </c>
      <c r="Q1960" s="62" t="e">
        <f>O1960-#REF!</f>
        <v>#N/A</v>
      </c>
      <c r="AT1960" s="425" t="str">
        <f t="shared" si="152"/>
        <v>Special Order0</v>
      </c>
      <c r="AU1960" s="64" t="str">
        <f t="shared" si="153"/>
        <v>01-1900</v>
      </c>
      <c r="BA1960" s="428" t="str">
        <f t="shared" si="154"/>
        <v/>
      </c>
    </row>
    <row r="1961" spans="2:53">
      <c r="B1961" s="36">
        <f>'[6]price list MAN'!B1961</f>
        <v>0</v>
      </c>
      <c r="C1961" s="10">
        <f>'[6]price list MAN'!C1961</f>
        <v>0</v>
      </c>
      <c r="D1961" s="16" t="str">
        <f>IFERROR(VLOOKUP(C1961&amp;"",'[7]Retail Price List'!$A$3:$B$103,2,FALSE),"Special Order")</f>
        <v>Special Order</v>
      </c>
      <c r="E1961" s="494">
        <f>'[6]price list MAN'!E1961</f>
        <v>0</v>
      </c>
      <c r="F1961" s="11">
        <f>'[6]price list MAN'!F1961</f>
        <v>0</v>
      </c>
      <c r="G1961" s="32">
        <f>'[6]price list MAN'!G1961</f>
        <v>0</v>
      </c>
      <c r="H1961" s="26">
        <f>'[6]price list MAN'!H1961</f>
        <v>0</v>
      </c>
      <c r="I1961" s="51" t="str">
        <f t="shared" si="150"/>
        <v/>
      </c>
      <c r="J1961" s="177" t="e">
        <f>'[6]price list MAN'!J1961</f>
        <v>#N/A</v>
      </c>
      <c r="K1961" s="177" t="e">
        <f>'[6]price list MAN'!P1961</f>
        <v>#N/A</v>
      </c>
      <c r="L1961" s="177" t="e">
        <f>'[6]price list MAN'!R1961</f>
        <v>#N/A</v>
      </c>
      <c r="M1961" s="174" t="e">
        <f>'[6]price list MAN'!S1961</f>
        <v>#N/A</v>
      </c>
      <c r="N1961" s="174" t="e">
        <f>'[6]price list MAN'!Y1961</f>
        <v>#N/A</v>
      </c>
      <c r="O1961" s="174" t="e">
        <f>'[6]price list MAN'!AA1961</f>
        <v>#N/A</v>
      </c>
      <c r="P1961" s="68" t="e">
        <f t="shared" si="151"/>
        <v>#N/A</v>
      </c>
      <c r="Q1961" s="62" t="e">
        <f>O1961-#REF!</f>
        <v>#N/A</v>
      </c>
      <c r="AT1961" s="425" t="str">
        <f t="shared" si="152"/>
        <v>Special Order0</v>
      </c>
      <c r="AU1961" s="64" t="str">
        <f t="shared" si="153"/>
        <v>01-1900</v>
      </c>
      <c r="BA1961" s="428" t="str">
        <f t="shared" si="154"/>
        <v/>
      </c>
    </row>
    <row r="1962" spans="2:53">
      <c r="B1962" s="36">
        <f>'[6]price list MAN'!B1962</f>
        <v>0</v>
      </c>
      <c r="C1962" s="10">
        <f>'[6]price list MAN'!C1962</f>
        <v>0</v>
      </c>
      <c r="D1962" s="16" t="str">
        <f>IFERROR(VLOOKUP(C1962&amp;"",'[7]Retail Price List'!$A$3:$B$103,2,FALSE),"Special Order")</f>
        <v>Special Order</v>
      </c>
      <c r="E1962" s="494">
        <f>'[6]price list MAN'!E1962</f>
        <v>0</v>
      </c>
      <c r="F1962" s="11">
        <f>'[6]price list MAN'!F1962</f>
        <v>0</v>
      </c>
      <c r="G1962" s="32">
        <f>'[6]price list MAN'!G1962</f>
        <v>0</v>
      </c>
      <c r="H1962" s="26">
        <f>'[6]price list MAN'!H1962</f>
        <v>0</v>
      </c>
      <c r="I1962" s="51" t="str">
        <f t="shared" si="150"/>
        <v/>
      </c>
      <c r="J1962" s="177" t="e">
        <f>'[6]price list MAN'!J1962</f>
        <v>#N/A</v>
      </c>
      <c r="K1962" s="177" t="e">
        <f>'[6]price list MAN'!P1962</f>
        <v>#N/A</v>
      </c>
      <c r="L1962" s="177" t="e">
        <f>'[6]price list MAN'!R1962</f>
        <v>#N/A</v>
      </c>
      <c r="M1962" s="174" t="e">
        <f>'[6]price list MAN'!S1962</f>
        <v>#N/A</v>
      </c>
      <c r="N1962" s="174" t="e">
        <f>'[6]price list MAN'!Y1962</f>
        <v>#N/A</v>
      </c>
      <c r="O1962" s="174" t="e">
        <f>'[6]price list MAN'!AA1962</f>
        <v>#N/A</v>
      </c>
      <c r="P1962" s="68" t="e">
        <f t="shared" si="151"/>
        <v>#N/A</v>
      </c>
      <c r="Q1962" s="62" t="e">
        <f>O1962-#REF!</f>
        <v>#N/A</v>
      </c>
      <c r="AT1962" s="425" t="str">
        <f t="shared" si="152"/>
        <v>Special Order0</v>
      </c>
      <c r="AU1962" s="64" t="str">
        <f t="shared" si="153"/>
        <v>01-1900</v>
      </c>
      <c r="BA1962" s="428" t="str">
        <f t="shared" si="154"/>
        <v/>
      </c>
    </row>
    <row r="1963" spans="2:53">
      <c r="B1963" s="36">
        <f>'[6]price list MAN'!B1963</f>
        <v>0</v>
      </c>
      <c r="C1963" s="10">
        <f>'[6]price list MAN'!C1963</f>
        <v>0</v>
      </c>
      <c r="D1963" s="16" t="str">
        <f>IFERROR(VLOOKUP(C1963&amp;"",'[7]Retail Price List'!$A$3:$B$103,2,FALSE),"Special Order")</f>
        <v>Special Order</v>
      </c>
      <c r="E1963" s="494">
        <f>'[6]price list MAN'!E1963</f>
        <v>0</v>
      </c>
      <c r="F1963" s="11">
        <f>'[6]price list MAN'!F1963</f>
        <v>0</v>
      </c>
      <c r="G1963" s="32">
        <f>'[6]price list MAN'!G1963</f>
        <v>0</v>
      </c>
      <c r="H1963" s="26">
        <f>'[6]price list MAN'!H1963</f>
        <v>0</v>
      </c>
      <c r="I1963" s="51" t="str">
        <f t="shared" si="150"/>
        <v/>
      </c>
      <c r="J1963" s="177" t="e">
        <f>'[6]price list MAN'!J1963</f>
        <v>#N/A</v>
      </c>
      <c r="K1963" s="177" t="e">
        <f>'[6]price list MAN'!P1963</f>
        <v>#N/A</v>
      </c>
      <c r="L1963" s="177" t="e">
        <f>'[6]price list MAN'!R1963</f>
        <v>#N/A</v>
      </c>
      <c r="M1963" s="174" t="e">
        <f>'[6]price list MAN'!S1963</f>
        <v>#N/A</v>
      </c>
      <c r="N1963" s="174" t="e">
        <f>'[6]price list MAN'!Y1963</f>
        <v>#N/A</v>
      </c>
      <c r="O1963" s="174" t="e">
        <f>'[6]price list MAN'!AA1963</f>
        <v>#N/A</v>
      </c>
      <c r="P1963" s="68" t="e">
        <f t="shared" si="151"/>
        <v>#N/A</v>
      </c>
      <c r="Q1963" s="62" t="e">
        <f>O1963-#REF!</f>
        <v>#N/A</v>
      </c>
      <c r="AT1963" s="425" t="str">
        <f t="shared" si="152"/>
        <v>Special Order0</v>
      </c>
      <c r="AU1963" s="64" t="str">
        <f t="shared" si="153"/>
        <v>01-1900</v>
      </c>
      <c r="BA1963" s="428" t="str">
        <f t="shared" si="154"/>
        <v/>
      </c>
    </row>
    <row r="1964" spans="2:53">
      <c r="B1964" s="36">
        <f>'[6]price list MAN'!B1964</f>
        <v>0</v>
      </c>
      <c r="C1964" s="10">
        <f>'[6]price list MAN'!C1964</f>
        <v>0</v>
      </c>
      <c r="D1964" s="16" t="str">
        <f>IFERROR(VLOOKUP(C1964&amp;"",'[7]Retail Price List'!$A$3:$B$103,2,FALSE),"Special Order")</f>
        <v>Special Order</v>
      </c>
      <c r="E1964" s="494">
        <f>'[6]price list MAN'!E1964</f>
        <v>0</v>
      </c>
      <c r="F1964" s="11">
        <f>'[6]price list MAN'!F1964</f>
        <v>0</v>
      </c>
      <c r="G1964" s="32">
        <f>'[6]price list MAN'!G1964</f>
        <v>0</v>
      </c>
      <c r="H1964" s="26">
        <f>'[6]price list MAN'!H1964</f>
        <v>0</v>
      </c>
      <c r="I1964" s="51" t="str">
        <f t="shared" si="150"/>
        <v/>
      </c>
      <c r="J1964" s="177" t="e">
        <f>'[6]price list MAN'!J1964</f>
        <v>#N/A</v>
      </c>
      <c r="K1964" s="177" t="e">
        <f>'[6]price list MAN'!P1964</f>
        <v>#N/A</v>
      </c>
      <c r="L1964" s="177" t="e">
        <f>'[6]price list MAN'!R1964</f>
        <v>#N/A</v>
      </c>
      <c r="M1964" s="174" t="e">
        <f>'[6]price list MAN'!S1964</f>
        <v>#N/A</v>
      </c>
      <c r="N1964" s="174" t="e">
        <f>'[6]price list MAN'!Y1964</f>
        <v>#N/A</v>
      </c>
      <c r="O1964" s="174" t="e">
        <f>'[6]price list MAN'!AA1964</f>
        <v>#N/A</v>
      </c>
      <c r="P1964" s="68" t="e">
        <f t="shared" si="151"/>
        <v>#N/A</v>
      </c>
      <c r="Q1964" s="62" t="e">
        <f>O1964-#REF!</f>
        <v>#N/A</v>
      </c>
      <c r="AT1964" s="425" t="str">
        <f t="shared" si="152"/>
        <v>Special Order0</v>
      </c>
      <c r="AU1964" s="64" t="str">
        <f t="shared" si="153"/>
        <v>01-1900</v>
      </c>
      <c r="BA1964" s="428" t="str">
        <f t="shared" si="154"/>
        <v/>
      </c>
    </row>
    <row r="1965" spans="2:53">
      <c r="B1965" s="36">
        <f>'[6]price list MAN'!B1965</f>
        <v>0</v>
      </c>
      <c r="C1965" s="10">
        <f>'[6]price list MAN'!C1965</f>
        <v>0</v>
      </c>
      <c r="D1965" s="16" t="str">
        <f>IFERROR(VLOOKUP(C1965&amp;"",'[7]Retail Price List'!$A$3:$B$103,2,FALSE),"Special Order")</f>
        <v>Special Order</v>
      </c>
      <c r="E1965" s="494">
        <f>'[6]price list MAN'!E1965</f>
        <v>0</v>
      </c>
      <c r="F1965" s="11">
        <f>'[6]price list MAN'!F1965</f>
        <v>0</v>
      </c>
      <c r="G1965" s="32">
        <f>'[6]price list MAN'!G1965</f>
        <v>0</v>
      </c>
      <c r="H1965" s="26">
        <f>'[6]price list MAN'!H1965</f>
        <v>0</v>
      </c>
      <c r="I1965" s="51" t="str">
        <f t="shared" si="150"/>
        <v/>
      </c>
      <c r="J1965" s="177" t="e">
        <f>'[6]price list MAN'!J1965</f>
        <v>#N/A</v>
      </c>
      <c r="K1965" s="177" t="e">
        <f>'[6]price list MAN'!P1965</f>
        <v>#N/A</v>
      </c>
      <c r="L1965" s="177" t="e">
        <f>'[6]price list MAN'!R1965</f>
        <v>#N/A</v>
      </c>
      <c r="M1965" s="174" t="e">
        <f>'[6]price list MAN'!S1965</f>
        <v>#N/A</v>
      </c>
      <c r="N1965" s="174" t="e">
        <f>'[6]price list MAN'!Y1965</f>
        <v>#N/A</v>
      </c>
      <c r="O1965" s="174" t="e">
        <f>'[6]price list MAN'!AA1965</f>
        <v>#N/A</v>
      </c>
      <c r="P1965" s="68" t="e">
        <f t="shared" si="151"/>
        <v>#N/A</v>
      </c>
      <c r="Q1965" s="62" t="e">
        <f>O1965-#REF!</f>
        <v>#N/A</v>
      </c>
      <c r="AT1965" s="425" t="str">
        <f t="shared" si="152"/>
        <v>Special Order0</v>
      </c>
      <c r="AU1965" s="64" t="str">
        <f t="shared" si="153"/>
        <v>01-1900</v>
      </c>
      <c r="BA1965" s="428" t="str">
        <f t="shared" si="154"/>
        <v/>
      </c>
    </row>
    <row r="1966" spans="2:53">
      <c r="B1966" s="36">
        <f>'[6]price list MAN'!B1966</f>
        <v>0</v>
      </c>
      <c r="C1966" s="10">
        <f>'[6]price list MAN'!C1966</f>
        <v>0</v>
      </c>
      <c r="D1966" s="16" t="str">
        <f>IFERROR(VLOOKUP(C1966&amp;"",'[7]Retail Price List'!$A$3:$B$103,2,FALSE),"Special Order")</f>
        <v>Special Order</v>
      </c>
      <c r="E1966" s="494">
        <f>'[6]price list MAN'!E1966</f>
        <v>0</v>
      </c>
      <c r="F1966" s="11">
        <f>'[6]price list MAN'!F1966</f>
        <v>0</v>
      </c>
      <c r="G1966" s="32">
        <f>'[6]price list MAN'!G1966</f>
        <v>0</v>
      </c>
      <c r="H1966" s="26">
        <f>'[6]price list MAN'!H1966</f>
        <v>0</v>
      </c>
      <c r="I1966" s="51" t="str">
        <f t="shared" si="150"/>
        <v/>
      </c>
      <c r="J1966" s="177" t="e">
        <f>'[6]price list MAN'!J1966</f>
        <v>#N/A</v>
      </c>
      <c r="K1966" s="177" t="e">
        <f>'[6]price list MAN'!P1966</f>
        <v>#N/A</v>
      </c>
      <c r="L1966" s="177" t="e">
        <f>'[6]price list MAN'!R1966</f>
        <v>#N/A</v>
      </c>
      <c r="M1966" s="174" t="e">
        <f>'[6]price list MAN'!S1966</f>
        <v>#N/A</v>
      </c>
      <c r="N1966" s="174" t="e">
        <f>'[6]price list MAN'!Y1966</f>
        <v>#N/A</v>
      </c>
      <c r="O1966" s="174" t="e">
        <f>'[6]price list MAN'!AA1966</f>
        <v>#N/A</v>
      </c>
      <c r="P1966" s="68" t="e">
        <f t="shared" si="151"/>
        <v>#N/A</v>
      </c>
      <c r="Q1966" s="62" t="e">
        <f>O1966-#REF!</f>
        <v>#N/A</v>
      </c>
      <c r="AT1966" s="425" t="str">
        <f t="shared" si="152"/>
        <v>Special Order0</v>
      </c>
      <c r="AU1966" s="64" t="str">
        <f t="shared" si="153"/>
        <v>01-1900</v>
      </c>
      <c r="BA1966" s="428" t="str">
        <f t="shared" si="154"/>
        <v/>
      </c>
    </row>
    <row r="1967" spans="2:53">
      <c r="B1967" s="36">
        <f>'[6]price list MAN'!B1967</f>
        <v>0</v>
      </c>
      <c r="C1967" s="10">
        <f>'[6]price list MAN'!C1967</f>
        <v>0</v>
      </c>
      <c r="D1967" s="16" t="str">
        <f>IFERROR(VLOOKUP(C1967&amp;"",'[7]Retail Price List'!$A$3:$B$103,2,FALSE),"Special Order")</f>
        <v>Special Order</v>
      </c>
      <c r="E1967" s="494">
        <f>'[6]price list MAN'!E1967</f>
        <v>0</v>
      </c>
      <c r="F1967" s="11">
        <f>'[6]price list MAN'!F1967</f>
        <v>0</v>
      </c>
      <c r="G1967" s="32">
        <f>'[6]price list MAN'!G1967</f>
        <v>0</v>
      </c>
      <c r="H1967" s="26">
        <f>'[6]price list MAN'!H1967</f>
        <v>0</v>
      </c>
      <c r="I1967" s="51" t="str">
        <f t="shared" si="150"/>
        <v/>
      </c>
      <c r="J1967" s="177" t="e">
        <f>'[6]price list MAN'!J1967</f>
        <v>#N/A</v>
      </c>
      <c r="K1967" s="177" t="e">
        <f>'[6]price list MAN'!P1967</f>
        <v>#N/A</v>
      </c>
      <c r="L1967" s="177" t="e">
        <f>'[6]price list MAN'!R1967</f>
        <v>#N/A</v>
      </c>
      <c r="M1967" s="174" t="e">
        <f>'[6]price list MAN'!S1967</f>
        <v>#N/A</v>
      </c>
      <c r="N1967" s="174" t="e">
        <f>'[6]price list MAN'!Y1967</f>
        <v>#N/A</v>
      </c>
      <c r="O1967" s="174" t="e">
        <f>'[6]price list MAN'!AA1967</f>
        <v>#N/A</v>
      </c>
      <c r="P1967" s="68" t="e">
        <f t="shared" si="151"/>
        <v>#N/A</v>
      </c>
      <c r="Q1967" s="62" t="e">
        <f>O1967-#REF!</f>
        <v>#N/A</v>
      </c>
      <c r="AT1967" s="425" t="str">
        <f t="shared" si="152"/>
        <v>Special Order0</v>
      </c>
      <c r="AU1967" s="64" t="str">
        <f t="shared" si="153"/>
        <v>01-1900</v>
      </c>
      <c r="BA1967" s="428" t="str">
        <f t="shared" si="154"/>
        <v/>
      </c>
    </row>
    <row r="1968" spans="2:53">
      <c r="B1968" s="36">
        <f>'[6]price list MAN'!B1968</f>
        <v>0</v>
      </c>
      <c r="C1968" s="10">
        <f>'[6]price list MAN'!C1968</f>
        <v>0</v>
      </c>
      <c r="D1968" s="16" t="str">
        <f>IFERROR(VLOOKUP(C1968&amp;"",'[7]Retail Price List'!$A$3:$B$103,2,FALSE),"Special Order")</f>
        <v>Special Order</v>
      </c>
      <c r="E1968" s="494">
        <f>'[6]price list MAN'!E1968</f>
        <v>0</v>
      </c>
      <c r="F1968" s="11">
        <f>'[6]price list MAN'!F1968</f>
        <v>0</v>
      </c>
      <c r="G1968" s="32">
        <f>'[6]price list MAN'!G1968</f>
        <v>0</v>
      </c>
      <c r="H1968" s="26">
        <f>'[6]price list MAN'!H1968</f>
        <v>0</v>
      </c>
      <c r="I1968" s="51" t="str">
        <f t="shared" si="150"/>
        <v/>
      </c>
      <c r="J1968" s="177" t="e">
        <f>'[6]price list MAN'!J1968</f>
        <v>#N/A</v>
      </c>
      <c r="K1968" s="177" t="e">
        <f>'[6]price list MAN'!P1968</f>
        <v>#N/A</v>
      </c>
      <c r="L1968" s="177" t="e">
        <f>'[6]price list MAN'!R1968</f>
        <v>#N/A</v>
      </c>
      <c r="M1968" s="174" t="e">
        <f>'[6]price list MAN'!S1968</f>
        <v>#N/A</v>
      </c>
      <c r="N1968" s="174" t="e">
        <f>'[6]price list MAN'!Y1968</f>
        <v>#N/A</v>
      </c>
      <c r="O1968" s="174" t="e">
        <f>'[6]price list MAN'!AA1968</f>
        <v>#N/A</v>
      </c>
      <c r="P1968" s="68" t="e">
        <f t="shared" si="151"/>
        <v>#N/A</v>
      </c>
      <c r="Q1968" s="62" t="e">
        <f>O1968-#REF!</f>
        <v>#N/A</v>
      </c>
      <c r="AT1968" s="425" t="str">
        <f t="shared" si="152"/>
        <v>Special Order0</v>
      </c>
      <c r="AU1968" s="64" t="str">
        <f t="shared" si="153"/>
        <v>01-1900</v>
      </c>
      <c r="BA1968" s="428" t="str">
        <f t="shared" si="154"/>
        <v/>
      </c>
    </row>
    <row r="1969" spans="2:53">
      <c r="B1969" s="36">
        <f>'[6]price list MAN'!B1969</f>
        <v>0</v>
      </c>
      <c r="C1969" s="10">
        <f>'[6]price list MAN'!C1969</f>
        <v>0</v>
      </c>
      <c r="D1969" s="16" t="str">
        <f>IFERROR(VLOOKUP(C1969&amp;"",'[7]Retail Price List'!$A$3:$B$103,2,FALSE),"Special Order")</f>
        <v>Special Order</v>
      </c>
      <c r="E1969" s="494">
        <f>'[6]price list MAN'!E1969</f>
        <v>0</v>
      </c>
      <c r="F1969" s="11">
        <f>'[6]price list MAN'!F1969</f>
        <v>0</v>
      </c>
      <c r="G1969" s="32">
        <f>'[6]price list MAN'!G1969</f>
        <v>0</v>
      </c>
      <c r="H1969" s="26">
        <f>'[6]price list MAN'!H1969</f>
        <v>0</v>
      </c>
      <c r="I1969" s="51" t="str">
        <f t="shared" si="150"/>
        <v/>
      </c>
      <c r="J1969" s="177" t="e">
        <f>'[6]price list MAN'!J1969</f>
        <v>#N/A</v>
      </c>
      <c r="K1969" s="177" t="e">
        <f>'[6]price list MAN'!P1969</f>
        <v>#N/A</v>
      </c>
      <c r="L1969" s="177" t="e">
        <f>'[6]price list MAN'!R1969</f>
        <v>#N/A</v>
      </c>
      <c r="M1969" s="174" t="e">
        <f>'[6]price list MAN'!S1969</f>
        <v>#N/A</v>
      </c>
      <c r="N1969" s="174" t="e">
        <f>'[6]price list MAN'!Y1969</f>
        <v>#N/A</v>
      </c>
      <c r="O1969" s="174" t="e">
        <f>'[6]price list MAN'!AA1969</f>
        <v>#N/A</v>
      </c>
      <c r="P1969" s="68" t="e">
        <f t="shared" si="151"/>
        <v>#N/A</v>
      </c>
      <c r="Q1969" s="62" t="e">
        <f>O1969-#REF!</f>
        <v>#N/A</v>
      </c>
      <c r="AT1969" s="425" t="str">
        <f t="shared" si="152"/>
        <v>Special Order0</v>
      </c>
      <c r="AU1969" s="64" t="str">
        <f t="shared" si="153"/>
        <v>01-1900</v>
      </c>
      <c r="BA1969" s="428" t="str">
        <f t="shared" si="154"/>
        <v/>
      </c>
    </row>
    <row r="1970" spans="2:53">
      <c r="B1970" s="36">
        <f>'[6]price list MAN'!B1970</f>
        <v>0</v>
      </c>
      <c r="C1970" s="10">
        <f>'[6]price list MAN'!C1970</f>
        <v>0</v>
      </c>
      <c r="D1970" s="16" t="str">
        <f>IFERROR(VLOOKUP(C1970&amp;"",'[7]Retail Price List'!$A$3:$B$103,2,FALSE),"Special Order")</f>
        <v>Special Order</v>
      </c>
      <c r="E1970" s="494">
        <f>'[6]price list MAN'!E1970</f>
        <v>0</v>
      </c>
      <c r="F1970" s="11">
        <f>'[6]price list MAN'!F1970</f>
        <v>0</v>
      </c>
      <c r="G1970" s="32">
        <f>'[6]price list MAN'!G1970</f>
        <v>0</v>
      </c>
      <c r="H1970" s="26">
        <f>'[6]price list MAN'!H1970</f>
        <v>0</v>
      </c>
      <c r="I1970" s="51" t="str">
        <f t="shared" si="150"/>
        <v/>
      </c>
      <c r="J1970" s="177" t="e">
        <f>'[6]price list MAN'!J1970</f>
        <v>#N/A</v>
      </c>
      <c r="K1970" s="177" t="e">
        <f>'[6]price list MAN'!P1970</f>
        <v>#N/A</v>
      </c>
      <c r="L1970" s="177" t="e">
        <f>'[6]price list MAN'!R1970</f>
        <v>#N/A</v>
      </c>
      <c r="M1970" s="174" t="e">
        <f>'[6]price list MAN'!S1970</f>
        <v>#N/A</v>
      </c>
      <c r="N1970" s="174" t="e">
        <f>'[6]price list MAN'!Y1970</f>
        <v>#N/A</v>
      </c>
      <c r="O1970" s="174" t="e">
        <f>'[6]price list MAN'!AA1970</f>
        <v>#N/A</v>
      </c>
      <c r="P1970" s="68" t="e">
        <f t="shared" si="151"/>
        <v>#N/A</v>
      </c>
      <c r="Q1970" s="62" t="e">
        <f>O1970-#REF!</f>
        <v>#N/A</v>
      </c>
      <c r="AT1970" s="425" t="str">
        <f t="shared" si="152"/>
        <v>Special Order0</v>
      </c>
      <c r="AU1970" s="64" t="str">
        <f t="shared" si="153"/>
        <v>01-1900</v>
      </c>
      <c r="BA1970" s="428" t="str">
        <f t="shared" si="154"/>
        <v/>
      </c>
    </row>
    <row r="1971" spans="2:53">
      <c r="B1971" s="36">
        <f>'[6]price list MAN'!B1971</f>
        <v>0</v>
      </c>
      <c r="C1971" s="10">
        <f>'[6]price list MAN'!C1971</f>
        <v>0</v>
      </c>
      <c r="D1971" s="16" t="str">
        <f>IFERROR(VLOOKUP(C1971&amp;"",'[7]Retail Price List'!$A$3:$B$103,2,FALSE),"Special Order")</f>
        <v>Special Order</v>
      </c>
      <c r="E1971" s="494">
        <f>'[6]price list MAN'!E1971</f>
        <v>0</v>
      </c>
      <c r="F1971" s="11">
        <f>'[6]price list MAN'!F1971</f>
        <v>0</v>
      </c>
      <c r="G1971" s="32">
        <f>'[6]price list MAN'!G1971</f>
        <v>0</v>
      </c>
      <c r="H1971" s="26">
        <f>'[6]price list MAN'!H1971</f>
        <v>0</v>
      </c>
      <c r="I1971" s="51" t="str">
        <f t="shared" si="150"/>
        <v/>
      </c>
      <c r="J1971" s="177" t="e">
        <f>'[6]price list MAN'!J1971</f>
        <v>#N/A</v>
      </c>
      <c r="K1971" s="177" t="e">
        <f>'[6]price list MAN'!P1971</f>
        <v>#N/A</v>
      </c>
      <c r="L1971" s="177" t="e">
        <f>'[6]price list MAN'!R1971</f>
        <v>#N/A</v>
      </c>
      <c r="M1971" s="174" t="e">
        <f>'[6]price list MAN'!S1971</f>
        <v>#N/A</v>
      </c>
      <c r="N1971" s="174" t="e">
        <f>'[6]price list MAN'!Y1971</f>
        <v>#N/A</v>
      </c>
      <c r="O1971" s="174" t="e">
        <f>'[6]price list MAN'!AA1971</f>
        <v>#N/A</v>
      </c>
      <c r="P1971" s="68" t="e">
        <f t="shared" si="151"/>
        <v>#N/A</v>
      </c>
      <c r="Q1971" s="62" t="e">
        <f>O1971-#REF!</f>
        <v>#N/A</v>
      </c>
      <c r="AT1971" s="425" t="str">
        <f t="shared" si="152"/>
        <v>Special Order0</v>
      </c>
      <c r="AU1971" s="64" t="str">
        <f t="shared" si="153"/>
        <v>01-1900</v>
      </c>
      <c r="BA1971" s="428" t="str">
        <f t="shared" si="154"/>
        <v/>
      </c>
    </row>
    <row r="1972" spans="2:53">
      <c r="B1972" s="36">
        <f>'[6]price list MAN'!B1972</f>
        <v>0</v>
      </c>
      <c r="C1972" s="10">
        <f>'[6]price list MAN'!C1972</f>
        <v>0</v>
      </c>
      <c r="D1972" s="16" t="str">
        <f>IFERROR(VLOOKUP(C1972&amp;"",'[7]Retail Price List'!$A$3:$B$103,2,FALSE),"Special Order")</f>
        <v>Special Order</v>
      </c>
      <c r="E1972" s="494">
        <f>'[6]price list MAN'!E1972</f>
        <v>0</v>
      </c>
      <c r="F1972" s="11">
        <f>'[6]price list MAN'!F1972</f>
        <v>0</v>
      </c>
      <c r="G1972" s="32">
        <f>'[6]price list MAN'!G1972</f>
        <v>0</v>
      </c>
      <c r="H1972" s="26">
        <f>'[6]price list MAN'!H1972</f>
        <v>0</v>
      </c>
      <c r="I1972" s="51" t="str">
        <f t="shared" si="150"/>
        <v/>
      </c>
      <c r="J1972" s="177" t="e">
        <f>'[6]price list MAN'!J1972</f>
        <v>#N/A</v>
      </c>
      <c r="K1972" s="177" t="e">
        <f>'[6]price list MAN'!P1972</f>
        <v>#N/A</v>
      </c>
      <c r="L1972" s="177" t="e">
        <f>'[6]price list MAN'!R1972</f>
        <v>#N/A</v>
      </c>
      <c r="M1972" s="174" t="e">
        <f>'[6]price list MAN'!S1972</f>
        <v>#N/A</v>
      </c>
      <c r="N1972" s="174" t="e">
        <f>'[6]price list MAN'!Y1972</f>
        <v>#N/A</v>
      </c>
      <c r="O1972" s="174" t="e">
        <f>'[6]price list MAN'!AA1972</f>
        <v>#N/A</v>
      </c>
      <c r="P1972" s="68" t="e">
        <f t="shared" si="151"/>
        <v>#N/A</v>
      </c>
      <c r="Q1972" s="62" t="e">
        <f>O1972-#REF!</f>
        <v>#N/A</v>
      </c>
      <c r="AT1972" s="425" t="str">
        <f t="shared" si="152"/>
        <v>Special Order0</v>
      </c>
      <c r="AU1972" s="64" t="str">
        <f t="shared" si="153"/>
        <v>01-1900</v>
      </c>
      <c r="BA1972" s="428" t="str">
        <f t="shared" si="154"/>
        <v/>
      </c>
    </row>
    <row r="1973" spans="2:53">
      <c r="B1973" s="36">
        <f>'[6]price list MAN'!B1973</f>
        <v>0</v>
      </c>
      <c r="C1973" s="10">
        <f>'[6]price list MAN'!C1973</f>
        <v>0</v>
      </c>
      <c r="D1973" s="16" t="str">
        <f>IFERROR(VLOOKUP(C1973&amp;"",'[7]Retail Price List'!$A$3:$B$103,2,FALSE),"Special Order")</f>
        <v>Special Order</v>
      </c>
      <c r="E1973" s="494">
        <f>'[6]price list MAN'!E1973</f>
        <v>0</v>
      </c>
      <c r="F1973" s="11">
        <f>'[6]price list MAN'!F1973</f>
        <v>0</v>
      </c>
      <c r="G1973" s="32">
        <f>'[6]price list MAN'!G1973</f>
        <v>0</v>
      </c>
      <c r="H1973" s="26">
        <f>'[6]price list MAN'!H1973</f>
        <v>0</v>
      </c>
      <c r="I1973" s="51" t="str">
        <f t="shared" si="150"/>
        <v/>
      </c>
      <c r="J1973" s="177" t="e">
        <f>'[6]price list MAN'!J1973</f>
        <v>#N/A</v>
      </c>
      <c r="K1973" s="177" t="e">
        <f>'[6]price list MAN'!P1973</f>
        <v>#N/A</v>
      </c>
      <c r="L1973" s="177" t="e">
        <f>'[6]price list MAN'!R1973</f>
        <v>#N/A</v>
      </c>
      <c r="M1973" s="174" t="e">
        <f>'[6]price list MAN'!S1973</f>
        <v>#N/A</v>
      </c>
      <c r="N1973" s="174" t="e">
        <f>'[6]price list MAN'!Y1973</f>
        <v>#N/A</v>
      </c>
      <c r="O1973" s="174" t="e">
        <f>'[6]price list MAN'!AA1973</f>
        <v>#N/A</v>
      </c>
      <c r="P1973" s="68" t="e">
        <f t="shared" si="151"/>
        <v>#N/A</v>
      </c>
      <c r="Q1973" s="62" t="e">
        <f>O1973-#REF!</f>
        <v>#N/A</v>
      </c>
      <c r="AT1973" s="425" t="str">
        <f t="shared" si="152"/>
        <v>Special Order0</v>
      </c>
      <c r="AU1973" s="64" t="str">
        <f t="shared" si="153"/>
        <v>01-1900</v>
      </c>
      <c r="BA1973" s="428" t="str">
        <f t="shared" si="154"/>
        <v/>
      </c>
    </row>
    <row r="1974" spans="2:53">
      <c r="B1974" s="36">
        <f>'[6]price list MAN'!B1974</f>
        <v>0</v>
      </c>
      <c r="C1974" s="10">
        <f>'[6]price list MAN'!C1974</f>
        <v>0</v>
      </c>
      <c r="D1974" s="16" t="str">
        <f>IFERROR(VLOOKUP(C1974&amp;"",'[7]Retail Price List'!$A$3:$B$103,2,FALSE),"Special Order")</f>
        <v>Special Order</v>
      </c>
      <c r="E1974" s="494">
        <f>'[6]price list MAN'!E1974</f>
        <v>0</v>
      </c>
      <c r="F1974" s="11">
        <f>'[6]price list MAN'!F1974</f>
        <v>0</v>
      </c>
      <c r="G1974" s="32">
        <f>'[6]price list MAN'!G1974</f>
        <v>0</v>
      </c>
      <c r="H1974" s="26">
        <f>'[6]price list MAN'!H1974</f>
        <v>0</v>
      </c>
      <c r="I1974" s="51" t="str">
        <f t="shared" si="150"/>
        <v/>
      </c>
      <c r="J1974" s="177" t="e">
        <f>'[6]price list MAN'!J1974</f>
        <v>#N/A</v>
      </c>
      <c r="K1974" s="177" t="e">
        <f>'[6]price list MAN'!P1974</f>
        <v>#N/A</v>
      </c>
      <c r="L1974" s="177" t="e">
        <f>'[6]price list MAN'!R1974</f>
        <v>#N/A</v>
      </c>
      <c r="M1974" s="174" t="e">
        <f>'[6]price list MAN'!S1974</f>
        <v>#N/A</v>
      </c>
      <c r="N1974" s="174" t="e">
        <f>'[6]price list MAN'!Y1974</f>
        <v>#N/A</v>
      </c>
      <c r="O1974" s="174" t="e">
        <f>'[6]price list MAN'!AA1974</f>
        <v>#N/A</v>
      </c>
      <c r="P1974" s="68" t="e">
        <f t="shared" si="151"/>
        <v>#N/A</v>
      </c>
      <c r="Q1974" s="62" t="e">
        <f>O1974-#REF!</f>
        <v>#N/A</v>
      </c>
      <c r="AT1974" s="425" t="str">
        <f t="shared" si="152"/>
        <v>Special Order0</v>
      </c>
      <c r="AU1974" s="64" t="str">
        <f t="shared" si="153"/>
        <v>01-1900</v>
      </c>
      <c r="BA1974" s="428" t="str">
        <f t="shared" si="154"/>
        <v/>
      </c>
    </row>
    <row r="1975" spans="2:53">
      <c r="B1975" s="36">
        <f>'[6]price list MAN'!B1975</f>
        <v>0</v>
      </c>
      <c r="C1975" s="10">
        <f>'[6]price list MAN'!C1975</f>
        <v>0</v>
      </c>
      <c r="D1975" s="16" t="str">
        <f>IFERROR(VLOOKUP(C1975&amp;"",'[7]Retail Price List'!$A$3:$B$103,2,FALSE),"Special Order")</f>
        <v>Special Order</v>
      </c>
      <c r="E1975" s="494">
        <f>'[6]price list MAN'!E1975</f>
        <v>0</v>
      </c>
      <c r="F1975" s="11">
        <f>'[6]price list MAN'!F1975</f>
        <v>0</v>
      </c>
      <c r="G1975" s="32">
        <f>'[6]price list MAN'!G1975</f>
        <v>0</v>
      </c>
      <c r="H1975" s="26">
        <f>'[6]price list MAN'!H1975</f>
        <v>0</v>
      </c>
      <c r="I1975" s="51" t="str">
        <f t="shared" si="150"/>
        <v/>
      </c>
      <c r="J1975" s="177" t="e">
        <f>'[6]price list MAN'!J1975</f>
        <v>#N/A</v>
      </c>
      <c r="K1975" s="177" t="e">
        <f>'[6]price list MAN'!P1975</f>
        <v>#N/A</v>
      </c>
      <c r="L1975" s="177" t="e">
        <f>'[6]price list MAN'!R1975</f>
        <v>#N/A</v>
      </c>
      <c r="M1975" s="174" t="e">
        <f>'[6]price list MAN'!S1975</f>
        <v>#N/A</v>
      </c>
      <c r="N1975" s="174" t="e">
        <f>'[6]price list MAN'!Y1975</f>
        <v>#N/A</v>
      </c>
      <c r="O1975" s="174" t="e">
        <f>'[6]price list MAN'!AA1975</f>
        <v>#N/A</v>
      </c>
      <c r="P1975" s="68" t="e">
        <f t="shared" si="151"/>
        <v>#N/A</v>
      </c>
      <c r="Q1975" s="62" t="e">
        <f>O1975-#REF!</f>
        <v>#N/A</v>
      </c>
      <c r="AT1975" s="425" t="str">
        <f t="shared" si="152"/>
        <v>Special Order0</v>
      </c>
      <c r="AU1975" s="64" t="str">
        <f t="shared" si="153"/>
        <v>01-1900</v>
      </c>
      <c r="BA1975" s="428" t="str">
        <f t="shared" si="154"/>
        <v/>
      </c>
    </row>
    <row r="1976" spans="2:53">
      <c r="B1976" s="36">
        <f>'[6]price list MAN'!B1976</f>
        <v>0</v>
      </c>
      <c r="C1976" s="10">
        <f>'[6]price list MAN'!C1976</f>
        <v>0</v>
      </c>
      <c r="D1976" s="16" t="str">
        <f>IFERROR(VLOOKUP(C1976&amp;"",'[7]Retail Price List'!$A$3:$B$103,2,FALSE),"Special Order")</f>
        <v>Special Order</v>
      </c>
      <c r="E1976" s="494">
        <f>'[6]price list MAN'!E1976</f>
        <v>0</v>
      </c>
      <c r="F1976" s="11">
        <f>'[6]price list MAN'!F1976</f>
        <v>0</v>
      </c>
      <c r="G1976" s="32">
        <f>'[6]price list MAN'!G1976</f>
        <v>0</v>
      </c>
      <c r="H1976" s="26">
        <f>'[6]price list MAN'!H1976</f>
        <v>0</v>
      </c>
      <c r="I1976" s="51" t="str">
        <f t="shared" si="150"/>
        <v/>
      </c>
      <c r="J1976" s="177" t="e">
        <f>'[6]price list MAN'!J1976</f>
        <v>#N/A</v>
      </c>
      <c r="K1976" s="177" t="e">
        <f>'[6]price list MAN'!P1976</f>
        <v>#N/A</v>
      </c>
      <c r="L1976" s="177" t="e">
        <f>'[6]price list MAN'!R1976</f>
        <v>#N/A</v>
      </c>
      <c r="M1976" s="174" t="e">
        <f>'[6]price list MAN'!S1976</f>
        <v>#N/A</v>
      </c>
      <c r="N1976" s="174" t="e">
        <f>'[6]price list MAN'!Y1976</f>
        <v>#N/A</v>
      </c>
      <c r="O1976" s="174" t="e">
        <f>'[6]price list MAN'!AA1976</f>
        <v>#N/A</v>
      </c>
      <c r="P1976" s="68" t="e">
        <f t="shared" si="151"/>
        <v>#N/A</v>
      </c>
      <c r="Q1976" s="62" t="e">
        <f>O1976-#REF!</f>
        <v>#N/A</v>
      </c>
      <c r="AT1976" s="425" t="str">
        <f t="shared" si="152"/>
        <v>Special Order0</v>
      </c>
      <c r="AU1976" s="64" t="str">
        <f t="shared" si="153"/>
        <v>01-1900</v>
      </c>
      <c r="BA1976" s="428" t="str">
        <f t="shared" si="154"/>
        <v/>
      </c>
    </row>
    <row r="1977" spans="2:53">
      <c r="B1977" s="36">
        <f>'[6]price list MAN'!B1977</f>
        <v>0</v>
      </c>
      <c r="C1977" s="10">
        <f>'[6]price list MAN'!C1977</f>
        <v>0</v>
      </c>
      <c r="D1977" s="16" t="str">
        <f>IFERROR(VLOOKUP(C1977&amp;"",'[7]Retail Price List'!$A$3:$B$103,2,FALSE),"Special Order")</f>
        <v>Special Order</v>
      </c>
      <c r="E1977" s="494">
        <f>'[6]price list MAN'!E1977</f>
        <v>0</v>
      </c>
      <c r="F1977" s="11">
        <f>'[6]price list MAN'!F1977</f>
        <v>0</v>
      </c>
      <c r="G1977" s="32">
        <f>'[6]price list MAN'!G1977</f>
        <v>0</v>
      </c>
      <c r="H1977" s="26">
        <f>'[6]price list MAN'!H1977</f>
        <v>0</v>
      </c>
      <c r="I1977" s="51" t="str">
        <f t="shared" si="150"/>
        <v/>
      </c>
      <c r="J1977" s="177" t="e">
        <f>'[6]price list MAN'!J1977</f>
        <v>#N/A</v>
      </c>
      <c r="K1977" s="177" t="e">
        <f>'[6]price list MAN'!P1977</f>
        <v>#N/A</v>
      </c>
      <c r="L1977" s="177" t="e">
        <f>'[6]price list MAN'!R1977</f>
        <v>#N/A</v>
      </c>
      <c r="M1977" s="174" t="e">
        <f>'[6]price list MAN'!S1977</f>
        <v>#N/A</v>
      </c>
      <c r="N1977" s="174" t="e">
        <f>'[6]price list MAN'!Y1977</f>
        <v>#N/A</v>
      </c>
      <c r="O1977" s="174" t="e">
        <f>'[6]price list MAN'!AA1977</f>
        <v>#N/A</v>
      </c>
      <c r="P1977" s="68" t="e">
        <f t="shared" si="151"/>
        <v>#N/A</v>
      </c>
      <c r="Q1977" s="62" t="e">
        <f>O1977-#REF!</f>
        <v>#N/A</v>
      </c>
      <c r="AT1977" s="425" t="str">
        <f t="shared" si="152"/>
        <v>Special Order0</v>
      </c>
      <c r="AU1977" s="64" t="str">
        <f t="shared" si="153"/>
        <v>01-1900</v>
      </c>
      <c r="BA1977" s="428" t="str">
        <f t="shared" si="154"/>
        <v/>
      </c>
    </row>
    <row r="1978" spans="2:53">
      <c r="B1978" s="36">
        <f>'[6]price list MAN'!B1978</f>
        <v>0</v>
      </c>
      <c r="C1978" s="10">
        <f>'[6]price list MAN'!C1978</f>
        <v>0</v>
      </c>
      <c r="D1978" s="16" t="str">
        <f>IFERROR(VLOOKUP(C1978&amp;"",'[7]Retail Price List'!$A$3:$B$103,2,FALSE),"Special Order")</f>
        <v>Special Order</v>
      </c>
      <c r="E1978" s="494">
        <f>'[6]price list MAN'!E1978</f>
        <v>0</v>
      </c>
      <c r="F1978" s="11">
        <f>'[6]price list MAN'!F1978</f>
        <v>0</v>
      </c>
      <c r="G1978" s="32">
        <f>'[6]price list MAN'!G1978</f>
        <v>0</v>
      </c>
      <c r="H1978" s="26">
        <f>'[6]price list MAN'!H1978</f>
        <v>0</v>
      </c>
      <c r="I1978" s="51" t="str">
        <f t="shared" si="150"/>
        <v/>
      </c>
      <c r="J1978" s="177" t="e">
        <f>'[6]price list MAN'!J1978</f>
        <v>#N/A</v>
      </c>
      <c r="K1978" s="177" t="e">
        <f>'[6]price list MAN'!P1978</f>
        <v>#N/A</v>
      </c>
      <c r="L1978" s="177" t="e">
        <f>'[6]price list MAN'!R1978</f>
        <v>#N/A</v>
      </c>
      <c r="M1978" s="174" t="e">
        <f>'[6]price list MAN'!S1978</f>
        <v>#N/A</v>
      </c>
      <c r="N1978" s="174" t="e">
        <f>'[6]price list MAN'!Y1978</f>
        <v>#N/A</v>
      </c>
      <c r="O1978" s="174" t="e">
        <f>'[6]price list MAN'!AA1978</f>
        <v>#N/A</v>
      </c>
      <c r="P1978" s="68" t="e">
        <f t="shared" si="151"/>
        <v>#N/A</v>
      </c>
      <c r="Q1978" s="62" t="e">
        <f>O1978-#REF!</f>
        <v>#N/A</v>
      </c>
      <c r="AT1978" s="425" t="str">
        <f t="shared" si="152"/>
        <v>Special Order0</v>
      </c>
      <c r="AU1978" s="64" t="str">
        <f t="shared" si="153"/>
        <v>01-1900</v>
      </c>
      <c r="BA1978" s="428" t="str">
        <f t="shared" si="154"/>
        <v/>
      </c>
    </row>
    <row r="1979" spans="2:53">
      <c r="B1979" s="36">
        <f>'[6]price list MAN'!B1979</f>
        <v>0</v>
      </c>
      <c r="C1979" s="10">
        <f>'[6]price list MAN'!C1979</f>
        <v>0</v>
      </c>
      <c r="D1979" s="16" t="str">
        <f>IFERROR(VLOOKUP(C1979&amp;"",'[7]Retail Price List'!$A$3:$B$103,2,FALSE),"Special Order")</f>
        <v>Special Order</v>
      </c>
      <c r="E1979" s="494">
        <f>'[6]price list MAN'!E1979</f>
        <v>0</v>
      </c>
      <c r="F1979" s="11">
        <f>'[6]price list MAN'!F1979</f>
        <v>0</v>
      </c>
      <c r="G1979" s="32">
        <f>'[6]price list MAN'!G1979</f>
        <v>0</v>
      </c>
      <c r="H1979" s="26">
        <f>'[6]price list MAN'!H1979</f>
        <v>0</v>
      </c>
      <c r="I1979" s="51" t="str">
        <f t="shared" si="150"/>
        <v/>
      </c>
      <c r="J1979" s="177" t="e">
        <f>'[6]price list MAN'!J1979</f>
        <v>#N/A</v>
      </c>
      <c r="K1979" s="177" t="e">
        <f>'[6]price list MAN'!P1979</f>
        <v>#N/A</v>
      </c>
      <c r="L1979" s="177" t="e">
        <f>'[6]price list MAN'!R1979</f>
        <v>#N/A</v>
      </c>
      <c r="M1979" s="174" t="e">
        <f>'[6]price list MAN'!S1979</f>
        <v>#N/A</v>
      </c>
      <c r="N1979" s="174" t="e">
        <f>'[6]price list MAN'!Y1979</f>
        <v>#N/A</v>
      </c>
      <c r="O1979" s="174" t="e">
        <f>'[6]price list MAN'!AA1979</f>
        <v>#N/A</v>
      </c>
      <c r="P1979" s="68" t="e">
        <f t="shared" si="151"/>
        <v>#N/A</v>
      </c>
      <c r="Q1979" s="62" t="e">
        <f>O1979-#REF!</f>
        <v>#N/A</v>
      </c>
      <c r="AT1979" s="425" t="str">
        <f t="shared" si="152"/>
        <v>Special Order0</v>
      </c>
      <c r="AU1979" s="64" t="str">
        <f t="shared" si="153"/>
        <v>01-1900</v>
      </c>
      <c r="BA1979" s="428" t="str">
        <f t="shared" si="154"/>
        <v/>
      </c>
    </row>
    <row r="1980" spans="2:53">
      <c r="B1980" s="36">
        <f>'[6]price list MAN'!B1980</f>
        <v>0</v>
      </c>
      <c r="C1980" s="10">
        <f>'[6]price list MAN'!C1980</f>
        <v>0</v>
      </c>
      <c r="D1980" s="16" t="str">
        <f>IFERROR(VLOOKUP(C1980&amp;"",'[7]Retail Price List'!$A$3:$B$103,2,FALSE),"Special Order")</f>
        <v>Special Order</v>
      </c>
      <c r="E1980" s="494">
        <f>'[6]price list MAN'!E1980</f>
        <v>0</v>
      </c>
      <c r="F1980" s="11">
        <f>'[6]price list MAN'!F1980</f>
        <v>0</v>
      </c>
      <c r="G1980" s="32">
        <f>'[6]price list MAN'!G1980</f>
        <v>0</v>
      </c>
      <c r="H1980" s="26">
        <f>'[6]price list MAN'!H1980</f>
        <v>0</v>
      </c>
      <c r="I1980" s="51" t="str">
        <f t="shared" si="150"/>
        <v/>
      </c>
      <c r="J1980" s="177" t="e">
        <f>'[6]price list MAN'!J1980</f>
        <v>#N/A</v>
      </c>
      <c r="K1980" s="177" t="e">
        <f>'[6]price list MAN'!P1980</f>
        <v>#N/A</v>
      </c>
      <c r="L1980" s="177" t="e">
        <f>'[6]price list MAN'!R1980</f>
        <v>#N/A</v>
      </c>
      <c r="M1980" s="174" t="e">
        <f>'[6]price list MAN'!S1980</f>
        <v>#N/A</v>
      </c>
      <c r="N1980" s="174" t="e">
        <f>'[6]price list MAN'!Y1980</f>
        <v>#N/A</v>
      </c>
      <c r="O1980" s="174" t="e">
        <f>'[6]price list MAN'!AA1980</f>
        <v>#N/A</v>
      </c>
      <c r="P1980" s="68" t="e">
        <f t="shared" si="151"/>
        <v>#N/A</v>
      </c>
      <c r="Q1980" s="62" t="e">
        <f>O1980-#REF!</f>
        <v>#N/A</v>
      </c>
      <c r="AT1980" s="425" t="str">
        <f t="shared" si="152"/>
        <v>Special Order0</v>
      </c>
      <c r="AU1980" s="64" t="str">
        <f t="shared" si="153"/>
        <v>01-1900</v>
      </c>
      <c r="BA1980" s="428" t="str">
        <f t="shared" si="154"/>
        <v/>
      </c>
    </row>
    <row r="1981" spans="2:53">
      <c r="B1981" s="36">
        <f>'[6]price list MAN'!B1981</f>
        <v>0</v>
      </c>
      <c r="C1981" s="10">
        <f>'[6]price list MAN'!C1981</f>
        <v>0</v>
      </c>
      <c r="D1981" s="16" t="str">
        <f>IFERROR(VLOOKUP(C1981&amp;"",'[7]Retail Price List'!$A$3:$B$103,2,FALSE),"Special Order")</f>
        <v>Special Order</v>
      </c>
      <c r="E1981" s="494">
        <f>'[6]price list MAN'!E1981</f>
        <v>0</v>
      </c>
      <c r="F1981" s="11">
        <f>'[6]price list MAN'!F1981</f>
        <v>0</v>
      </c>
      <c r="G1981" s="32">
        <f>'[6]price list MAN'!G1981</f>
        <v>0</v>
      </c>
      <c r="H1981" s="26">
        <f>'[6]price list MAN'!H1981</f>
        <v>0</v>
      </c>
      <c r="I1981" s="51" t="str">
        <f t="shared" si="150"/>
        <v/>
      </c>
      <c r="J1981" s="177" t="e">
        <f>'[6]price list MAN'!J1981</f>
        <v>#N/A</v>
      </c>
      <c r="K1981" s="177" t="e">
        <f>'[6]price list MAN'!P1981</f>
        <v>#N/A</v>
      </c>
      <c r="L1981" s="177" t="e">
        <f>'[6]price list MAN'!R1981</f>
        <v>#N/A</v>
      </c>
      <c r="M1981" s="174" t="e">
        <f>'[6]price list MAN'!S1981</f>
        <v>#N/A</v>
      </c>
      <c r="N1981" s="174" t="e">
        <f>'[6]price list MAN'!Y1981</f>
        <v>#N/A</v>
      </c>
      <c r="O1981" s="174" t="e">
        <f>'[6]price list MAN'!AA1981</f>
        <v>#N/A</v>
      </c>
      <c r="P1981" s="68" t="e">
        <f t="shared" si="151"/>
        <v>#N/A</v>
      </c>
      <c r="Q1981" s="62" t="e">
        <f>O1981-#REF!</f>
        <v>#N/A</v>
      </c>
      <c r="AT1981" s="425" t="str">
        <f t="shared" si="152"/>
        <v>Special Order0</v>
      </c>
      <c r="AU1981" s="64" t="str">
        <f t="shared" si="153"/>
        <v>01-1900</v>
      </c>
      <c r="BA1981" s="428" t="str">
        <f t="shared" si="154"/>
        <v/>
      </c>
    </row>
    <row r="1982" spans="2:53">
      <c r="B1982" s="36">
        <f>'[6]price list MAN'!B1982</f>
        <v>0</v>
      </c>
      <c r="C1982" s="10">
        <f>'[6]price list MAN'!C1982</f>
        <v>0</v>
      </c>
      <c r="D1982" s="16" t="str">
        <f>IFERROR(VLOOKUP(C1982&amp;"",'[7]Retail Price List'!$A$3:$B$103,2,FALSE),"Special Order")</f>
        <v>Special Order</v>
      </c>
      <c r="E1982" s="494">
        <f>'[6]price list MAN'!E1982</f>
        <v>0</v>
      </c>
      <c r="F1982" s="11">
        <f>'[6]price list MAN'!F1982</f>
        <v>0</v>
      </c>
      <c r="G1982" s="32">
        <f>'[6]price list MAN'!G1982</f>
        <v>0</v>
      </c>
      <c r="H1982" s="26">
        <f>'[6]price list MAN'!H1982</f>
        <v>0</v>
      </c>
      <c r="I1982" s="51" t="str">
        <f t="shared" si="150"/>
        <v/>
      </c>
      <c r="J1982" s="177" t="e">
        <f>'[6]price list MAN'!J1982</f>
        <v>#N/A</v>
      </c>
      <c r="K1982" s="177" t="e">
        <f>'[6]price list MAN'!P1982</f>
        <v>#N/A</v>
      </c>
      <c r="L1982" s="177" t="e">
        <f>'[6]price list MAN'!R1982</f>
        <v>#N/A</v>
      </c>
      <c r="M1982" s="174" t="e">
        <f>'[6]price list MAN'!S1982</f>
        <v>#N/A</v>
      </c>
      <c r="N1982" s="174" t="e">
        <f>'[6]price list MAN'!Y1982</f>
        <v>#N/A</v>
      </c>
      <c r="O1982" s="174" t="e">
        <f>'[6]price list MAN'!AA1982</f>
        <v>#N/A</v>
      </c>
      <c r="P1982" s="68" t="e">
        <f t="shared" si="151"/>
        <v>#N/A</v>
      </c>
      <c r="Q1982" s="62" t="e">
        <f>O1982-#REF!</f>
        <v>#N/A</v>
      </c>
      <c r="AT1982" s="425" t="str">
        <f t="shared" si="152"/>
        <v>Special Order0</v>
      </c>
      <c r="AU1982" s="64" t="str">
        <f t="shared" si="153"/>
        <v>01-1900</v>
      </c>
      <c r="BA1982" s="428" t="str">
        <f t="shared" si="154"/>
        <v/>
      </c>
    </row>
    <row r="1983" spans="2:53">
      <c r="B1983" s="36">
        <f>'[6]price list MAN'!B1983</f>
        <v>0</v>
      </c>
      <c r="C1983" s="10">
        <f>'[6]price list MAN'!C1983</f>
        <v>0</v>
      </c>
      <c r="D1983" s="16" t="str">
        <f>IFERROR(VLOOKUP(C1983&amp;"",'[7]Retail Price List'!$A$3:$B$103,2,FALSE),"Special Order")</f>
        <v>Special Order</v>
      </c>
      <c r="E1983" s="494">
        <f>'[6]price list MAN'!E1983</f>
        <v>0</v>
      </c>
      <c r="F1983" s="11">
        <f>'[6]price list MAN'!F1983</f>
        <v>0</v>
      </c>
      <c r="G1983" s="32">
        <f>'[6]price list MAN'!G1983</f>
        <v>0</v>
      </c>
      <c r="H1983" s="26">
        <f>'[6]price list MAN'!H1983</f>
        <v>0</v>
      </c>
      <c r="I1983" s="51" t="str">
        <f t="shared" si="150"/>
        <v/>
      </c>
      <c r="J1983" s="177" t="e">
        <f>'[6]price list MAN'!J1983</f>
        <v>#N/A</v>
      </c>
      <c r="K1983" s="177" t="e">
        <f>'[6]price list MAN'!P1983</f>
        <v>#N/A</v>
      </c>
      <c r="L1983" s="177" t="e">
        <f>'[6]price list MAN'!R1983</f>
        <v>#N/A</v>
      </c>
      <c r="M1983" s="174" t="e">
        <f>'[6]price list MAN'!S1983</f>
        <v>#N/A</v>
      </c>
      <c r="N1983" s="174" t="e">
        <f>'[6]price list MAN'!Y1983</f>
        <v>#N/A</v>
      </c>
      <c r="O1983" s="174" t="e">
        <f>'[6]price list MAN'!AA1983</f>
        <v>#N/A</v>
      </c>
      <c r="P1983" s="68" t="e">
        <f t="shared" si="151"/>
        <v>#N/A</v>
      </c>
      <c r="Q1983" s="62" t="e">
        <f>O1983-#REF!</f>
        <v>#N/A</v>
      </c>
      <c r="AT1983" s="425" t="str">
        <f t="shared" si="152"/>
        <v>Special Order0</v>
      </c>
      <c r="AU1983" s="64" t="str">
        <f t="shared" si="153"/>
        <v>01-1900</v>
      </c>
      <c r="BA1983" s="428" t="str">
        <f t="shared" si="154"/>
        <v/>
      </c>
    </row>
    <row r="1984" spans="2:53">
      <c r="B1984" s="36">
        <f>'[6]price list MAN'!B1984</f>
        <v>0</v>
      </c>
      <c r="C1984" s="10">
        <f>'[6]price list MAN'!C1984</f>
        <v>0</v>
      </c>
      <c r="D1984" s="16" t="str">
        <f>IFERROR(VLOOKUP(C1984&amp;"",'[7]Retail Price List'!$A$3:$B$103,2,FALSE),"Special Order")</f>
        <v>Special Order</v>
      </c>
      <c r="E1984" s="494">
        <f>'[6]price list MAN'!E1984</f>
        <v>0</v>
      </c>
      <c r="F1984" s="11">
        <f>'[6]price list MAN'!F1984</f>
        <v>0</v>
      </c>
      <c r="G1984" s="32">
        <f>'[6]price list MAN'!G1984</f>
        <v>0</v>
      </c>
      <c r="H1984" s="26">
        <f>'[6]price list MAN'!H1984</f>
        <v>0</v>
      </c>
      <c r="I1984" s="51" t="str">
        <f t="shared" si="150"/>
        <v/>
      </c>
      <c r="J1984" s="177" t="e">
        <f>'[6]price list MAN'!J1984</f>
        <v>#N/A</v>
      </c>
      <c r="K1984" s="177" t="e">
        <f>'[6]price list MAN'!P1984</f>
        <v>#N/A</v>
      </c>
      <c r="L1984" s="177" t="e">
        <f>'[6]price list MAN'!R1984</f>
        <v>#N/A</v>
      </c>
      <c r="M1984" s="174" t="e">
        <f>'[6]price list MAN'!S1984</f>
        <v>#N/A</v>
      </c>
      <c r="N1984" s="174" t="e">
        <f>'[6]price list MAN'!Y1984</f>
        <v>#N/A</v>
      </c>
      <c r="O1984" s="174" t="e">
        <f>'[6]price list MAN'!AA1984</f>
        <v>#N/A</v>
      </c>
      <c r="P1984" s="68" t="e">
        <f t="shared" si="151"/>
        <v>#N/A</v>
      </c>
      <c r="Q1984" s="62" t="e">
        <f>O1984-#REF!</f>
        <v>#N/A</v>
      </c>
      <c r="AT1984" s="425" t="str">
        <f t="shared" si="152"/>
        <v>Special Order0</v>
      </c>
      <c r="AU1984" s="64" t="str">
        <f t="shared" si="153"/>
        <v>01-1900</v>
      </c>
      <c r="BA1984" s="428" t="str">
        <f t="shared" si="154"/>
        <v/>
      </c>
    </row>
    <row r="1985" spans="2:53">
      <c r="B1985" s="36">
        <f>'[6]price list MAN'!B1985</f>
        <v>0</v>
      </c>
      <c r="C1985" s="10">
        <f>'[6]price list MAN'!C1985</f>
        <v>0</v>
      </c>
      <c r="D1985" s="16" t="str">
        <f>IFERROR(VLOOKUP(C1985&amp;"",'[7]Retail Price List'!$A$3:$B$103,2,FALSE),"Special Order")</f>
        <v>Special Order</v>
      </c>
      <c r="E1985" s="494">
        <f>'[6]price list MAN'!E1985</f>
        <v>0</v>
      </c>
      <c r="F1985" s="11">
        <f>'[6]price list MAN'!F1985</f>
        <v>0</v>
      </c>
      <c r="G1985" s="32">
        <f>'[6]price list MAN'!G1985</f>
        <v>0</v>
      </c>
      <c r="H1985" s="26">
        <f>'[6]price list MAN'!H1985</f>
        <v>0</v>
      </c>
      <c r="I1985" s="51" t="str">
        <f t="shared" si="150"/>
        <v/>
      </c>
      <c r="J1985" s="177" t="e">
        <f>'[6]price list MAN'!J1985</f>
        <v>#N/A</v>
      </c>
      <c r="K1985" s="177" t="e">
        <f>'[6]price list MAN'!P1985</f>
        <v>#N/A</v>
      </c>
      <c r="L1985" s="177" t="e">
        <f>'[6]price list MAN'!R1985</f>
        <v>#N/A</v>
      </c>
      <c r="M1985" s="174" t="e">
        <f>'[6]price list MAN'!S1985</f>
        <v>#N/A</v>
      </c>
      <c r="N1985" s="174" t="e">
        <f>'[6]price list MAN'!Y1985</f>
        <v>#N/A</v>
      </c>
      <c r="O1985" s="174" t="e">
        <f>'[6]price list MAN'!AA1985</f>
        <v>#N/A</v>
      </c>
      <c r="P1985" s="68" t="e">
        <f t="shared" si="151"/>
        <v>#N/A</v>
      </c>
      <c r="Q1985" s="62" t="e">
        <f>O1985-#REF!</f>
        <v>#N/A</v>
      </c>
      <c r="AT1985" s="425" t="str">
        <f t="shared" si="152"/>
        <v>Special Order0</v>
      </c>
      <c r="AU1985" s="64" t="str">
        <f t="shared" si="153"/>
        <v>01-1900</v>
      </c>
      <c r="BA1985" s="428" t="str">
        <f t="shared" si="154"/>
        <v/>
      </c>
    </row>
    <row r="1986" spans="2:53">
      <c r="B1986" s="36">
        <f>'[6]price list MAN'!B1986</f>
        <v>0</v>
      </c>
      <c r="C1986" s="10">
        <f>'[6]price list MAN'!C1986</f>
        <v>0</v>
      </c>
      <c r="D1986" s="16" t="str">
        <f>IFERROR(VLOOKUP(C1986&amp;"",'[7]Retail Price List'!$A$3:$B$103,2,FALSE),"Special Order")</f>
        <v>Special Order</v>
      </c>
      <c r="E1986" s="494">
        <f>'[6]price list MAN'!E1986</f>
        <v>0</v>
      </c>
      <c r="F1986" s="11">
        <f>'[6]price list MAN'!F1986</f>
        <v>0</v>
      </c>
      <c r="G1986" s="32">
        <f>'[6]price list MAN'!G1986</f>
        <v>0</v>
      </c>
      <c r="H1986" s="26">
        <f>'[6]price list MAN'!H1986</f>
        <v>0</v>
      </c>
      <c r="I1986" s="51" t="str">
        <f t="shared" si="150"/>
        <v/>
      </c>
      <c r="J1986" s="177" t="e">
        <f>'[6]price list MAN'!J1986</f>
        <v>#N/A</v>
      </c>
      <c r="K1986" s="177" t="e">
        <f>'[6]price list MAN'!P1986</f>
        <v>#N/A</v>
      </c>
      <c r="L1986" s="177" t="e">
        <f>'[6]price list MAN'!R1986</f>
        <v>#N/A</v>
      </c>
      <c r="M1986" s="174" t="e">
        <f>'[6]price list MAN'!S1986</f>
        <v>#N/A</v>
      </c>
      <c r="N1986" s="174" t="e">
        <f>'[6]price list MAN'!Y1986</f>
        <v>#N/A</v>
      </c>
      <c r="O1986" s="174" t="e">
        <f>'[6]price list MAN'!AA1986</f>
        <v>#N/A</v>
      </c>
      <c r="P1986" s="68" t="e">
        <f t="shared" si="151"/>
        <v>#N/A</v>
      </c>
      <c r="Q1986" s="62" t="e">
        <f>O1986-#REF!</f>
        <v>#N/A</v>
      </c>
      <c r="AT1986" s="425" t="str">
        <f t="shared" si="152"/>
        <v>Special Order0</v>
      </c>
      <c r="AU1986" s="64" t="str">
        <f t="shared" si="153"/>
        <v>01-1900</v>
      </c>
      <c r="BA1986" s="428" t="str">
        <f t="shared" si="154"/>
        <v/>
      </c>
    </row>
    <row r="1987" spans="2:53">
      <c r="B1987" s="36">
        <f>'[6]price list MAN'!B1987</f>
        <v>0</v>
      </c>
      <c r="C1987" s="10">
        <f>'[6]price list MAN'!C1987</f>
        <v>0</v>
      </c>
      <c r="D1987" s="16" t="str">
        <f>IFERROR(VLOOKUP(C1987&amp;"",'[7]Retail Price List'!$A$3:$B$103,2,FALSE),"Special Order")</f>
        <v>Special Order</v>
      </c>
      <c r="E1987" s="494">
        <f>'[6]price list MAN'!E1987</f>
        <v>0</v>
      </c>
      <c r="F1987" s="11">
        <f>'[6]price list MAN'!F1987</f>
        <v>0</v>
      </c>
      <c r="G1987" s="32">
        <f>'[6]price list MAN'!G1987</f>
        <v>0</v>
      </c>
      <c r="H1987" s="26">
        <f>'[6]price list MAN'!H1987</f>
        <v>0</v>
      </c>
      <c r="I1987" s="51" t="str">
        <f t="shared" si="150"/>
        <v/>
      </c>
      <c r="J1987" s="177" t="e">
        <f>'[6]price list MAN'!J1987</f>
        <v>#N/A</v>
      </c>
      <c r="K1987" s="177" t="e">
        <f>'[6]price list MAN'!P1987</f>
        <v>#N/A</v>
      </c>
      <c r="L1987" s="177" t="e">
        <f>'[6]price list MAN'!R1987</f>
        <v>#N/A</v>
      </c>
      <c r="M1987" s="174" t="e">
        <f>'[6]price list MAN'!S1987</f>
        <v>#N/A</v>
      </c>
      <c r="N1987" s="174" t="e">
        <f>'[6]price list MAN'!Y1987</f>
        <v>#N/A</v>
      </c>
      <c r="O1987" s="174" t="e">
        <f>'[6]price list MAN'!AA1987</f>
        <v>#N/A</v>
      </c>
      <c r="P1987" s="68" t="e">
        <f t="shared" si="151"/>
        <v>#N/A</v>
      </c>
      <c r="Q1987" s="62" t="e">
        <f>O1987-#REF!</f>
        <v>#N/A</v>
      </c>
      <c r="AT1987" s="425" t="str">
        <f t="shared" si="152"/>
        <v>Special Order0</v>
      </c>
      <c r="AU1987" s="64" t="str">
        <f t="shared" si="153"/>
        <v>01-1900</v>
      </c>
      <c r="BA1987" s="428" t="str">
        <f t="shared" si="154"/>
        <v/>
      </c>
    </row>
    <row r="1988" spans="2:53">
      <c r="B1988" s="36">
        <f>'[6]price list MAN'!B1988</f>
        <v>0</v>
      </c>
      <c r="C1988" s="10">
        <f>'[6]price list MAN'!C1988</f>
        <v>0</v>
      </c>
      <c r="D1988" s="16" t="str">
        <f>IFERROR(VLOOKUP(C1988&amp;"",'[7]Retail Price List'!$A$3:$B$103,2,FALSE),"Special Order")</f>
        <v>Special Order</v>
      </c>
      <c r="E1988" s="494">
        <f>'[6]price list MAN'!E1988</f>
        <v>0</v>
      </c>
      <c r="F1988" s="11">
        <f>'[6]price list MAN'!F1988</f>
        <v>0</v>
      </c>
      <c r="G1988" s="32">
        <f>'[6]price list MAN'!G1988</f>
        <v>0</v>
      </c>
      <c r="H1988" s="26">
        <f>'[6]price list MAN'!H1988</f>
        <v>0</v>
      </c>
      <c r="I1988" s="51" t="str">
        <f t="shared" si="150"/>
        <v/>
      </c>
      <c r="J1988" s="177" t="e">
        <f>'[6]price list MAN'!J1988</f>
        <v>#N/A</v>
      </c>
      <c r="K1988" s="177" t="e">
        <f>'[6]price list MAN'!P1988</f>
        <v>#N/A</v>
      </c>
      <c r="L1988" s="177" t="e">
        <f>'[6]price list MAN'!R1988</f>
        <v>#N/A</v>
      </c>
      <c r="M1988" s="174" t="e">
        <f>'[6]price list MAN'!S1988</f>
        <v>#N/A</v>
      </c>
      <c r="N1988" s="174" t="e">
        <f>'[6]price list MAN'!Y1988</f>
        <v>#N/A</v>
      </c>
      <c r="O1988" s="174" t="e">
        <f>'[6]price list MAN'!AA1988</f>
        <v>#N/A</v>
      </c>
      <c r="P1988" s="68" t="e">
        <f t="shared" si="151"/>
        <v>#N/A</v>
      </c>
      <c r="Q1988" s="62" t="e">
        <f>O1988-#REF!</f>
        <v>#N/A</v>
      </c>
      <c r="AT1988" s="425" t="str">
        <f t="shared" si="152"/>
        <v>Special Order0</v>
      </c>
      <c r="AU1988" s="64" t="str">
        <f t="shared" si="153"/>
        <v>01-1900</v>
      </c>
      <c r="BA1988" s="428" t="str">
        <f t="shared" si="154"/>
        <v/>
      </c>
    </row>
    <row r="1989" spans="2:53">
      <c r="B1989" s="36">
        <f>'[6]price list MAN'!B1989</f>
        <v>0</v>
      </c>
      <c r="C1989" s="10">
        <f>'[6]price list MAN'!C1989</f>
        <v>0</v>
      </c>
      <c r="D1989" s="16" t="str">
        <f>IFERROR(VLOOKUP(C1989&amp;"",'[7]Retail Price List'!$A$3:$B$103,2,FALSE),"Special Order")</f>
        <v>Special Order</v>
      </c>
      <c r="E1989" s="494">
        <f>'[6]price list MAN'!E1989</f>
        <v>0</v>
      </c>
      <c r="F1989" s="11">
        <f>'[6]price list MAN'!F1989</f>
        <v>0</v>
      </c>
      <c r="G1989" s="32">
        <f>'[6]price list MAN'!G1989</f>
        <v>0</v>
      </c>
      <c r="H1989" s="26">
        <f>'[6]price list MAN'!H1989</f>
        <v>0</v>
      </c>
      <c r="I1989" s="51" t="str">
        <f t="shared" ref="I1989:I2002" si="155">IFERROR(VLOOKUP(AU1989,$AW$5:$AY$40,3,FALSE),"")</f>
        <v/>
      </c>
      <c r="J1989" s="177" t="e">
        <f>'[6]price list MAN'!J1989</f>
        <v>#N/A</v>
      </c>
      <c r="K1989" s="177" t="e">
        <f>'[6]price list MAN'!P1989</f>
        <v>#N/A</v>
      </c>
      <c r="L1989" s="177" t="e">
        <f>'[6]price list MAN'!R1989</f>
        <v>#N/A</v>
      </c>
      <c r="M1989" s="174" t="e">
        <f>'[6]price list MAN'!S1989</f>
        <v>#N/A</v>
      </c>
      <c r="N1989" s="174" t="e">
        <f>'[6]price list MAN'!Y1989</f>
        <v>#N/A</v>
      </c>
      <c r="O1989" s="174" t="e">
        <f>'[6]price list MAN'!AA1989</f>
        <v>#N/A</v>
      </c>
      <c r="P1989" s="68" t="e">
        <f t="shared" ref="P1989:P2002" si="156">(M1989-O1989)/M1989</f>
        <v>#N/A</v>
      </c>
      <c r="Q1989" s="62" t="e">
        <f>O1989-#REF!</f>
        <v>#N/A</v>
      </c>
      <c r="AT1989" s="425" t="str">
        <f t="shared" ref="AT1989:AT2002" si="157">D1989&amp;I1989&amp;G1989</f>
        <v>Special Order0</v>
      </c>
      <c r="AU1989" s="64" t="str">
        <f t="shared" ref="AU1989:AU2002" si="158">IF(MONTH(H1989)&lt;10,0&amp;MONTH(H1989)&amp;"-"&amp;YEAR(H1989),MONTH(H1989)&amp;"-"&amp;YEAR(H1989))</f>
        <v>01-1900</v>
      </c>
      <c r="BA1989" s="428" t="str">
        <f t="shared" si="154"/>
        <v/>
      </c>
    </row>
    <row r="1990" spans="2:53">
      <c r="B1990" s="36">
        <f>'[6]price list MAN'!B1990</f>
        <v>0</v>
      </c>
      <c r="C1990" s="10">
        <f>'[6]price list MAN'!C1990</f>
        <v>0</v>
      </c>
      <c r="D1990" s="16" t="str">
        <f>IFERROR(VLOOKUP(C1990&amp;"",'[7]Retail Price List'!$A$3:$B$103,2,FALSE),"Special Order")</f>
        <v>Special Order</v>
      </c>
      <c r="E1990" s="494">
        <f>'[6]price list MAN'!E1990</f>
        <v>0</v>
      </c>
      <c r="F1990" s="11">
        <f>'[6]price list MAN'!F1990</f>
        <v>0</v>
      </c>
      <c r="G1990" s="32">
        <f>'[6]price list MAN'!G1990</f>
        <v>0</v>
      </c>
      <c r="H1990" s="26">
        <f>'[6]price list MAN'!H1990</f>
        <v>0</v>
      </c>
      <c r="I1990" s="51" t="str">
        <f t="shared" si="155"/>
        <v/>
      </c>
      <c r="J1990" s="177" t="e">
        <f>'[6]price list MAN'!J1990</f>
        <v>#N/A</v>
      </c>
      <c r="K1990" s="177" t="e">
        <f>'[6]price list MAN'!P1990</f>
        <v>#N/A</v>
      </c>
      <c r="L1990" s="177" t="e">
        <f>'[6]price list MAN'!R1990</f>
        <v>#N/A</v>
      </c>
      <c r="M1990" s="174" t="e">
        <f>'[6]price list MAN'!S1990</f>
        <v>#N/A</v>
      </c>
      <c r="N1990" s="174" t="e">
        <f>'[6]price list MAN'!Y1990</f>
        <v>#N/A</v>
      </c>
      <c r="O1990" s="174" t="e">
        <f>'[6]price list MAN'!AA1990</f>
        <v>#N/A</v>
      </c>
      <c r="P1990" s="68" t="e">
        <f t="shared" si="156"/>
        <v>#N/A</v>
      </c>
      <c r="Q1990" s="62" t="e">
        <f>O1990-#REF!</f>
        <v>#N/A</v>
      </c>
      <c r="AT1990" s="425" t="str">
        <f t="shared" si="157"/>
        <v>Special Order0</v>
      </c>
      <c r="AU1990" s="64" t="str">
        <f t="shared" si="158"/>
        <v>01-1900</v>
      </c>
      <c r="BA1990" s="428" t="str">
        <f t="shared" ref="BA1990:BA2002" si="159">IF(B1990=0,"",IF(AND(F1990&gt;=31,F1990&lt;=120),"31-120 Days",IF(AND(F1990&gt;=121,F1990&lt;=365),"121-365 Days",IF(OR(E1990="CKD",F1990&lt;=30),"WIP - 30 Days","&gt;365 Days"))))</f>
        <v/>
      </c>
    </row>
    <row r="1991" spans="2:53">
      <c r="B1991" s="36">
        <f>'[6]price list MAN'!B1991</f>
        <v>0</v>
      </c>
      <c r="C1991" s="10">
        <f>'[6]price list MAN'!C1991</f>
        <v>0</v>
      </c>
      <c r="D1991" s="16" t="str">
        <f>IFERROR(VLOOKUP(C1991&amp;"",'[7]Retail Price List'!$A$3:$B$103,2,FALSE),"Special Order")</f>
        <v>Special Order</v>
      </c>
      <c r="E1991" s="494">
        <f>'[6]price list MAN'!E1991</f>
        <v>0</v>
      </c>
      <c r="F1991" s="11">
        <f>'[6]price list MAN'!F1991</f>
        <v>0</v>
      </c>
      <c r="G1991" s="32">
        <f>'[6]price list MAN'!G1991</f>
        <v>0</v>
      </c>
      <c r="H1991" s="26">
        <f>'[6]price list MAN'!H1991</f>
        <v>0</v>
      </c>
      <c r="I1991" s="51" t="str">
        <f t="shared" si="155"/>
        <v/>
      </c>
      <c r="J1991" s="177" t="e">
        <f>'[6]price list MAN'!J1991</f>
        <v>#N/A</v>
      </c>
      <c r="K1991" s="177" t="e">
        <f>'[6]price list MAN'!P1991</f>
        <v>#N/A</v>
      </c>
      <c r="L1991" s="177" t="e">
        <f>'[6]price list MAN'!R1991</f>
        <v>#N/A</v>
      </c>
      <c r="M1991" s="174" t="e">
        <f>'[6]price list MAN'!S1991</f>
        <v>#N/A</v>
      </c>
      <c r="N1991" s="174" t="e">
        <f>'[6]price list MAN'!Y1991</f>
        <v>#N/A</v>
      </c>
      <c r="O1991" s="174" t="e">
        <f>'[6]price list MAN'!AA1991</f>
        <v>#N/A</v>
      </c>
      <c r="P1991" s="68" t="e">
        <f t="shared" si="156"/>
        <v>#N/A</v>
      </c>
      <c r="Q1991" s="62" t="e">
        <f>O1991-#REF!</f>
        <v>#N/A</v>
      </c>
      <c r="AT1991" s="425" t="str">
        <f t="shared" si="157"/>
        <v>Special Order0</v>
      </c>
      <c r="AU1991" s="64" t="str">
        <f t="shared" si="158"/>
        <v>01-1900</v>
      </c>
      <c r="BA1991" s="428" t="str">
        <f t="shared" si="159"/>
        <v/>
      </c>
    </row>
    <row r="1992" spans="2:53">
      <c r="B1992" s="36">
        <f>'[6]price list MAN'!B1992</f>
        <v>0</v>
      </c>
      <c r="C1992" s="10">
        <f>'[6]price list MAN'!C1992</f>
        <v>0</v>
      </c>
      <c r="D1992" s="16" t="str">
        <f>IFERROR(VLOOKUP(C1992&amp;"",'[7]Retail Price List'!$A$3:$B$103,2,FALSE),"Special Order")</f>
        <v>Special Order</v>
      </c>
      <c r="E1992" s="494">
        <f>'[6]price list MAN'!E1992</f>
        <v>0</v>
      </c>
      <c r="F1992" s="11">
        <f>'[6]price list MAN'!F1992</f>
        <v>0</v>
      </c>
      <c r="G1992" s="32">
        <f>'[6]price list MAN'!G1992</f>
        <v>0</v>
      </c>
      <c r="H1992" s="26">
        <f>'[6]price list MAN'!H1992</f>
        <v>0</v>
      </c>
      <c r="I1992" s="51" t="str">
        <f t="shared" si="155"/>
        <v/>
      </c>
      <c r="J1992" s="177" t="e">
        <f>'[6]price list MAN'!J1992</f>
        <v>#N/A</v>
      </c>
      <c r="K1992" s="177" t="e">
        <f>'[6]price list MAN'!P1992</f>
        <v>#N/A</v>
      </c>
      <c r="L1992" s="177" t="e">
        <f>'[6]price list MAN'!R1992</f>
        <v>#N/A</v>
      </c>
      <c r="M1992" s="174" t="e">
        <f>'[6]price list MAN'!S1992</f>
        <v>#N/A</v>
      </c>
      <c r="N1992" s="174" t="e">
        <f>'[6]price list MAN'!Y1992</f>
        <v>#N/A</v>
      </c>
      <c r="O1992" s="174" t="e">
        <f>'[6]price list MAN'!AA1992</f>
        <v>#N/A</v>
      </c>
      <c r="P1992" s="68" t="e">
        <f t="shared" si="156"/>
        <v>#N/A</v>
      </c>
      <c r="Q1992" s="62" t="e">
        <f>O1992-#REF!</f>
        <v>#N/A</v>
      </c>
      <c r="AT1992" s="425" t="str">
        <f t="shared" si="157"/>
        <v>Special Order0</v>
      </c>
      <c r="AU1992" s="64" t="str">
        <f t="shared" si="158"/>
        <v>01-1900</v>
      </c>
      <c r="BA1992" s="428" t="str">
        <f t="shared" si="159"/>
        <v/>
      </c>
    </row>
    <row r="1993" spans="2:53">
      <c r="B1993" s="36">
        <f>'[6]price list MAN'!B1993</f>
        <v>0</v>
      </c>
      <c r="C1993" s="10">
        <f>'[6]price list MAN'!C1993</f>
        <v>0</v>
      </c>
      <c r="D1993" s="16" t="str">
        <f>IFERROR(VLOOKUP(C1993&amp;"",'[7]Retail Price List'!$A$3:$B$103,2,FALSE),"Special Order")</f>
        <v>Special Order</v>
      </c>
      <c r="E1993" s="494">
        <f>'[6]price list MAN'!E1993</f>
        <v>0</v>
      </c>
      <c r="F1993" s="11">
        <f>'[6]price list MAN'!F1993</f>
        <v>0</v>
      </c>
      <c r="G1993" s="32">
        <f>'[6]price list MAN'!G1993</f>
        <v>0</v>
      </c>
      <c r="H1993" s="26">
        <f>'[6]price list MAN'!H1993</f>
        <v>0</v>
      </c>
      <c r="I1993" s="51" t="str">
        <f t="shared" si="155"/>
        <v/>
      </c>
      <c r="J1993" s="177" t="e">
        <f>'[6]price list MAN'!J1993</f>
        <v>#N/A</v>
      </c>
      <c r="K1993" s="177" t="e">
        <f>'[6]price list MAN'!P1993</f>
        <v>#N/A</v>
      </c>
      <c r="L1993" s="177" t="e">
        <f>'[6]price list MAN'!R1993</f>
        <v>#N/A</v>
      </c>
      <c r="M1993" s="174" t="e">
        <f>'[6]price list MAN'!S1993</f>
        <v>#N/A</v>
      </c>
      <c r="N1993" s="174" t="e">
        <f>'[6]price list MAN'!Y1993</f>
        <v>#N/A</v>
      </c>
      <c r="O1993" s="174" t="e">
        <f>'[6]price list MAN'!AA1993</f>
        <v>#N/A</v>
      </c>
      <c r="P1993" s="68" t="e">
        <f t="shared" si="156"/>
        <v>#N/A</v>
      </c>
      <c r="Q1993" s="62" t="e">
        <f>O1993-#REF!</f>
        <v>#N/A</v>
      </c>
      <c r="AT1993" s="425" t="str">
        <f t="shared" si="157"/>
        <v>Special Order0</v>
      </c>
      <c r="AU1993" s="64" t="str">
        <f t="shared" si="158"/>
        <v>01-1900</v>
      </c>
      <c r="BA1993" s="428" t="str">
        <f t="shared" si="159"/>
        <v/>
      </c>
    </row>
    <row r="1994" spans="2:53">
      <c r="B1994" s="36">
        <f>'[6]price list MAN'!B1994</f>
        <v>0</v>
      </c>
      <c r="C1994" s="10">
        <f>'[6]price list MAN'!C1994</f>
        <v>0</v>
      </c>
      <c r="D1994" s="16" t="str">
        <f>IFERROR(VLOOKUP(C1994&amp;"",'[7]Retail Price List'!$A$3:$B$103,2,FALSE),"Special Order")</f>
        <v>Special Order</v>
      </c>
      <c r="E1994" s="494">
        <f>'[6]price list MAN'!E1994</f>
        <v>0</v>
      </c>
      <c r="F1994" s="11">
        <f>'[6]price list MAN'!F1994</f>
        <v>0</v>
      </c>
      <c r="G1994" s="32">
        <f>'[6]price list MAN'!G1994</f>
        <v>0</v>
      </c>
      <c r="H1994" s="26">
        <f>'[6]price list MAN'!H1994</f>
        <v>0</v>
      </c>
      <c r="I1994" s="51" t="str">
        <f t="shared" si="155"/>
        <v/>
      </c>
      <c r="J1994" s="177" t="e">
        <f>'[6]price list MAN'!J1994</f>
        <v>#N/A</v>
      </c>
      <c r="K1994" s="177" t="e">
        <f>'[6]price list MAN'!P1994</f>
        <v>#N/A</v>
      </c>
      <c r="L1994" s="177" t="e">
        <f>'[6]price list MAN'!R1994</f>
        <v>#N/A</v>
      </c>
      <c r="M1994" s="174" t="e">
        <f>'[6]price list MAN'!S1994</f>
        <v>#N/A</v>
      </c>
      <c r="N1994" s="174" t="e">
        <f>'[6]price list MAN'!Y1994</f>
        <v>#N/A</v>
      </c>
      <c r="O1994" s="174" t="e">
        <f>'[6]price list MAN'!AA1994</f>
        <v>#N/A</v>
      </c>
      <c r="P1994" s="68" t="e">
        <f t="shared" si="156"/>
        <v>#N/A</v>
      </c>
      <c r="Q1994" s="62" t="e">
        <f>O1994-#REF!</f>
        <v>#N/A</v>
      </c>
      <c r="AT1994" s="425" t="str">
        <f t="shared" si="157"/>
        <v>Special Order0</v>
      </c>
      <c r="AU1994" s="64" t="str">
        <f t="shared" si="158"/>
        <v>01-1900</v>
      </c>
      <c r="BA1994" s="428" t="str">
        <f t="shared" si="159"/>
        <v/>
      </c>
    </row>
    <row r="1995" spans="2:53">
      <c r="B1995" s="36">
        <f>'[6]price list MAN'!B1995</f>
        <v>0</v>
      </c>
      <c r="C1995" s="10">
        <f>'[6]price list MAN'!C1995</f>
        <v>0</v>
      </c>
      <c r="D1995" s="16" t="str">
        <f>IFERROR(VLOOKUP(C1995&amp;"",'[7]Retail Price List'!$A$3:$B$103,2,FALSE),"Special Order")</f>
        <v>Special Order</v>
      </c>
      <c r="E1995" s="494">
        <f>'[6]price list MAN'!E1995</f>
        <v>0</v>
      </c>
      <c r="F1995" s="11">
        <f>'[6]price list MAN'!F1995</f>
        <v>0</v>
      </c>
      <c r="G1995" s="32">
        <f>'[6]price list MAN'!G1995</f>
        <v>0</v>
      </c>
      <c r="H1995" s="26">
        <f>'[6]price list MAN'!H1995</f>
        <v>0</v>
      </c>
      <c r="I1995" s="51" t="str">
        <f t="shared" si="155"/>
        <v/>
      </c>
      <c r="J1995" s="177" t="e">
        <f>'[6]price list MAN'!J1995</f>
        <v>#N/A</v>
      </c>
      <c r="K1995" s="177" t="e">
        <f>'[6]price list MAN'!P1995</f>
        <v>#N/A</v>
      </c>
      <c r="L1995" s="177" t="e">
        <f>'[6]price list MAN'!R1995</f>
        <v>#N/A</v>
      </c>
      <c r="M1995" s="174" t="e">
        <f>'[6]price list MAN'!S1995</f>
        <v>#N/A</v>
      </c>
      <c r="N1995" s="174" t="e">
        <f>'[6]price list MAN'!Y1995</f>
        <v>#N/A</v>
      </c>
      <c r="O1995" s="174" t="e">
        <f>'[6]price list MAN'!AA1995</f>
        <v>#N/A</v>
      </c>
      <c r="P1995" s="68" t="e">
        <f t="shared" si="156"/>
        <v>#N/A</v>
      </c>
      <c r="Q1995" s="62" t="e">
        <f>O1995-#REF!</f>
        <v>#N/A</v>
      </c>
      <c r="AT1995" s="425" t="str">
        <f t="shared" si="157"/>
        <v>Special Order0</v>
      </c>
      <c r="AU1995" s="64" t="str">
        <f t="shared" si="158"/>
        <v>01-1900</v>
      </c>
      <c r="BA1995" s="428" t="str">
        <f t="shared" si="159"/>
        <v/>
      </c>
    </row>
    <row r="1996" spans="2:53">
      <c r="B1996" s="36">
        <f>'[6]price list MAN'!B1996</f>
        <v>0</v>
      </c>
      <c r="C1996" s="10">
        <f>'[6]price list MAN'!C1996</f>
        <v>0</v>
      </c>
      <c r="D1996" s="16" t="str">
        <f>IFERROR(VLOOKUP(C1996&amp;"",'[7]Retail Price List'!$A$3:$B$103,2,FALSE),"Special Order")</f>
        <v>Special Order</v>
      </c>
      <c r="E1996" s="494">
        <f>'[6]price list MAN'!E1996</f>
        <v>0</v>
      </c>
      <c r="F1996" s="11">
        <f>'[6]price list MAN'!F1996</f>
        <v>0</v>
      </c>
      <c r="G1996" s="32">
        <f>'[6]price list MAN'!G1996</f>
        <v>0</v>
      </c>
      <c r="H1996" s="26">
        <f>'[6]price list MAN'!H1996</f>
        <v>0</v>
      </c>
      <c r="I1996" s="51" t="str">
        <f t="shared" si="155"/>
        <v/>
      </c>
      <c r="J1996" s="177" t="e">
        <f>'[6]price list MAN'!J1996</f>
        <v>#N/A</v>
      </c>
      <c r="K1996" s="177" t="e">
        <f>'[6]price list MAN'!P1996</f>
        <v>#N/A</v>
      </c>
      <c r="L1996" s="177" t="e">
        <f>'[6]price list MAN'!R1996</f>
        <v>#N/A</v>
      </c>
      <c r="M1996" s="174" t="e">
        <f>'[6]price list MAN'!S1996</f>
        <v>#N/A</v>
      </c>
      <c r="N1996" s="174" t="e">
        <f>'[6]price list MAN'!Y1996</f>
        <v>#N/A</v>
      </c>
      <c r="O1996" s="174" t="e">
        <f>'[6]price list MAN'!AA1996</f>
        <v>#N/A</v>
      </c>
      <c r="P1996" s="68" t="e">
        <f t="shared" si="156"/>
        <v>#N/A</v>
      </c>
      <c r="Q1996" s="62" t="e">
        <f>O1996-#REF!</f>
        <v>#N/A</v>
      </c>
      <c r="AT1996" s="425" t="str">
        <f t="shared" si="157"/>
        <v>Special Order0</v>
      </c>
      <c r="AU1996" s="64" t="str">
        <f t="shared" si="158"/>
        <v>01-1900</v>
      </c>
      <c r="BA1996" s="428" t="str">
        <f t="shared" si="159"/>
        <v/>
      </c>
    </row>
    <row r="1997" spans="2:53">
      <c r="B1997" s="36">
        <f>'[6]price list MAN'!B1997</f>
        <v>0</v>
      </c>
      <c r="C1997" s="10">
        <f>'[6]price list MAN'!C1997</f>
        <v>0</v>
      </c>
      <c r="D1997" s="16" t="str">
        <f>IFERROR(VLOOKUP(C1997&amp;"",'[7]Retail Price List'!$A$3:$B$103,2,FALSE),"Special Order")</f>
        <v>Special Order</v>
      </c>
      <c r="E1997" s="494">
        <f>'[6]price list MAN'!E1997</f>
        <v>0</v>
      </c>
      <c r="F1997" s="11">
        <f>'[6]price list MAN'!F1997</f>
        <v>0</v>
      </c>
      <c r="G1997" s="32">
        <f>'[6]price list MAN'!G1997</f>
        <v>0</v>
      </c>
      <c r="H1997" s="26">
        <f>'[6]price list MAN'!H1997</f>
        <v>0</v>
      </c>
      <c r="I1997" s="51" t="str">
        <f t="shared" si="155"/>
        <v/>
      </c>
      <c r="J1997" s="177" t="e">
        <f>'[6]price list MAN'!J1997</f>
        <v>#N/A</v>
      </c>
      <c r="K1997" s="177" t="e">
        <f>'[6]price list MAN'!P1997</f>
        <v>#N/A</v>
      </c>
      <c r="L1997" s="177" t="e">
        <f>'[6]price list MAN'!R1997</f>
        <v>#N/A</v>
      </c>
      <c r="M1997" s="174" t="e">
        <f>'[6]price list MAN'!S1997</f>
        <v>#N/A</v>
      </c>
      <c r="N1997" s="174" t="e">
        <f>'[6]price list MAN'!Y1997</f>
        <v>#N/A</v>
      </c>
      <c r="O1997" s="174" t="e">
        <f>'[6]price list MAN'!AA1997</f>
        <v>#N/A</v>
      </c>
      <c r="P1997" s="68" t="e">
        <f t="shared" si="156"/>
        <v>#N/A</v>
      </c>
      <c r="Q1997" s="62" t="e">
        <f>O1997-#REF!</f>
        <v>#N/A</v>
      </c>
      <c r="AT1997" s="425" t="str">
        <f t="shared" si="157"/>
        <v>Special Order0</v>
      </c>
      <c r="AU1997" s="64" t="str">
        <f t="shared" si="158"/>
        <v>01-1900</v>
      </c>
      <c r="BA1997" s="428" t="str">
        <f t="shared" si="159"/>
        <v/>
      </c>
    </row>
    <row r="1998" spans="2:53">
      <c r="B1998" s="36">
        <f>'[6]price list MAN'!B1998</f>
        <v>0</v>
      </c>
      <c r="C1998" s="10">
        <f>'[6]price list MAN'!C1998</f>
        <v>0</v>
      </c>
      <c r="D1998" s="16" t="str">
        <f>IFERROR(VLOOKUP(C1998&amp;"",'[7]Retail Price List'!$A$3:$B$103,2,FALSE),"Special Order")</f>
        <v>Special Order</v>
      </c>
      <c r="E1998" s="494">
        <f>'[6]price list MAN'!E1998</f>
        <v>0</v>
      </c>
      <c r="F1998" s="11">
        <f>'[6]price list MAN'!F1998</f>
        <v>0</v>
      </c>
      <c r="G1998" s="32">
        <f>'[6]price list MAN'!G1998</f>
        <v>0</v>
      </c>
      <c r="H1998" s="26">
        <f>'[6]price list MAN'!H1998</f>
        <v>0</v>
      </c>
      <c r="I1998" s="51" t="str">
        <f t="shared" si="155"/>
        <v/>
      </c>
      <c r="J1998" s="177" t="e">
        <f>'[6]price list MAN'!J1998</f>
        <v>#N/A</v>
      </c>
      <c r="K1998" s="177" t="e">
        <f>'[6]price list MAN'!P1998</f>
        <v>#N/A</v>
      </c>
      <c r="L1998" s="177" t="e">
        <f>'[6]price list MAN'!R1998</f>
        <v>#N/A</v>
      </c>
      <c r="M1998" s="174" t="e">
        <f>'[6]price list MAN'!S1998</f>
        <v>#N/A</v>
      </c>
      <c r="N1998" s="174" t="e">
        <f>'[6]price list MAN'!Y1998</f>
        <v>#N/A</v>
      </c>
      <c r="O1998" s="174" t="e">
        <f>'[6]price list MAN'!AA1998</f>
        <v>#N/A</v>
      </c>
      <c r="P1998" s="68" t="e">
        <f t="shared" si="156"/>
        <v>#N/A</v>
      </c>
      <c r="Q1998" s="62" t="e">
        <f>O1998-#REF!</f>
        <v>#N/A</v>
      </c>
      <c r="AT1998" s="425" t="str">
        <f t="shared" si="157"/>
        <v>Special Order0</v>
      </c>
      <c r="AU1998" s="64" t="str">
        <f t="shared" si="158"/>
        <v>01-1900</v>
      </c>
      <c r="BA1998" s="428" t="str">
        <f t="shared" si="159"/>
        <v/>
      </c>
    </row>
    <row r="1999" spans="2:53">
      <c r="B1999" s="36">
        <f>'[6]price list MAN'!B1999</f>
        <v>0</v>
      </c>
      <c r="C1999" s="10">
        <f>'[6]price list MAN'!C1999</f>
        <v>0</v>
      </c>
      <c r="D1999" s="16" t="str">
        <f>IFERROR(VLOOKUP(C1999&amp;"",'[7]Retail Price List'!$A$3:$B$103,2,FALSE),"Special Order")</f>
        <v>Special Order</v>
      </c>
      <c r="E1999" s="494">
        <f>'[6]price list MAN'!E1999</f>
        <v>0</v>
      </c>
      <c r="F1999" s="11">
        <f>'[6]price list MAN'!F1999</f>
        <v>0</v>
      </c>
      <c r="G1999" s="32">
        <f>'[6]price list MAN'!G1999</f>
        <v>0</v>
      </c>
      <c r="H1999" s="26">
        <f>'[6]price list MAN'!H1999</f>
        <v>0</v>
      </c>
      <c r="I1999" s="51" t="str">
        <f t="shared" si="155"/>
        <v/>
      </c>
      <c r="J1999" s="177" t="b">
        <f>'[6]price list MAN'!J1999</f>
        <v>0</v>
      </c>
      <c r="K1999" s="177" t="b">
        <f>'[6]price list MAN'!P1999</f>
        <v>0</v>
      </c>
      <c r="L1999" s="177" t="b">
        <f>'[6]price list MAN'!R1999</f>
        <v>0</v>
      </c>
      <c r="M1999" s="174" t="b">
        <f>'[6]price list MAN'!S1999</f>
        <v>0</v>
      </c>
      <c r="N1999" s="174" t="b">
        <f>'[6]price list MAN'!Y1999</f>
        <v>0</v>
      </c>
      <c r="O1999" s="174" t="b">
        <f>'[6]price list MAN'!AA1999</f>
        <v>0</v>
      </c>
      <c r="P1999" s="68" t="e">
        <f t="shared" si="156"/>
        <v>#DIV/0!</v>
      </c>
      <c r="Q1999" s="62" t="e">
        <f>O1999-#REF!</f>
        <v>#REF!</v>
      </c>
      <c r="AT1999" s="425" t="str">
        <f t="shared" si="157"/>
        <v>Special Order0</v>
      </c>
      <c r="AU1999" s="64" t="str">
        <f t="shared" si="158"/>
        <v>01-1900</v>
      </c>
      <c r="BA1999" s="428" t="str">
        <f t="shared" si="159"/>
        <v/>
      </c>
    </row>
    <row r="2000" spans="2:53">
      <c r="B2000" s="36">
        <f>'[6]price list MAN'!B2000</f>
        <v>0</v>
      </c>
      <c r="C2000" s="10">
        <f>'[6]price list MAN'!C2000</f>
        <v>0</v>
      </c>
      <c r="D2000" s="16" t="str">
        <f>IFERROR(VLOOKUP(C2000&amp;"",'[7]Retail Price List'!$A$3:$B$103,2,FALSE),"Special Order")</f>
        <v>Special Order</v>
      </c>
      <c r="E2000" s="494">
        <f>'[6]price list MAN'!E2000</f>
        <v>0</v>
      </c>
      <c r="F2000" s="11">
        <f>'[6]price list MAN'!F2000</f>
        <v>0</v>
      </c>
      <c r="G2000" s="32">
        <f>'[6]price list MAN'!G2000</f>
        <v>0</v>
      </c>
      <c r="H2000" s="26">
        <f>'[6]price list MAN'!H2000</f>
        <v>0</v>
      </c>
      <c r="I2000" s="51" t="str">
        <f t="shared" si="155"/>
        <v/>
      </c>
      <c r="J2000" s="177" t="b">
        <f>'[6]price list MAN'!J2000</f>
        <v>0</v>
      </c>
      <c r="K2000" s="177" t="b">
        <f>'[6]price list MAN'!P2000</f>
        <v>0</v>
      </c>
      <c r="L2000" s="177" t="b">
        <f>'[6]price list MAN'!R2000</f>
        <v>0</v>
      </c>
      <c r="M2000" s="174" t="b">
        <f>'[6]price list MAN'!S2000</f>
        <v>0</v>
      </c>
      <c r="N2000" s="174" t="b">
        <f>'[6]price list MAN'!Y2000</f>
        <v>0</v>
      </c>
      <c r="O2000" s="174" t="b">
        <f>'[6]price list MAN'!AA2000</f>
        <v>0</v>
      </c>
      <c r="P2000" s="68" t="e">
        <f t="shared" si="156"/>
        <v>#DIV/0!</v>
      </c>
      <c r="Q2000" s="62" t="e">
        <f>O2000-#REF!</f>
        <v>#REF!</v>
      </c>
      <c r="AT2000" s="425" t="str">
        <f t="shared" si="157"/>
        <v>Special Order0</v>
      </c>
      <c r="AU2000" s="64" t="str">
        <f t="shared" si="158"/>
        <v>01-1900</v>
      </c>
      <c r="BA2000" s="428" t="str">
        <f t="shared" si="159"/>
        <v/>
      </c>
    </row>
    <row r="2001" spans="2:53">
      <c r="B2001" s="36">
        <f>'[6]price list MAN'!B2001</f>
        <v>0</v>
      </c>
      <c r="C2001" s="10">
        <f>'[6]price list MAN'!C2001</f>
        <v>0</v>
      </c>
      <c r="D2001" s="16" t="str">
        <f>IFERROR(VLOOKUP(C2001&amp;"",'[7]Retail Price List'!$A$3:$B$103,2,FALSE),"Special Order")</f>
        <v>Special Order</v>
      </c>
      <c r="E2001" s="494">
        <f>'[6]price list MAN'!E2001</f>
        <v>0</v>
      </c>
      <c r="F2001" s="11">
        <f>'[6]price list MAN'!F2001</f>
        <v>0</v>
      </c>
      <c r="G2001" s="32">
        <f>'[6]price list MAN'!G2001</f>
        <v>0</v>
      </c>
      <c r="H2001" s="26">
        <f>'[6]price list MAN'!H2001</f>
        <v>0</v>
      </c>
      <c r="I2001" s="51" t="str">
        <f t="shared" si="155"/>
        <v/>
      </c>
      <c r="J2001" s="177">
        <f>'[6]price list MAN'!J2001</f>
        <v>0</v>
      </c>
      <c r="K2001" s="177">
        <f>'[6]price list MAN'!P2001</f>
        <v>0</v>
      </c>
      <c r="L2001" s="177">
        <f>'[6]price list MAN'!R2001</f>
        <v>0</v>
      </c>
      <c r="M2001" s="174">
        <f>'[6]price list MAN'!S2001</f>
        <v>0</v>
      </c>
      <c r="N2001" s="174">
        <f>'[6]price list MAN'!Y2001</f>
        <v>0</v>
      </c>
      <c r="O2001" s="174">
        <f>'[6]price list MAN'!AA2001</f>
        <v>0</v>
      </c>
      <c r="P2001" s="68" t="e">
        <f t="shared" si="156"/>
        <v>#DIV/0!</v>
      </c>
      <c r="Q2001" s="62" t="e">
        <f>O2001-#REF!</f>
        <v>#REF!</v>
      </c>
      <c r="AT2001" s="425" t="str">
        <f t="shared" si="157"/>
        <v>Special Order0</v>
      </c>
      <c r="AU2001" s="64" t="str">
        <f t="shared" si="158"/>
        <v>01-1900</v>
      </c>
      <c r="BA2001" s="428" t="str">
        <f t="shared" si="159"/>
        <v/>
      </c>
    </row>
    <row r="2002" spans="2:53">
      <c r="B2002" s="36">
        <f>'[6]price list MAN'!B2002</f>
        <v>0</v>
      </c>
      <c r="C2002" s="10">
        <f>'[6]price list MAN'!C2002</f>
        <v>0</v>
      </c>
      <c r="D2002" s="16" t="str">
        <f>IFERROR(VLOOKUP(C2002&amp;"",'[7]Retail Price List'!$A$3:$B$103,2,FALSE),"Special Order")</f>
        <v>Special Order</v>
      </c>
      <c r="E2002" s="494">
        <f>'[6]price list MAN'!E2002</f>
        <v>0</v>
      </c>
      <c r="F2002" s="11">
        <f>'[6]price list MAN'!F2002</f>
        <v>0</v>
      </c>
      <c r="G2002" s="32">
        <f>'[6]price list MAN'!G2002</f>
        <v>0</v>
      </c>
      <c r="H2002" s="26">
        <f>'[6]price list MAN'!H2002</f>
        <v>0</v>
      </c>
      <c r="I2002" s="51" t="str">
        <f t="shared" si="155"/>
        <v/>
      </c>
      <c r="J2002" s="177">
        <f>'[6]price list MAN'!J2002</f>
        <v>0</v>
      </c>
      <c r="K2002" s="177">
        <f>'[6]price list MAN'!P2002</f>
        <v>0</v>
      </c>
      <c r="L2002" s="177">
        <f>'[6]price list MAN'!R2002</f>
        <v>0</v>
      </c>
      <c r="M2002" s="174">
        <f>'[6]price list MAN'!S2002</f>
        <v>0</v>
      </c>
      <c r="N2002" s="174">
        <f>'[6]price list MAN'!Y2002</f>
        <v>0</v>
      </c>
      <c r="O2002" s="174">
        <f>'[6]price list MAN'!AA2002</f>
        <v>0</v>
      </c>
      <c r="P2002" s="68" t="e">
        <f t="shared" si="156"/>
        <v>#DIV/0!</v>
      </c>
      <c r="Q2002" s="62" t="e">
        <f>O2002-#REF!</f>
        <v>#REF!</v>
      </c>
      <c r="AT2002" s="425" t="str">
        <f t="shared" si="157"/>
        <v>Special Order0</v>
      </c>
      <c r="AU2002" s="64" t="str">
        <f t="shared" si="158"/>
        <v>01-1900</v>
      </c>
      <c r="BA2002" s="428" t="str">
        <f t="shared" si="159"/>
        <v/>
      </c>
    </row>
  </sheetData>
  <sheetProtection algorithmName="SHA-512" hashValue="aD+0FKBaaYcGtkV6v0+4n/ac1cy1MRKoo/yANKrqyjZPfwSWEWV7odl5HbLf+t4CFlnSOYPsjWyFfpq2jav92w==" saltValue="jilV6q2klHtwgJ107sJBeQ==" spinCount="100000" sheet="1" objects="1" scenarios="1"/>
  <mergeCells count="2">
    <mergeCell ref="J3:L3"/>
    <mergeCell ref="M3:O3"/>
  </mergeCells>
  <conditionalFormatting sqref="B5:B2002">
    <cfRule type="expression" dxfId="47" priority="98" stopIfTrue="1">
      <formula>IF(COUNTIF(#REF!,B5)&gt;1,1,0)</formula>
    </cfRule>
  </conditionalFormatting>
  <conditionalFormatting sqref="C5:C2002">
    <cfRule type="expression" dxfId="46" priority="99" stopIfTrue="1">
      <formula>IF(C5="",0,IF(COUNTIF(#REF!,C5)=0,1,0))</formula>
    </cfRule>
  </conditionalFormatting>
  <conditionalFormatting sqref="B5:B2002">
    <cfRule type="expression" dxfId="45" priority="102" stopIfTrue="1">
      <formula>IF(COUNTIF($B$5:$B$28,B5)&gt;1,1,0)</formula>
    </cfRule>
  </conditionalFormatting>
  <conditionalFormatting sqref="E5:E2002">
    <cfRule type="expression" dxfId="44" priority="103">
      <formula>IF(#REF!="",1,0)</formula>
    </cfRule>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tabColor theme="7" tint="0.79998168889431442"/>
    <pageSetUpPr fitToPage="1"/>
  </sheetPr>
  <dimension ref="B1:ABC102"/>
  <sheetViews>
    <sheetView showGridLines="0" tabSelected="1" topLeftCell="G37" zoomScaleNormal="100" workbookViewId="0">
      <selection activeCell="G4" sqref="G4"/>
    </sheetView>
  </sheetViews>
  <sheetFormatPr defaultColWidth="9.15625" defaultRowHeight="14.4"/>
  <cols>
    <col min="1" max="1" width="2.15625" style="55" customWidth="1"/>
    <col min="2" max="2" width="33.68359375" style="55" customWidth="1"/>
    <col min="3" max="3" width="15.15625" style="55" customWidth="1"/>
    <col min="4" max="4" width="17.41796875" style="55" customWidth="1"/>
    <col min="5" max="5" width="21.15625" style="55" customWidth="1"/>
    <col min="6" max="6" width="21.83984375" style="55" customWidth="1"/>
    <col min="7" max="7" width="32.83984375" style="55" bestFit="1" customWidth="1"/>
    <col min="8" max="8" width="5" style="55" customWidth="1"/>
    <col min="9" max="9" width="38.83984375" style="55" customWidth="1"/>
    <col min="10" max="10" width="30.26171875" style="55" customWidth="1"/>
    <col min="11" max="11" width="13.15625" style="55" customWidth="1"/>
    <col min="12" max="12" width="22.68359375" style="55" customWidth="1"/>
    <col min="13" max="13" width="28.83984375" style="56" customWidth="1"/>
    <col min="14" max="14" width="22.26171875" style="165" bestFit="1" customWidth="1"/>
    <col min="15" max="15" width="49.41796875" style="165" customWidth="1"/>
    <col min="16" max="16" width="25.41796875" style="165" customWidth="1"/>
    <col min="17" max="17" width="24.83984375" style="165" customWidth="1"/>
    <col min="18" max="18" width="17.578125" style="165" customWidth="1"/>
    <col min="19" max="19" width="12.26171875" style="165" bestFit="1" customWidth="1"/>
    <col min="20" max="20" width="17.41796875" style="1083" customWidth="1"/>
    <col min="21" max="21" width="21.83984375" style="1083" customWidth="1"/>
    <col min="22" max="23" width="24.578125" style="1207" customWidth="1"/>
    <col min="24" max="24" width="24.578125" style="1207" hidden="1" customWidth="1"/>
    <col min="25" max="25" width="27.26171875" style="1207" hidden="1" customWidth="1"/>
    <col min="26" max="26" width="24.578125" style="1207" hidden="1" customWidth="1"/>
    <col min="27" max="27" width="31.68359375" style="165" bestFit="1" customWidth="1"/>
    <col min="28" max="28" width="22.15625" style="165" customWidth="1"/>
    <col min="29" max="29" width="25.83984375" style="165" bestFit="1" customWidth="1"/>
    <col min="30" max="30" width="25.26171875" style="165" bestFit="1" customWidth="1"/>
    <col min="31" max="31" width="20" style="165" bestFit="1" customWidth="1"/>
    <col min="32" max="32" width="16.15625" style="165" bestFit="1" customWidth="1"/>
    <col min="33" max="33" width="20" style="165" bestFit="1" customWidth="1"/>
    <col min="34" max="34" width="17.15625" style="165" bestFit="1" customWidth="1"/>
    <col min="35" max="39" width="15.15625" style="165" bestFit="1" customWidth="1"/>
    <col min="40" max="40" width="31" style="165" bestFit="1" customWidth="1"/>
    <col min="41" max="41" width="31.26171875" style="165" bestFit="1" customWidth="1"/>
    <col min="42" max="42" width="22.83984375" style="165" bestFit="1" customWidth="1"/>
    <col min="43" max="43" width="29.41796875" style="165" bestFit="1" customWidth="1"/>
    <col min="44" max="44" width="20.26171875" style="165" bestFit="1" customWidth="1"/>
    <col min="45" max="45" width="6.83984375" style="165" bestFit="1" customWidth="1"/>
    <col min="46" max="46" width="13.68359375" style="165" bestFit="1" customWidth="1"/>
    <col min="47" max="55" width="9.15625" style="165"/>
    <col min="56" max="56" width="30.26171875" style="165" bestFit="1" customWidth="1"/>
    <col min="57" max="57" width="10.68359375" style="165" customWidth="1"/>
    <col min="58" max="58" width="16.41796875" style="165" bestFit="1" customWidth="1"/>
    <col min="59" max="59" width="9.15625" style="165"/>
    <col min="60" max="60" width="14.26171875" style="165" customWidth="1"/>
    <col min="61" max="61" width="33.26171875" style="1122" customWidth="1"/>
    <col min="62" max="62" width="32.83984375" style="165" bestFit="1" customWidth="1"/>
    <col min="63" max="63" width="30.68359375" style="165" customWidth="1"/>
    <col min="64" max="64" width="18.83984375" style="1130" bestFit="1" customWidth="1"/>
    <col min="65" max="65" width="27.68359375" style="1130" customWidth="1"/>
    <col min="66" max="66" width="12.68359375" style="1130" customWidth="1"/>
    <col min="67" max="67" width="12.578125" style="1130" customWidth="1"/>
    <col min="68" max="68" width="29" style="1130" bestFit="1" customWidth="1"/>
    <col min="69" max="69" width="36.26171875" style="1130" bestFit="1" customWidth="1"/>
    <col min="70" max="70" width="5.83984375" style="1130" customWidth="1"/>
    <col min="71" max="71" width="18.83984375" style="19" bestFit="1" customWidth="1"/>
    <col min="72" max="72" width="32.26171875" style="19" bestFit="1" customWidth="1"/>
    <col min="73" max="73" width="12.83984375" style="19" customWidth="1"/>
    <col min="74" max="74" width="11.41796875" style="19" bestFit="1" customWidth="1"/>
    <col min="75" max="75" width="11.41796875" style="19" customWidth="1"/>
    <col min="76" max="76" width="3.15625" style="19" customWidth="1"/>
    <col min="77" max="77" width="15.15625" style="19" customWidth="1"/>
    <col min="78" max="78" width="3.15625" style="19" customWidth="1"/>
    <col min="79" max="79" width="11.578125" style="19" customWidth="1"/>
    <col min="80" max="80" width="14.15625" style="19" customWidth="1"/>
    <col min="81" max="81" width="12.41796875" style="19" customWidth="1"/>
    <col min="82" max="82" width="5.83984375" style="19" customWidth="1"/>
    <col min="83" max="83" width="19.68359375" style="19" customWidth="1"/>
    <col min="84" max="84" width="1.83984375" style="19" customWidth="1"/>
    <col min="85" max="85" width="11.578125" style="19" bestFit="1" customWidth="1"/>
    <col min="86" max="86" width="11.26171875" style="19" customWidth="1"/>
    <col min="87" max="87" width="2.15625" style="19" customWidth="1"/>
    <col min="88" max="88" width="11.578125" style="19" bestFit="1" customWidth="1"/>
    <col min="89" max="89" width="11.68359375" style="19" customWidth="1"/>
    <col min="90" max="90" width="5.68359375" style="19" customWidth="1"/>
    <col min="91" max="91" width="18" style="19" customWidth="1"/>
    <col min="92" max="92" width="17.68359375" style="19" customWidth="1"/>
    <col min="93" max="94" width="9.15625" style="19"/>
    <col min="95" max="95" width="12.578125" style="19" customWidth="1"/>
    <col min="96" max="96" width="13.578125" style="19" customWidth="1"/>
    <col min="97" max="97" width="11.578125" style="19" bestFit="1" customWidth="1"/>
    <col min="98" max="98" width="13" style="19" bestFit="1" customWidth="1"/>
    <col min="99" max="99" width="5.15625" style="19" customWidth="1"/>
    <col min="100" max="100" width="11.83984375" style="19" customWidth="1"/>
    <col min="101" max="101" width="13.41796875" style="19" customWidth="1"/>
    <col min="102" max="103" width="12.578125" style="19" customWidth="1"/>
    <col min="104" max="104" width="5" style="165" customWidth="1"/>
    <col min="105" max="105" width="9.15625" style="165"/>
    <col min="106" max="106" width="12.41796875" style="165" customWidth="1"/>
    <col min="107" max="107" width="11.41796875" style="165" bestFit="1" customWidth="1"/>
    <col min="108" max="108" width="11.68359375" style="165" customWidth="1"/>
    <col min="109" max="109" width="11.41796875" style="165" bestFit="1" customWidth="1"/>
    <col min="110" max="110" width="9.15625" style="165"/>
    <col min="111" max="111" width="5.15625" style="165" customWidth="1"/>
    <col min="112" max="112" width="33" style="165" customWidth="1"/>
    <col min="113" max="113" width="13.41796875" style="165" bestFit="1" customWidth="1"/>
    <col min="114" max="115" width="9.15625" style="165"/>
    <col min="116" max="116" width="17.68359375" style="165" bestFit="1" customWidth="1"/>
    <col min="117" max="117" width="11.83984375" style="165" bestFit="1" customWidth="1"/>
    <col min="118" max="731" width="9.15625" style="165"/>
    <col min="732" max="16384" width="9.15625" style="55"/>
  </cols>
  <sheetData>
    <row r="1" spans="2:117" ht="12" customHeight="1" thickBot="1">
      <c r="B1" s="96"/>
      <c r="C1" s="81"/>
      <c r="D1" s="81"/>
      <c r="E1" s="81"/>
      <c r="F1" s="81"/>
      <c r="G1" s="96"/>
      <c r="BI1" s="165"/>
      <c r="BK1" s="1118"/>
      <c r="BL1" s="1118"/>
      <c r="BM1" s="1118"/>
      <c r="BN1" s="1118"/>
      <c r="BO1" s="1118"/>
      <c r="BP1" s="1118"/>
      <c r="BQ1" s="1118"/>
      <c r="BR1" s="1118"/>
      <c r="BY1" s="1215"/>
      <c r="BZ1" s="1215"/>
      <c r="CA1" s="1215"/>
      <c r="CB1" s="1204"/>
      <c r="CG1" s="1215"/>
      <c r="CH1" s="1215"/>
      <c r="CI1" s="1215"/>
      <c r="CJ1" s="1215"/>
    </row>
    <row r="2" spans="2:117" ht="12" customHeight="1">
      <c r="B2" s="487" t="s">
        <v>311</v>
      </c>
      <c r="C2" s="488">
        <f>'Data Sheet'!D7</f>
        <v>43136</v>
      </c>
      <c r="D2" s="488"/>
      <c r="E2" s="81"/>
      <c r="F2" s="81"/>
      <c r="G2" s="125"/>
      <c r="BI2" s="165"/>
      <c r="BK2" s="1119"/>
      <c r="BL2" s="1119"/>
      <c r="BM2" s="1119"/>
      <c r="BN2" s="1119"/>
      <c r="BO2" s="1119"/>
      <c r="BP2" s="1119"/>
      <c r="BQ2" s="1119"/>
      <c r="BR2" s="1119"/>
      <c r="BY2" s="1095"/>
      <c r="BZ2" s="1095"/>
      <c r="CD2" s="1096"/>
      <c r="CG2" s="1095"/>
      <c r="CH2" s="1096"/>
      <c r="CI2" s="1095"/>
      <c r="CJ2" s="1096"/>
    </row>
    <row r="3" spans="2:117" ht="15.6">
      <c r="B3" s="460" t="s">
        <v>312</v>
      </c>
      <c r="C3" s="1225" t="s">
        <v>1143</v>
      </c>
      <c r="D3" s="1226"/>
      <c r="E3" s="160"/>
      <c r="F3" s="401" t="s">
        <v>688</v>
      </c>
      <c r="G3" s="461" t="s">
        <v>806</v>
      </c>
      <c r="H3" s="402" t="s">
        <v>295</v>
      </c>
      <c r="L3" s="58"/>
      <c r="M3" s="57"/>
      <c r="BD3" s="1222" t="s">
        <v>15</v>
      </c>
      <c r="BE3" s="1222"/>
      <c r="BF3" s="1222"/>
      <c r="BH3" s="1223" t="s">
        <v>392</v>
      </c>
      <c r="BI3" s="1223"/>
      <c r="BJ3" s="1223"/>
      <c r="BK3" s="1223"/>
      <c r="BL3" s="1223"/>
      <c r="BM3" s="1223"/>
      <c r="BN3" s="1223"/>
      <c r="BO3" s="1223"/>
      <c r="BP3" s="1208"/>
      <c r="BQ3" s="1208"/>
      <c r="BR3" s="1208"/>
      <c r="BS3" s="19" t="s">
        <v>393</v>
      </c>
      <c r="BT3" s="19" t="s">
        <v>394</v>
      </c>
      <c r="BV3" s="1230" t="s">
        <v>67</v>
      </c>
      <c r="BW3" s="1230"/>
      <c r="BX3" s="1230"/>
      <c r="BY3" s="1230"/>
      <c r="BZ3" s="1230"/>
      <c r="CA3" s="1230"/>
      <c r="CB3" s="1230"/>
      <c r="CC3" s="1230"/>
      <c r="CD3" s="1096"/>
      <c r="CE3" s="1230" t="s">
        <v>48</v>
      </c>
      <c r="CF3" s="1230"/>
      <c r="CG3" s="1230"/>
      <c r="CH3" s="1230"/>
      <c r="CI3" s="1230"/>
      <c r="CJ3" s="1230"/>
      <c r="CK3" s="1230"/>
      <c r="CM3" s="1230" t="s">
        <v>49</v>
      </c>
      <c r="CN3" s="1230"/>
      <c r="CO3" s="1230"/>
      <c r="CP3" s="1230"/>
      <c r="CQ3" s="1230"/>
      <c r="CR3" s="1230"/>
      <c r="CS3" s="1230"/>
      <c r="CT3" s="1230"/>
      <c r="CU3" s="1230"/>
      <c r="CV3" s="1230"/>
      <c r="CW3" s="1230"/>
      <c r="CX3" s="1230"/>
      <c r="CY3" s="1230"/>
      <c r="DC3" s="1215" t="s">
        <v>66</v>
      </c>
      <c r="DD3" s="1215"/>
      <c r="DE3" s="1215"/>
      <c r="DH3" s="1205" t="s">
        <v>1</v>
      </c>
      <c r="DI3" s="1120" t="s">
        <v>522</v>
      </c>
      <c r="DL3" s="19" t="s">
        <v>950</v>
      </c>
      <c r="DM3" s="19" t="s">
        <v>951</v>
      </c>
    </row>
    <row r="4" spans="2:117" ht="16.5" customHeight="1">
      <c r="B4" s="460" t="s">
        <v>427</v>
      </c>
      <c r="C4" s="1225" t="s">
        <v>929</v>
      </c>
      <c r="D4" s="1227"/>
      <c r="E4" s="350" t="s">
        <v>295</v>
      </c>
      <c r="F4" s="401" t="s">
        <v>690</v>
      </c>
      <c r="G4" s="462" t="s">
        <v>804</v>
      </c>
      <c r="H4" s="402" t="s">
        <v>295</v>
      </c>
      <c r="T4" s="1133"/>
      <c r="U4" s="1133"/>
      <c r="X4" s="1133"/>
      <c r="BD4" s="165" t="s">
        <v>396</v>
      </c>
      <c r="BE4" s="165" t="s">
        <v>395</v>
      </c>
      <c r="BF4" s="1084" t="s">
        <v>309</v>
      </c>
      <c r="BH4" s="1207" t="s">
        <v>120</v>
      </c>
      <c r="BI4" s="1121" t="s">
        <v>323</v>
      </c>
      <c r="BJ4" s="1121" t="s">
        <v>215</v>
      </c>
      <c r="BK4" s="1121" t="s">
        <v>119</v>
      </c>
      <c r="BL4" s="1121" t="s">
        <v>120</v>
      </c>
      <c r="BM4" s="1121" t="s">
        <v>30</v>
      </c>
      <c r="BN4" s="1121" t="s">
        <v>121</v>
      </c>
      <c r="BO4" s="1121" t="s">
        <v>195</v>
      </c>
      <c r="BP4" s="1121" t="s">
        <v>614</v>
      </c>
      <c r="BQ4" s="1121" t="s">
        <v>616</v>
      </c>
      <c r="BR4" s="1121"/>
      <c r="BS4" s="19" t="s">
        <v>408</v>
      </c>
      <c r="BT4" s="19" t="s">
        <v>50</v>
      </c>
      <c r="BU4" s="1204"/>
      <c r="BV4" s="19" t="s">
        <v>68</v>
      </c>
      <c r="BW4" s="19" t="s">
        <v>70</v>
      </c>
      <c r="BY4" s="19" t="s">
        <v>71</v>
      </c>
      <c r="CA4" s="19" t="s">
        <v>74</v>
      </c>
      <c r="CB4" s="19" t="s">
        <v>68</v>
      </c>
      <c r="CC4" s="19" t="s">
        <v>70</v>
      </c>
      <c r="CD4" s="1096"/>
      <c r="CE4" s="19" t="s">
        <v>54</v>
      </c>
      <c r="CG4" s="19" t="str">
        <f>IF($F$53="None","",CJ4)</f>
        <v/>
      </c>
      <c r="CH4" s="19" t="str">
        <f>IF($F$53="None","",CK4)</f>
        <v/>
      </c>
      <c r="CJ4" s="19" t="s">
        <v>72</v>
      </c>
      <c r="CK4" s="19" t="s">
        <v>112</v>
      </c>
      <c r="DA4" s="19"/>
      <c r="DH4" s="1122" t="s">
        <v>7</v>
      </c>
      <c r="DI4" s="1123" t="s">
        <v>519</v>
      </c>
      <c r="DL4" s="19" t="s">
        <v>408</v>
      </c>
      <c r="DM4" s="165" t="s">
        <v>952</v>
      </c>
    </row>
    <row r="5" spans="2:117" ht="12.75" customHeight="1" thickBot="1">
      <c r="B5" s="463" t="s">
        <v>313</v>
      </c>
      <c r="C5" s="1228" t="s">
        <v>408</v>
      </c>
      <c r="D5" s="1229"/>
      <c r="E5" s="464" t="s">
        <v>295</v>
      </c>
      <c r="F5" s="87"/>
      <c r="G5" s="126"/>
      <c r="AB5" s="1083"/>
      <c r="AC5" s="1224"/>
      <c r="AD5" s="1224"/>
      <c r="AE5" s="1224"/>
      <c r="AF5" s="1224"/>
      <c r="AG5" s="1224"/>
      <c r="AH5" s="1224"/>
      <c r="AI5" s="1224"/>
      <c r="AJ5" s="1224"/>
      <c r="AK5" s="1224"/>
      <c r="AL5" s="1224"/>
      <c r="BD5" s="165" t="s">
        <v>289</v>
      </c>
      <c r="BE5" s="1085">
        <f t="shared" ref="BE5:BE34" si="0">IF(C9&gt;0,1,0)</f>
        <v>1</v>
      </c>
      <c r="BF5" s="1083">
        <f>IFERROR(IF($M$9="Standard Warranty",VLOOKUP(C9,'price list MAN'!$B$5:$L$2002,11,FALSE),VLOOKUP(C9,'price list MAN'!$B$5:$O$2002,14,FALSE)),"")</f>
        <v>1625000</v>
      </c>
      <c r="BH5" s="165" t="s">
        <v>357</v>
      </c>
      <c r="BI5" s="1124" t="s">
        <v>220</v>
      </c>
      <c r="BJ5" s="1124" t="s">
        <v>220</v>
      </c>
      <c r="BK5" s="1124" t="s">
        <v>124</v>
      </c>
      <c r="BL5" s="1124" t="s">
        <v>161</v>
      </c>
      <c r="BM5" s="1125" t="s">
        <v>883</v>
      </c>
      <c r="BN5" s="1125" t="s">
        <v>315</v>
      </c>
      <c r="BO5" s="1125" t="s">
        <v>196</v>
      </c>
      <c r="BP5" s="1125" t="s">
        <v>747</v>
      </c>
      <c r="BQ5" s="1125" t="s">
        <v>692</v>
      </c>
      <c r="BR5" s="1125"/>
      <c r="BS5" s="19" t="s">
        <v>409</v>
      </c>
      <c r="BT5" s="19" t="s">
        <v>55</v>
      </c>
      <c r="BU5" s="1204"/>
      <c r="BV5" s="1122" t="str">
        <f>IF($D$46="None","",CB5)</f>
        <v/>
      </c>
      <c r="BW5" s="1122" t="str">
        <f>IF($D$46="None","",CC5)</f>
        <v/>
      </c>
      <c r="BY5" s="19" t="str">
        <f>IF($BY$8="None","",CA4)</f>
        <v>Trade-Back</v>
      </c>
      <c r="CA5" s="19" t="s">
        <v>400</v>
      </c>
      <c r="CB5" s="19" t="s">
        <v>72</v>
      </c>
      <c r="CC5" s="19" t="s">
        <v>73</v>
      </c>
      <c r="CD5" s="1204"/>
      <c r="CE5" s="19" t="s">
        <v>32</v>
      </c>
      <c r="CG5" s="19" t="str">
        <f t="shared" ref="CG5:CG7" si="1">IF($F$53="None","",CJ5)</f>
        <v/>
      </c>
      <c r="CH5" s="19" t="str">
        <f t="shared" ref="CH5:CH10" si="2">IF($F$53="None","",CK5)</f>
        <v/>
      </c>
      <c r="CJ5" s="19" t="s">
        <v>77</v>
      </c>
      <c r="CK5" s="19" t="s">
        <v>198</v>
      </c>
      <c r="CM5" s="19" t="s">
        <v>399</v>
      </c>
      <c r="CQ5" s="1215" t="s">
        <v>40</v>
      </c>
      <c r="CR5" s="1215"/>
      <c r="CS5" s="1215"/>
      <c r="CT5" s="1215"/>
      <c r="CV5" s="1215" t="s">
        <v>39</v>
      </c>
      <c r="CW5" s="1215"/>
      <c r="CX5" s="1215"/>
      <c r="CY5" s="1215"/>
      <c r="DA5" s="1204" t="str">
        <f>F75</f>
        <v>Yes</v>
      </c>
      <c r="DB5" s="1204">
        <f>IF(DA5="No",0,1)</f>
        <v>1</v>
      </c>
      <c r="DH5" s="1122" t="s">
        <v>434</v>
      </c>
      <c r="DI5" s="1123" t="s">
        <v>519</v>
      </c>
      <c r="DL5" s="19" t="s">
        <v>409</v>
      </c>
      <c r="DM5" s="165" t="s">
        <v>953</v>
      </c>
    </row>
    <row r="6" spans="2:117" ht="16.5" customHeight="1" thickBot="1">
      <c r="D6" s="87"/>
      <c r="R6" s="1206"/>
      <c r="S6" s="1206"/>
      <c r="T6" s="1206"/>
      <c r="U6" s="1206"/>
      <c r="V6" s="1206"/>
      <c r="W6" s="1206"/>
      <c r="X6" s="1206"/>
      <c r="Y6" s="1206"/>
      <c r="Z6" s="1206"/>
      <c r="AA6" s="1206"/>
      <c r="AB6" s="1206"/>
      <c r="AC6" s="1224"/>
      <c r="AD6" s="1224"/>
      <c r="AE6" s="1224"/>
      <c r="AF6" s="1224"/>
      <c r="AG6" s="1224"/>
      <c r="AH6" s="1224"/>
      <c r="AI6" s="1224"/>
      <c r="AJ6" s="1224"/>
      <c r="AK6" s="1224"/>
      <c r="AL6" s="1224"/>
      <c r="BD6" s="165" t="s">
        <v>296</v>
      </c>
      <c r="BE6" s="1085">
        <f t="shared" si="0"/>
        <v>0</v>
      </c>
      <c r="BF6" s="1083" t="str">
        <f>IFERROR(IF($M$9="Standard Warranty",VLOOKUP(C10,'price list MAN'!$B$5:$L$2002,11,FALSE),VLOOKUP(C10,'price list MAN'!$B$5:$O$2002,14,FALSE)),"")</f>
        <v/>
      </c>
      <c r="BH6" s="165" t="s">
        <v>370</v>
      </c>
      <c r="BI6" s="1124" t="s">
        <v>219</v>
      </c>
      <c r="BJ6" s="1124" t="s">
        <v>219</v>
      </c>
      <c r="BK6" s="1124" t="s">
        <v>124</v>
      </c>
      <c r="BL6" s="1124" t="s">
        <v>174</v>
      </c>
      <c r="BM6" s="1125" t="s">
        <v>884</v>
      </c>
      <c r="BN6" s="1125" t="s">
        <v>169</v>
      </c>
      <c r="BO6" s="1125" t="s">
        <v>196</v>
      </c>
      <c r="BP6" s="1125" t="s">
        <v>748</v>
      </c>
      <c r="BQ6" s="1125" t="s">
        <v>693</v>
      </c>
      <c r="BR6" s="1125"/>
      <c r="BS6" s="19" t="s">
        <v>410</v>
      </c>
      <c r="BT6" s="19" t="s">
        <v>60</v>
      </c>
      <c r="BU6" s="1204"/>
      <c r="BV6" s="1122" t="str">
        <f t="shared" ref="BV6:BV10" si="3">IF($D$46="None","",CB6)</f>
        <v/>
      </c>
      <c r="BW6" s="1122" t="str">
        <f t="shared" ref="BW6:BW16" si="4">IF($D$46="None","",CC6)</f>
        <v/>
      </c>
      <c r="BY6" s="19" t="str">
        <f>IF($BY$8="None","",CA5)</f>
        <v>Buy-Back</v>
      </c>
      <c r="CA6" s="1122" t="s">
        <v>56</v>
      </c>
      <c r="CB6" s="19" t="s">
        <v>75</v>
      </c>
      <c r="CC6" s="19" t="s">
        <v>76</v>
      </c>
      <c r="CD6" s="1096"/>
      <c r="CE6" s="19" t="s">
        <v>199</v>
      </c>
      <c r="CG6" s="19" t="str">
        <f t="shared" si="1"/>
        <v/>
      </c>
      <c r="CH6" s="19" t="str">
        <f t="shared" si="2"/>
        <v/>
      </c>
      <c r="CJ6" s="19" t="s">
        <v>81</v>
      </c>
      <c r="CK6" s="19" t="s">
        <v>114</v>
      </c>
      <c r="CM6" s="19" t="s">
        <v>40</v>
      </c>
      <c r="CQ6" s="1095" t="str">
        <f t="shared" ref="CQ6:CQ12" si="5">IF(OR($CM$14=0,$F$63="None"),"",CS6)</f>
        <v/>
      </c>
      <c r="CR6" s="1095" t="str">
        <f>IF(OR($CM$14=0,$F$63="None"),"",CT6)</f>
        <v/>
      </c>
      <c r="CS6" s="1204" t="s">
        <v>113</v>
      </c>
      <c r="CT6" s="1204" t="s">
        <v>82</v>
      </c>
      <c r="CV6" s="1096" t="str">
        <f t="shared" ref="CV6:CW21" si="6">IF(OR($CN$14=0,$F$63="None"),"",CX6)</f>
        <v/>
      </c>
      <c r="CW6" s="19" t="str">
        <f t="shared" si="6"/>
        <v/>
      </c>
      <c r="CX6" s="19" t="s">
        <v>113</v>
      </c>
      <c r="CY6" s="19" t="s">
        <v>204</v>
      </c>
      <c r="DA6" s="19"/>
      <c r="DH6" s="1122" t="s">
        <v>435</v>
      </c>
      <c r="DI6" s="1123" t="s">
        <v>519</v>
      </c>
      <c r="DL6" s="19" t="s">
        <v>410</v>
      </c>
      <c r="DM6" s="165" t="s">
        <v>954</v>
      </c>
    </row>
    <row r="7" spans="2:117" ht="15.75" customHeight="1" thickBot="1">
      <c r="B7" s="1234" t="s">
        <v>308</v>
      </c>
      <c r="C7" s="1235"/>
      <c r="D7" s="1235"/>
      <c r="E7" s="1235"/>
      <c r="F7" s="1235"/>
      <c r="G7" s="1236"/>
      <c r="I7" s="1237" t="s">
        <v>15</v>
      </c>
      <c r="J7" s="1238"/>
      <c r="K7" s="1238"/>
      <c r="L7" s="1238"/>
      <c r="M7" s="1239"/>
      <c r="R7" s="1231"/>
      <c r="S7" s="1231"/>
      <c r="T7" s="1240"/>
      <c r="U7" s="1231"/>
      <c r="V7" s="1224"/>
      <c r="W7" s="1224"/>
      <c r="X7" s="1224"/>
      <c r="Y7" s="1231"/>
      <c r="Z7" s="1224"/>
      <c r="AA7" s="1224"/>
      <c r="AB7" s="1224"/>
      <c r="AC7" s="1224"/>
      <c r="AD7" s="1224"/>
      <c r="AE7" s="1224"/>
      <c r="AF7" s="1224"/>
      <c r="AG7" s="1224"/>
      <c r="AH7" s="1224"/>
      <c r="AI7" s="1224"/>
      <c r="AJ7" s="1224"/>
      <c r="AK7" s="1224"/>
      <c r="AL7" s="1224"/>
      <c r="AM7" s="1224"/>
      <c r="AN7" s="1224"/>
      <c r="AO7" s="1224"/>
      <c r="AP7" s="1224"/>
      <c r="AQ7" s="1224"/>
      <c r="AR7" s="1224"/>
      <c r="AS7" s="1224"/>
      <c r="BD7" s="165" t="s">
        <v>52</v>
      </c>
      <c r="BE7" s="1085">
        <f t="shared" si="0"/>
        <v>0</v>
      </c>
      <c r="BF7" s="1083" t="str">
        <f>IFERROR(IF($M$9="Standard Warranty",VLOOKUP(C11,'price list MAN'!$B$5:$L$2002,11,FALSE),VLOOKUP(C11,'price list MAN'!$B$5:$O$2002,14,FALSE)),"")</f>
        <v/>
      </c>
      <c r="BH7" s="165" t="s">
        <v>372</v>
      </c>
      <c r="BI7" s="1124" t="s">
        <v>219</v>
      </c>
      <c r="BJ7" s="1124" t="s">
        <v>219</v>
      </c>
      <c r="BK7" s="1124" t="s">
        <v>124</v>
      </c>
      <c r="BL7" s="1124" t="s">
        <v>176</v>
      </c>
      <c r="BM7" s="1125" t="s">
        <v>885</v>
      </c>
      <c r="BN7" s="1125" t="s">
        <v>169</v>
      </c>
      <c r="BO7" s="1125" t="s">
        <v>196</v>
      </c>
      <c r="BP7" s="1125" t="s">
        <v>749</v>
      </c>
      <c r="BQ7" s="1125" t="s">
        <v>694</v>
      </c>
      <c r="BR7" s="1125"/>
      <c r="BS7" s="19" t="s">
        <v>411</v>
      </c>
      <c r="BT7" s="19" t="s">
        <v>58</v>
      </c>
      <c r="BU7" s="1204"/>
      <c r="BV7" s="1122" t="str">
        <f t="shared" si="3"/>
        <v/>
      </c>
      <c r="BW7" s="1122" t="str">
        <f t="shared" si="4"/>
        <v/>
      </c>
      <c r="BY7" s="19" t="str">
        <f>IF($BY$8="None","",CA6)</f>
        <v>None</v>
      </c>
      <c r="CA7" s="1122"/>
      <c r="CB7" s="19" t="s">
        <v>77</v>
      </c>
      <c r="CC7" s="19" t="s">
        <v>78</v>
      </c>
      <c r="CD7" s="1096"/>
      <c r="CE7" s="19" t="s">
        <v>56</v>
      </c>
      <c r="CG7" s="19" t="str">
        <f t="shared" si="1"/>
        <v/>
      </c>
      <c r="CH7" s="19" t="str">
        <f t="shared" si="2"/>
        <v/>
      </c>
      <c r="CJ7" s="19" t="s">
        <v>558</v>
      </c>
      <c r="CK7" s="19" t="s">
        <v>201</v>
      </c>
      <c r="CM7" s="19" t="s">
        <v>39</v>
      </c>
      <c r="CQ7" s="1095" t="str">
        <f t="shared" si="5"/>
        <v/>
      </c>
      <c r="CR7" s="1095" t="str">
        <f t="shared" ref="CR7:CR32" si="7">IF(OR($CM$14=0,$F$63="None"),"",CT7)</f>
        <v/>
      </c>
      <c r="CS7" s="19" t="s">
        <v>72</v>
      </c>
      <c r="CT7" s="19" t="s">
        <v>204</v>
      </c>
      <c r="CV7" s="1096" t="str">
        <f t="shared" si="6"/>
        <v/>
      </c>
      <c r="CW7" s="19" t="str">
        <f t="shared" si="6"/>
        <v/>
      </c>
      <c r="CX7" s="19" t="s">
        <v>72</v>
      </c>
      <c r="CY7" s="19" t="s">
        <v>87</v>
      </c>
      <c r="DA7" s="19"/>
      <c r="DB7" s="1204" t="s">
        <v>68</v>
      </c>
      <c r="DC7" s="1204" t="s">
        <v>69</v>
      </c>
      <c r="DD7" s="1204" t="s">
        <v>68</v>
      </c>
      <c r="DE7" s="1204" t="s">
        <v>69</v>
      </c>
      <c r="DH7" s="1122" t="s">
        <v>436</v>
      </c>
      <c r="DI7" s="1123" t="s">
        <v>519</v>
      </c>
      <c r="DL7" s="19" t="s">
        <v>411</v>
      </c>
      <c r="DM7" s="165" t="s">
        <v>955</v>
      </c>
    </row>
    <row r="8" spans="2:117" ht="17.25" customHeight="1" thickBot="1">
      <c r="B8" s="127" t="s">
        <v>290</v>
      </c>
      <c r="C8" s="127" t="s">
        <v>0</v>
      </c>
      <c r="D8" s="128" t="s">
        <v>2</v>
      </c>
      <c r="E8" s="128" t="s">
        <v>425</v>
      </c>
      <c r="F8" s="127" t="s">
        <v>3</v>
      </c>
      <c r="G8" s="127" t="s">
        <v>528</v>
      </c>
      <c r="I8" s="80" t="s">
        <v>291</v>
      </c>
      <c r="J8" s="81"/>
      <c r="K8" s="81"/>
      <c r="L8" s="82" t="s">
        <v>292</v>
      </c>
      <c r="M8" s="179" t="str">
        <f>IF(C39=1,C9,"Refer to chassis list")</f>
        <v>TBATG0X1</v>
      </c>
      <c r="Q8" s="165">
        <v>0</v>
      </c>
      <c r="R8" s="1231"/>
      <c r="S8" s="1231"/>
      <c r="T8" s="1240"/>
      <c r="U8" s="1231"/>
      <c r="V8" s="1224"/>
      <c r="W8" s="1224"/>
      <c r="X8" s="1224"/>
      <c r="Y8" s="1231"/>
      <c r="Z8" s="1224"/>
      <c r="AA8" s="1224"/>
      <c r="AB8" s="1224"/>
      <c r="AC8" s="1224"/>
      <c r="AD8" s="1224"/>
      <c r="AE8" s="1224"/>
      <c r="AF8" s="1224"/>
      <c r="AG8" s="1224"/>
      <c r="AH8" s="1224"/>
      <c r="AI8" s="1224"/>
      <c r="AJ8" s="1224"/>
      <c r="AK8" s="1224"/>
      <c r="AL8" s="1224"/>
      <c r="AM8" s="1224"/>
      <c r="AN8" s="1224"/>
      <c r="AO8" s="1224"/>
      <c r="AP8" s="1224"/>
      <c r="AQ8" s="1224"/>
      <c r="AR8" s="1224"/>
      <c r="AS8" s="1224"/>
      <c r="BD8" s="165" t="s">
        <v>51</v>
      </c>
      <c r="BE8" s="1085">
        <f t="shared" si="0"/>
        <v>0</v>
      </c>
      <c r="BF8" s="1083" t="str">
        <f>IFERROR(IF($M$9="Standard Warranty",VLOOKUP(C12,'price list MAN'!$B$5:$L$2002,11,FALSE),VLOOKUP(C12,'price list MAN'!$B$5:$O$2002,14,FALSE)),"")</f>
        <v/>
      </c>
      <c r="BH8" s="165" t="s">
        <v>334</v>
      </c>
      <c r="BI8" s="1124" t="s">
        <v>216</v>
      </c>
      <c r="BJ8" s="1124" t="s">
        <v>216</v>
      </c>
      <c r="BK8" s="1124" t="s">
        <v>124</v>
      </c>
      <c r="BL8" s="1124" t="s">
        <v>132</v>
      </c>
      <c r="BM8" s="1125" t="s">
        <v>886</v>
      </c>
      <c r="BN8" s="1125" t="s">
        <v>127</v>
      </c>
      <c r="BO8" s="1125" t="s">
        <v>196</v>
      </c>
      <c r="BP8" s="1125" t="s">
        <v>750</v>
      </c>
      <c r="BQ8" s="1125" t="s">
        <v>695</v>
      </c>
      <c r="BR8" s="1125"/>
      <c r="BS8" s="19" t="s">
        <v>412</v>
      </c>
      <c r="BT8" s="19" t="s">
        <v>65</v>
      </c>
      <c r="BU8" s="1204"/>
      <c r="BV8" s="1122" t="str">
        <f t="shared" si="3"/>
        <v/>
      </c>
      <c r="BW8" s="1122" t="str">
        <f t="shared" si="4"/>
        <v/>
      </c>
      <c r="BY8" s="1097" t="str">
        <f>O41</f>
        <v>TGX</v>
      </c>
      <c r="BZ8" s="1097"/>
      <c r="CA8" s="1122"/>
      <c r="CB8" s="19" t="s">
        <v>79</v>
      </c>
      <c r="CC8" s="19" t="s">
        <v>80</v>
      </c>
      <c r="CH8" s="19" t="str">
        <f t="shared" si="2"/>
        <v/>
      </c>
      <c r="CK8" s="19" t="s">
        <v>202</v>
      </c>
      <c r="CM8" s="19" t="s">
        <v>57</v>
      </c>
      <c r="CQ8" s="1095" t="str">
        <f t="shared" si="5"/>
        <v/>
      </c>
      <c r="CR8" s="1095" t="str">
        <f t="shared" si="7"/>
        <v/>
      </c>
      <c r="CS8" s="19" t="s">
        <v>75</v>
      </c>
      <c r="CT8" s="19" t="s">
        <v>87</v>
      </c>
      <c r="CV8" s="1096" t="str">
        <f t="shared" si="6"/>
        <v/>
      </c>
      <c r="CW8" s="19" t="str">
        <f t="shared" si="6"/>
        <v/>
      </c>
      <c r="CX8" s="19" t="s">
        <v>75</v>
      </c>
      <c r="CY8" s="19" t="s">
        <v>205</v>
      </c>
      <c r="DA8" s="19"/>
      <c r="DB8" s="165" t="s">
        <v>113</v>
      </c>
      <c r="DC8" s="165" t="s">
        <v>108</v>
      </c>
      <c r="DD8" s="19" t="str">
        <f t="shared" ref="DD8:DE12" si="8">IF($DA$5="Yes",DB8,"")</f>
        <v>24 MONTHS</v>
      </c>
      <c r="DE8" s="19" t="str">
        <f t="shared" si="8"/>
        <v>300 000 KM</v>
      </c>
      <c r="DH8" s="1122" t="s">
        <v>437</v>
      </c>
      <c r="DI8" s="1123" t="s">
        <v>520</v>
      </c>
      <c r="DL8" s="19" t="s">
        <v>412</v>
      </c>
      <c r="DM8" s="165" t="s">
        <v>956</v>
      </c>
    </row>
    <row r="9" spans="2:117" ht="15" customHeight="1">
      <c r="B9" s="75" t="str">
        <f>IFERROR(VLOOKUP(C9,'price list MAN'!$B$5:$C$2002,2,FALSE),"")</f>
        <v>TGX-26-5406X4BLS-XLX</v>
      </c>
      <c r="C9" s="446" t="s">
        <v>1213</v>
      </c>
      <c r="D9" s="29">
        <f>IFERROR(IF($M$9="Standard Warranty",VLOOKUP(C9,'price list MAN'!$B$5:$J$2002,9,FALSE),VLOOKUP(C9,'price list MAN'!$B$5:$M$2002,12,FALSE)),"")</f>
        <v>2250000</v>
      </c>
      <c r="E9" s="29">
        <f>IFERROR(IF(C9="","",IF($M$9="Standard Warranty",VLOOKUP(C9,'price list MAN'!$B$5:$L$2002,11,FALSE),VLOOKUP(C9,'price list MAN'!$B$5:$O$2002,14,FALSE))),"")</f>
        <v>1625000</v>
      </c>
      <c r="F9" s="29">
        <f>IFERROR(IF(C9="","",IF($M$9="Standard Warranty",VLOOKUP(C9,'price list MAN'!$B$5:$K$2002,10,FALSE),VLOOKUP(C9,'price list MAN'!$B$5:$N$2002,13,FALSE))),"")</f>
        <v>1706250</v>
      </c>
      <c r="G9" s="76" t="str">
        <f>IFERROR(IF(C9="","",VLOOKUP(C9,'price list MAN'!$B$5:$F$2000,5,FALSE)),"")</f>
        <v>2018-06-18</v>
      </c>
      <c r="I9" s="83" t="s">
        <v>294</v>
      </c>
      <c r="L9" s="59" t="s">
        <v>295</v>
      </c>
      <c r="M9" s="404" t="s">
        <v>289</v>
      </c>
      <c r="Q9" s="165">
        <f>IF(C9&lt;&gt;0,Q8+1,"")</f>
        <v>1</v>
      </c>
      <c r="R9" s="1086"/>
      <c r="S9" s="1087"/>
      <c r="V9" s="1083"/>
      <c r="W9" s="1083"/>
      <c r="X9" s="1083"/>
      <c r="Y9" s="1083"/>
      <c r="Z9" s="1083"/>
      <c r="AA9" s="1083"/>
      <c r="AB9" s="1083"/>
      <c r="AC9" s="1083"/>
      <c r="AD9" s="1083"/>
      <c r="AE9" s="1083"/>
      <c r="AF9" s="1083"/>
      <c r="AG9" s="1083"/>
      <c r="AH9" s="1083"/>
      <c r="AI9" s="1083"/>
      <c r="AJ9" s="1083"/>
      <c r="AK9" s="1083"/>
      <c r="AL9" s="1083"/>
      <c r="AM9" s="1083"/>
      <c r="AN9" s="1083"/>
      <c r="AO9" s="1083"/>
      <c r="AP9" s="1083"/>
      <c r="AQ9" s="1083"/>
      <c r="AR9" s="1088"/>
      <c r="AS9" s="1089"/>
      <c r="AT9" s="1088"/>
      <c r="BE9" s="1085">
        <f t="shared" si="0"/>
        <v>0</v>
      </c>
      <c r="BF9" s="1083" t="str">
        <f>IFERROR(IF($M$9="Standard Warranty",VLOOKUP(C13,'price list MAN'!$B$5:$L$2002,11,FALSE),VLOOKUP(C13,'price list MAN'!$B$5:$O$2002,14,FALSE)),"")</f>
        <v/>
      </c>
      <c r="BH9" s="165" t="s">
        <v>333</v>
      </c>
      <c r="BI9" s="1124" t="s">
        <v>216</v>
      </c>
      <c r="BJ9" s="1124" t="s">
        <v>216</v>
      </c>
      <c r="BK9" s="1124" t="s">
        <v>124</v>
      </c>
      <c r="BL9" s="1124" t="s">
        <v>131</v>
      </c>
      <c r="BM9" s="1125" t="s">
        <v>887</v>
      </c>
      <c r="BN9" s="1125" t="s">
        <v>127</v>
      </c>
      <c r="BO9" s="1125" t="s">
        <v>196</v>
      </c>
      <c r="BP9" s="1125" t="s">
        <v>751</v>
      </c>
      <c r="BQ9" s="1125" t="s">
        <v>696</v>
      </c>
      <c r="BR9" s="1125"/>
      <c r="BS9" s="19" t="s">
        <v>413</v>
      </c>
      <c r="BT9" s="19" t="s">
        <v>53</v>
      </c>
      <c r="BV9" s="1122" t="str">
        <f t="shared" si="3"/>
        <v/>
      </c>
      <c r="BW9" s="1122" t="str">
        <f t="shared" si="4"/>
        <v/>
      </c>
      <c r="CA9" s="1122"/>
      <c r="CB9" s="19" t="s">
        <v>81</v>
      </c>
      <c r="CC9" s="19" t="s">
        <v>82</v>
      </c>
      <c r="CH9" s="19" t="str">
        <f t="shared" si="2"/>
        <v/>
      </c>
      <c r="CK9" s="19" t="s">
        <v>203</v>
      </c>
      <c r="CM9" s="19" t="s">
        <v>56</v>
      </c>
      <c r="CQ9" s="1095" t="str">
        <f t="shared" si="5"/>
        <v/>
      </c>
      <c r="CR9" s="1095" t="str">
        <f t="shared" si="7"/>
        <v/>
      </c>
      <c r="CS9" s="19" t="s">
        <v>77</v>
      </c>
      <c r="CT9" s="19" t="s">
        <v>205</v>
      </c>
      <c r="CV9" s="1096" t="str">
        <f t="shared" si="6"/>
        <v/>
      </c>
      <c r="CW9" s="19" t="str">
        <f t="shared" si="6"/>
        <v/>
      </c>
      <c r="CX9" s="19" t="s">
        <v>77</v>
      </c>
      <c r="CY9" s="19" t="s">
        <v>92</v>
      </c>
      <c r="DA9" s="19"/>
      <c r="DB9" s="19" t="s">
        <v>72</v>
      </c>
      <c r="DC9" s="19" t="s">
        <v>204</v>
      </c>
      <c r="DD9" s="19" t="str">
        <f t="shared" si="8"/>
        <v>36 MONTHS</v>
      </c>
      <c r="DE9" s="19" t="str">
        <f t="shared" si="8"/>
        <v>75 000 KM</v>
      </c>
      <c r="DH9" s="1122" t="s">
        <v>438</v>
      </c>
      <c r="DI9" s="1123" t="s">
        <v>519</v>
      </c>
      <c r="DL9" s="19" t="s">
        <v>413</v>
      </c>
      <c r="DM9" s="165" t="s">
        <v>957</v>
      </c>
    </row>
    <row r="10" spans="2:117" ht="15" customHeight="1">
      <c r="B10" s="69">
        <f>IFERROR(VLOOKUP(C10,'price list MAN'!$B$5:$C$2002,2,FALSE),"")</f>
        <v>0</v>
      </c>
      <c r="C10" s="446"/>
      <c r="D10" s="29" t="str">
        <f>IFERROR(IF($M$9="Standard Warranty",VLOOKUP(C10,'price list MAN'!$B$5:$J$2002,9,FALSE),VLOOKUP(C10,'price list MAN'!$B$5:$M$2002,12,FALSE)),"")</f>
        <v/>
      </c>
      <c r="E10" s="29" t="str">
        <f>IFERROR(IF(C10="","",IF($M$9="Standard Warranty",VLOOKUP(C10,'price list MAN'!$B$5:$L$2002,11,FALSE),VLOOKUP(C10,'price list MAN'!$B$5:$O$2002,14,FALSE))),"")</f>
        <v/>
      </c>
      <c r="F10" s="29" t="str">
        <f>IFERROR(IF(C10="","",IF($M$9="Standard Warranty",VLOOKUP(C10,'price list MAN'!$B$5:$K$2002,10,FALSE),VLOOKUP(C10,'price list MAN'!$B$5:$N$2002,13,FALSE))),"")</f>
        <v/>
      </c>
      <c r="G10" s="76" t="str">
        <f>IFERROR(IF(C10="","",VLOOKUP(C10,'price list MAN'!$B$5:$F$2000,5,FALSE)),"")</f>
        <v/>
      </c>
      <c r="I10" s="83" t="s">
        <v>297</v>
      </c>
      <c r="L10" s="59" t="s">
        <v>295</v>
      </c>
      <c r="M10" s="404" t="s">
        <v>52</v>
      </c>
      <c r="Q10" s="165" t="str">
        <f>IF(C10&lt;&gt;0,Q9+1,"")</f>
        <v/>
      </c>
      <c r="R10" s="1086"/>
      <c r="S10" s="1087"/>
      <c r="V10" s="1083"/>
      <c r="W10" s="1083"/>
      <c r="X10" s="1083"/>
      <c r="Y10" s="1083"/>
      <c r="Z10" s="1083"/>
      <c r="AA10" s="1083"/>
      <c r="AB10" s="1083"/>
      <c r="AC10" s="1083"/>
      <c r="AD10" s="1083"/>
      <c r="AE10" s="1083"/>
      <c r="AF10" s="1083"/>
      <c r="AG10" s="1083"/>
      <c r="AH10" s="1083"/>
      <c r="AI10" s="1083"/>
      <c r="AJ10" s="1083"/>
      <c r="AK10" s="1083"/>
      <c r="AL10" s="1083"/>
      <c r="AM10" s="1083"/>
      <c r="AN10" s="1083"/>
      <c r="AO10" s="1083"/>
      <c r="AP10" s="1083"/>
      <c r="AQ10" s="1083"/>
      <c r="AR10" s="1088"/>
      <c r="AS10" s="1089"/>
      <c r="BE10" s="1085">
        <f t="shared" si="0"/>
        <v>0</v>
      </c>
      <c r="BF10" s="1083" t="str">
        <f>IFERROR(IF($M$9="Standard Warranty",VLOOKUP(C14,'price list MAN'!$B$5:$L$2002,11,FALSE),VLOOKUP(C14,'price list MAN'!$B$5:$O$2002,14,FALSE)),"")</f>
        <v/>
      </c>
      <c r="BH10" s="165" t="s">
        <v>360</v>
      </c>
      <c r="BI10" s="1124" t="s">
        <v>220</v>
      </c>
      <c r="BJ10" s="1124" t="s">
        <v>220</v>
      </c>
      <c r="BK10" s="1124" t="s">
        <v>124</v>
      </c>
      <c r="BL10" s="1124" t="s">
        <v>316</v>
      </c>
      <c r="BM10" s="1125" t="s">
        <v>888</v>
      </c>
      <c r="BN10" s="1125" t="s">
        <v>315</v>
      </c>
      <c r="BO10" s="1125" t="s">
        <v>196</v>
      </c>
      <c r="BP10" s="1125">
        <v>0</v>
      </c>
      <c r="BQ10" s="1125" t="s">
        <v>697</v>
      </c>
      <c r="BR10" s="1125"/>
      <c r="BS10" s="19" t="s">
        <v>200</v>
      </c>
      <c r="BT10" s="19" t="s">
        <v>64</v>
      </c>
      <c r="BV10" s="1122" t="str">
        <f t="shared" si="3"/>
        <v/>
      </c>
      <c r="BW10" s="1122" t="str">
        <f t="shared" si="4"/>
        <v/>
      </c>
      <c r="CA10" s="1122"/>
      <c r="CB10" s="19" t="s">
        <v>558</v>
      </c>
      <c r="CC10" s="19" t="s">
        <v>83</v>
      </c>
      <c r="CH10" s="19" t="str">
        <f t="shared" si="2"/>
        <v/>
      </c>
      <c r="CK10" s="19" t="s">
        <v>558</v>
      </c>
      <c r="CQ10" s="1095" t="str">
        <f t="shared" si="5"/>
        <v/>
      </c>
      <c r="CR10" s="1095" t="str">
        <f t="shared" si="7"/>
        <v/>
      </c>
      <c r="CS10" s="19" t="s">
        <v>79</v>
      </c>
      <c r="CT10" s="19" t="s">
        <v>92</v>
      </c>
      <c r="CV10" s="1096" t="str">
        <f t="shared" si="6"/>
        <v/>
      </c>
      <c r="CW10" s="19" t="str">
        <f t="shared" si="6"/>
        <v/>
      </c>
      <c r="CX10" s="19" t="s">
        <v>79</v>
      </c>
      <c r="CY10" s="19" t="s">
        <v>98</v>
      </c>
      <c r="DA10" s="19"/>
      <c r="DB10" s="19" t="s">
        <v>77</v>
      </c>
      <c r="DC10" s="19" t="s">
        <v>87</v>
      </c>
      <c r="DD10" s="19" t="str">
        <f t="shared" si="8"/>
        <v>48 MONTHS</v>
      </c>
      <c r="DE10" s="19" t="str">
        <f t="shared" si="8"/>
        <v>100 000 KM</v>
      </c>
      <c r="DH10" s="1122" t="s">
        <v>439</v>
      </c>
      <c r="DI10" s="1123" t="s">
        <v>520</v>
      </c>
      <c r="DL10" s="19" t="s">
        <v>50</v>
      </c>
      <c r="DM10" s="165" t="s">
        <v>958</v>
      </c>
    </row>
    <row r="11" spans="2:117" ht="15" customHeight="1">
      <c r="B11" s="69">
        <f>IFERROR(VLOOKUP(C11,'price list MAN'!$B$5:$C$2002,2,FALSE),"")</f>
        <v>0</v>
      </c>
      <c r="C11" s="446"/>
      <c r="D11" s="29" t="str">
        <f>IFERROR(IF($M$9="Standard Warranty",VLOOKUP(C11,'price list MAN'!$B$5:$J$2002,9,FALSE),VLOOKUP(C11,'price list MAN'!$B$5:$M$2002,12,FALSE)),"")</f>
        <v/>
      </c>
      <c r="E11" s="29" t="str">
        <f>IFERROR(IF(C11="","",IF($M$9="Standard Warranty",VLOOKUP(C11,'price list MAN'!$B$5:$L$2002,11,FALSE),VLOOKUP(C11,'price list MAN'!$B$5:$O$2002,14,FALSE))),"")</f>
        <v/>
      </c>
      <c r="F11" s="29" t="str">
        <f>IFERROR(IF(C11="","",IF($M$9="Standard Warranty",VLOOKUP(C11,'price list MAN'!$B$5:$K$2002,10,FALSE),VLOOKUP(C11,'price list MAN'!$B$5:$N$2002,13,FALSE))),"")</f>
        <v/>
      </c>
      <c r="G11" s="76" t="str">
        <f>IFERROR(IF(C11="","",VLOOKUP(C11,'price list MAN'!$B$5:$F$2000,5,FALSE)),"")</f>
        <v/>
      </c>
      <c r="I11" s="83" t="s">
        <v>686</v>
      </c>
      <c r="L11" s="59" t="s">
        <v>295</v>
      </c>
      <c r="M11" s="403">
        <v>15</v>
      </c>
      <c r="Q11" s="165" t="str">
        <f t="shared" ref="Q11:Q38" si="9">IF(C11&lt;&gt;0,Q10+1,"")</f>
        <v/>
      </c>
      <c r="R11" s="1086"/>
      <c r="S11" s="1087"/>
      <c r="V11" s="1083"/>
      <c r="W11" s="1083"/>
      <c r="X11" s="1083"/>
      <c r="Y11" s="1083"/>
      <c r="Z11" s="1083"/>
      <c r="AA11" s="1083"/>
      <c r="AB11" s="1083"/>
      <c r="AC11" s="1083"/>
      <c r="AD11" s="1083"/>
      <c r="AE11" s="1083"/>
      <c r="AF11" s="1083"/>
      <c r="AG11" s="1083"/>
      <c r="AH11" s="1083"/>
      <c r="AI11" s="1083"/>
      <c r="AJ11" s="1083"/>
      <c r="AK11" s="1083"/>
      <c r="AL11" s="1083"/>
      <c r="AM11" s="1083"/>
      <c r="AN11" s="1083"/>
      <c r="AO11" s="1083"/>
      <c r="AP11" s="1083"/>
      <c r="AQ11" s="1083"/>
      <c r="AR11" s="1088"/>
      <c r="AS11" s="1089"/>
      <c r="AT11" s="1083"/>
      <c r="BE11" s="1085">
        <f t="shared" si="0"/>
        <v>0</v>
      </c>
      <c r="BF11" s="1083" t="str">
        <f>IFERROR(IF($M$9="Standard Warranty",VLOOKUP(C15,'price list MAN'!$B$5:$L$2002,11,FALSE),VLOOKUP(C15,'price list MAN'!$B$5:$O$2002,14,FALSE)),"")</f>
        <v/>
      </c>
      <c r="BH11" s="165" t="s">
        <v>344</v>
      </c>
      <c r="BI11" s="1124" t="s">
        <v>217</v>
      </c>
      <c r="BJ11" s="1124" t="s">
        <v>217</v>
      </c>
      <c r="BK11" s="1124" t="s">
        <v>124</v>
      </c>
      <c r="BL11" s="1124" t="s">
        <v>149</v>
      </c>
      <c r="BM11" s="1125" t="s">
        <v>889</v>
      </c>
      <c r="BN11" s="1125" t="s">
        <v>314</v>
      </c>
      <c r="BO11" s="1125" t="s">
        <v>196</v>
      </c>
      <c r="BP11" s="1125" t="s">
        <v>752</v>
      </c>
      <c r="BQ11" s="1125" t="s">
        <v>698</v>
      </c>
      <c r="BR11" s="1125"/>
      <c r="BS11" s="165"/>
      <c r="BT11" s="165"/>
      <c r="BW11" s="1122" t="str">
        <f t="shared" si="4"/>
        <v/>
      </c>
      <c r="CA11" s="1122"/>
      <c r="CC11" s="19" t="s">
        <v>84</v>
      </c>
      <c r="CQ11" s="1095" t="str">
        <f t="shared" si="5"/>
        <v/>
      </c>
      <c r="CR11" s="1095" t="str">
        <f t="shared" si="7"/>
        <v/>
      </c>
      <c r="CS11" s="19" t="s">
        <v>81</v>
      </c>
      <c r="CT11" s="19" t="s">
        <v>98</v>
      </c>
      <c r="CV11" s="1096" t="str">
        <f t="shared" si="6"/>
        <v/>
      </c>
      <c r="CW11" s="19" t="str">
        <f t="shared" si="6"/>
        <v/>
      </c>
      <c r="CX11" s="19" t="s">
        <v>81</v>
      </c>
      <c r="CY11" s="19" t="s">
        <v>206</v>
      </c>
      <c r="DA11" s="19"/>
      <c r="DB11" s="19" t="s">
        <v>81</v>
      </c>
      <c r="DC11" s="19" t="s">
        <v>205</v>
      </c>
      <c r="DD11" s="19" t="str">
        <f t="shared" si="8"/>
        <v>60 MONTHS</v>
      </c>
      <c r="DE11" s="19" t="str">
        <f t="shared" si="8"/>
        <v>125 000 KM</v>
      </c>
      <c r="DH11" s="1122" t="s">
        <v>440</v>
      </c>
      <c r="DI11" s="1123" t="s">
        <v>519</v>
      </c>
      <c r="DL11" s="19" t="s">
        <v>55</v>
      </c>
      <c r="DM11" s="165" t="s">
        <v>959</v>
      </c>
    </row>
    <row r="12" spans="2:117" ht="15" customHeight="1">
      <c r="B12" s="69">
        <f>IFERROR(VLOOKUP(C12,'price list MAN'!$B$5:$C$2002,2,FALSE),"")</f>
        <v>0</v>
      </c>
      <c r="C12" s="446"/>
      <c r="D12" s="29" t="str">
        <f>IFERROR(IF($M$9="Standard Warranty",VLOOKUP(C12,'price list MAN'!$B$5:$J$2002,9,FALSE),VLOOKUP(C12,'price list MAN'!$B$5:$M$2002,12,FALSE)),"")</f>
        <v/>
      </c>
      <c r="E12" s="29" t="str">
        <f>IFERROR(IF(C12="","",IF($M$9="Standard Warranty",VLOOKUP(C12,'price list MAN'!$B$5:$L$2002,11,FALSE),VLOOKUP(C12,'price list MAN'!$B$5:$O$2002,14,FALSE))),"")</f>
        <v/>
      </c>
      <c r="F12" s="29" t="str">
        <f>IFERROR(IF(C12="","",IF($M$9="Standard Warranty",VLOOKUP(C12,'price list MAN'!$B$5:$K$2002,10,FALSE),VLOOKUP(C12,'price list MAN'!$B$5:$N$2002,13,FALSE))),"")</f>
        <v/>
      </c>
      <c r="G12" s="76" t="str">
        <f>IFERROR(IF(C12="","",VLOOKUP(C12,'price list MAN'!$B$5:$F$2000,5,FALSE)),"")</f>
        <v/>
      </c>
      <c r="I12" s="83" t="s">
        <v>17</v>
      </c>
      <c r="M12" s="84" t="str">
        <f>$B$9</f>
        <v>TGX-26-5406X4BLS-XLX</v>
      </c>
      <c r="Q12" s="165" t="str">
        <f t="shared" si="9"/>
        <v/>
      </c>
      <c r="R12" s="1086"/>
      <c r="S12" s="1087"/>
      <c r="V12" s="1083"/>
      <c r="W12" s="1083"/>
      <c r="X12" s="1083"/>
      <c r="Y12" s="1083"/>
      <c r="Z12" s="1083"/>
      <c r="AA12" s="1083"/>
      <c r="AB12" s="1083"/>
      <c r="AC12" s="1083"/>
      <c r="AD12" s="1083"/>
      <c r="AE12" s="1083"/>
      <c r="AF12" s="1083"/>
      <c r="AG12" s="1083"/>
      <c r="AH12" s="1083"/>
      <c r="AI12" s="1083"/>
      <c r="AJ12" s="1083"/>
      <c r="AK12" s="1083"/>
      <c r="AL12" s="1083"/>
      <c r="AM12" s="1083"/>
      <c r="AN12" s="1083"/>
      <c r="AO12" s="1083"/>
      <c r="AP12" s="1083"/>
      <c r="AQ12" s="1083"/>
      <c r="AR12" s="1088"/>
      <c r="AS12" s="1089"/>
      <c r="AT12" s="1090"/>
      <c r="BD12" s="1126"/>
      <c r="BE12" s="1085">
        <f t="shared" si="0"/>
        <v>0</v>
      </c>
      <c r="BF12" s="1083" t="str">
        <f>IFERROR(IF($M$9="Standard Warranty",VLOOKUP(C16,'price list MAN'!$B$5:$L$2002,11,FALSE),VLOOKUP(C16,'price list MAN'!$B$5:$O$2002,14,FALSE)),"")</f>
        <v/>
      </c>
      <c r="BH12" s="165" t="s">
        <v>356</v>
      </c>
      <c r="BI12" s="1124" t="s">
        <v>220</v>
      </c>
      <c r="BJ12" s="1124" t="s">
        <v>220</v>
      </c>
      <c r="BK12" s="1124" t="s">
        <v>124</v>
      </c>
      <c r="BL12" s="1124" t="s">
        <v>160</v>
      </c>
      <c r="BM12" s="1125" t="s">
        <v>890</v>
      </c>
      <c r="BN12" s="1125" t="s">
        <v>315</v>
      </c>
      <c r="BO12" s="1125" t="s">
        <v>196</v>
      </c>
      <c r="BP12" s="1125" t="s">
        <v>753</v>
      </c>
      <c r="BQ12" s="1125" t="s">
        <v>699</v>
      </c>
      <c r="BR12" s="1125"/>
      <c r="BW12" s="1122" t="str">
        <f t="shared" si="4"/>
        <v/>
      </c>
      <c r="CA12" s="1122"/>
      <c r="CC12" s="19" t="s">
        <v>85</v>
      </c>
      <c r="CM12" s="1204" t="s">
        <v>59</v>
      </c>
      <c r="CN12" s="1204"/>
      <c r="CO12" s="1204"/>
      <c r="CQ12" s="1095" t="str">
        <f t="shared" si="5"/>
        <v/>
      </c>
      <c r="CR12" s="1095" t="str">
        <f t="shared" si="7"/>
        <v/>
      </c>
      <c r="CS12" s="19" t="s">
        <v>558</v>
      </c>
      <c r="CT12" s="19" t="s">
        <v>206</v>
      </c>
      <c r="CV12" s="1096" t="str">
        <f t="shared" si="6"/>
        <v/>
      </c>
      <c r="CW12" s="19" t="str">
        <f t="shared" si="6"/>
        <v/>
      </c>
      <c r="CX12" s="19" t="s">
        <v>1221</v>
      </c>
      <c r="CY12" s="19" t="s">
        <v>104</v>
      </c>
      <c r="DA12" s="19"/>
      <c r="DB12" s="19" t="s">
        <v>558</v>
      </c>
      <c r="DC12" s="19" t="s">
        <v>92</v>
      </c>
      <c r="DD12" s="19" t="str">
        <f t="shared" si="8"/>
        <v>OTHER</v>
      </c>
      <c r="DE12" s="19" t="str">
        <f t="shared" ref="DE12:DE23" si="10">IF($DA$5="Yes",DC12,"")</f>
        <v>150 000 KM</v>
      </c>
      <c r="DH12" s="1122" t="s">
        <v>441</v>
      </c>
      <c r="DI12" s="1123" t="s">
        <v>520</v>
      </c>
      <c r="DL12" s="19" t="s">
        <v>60</v>
      </c>
      <c r="DM12" s="165" t="s">
        <v>960</v>
      </c>
    </row>
    <row r="13" spans="2:117" ht="15" customHeight="1">
      <c r="B13" s="69">
        <f>IFERROR(VLOOKUP(C13,'price list MAN'!$B$5:$C$2002,2,FALSE),"")</f>
        <v>0</v>
      </c>
      <c r="C13" s="446"/>
      <c r="D13" s="29" t="str">
        <f>IFERROR(IF($M$9="Standard Warranty",VLOOKUP(C13,'price list MAN'!$B$5:$J$2002,9,FALSE),VLOOKUP(C13,'price list MAN'!$B$5:$M$2002,12,FALSE)),"")</f>
        <v/>
      </c>
      <c r="E13" s="29" t="str">
        <f>IFERROR(IF(C13="","",IF($M$9="Standard Warranty",VLOOKUP(C13,'price list MAN'!$B$5:$L$2002,11,FALSE),VLOOKUP(C13,'price list MAN'!$B$5:$O$2002,14,FALSE))),"")</f>
        <v/>
      </c>
      <c r="F13" s="29" t="str">
        <f>IFERROR(IF(C13="","",IF($M$9="Standard Warranty",VLOOKUP(C13,'price list MAN'!$B$5:$K$2002,10,FALSE),VLOOKUP(C13,'price list MAN'!$B$5:$N$2002,13,FALSE))),"")</f>
        <v/>
      </c>
      <c r="G13" s="76" t="str">
        <f>IFERROR(IF(C13="","",VLOOKUP(C13,'price list MAN'!$B$5:$F$2000,5,FALSE)),"")</f>
        <v/>
      </c>
      <c r="I13" s="83" t="s">
        <v>36</v>
      </c>
      <c r="M13" s="85">
        <f>SUM(D9:D38)</f>
        <v>2250000</v>
      </c>
      <c r="Q13" s="165" t="str">
        <f t="shared" si="9"/>
        <v/>
      </c>
      <c r="R13" s="1086"/>
      <c r="S13" s="1087"/>
      <c r="V13" s="1083"/>
      <c r="W13" s="1083"/>
      <c r="X13" s="1083"/>
      <c r="Y13" s="1083"/>
      <c r="Z13" s="1083"/>
      <c r="AA13" s="1083"/>
      <c r="AB13" s="1083"/>
      <c r="AC13" s="1083"/>
      <c r="AD13" s="1083"/>
      <c r="AE13" s="1083"/>
      <c r="AF13" s="1083"/>
      <c r="AG13" s="1083"/>
      <c r="AH13" s="1083"/>
      <c r="AI13" s="1083"/>
      <c r="AJ13" s="1083"/>
      <c r="AK13" s="1083"/>
      <c r="AL13" s="1083"/>
      <c r="AM13" s="1083"/>
      <c r="AN13" s="1083"/>
      <c r="AO13" s="1083"/>
      <c r="AP13" s="1083"/>
      <c r="AQ13" s="1083"/>
      <c r="AR13" s="1088"/>
      <c r="AS13" s="1089"/>
      <c r="BD13" s="165" t="s">
        <v>301</v>
      </c>
      <c r="BE13" s="1085">
        <f t="shared" si="0"/>
        <v>0</v>
      </c>
      <c r="BF13" s="1083" t="str">
        <f>IFERROR(IF($M$9="Standard Warranty",VLOOKUP(C17,'price list MAN'!$B$5:$L$2002,11,FALSE),VLOOKUP(C17,'price list MAN'!$B$5:$O$2002,14,FALSE)),"")</f>
        <v/>
      </c>
      <c r="BH13" s="165" t="s">
        <v>347</v>
      </c>
      <c r="BI13" s="1124" t="s">
        <v>217</v>
      </c>
      <c r="BJ13" s="1124" t="s">
        <v>217</v>
      </c>
      <c r="BK13" s="1124" t="s">
        <v>124</v>
      </c>
      <c r="BL13" s="1124" t="s">
        <v>152</v>
      </c>
      <c r="BM13" s="1125" t="s">
        <v>891</v>
      </c>
      <c r="BN13" s="1125" t="s">
        <v>314</v>
      </c>
      <c r="BO13" s="1125" t="s">
        <v>196</v>
      </c>
      <c r="BP13" s="1125" t="s">
        <v>754</v>
      </c>
      <c r="BQ13" s="1125" t="s">
        <v>700</v>
      </c>
      <c r="BR13" s="1125"/>
      <c r="BS13" s="19" t="s">
        <v>803</v>
      </c>
      <c r="BT13" s="19" t="s">
        <v>804</v>
      </c>
      <c r="BW13" s="1122" t="str">
        <f t="shared" si="4"/>
        <v/>
      </c>
      <c r="CA13" s="1122"/>
      <c r="CC13" s="19" t="s">
        <v>86</v>
      </c>
      <c r="CM13" s="1204" t="s">
        <v>61</v>
      </c>
      <c r="CN13" s="1204" t="s">
        <v>62</v>
      </c>
      <c r="CO13" s="1204" t="s">
        <v>63</v>
      </c>
      <c r="CR13" s="1095" t="str">
        <f t="shared" si="7"/>
        <v/>
      </c>
      <c r="CT13" s="19" t="s">
        <v>104</v>
      </c>
      <c r="CV13" s="1096" t="str">
        <f t="shared" si="6"/>
        <v/>
      </c>
      <c r="CW13" s="19" t="str">
        <f t="shared" si="6"/>
        <v/>
      </c>
      <c r="CX13" s="19" t="s">
        <v>558</v>
      </c>
      <c r="CY13" s="19" t="s">
        <v>108</v>
      </c>
      <c r="DA13" s="19"/>
      <c r="DB13" s="19"/>
      <c r="DC13" s="19" t="s">
        <v>98</v>
      </c>
      <c r="DD13" s="19"/>
      <c r="DE13" s="19" t="str">
        <f t="shared" si="10"/>
        <v>200 000 KM</v>
      </c>
      <c r="DH13" s="1122" t="s">
        <v>442</v>
      </c>
      <c r="DI13" s="1123" t="s">
        <v>521</v>
      </c>
      <c r="DL13" s="19" t="s">
        <v>58</v>
      </c>
      <c r="DM13" s="165" t="s">
        <v>961</v>
      </c>
    </row>
    <row r="14" spans="2:117" ht="15" customHeight="1" thickBot="1">
      <c r="B14" s="69">
        <f>IFERROR(VLOOKUP(C14,'price list MAN'!$B$5:$C$2002,2,FALSE),"")</f>
        <v>0</v>
      </c>
      <c r="C14" s="446"/>
      <c r="D14" s="29" t="str">
        <f>IFERROR(IF($M$9="Standard Warranty",VLOOKUP(C14,'price list MAN'!$B$5:$J$2002,9,FALSE),VLOOKUP(C14,'price list MAN'!$B$5:$M$2002,12,FALSE)),"")</f>
        <v/>
      </c>
      <c r="E14" s="29" t="str">
        <f>IFERROR(IF(C14="","",IF($M$9="Standard Warranty",VLOOKUP(C14,'price list MAN'!$B$5:$L$2002,11,FALSE),VLOOKUP(C14,'price list MAN'!$B$5:$O$2002,14,FALSE))),"")</f>
        <v/>
      </c>
      <c r="F14" s="29" t="str">
        <f>IFERROR(IF(C14="","",IF($M$9="Standard Warranty",VLOOKUP(C14,'price list MAN'!$B$5:$K$2002,10,FALSE),VLOOKUP(C14,'price list MAN'!$B$5:$N$2002,13,FALSE))),"")</f>
        <v/>
      </c>
      <c r="G14" s="76" t="str">
        <f>IFERROR(IF(C14="","",VLOOKUP(C14,'price list MAN'!$B$5:$F$2000,5,FALSE)),"")</f>
        <v/>
      </c>
      <c r="I14" s="86" t="s">
        <v>37</v>
      </c>
      <c r="J14" s="87"/>
      <c r="K14" s="87"/>
      <c r="L14" s="87"/>
      <c r="M14" s="88">
        <f>SUM(F9:F38)</f>
        <v>1706250</v>
      </c>
      <c r="Q14" s="165" t="str">
        <f t="shared" si="9"/>
        <v/>
      </c>
      <c r="R14" s="1086"/>
      <c r="S14" s="1087"/>
      <c r="V14" s="1083"/>
      <c r="W14" s="1083"/>
      <c r="X14" s="1083"/>
      <c r="Y14" s="1083"/>
      <c r="Z14" s="1083"/>
      <c r="AA14" s="1083"/>
      <c r="AB14" s="1083"/>
      <c r="AC14" s="1083"/>
      <c r="AD14" s="1083"/>
      <c r="AE14" s="1083"/>
      <c r="AF14" s="1083"/>
      <c r="AG14" s="1083"/>
      <c r="AH14" s="1083"/>
      <c r="AI14" s="1083"/>
      <c r="AJ14" s="1083"/>
      <c r="AK14" s="1083"/>
      <c r="AL14" s="1083"/>
      <c r="AM14" s="1083"/>
      <c r="AN14" s="1083"/>
      <c r="AO14" s="1083"/>
      <c r="AP14" s="1083"/>
      <c r="AQ14" s="1083"/>
      <c r="AR14" s="1088"/>
      <c r="AS14" s="1089"/>
      <c r="BE14" s="1085">
        <f t="shared" si="0"/>
        <v>0</v>
      </c>
      <c r="BF14" s="1083" t="str">
        <f>IFERROR(IF($M$9="Standard Warranty",VLOOKUP(C18,'price list MAN'!$B$5:$L$2002,11,FALSE),VLOOKUP(C18,'price list MAN'!$B$5:$O$2002,14,FALSE)),"")</f>
        <v/>
      </c>
      <c r="BH14" s="165" t="s">
        <v>348</v>
      </c>
      <c r="BI14" s="1124" t="s">
        <v>217</v>
      </c>
      <c r="BJ14" s="1124" t="s">
        <v>217</v>
      </c>
      <c r="BK14" s="1124" t="s">
        <v>124</v>
      </c>
      <c r="BL14" s="1124" t="s">
        <v>153</v>
      </c>
      <c r="BM14" s="1125" t="s">
        <v>892</v>
      </c>
      <c r="BN14" s="1125" t="s">
        <v>314</v>
      </c>
      <c r="BO14" s="1125" t="s">
        <v>196</v>
      </c>
      <c r="BP14" s="1125" t="s">
        <v>755</v>
      </c>
      <c r="BQ14" s="1125" t="s">
        <v>701</v>
      </c>
      <c r="BR14" s="1125"/>
      <c r="BS14" s="19" t="s">
        <v>805</v>
      </c>
      <c r="BT14" s="19" t="s">
        <v>691</v>
      </c>
      <c r="BW14" s="1122" t="str">
        <f t="shared" si="4"/>
        <v/>
      </c>
      <c r="CA14" s="1122"/>
      <c r="CC14" s="19" t="s">
        <v>87</v>
      </c>
      <c r="CM14" s="1098">
        <f>IF(F63="Entire Vehicle",1,IF(F63="Combination",1,0))</f>
        <v>0</v>
      </c>
      <c r="CN14" s="1204">
        <f>IF(F63="Driveline",1,IF(F63="Combination",1,0))</f>
        <v>0</v>
      </c>
      <c r="CO14" s="1204">
        <f>IF(F63="Combination",1,0)</f>
        <v>0</v>
      </c>
      <c r="CR14" s="1095" t="str">
        <f t="shared" si="7"/>
        <v/>
      </c>
      <c r="CT14" s="19" t="s">
        <v>108</v>
      </c>
      <c r="CV14" s="1096"/>
      <c r="CW14" s="19" t="str">
        <f t="shared" si="6"/>
        <v/>
      </c>
      <c r="CY14" s="19" t="s">
        <v>1214</v>
      </c>
      <c r="DA14" s="19"/>
      <c r="DB14" s="19"/>
      <c r="DC14" s="19" t="s">
        <v>206</v>
      </c>
      <c r="DD14" s="19"/>
      <c r="DE14" s="19" t="str">
        <f t="shared" si="10"/>
        <v>225 000 KM</v>
      </c>
      <c r="DH14" s="1122" t="s">
        <v>443</v>
      </c>
      <c r="DI14" s="1123" t="s">
        <v>521</v>
      </c>
      <c r="DL14" s="19" t="s">
        <v>65</v>
      </c>
      <c r="DM14" s="165" t="s">
        <v>962</v>
      </c>
    </row>
    <row r="15" spans="2:117" ht="15" customHeight="1" thickBot="1">
      <c r="B15" s="69">
        <f>IFERROR(VLOOKUP(C15,'price list MAN'!$B$5:$C$2002,2,FALSE),"")</f>
        <v>0</v>
      </c>
      <c r="C15" s="446"/>
      <c r="D15" s="29" t="str">
        <f>IFERROR(IF($M$9="Standard Warranty",VLOOKUP(C15,'price list MAN'!$B$5:$J$2002,9,FALSE),VLOOKUP(C15,'price list MAN'!$B$5:$M$2002,12,FALSE)),"")</f>
        <v/>
      </c>
      <c r="E15" s="29" t="str">
        <f>IFERROR(IF(C15="","",IF($M$9="Standard Warranty",VLOOKUP(C15,'price list MAN'!$B$5:$L$2002,11,FALSE),VLOOKUP(C15,'price list MAN'!$B$5:$O$2002,14,FALSE))),"")</f>
        <v/>
      </c>
      <c r="F15" s="29" t="str">
        <f>IFERROR(IF(C15="","",IF($M$9="Standard Warranty",VLOOKUP(C15,'price list MAN'!$B$5:$K$2002,10,FALSE),VLOOKUP(C15,'price list MAN'!$B$5:$N$2002,13,FALSE))),"")</f>
        <v/>
      </c>
      <c r="G15" s="76" t="str">
        <f>IFERROR(IF(C15="","",VLOOKUP(C15,'price list MAN'!$B$5:$F$2000,5,FALSE)),"")</f>
        <v/>
      </c>
      <c r="M15" s="55"/>
      <c r="Q15" s="165" t="str">
        <f t="shared" si="9"/>
        <v/>
      </c>
      <c r="R15" s="1086"/>
      <c r="S15" s="1087"/>
      <c r="V15" s="1083"/>
      <c r="W15" s="1083"/>
      <c r="X15" s="1083"/>
      <c r="Y15" s="1083"/>
      <c r="Z15" s="1083"/>
      <c r="AA15" s="1083"/>
      <c r="AB15" s="1083"/>
      <c r="AC15" s="1083"/>
      <c r="AD15" s="1083"/>
      <c r="AE15" s="1083"/>
      <c r="AF15" s="1083"/>
      <c r="AG15" s="1083"/>
      <c r="AH15" s="1083"/>
      <c r="AI15" s="1083"/>
      <c r="AJ15" s="1083"/>
      <c r="AK15" s="1083"/>
      <c r="AL15" s="1083"/>
      <c r="AM15" s="1083"/>
      <c r="AN15" s="1083"/>
      <c r="AO15" s="1083"/>
      <c r="AP15" s="1083"/>
      <c r="AQ15" s="1083"/>
      <c r="AR15" s="1088"/>
      <c r="AS15" s="1089"/>
      <c r="BD15" s="1127">
        <v>1</v>
      </c>
      <c r="BE15" s="1085">
        <f t="shared" si="0"/>
        <v>0</v>
      </c>
      <c r="BF15" s="1083" t="str">
        <f>IFERROR(IF($M$9="Standard Warranty",VLOOKUP(C19,'price list MAN'!$B$5:$L$2002,11,FALSE),VLOOKUP(C19,'price list MAN'!$B$5:$O$2002,14,FALSE)),"")</f>
        <v/>
      </c>
      <c r="BH15" s="165" t="s">
        <v>354</v>
      </c>
      <c r="BI15" s="1124" t="s">
        <v>220</v>
      </c>
      <c r="BJ15" s="1124" t="s">
        <v>220</v>
      </c>
      <c r="BK15" s="1124" t="s">
        <v>321</v>
      </c>
      <c r="BL15" s="1124" t="s">
        <v>158</v>
      </c>
      <c r="BM15" s="1125" t="s">
        <v>893</v>
      </c>
      <c r="BN15" s="1125" t="s">
        <v>315</v>
      </c>
      <c r="BO15" s="1125" t="s">
        <v>196</v>
      </c>
      <c r="BP15" s="1125" t="s">
        <v>756</v>
      </c>
      <c r="BQ15" s="1125" t="s">
        <v>702</v>
      </c>
      <c r="BR15" s="1125"/>
      <c r="BS15" s="19" t="s">
        <v>806</v>
      </c>
      <c r="BW15" s="1122" t="str">
        <f t="shared" si="4"/>
        <v/>
      </c>
      <c r="CA15" s="1122"/>
      <c r="CC15" s="19" t="s">
        <v>88</v>
      </c>
      <c r="CR15" s="1095" t="str">
        <f t="shared" si="7"/>
        <v/>
      </c>
      <c r="CT15" s="19" t="s">
        <v>1214</v>
      </c>
      <c r="CV15" s="1096"/>
      <c r="CW15" s="19" t="str">
        <f t="shared" si="6"/>
        <v/>
      </c>
      <c r="CY15" s="19" t="s">
        <v>207</v>
      </c>
      <c r="DA15" s="19"/>
      <c r="DB15" s="19"/>
      <c r="DC15" s="19" t="s">
        <v>104</v>
      </c>
      <c r="DD15" s="19"/>
      <c r="DE15" s="19" t="str">
        <f t="shared" si="10"/>
        <v>250 000 KM</v>
      </c>
      <c r="DH15" s="1122" t="s">
        <v>444</v>
      </c>
      <c r="DI15" s="1123" t="s">
        <v>520</v>
      </c>
      <c r="DL15" s="19" t="s">
        <v>53</v>
      </c>
      <c r="DM15" s="165" t="s">
        <v>963</v>
      </c>
    </row>
    <row r="16" spans="2:117" ht="15" customHeight="1">
      <c r="B16" s="69">
        <f>IFERROR(VLOOKUP(C16,'price list MAN'!$B$5:$C$2002,2,FALSE),"")</f>
        <v>0</v>
      </c>
      <c r="C16" s="446"/>
      <c r="D16" s="29" t="str">
        <f>IFERROR(IF($M$9="Standard Warranty",VLOOKUP(C16,'price list MAN'!$B$5:$J$2002,9,FALSE),VLOOKUP(C16,'price list MAN'!$B$5:$M$2002,12,FALSE)),"")</f>
        <v/>
      </c>
      <c r="E16" s="29" t="str">
        <f>IFERROR(IF(C16="","",IF($M$9="Standard Warranty",VLOOKUP(C16,'price list MAN'!$B$5:$L$2002,11,FALSE),VLOOKUP(C16,'price list MAN'!$B$5:$O$2002,14,FALSE))),"")</f>
        <v/>
      </c>
      <c r="F16" s="29" t="str">
        <f>IFERROR(IF(C16="","",IF($M$9="Standard Warranty",VLOOKUP(C16,'price list MAN'!$B$5:$K$2002,10,FALSE),VLOOKUP(C16,'price list MAN'!$B$5:$N$2002,13,FALSE))),"")</f>
        <v/>
      </c>
      <c r="G16" s="76" t="str">
        <f>IFERROR(IF(C16="","",VLOOKUP(C16,'price list MAN'!$B$5:$F$2000,5,FALSE)),"")</f>
        <v/>
      </c>
      <c r="I16" s="89" t="s">
        <v>19</v>
      </c>
      <c r="J16" s="81"/>
      <c r="K16" s="81"/>
      <c r="L16" s="216">
        <v>0</v>
      </c>
      <c r="M16" s="90">
        <f>L16*M13</f>
        <v>0</v>
      </c>
      <c r="Q16" s="165" t="str">
        <f t="shared" si="9"/>
        <v/>
      </c>
      <c r="R16" s="1086"/>
      <c r="S16" s="1087"/>
      <c r="V16" s="1083"/>
      <c r="W16" s="1083"/>
      <c r="X16" s="1083"/>
      <c r="Y16" s="1083"/>
      <c r="Z16" s="1083"/>
      <c r="AA16" s="1083"/>
      <c r="AB16" s="1083"/>
      <c r="AC16" s="1083"/>
      <c r="AD16" s="1083"/>
      <c r="AE16" s="1083"/>
      <c r="AF16" s="1083"/>
      <c r="AG16" s="1083"/>
      <c r="AH16" s="1083"/>
      <c r="AI16" s="1083"/>
      <c r="AJ16" s="1083"/>
      <c r="AK16" s="1083"/>
      <c r="AL16" s="1083"/>
      <c r="AM16" s="1083"/>
      <c r="AN16" s="1083"/>
      <c r="AO16" s="1083"/>
      <c r="AP16" s="1083"/>
      <c r="AQ16" s="1083"/>
      <c r="AR16" s="1088"/>
      <c r="AS16" s="1089"/>
      <c r="BD16" s="1128">
        <v>2</v>
      </c>
      <c r="BE16" s="1085">
        <f t="shared" si="0"/>
        <v>0</v>
      </c>
      <c r="BF16" s="1083" t="str">
        <f>IFERROR(IF($M$9="Standard Warranty",VLOOKUP(C20,'price list MAN'!$B$5:$L$2002,11,FALSE),VLOOKUP(C20,'price list MAN'!$B$5:$O$2002,14,FALSE)),"")</f>
        <v/>
      </c>
      <c r="BH16" s="165" t="s">
        <v>331</v>
      </c>
      <c r="BI16" s="1124" t="s">
        <v>216</v>
      </c>
      <c r="BJ16" s="1124" t="s">
        <v>216</v>
      </c>
      <c r="BK16" s="1124" t="s">
        <v>124</v>
      </c>
      <c r="BL16" s="1124" t="s">
        <v>128</v>
      </c>
      <c r="BM16" s="1125" t="s">
        <v>894</v>
      </c>
      <c r="BN16" s="1125" t="s">
        <v>127</v>
      </c>
      <c r="BO16" s="1125" t="s">
        <v>196</v>
      </c>
      <c r="BP16" s="1125" t="s">
        <v>757</v>
      </c>
      <c r="BQ16" s="1125" t="s">
        <v>703</v>
      </c>
      <c r="BR16" s="1125"/>
      <c r="BS16" s="19" t="s">
        <v>807</v>
      </c>
      <c r="BW16" s="1122" t="str">
        <f t="shared" si="4"/>
        <v/>
      </c>
      <c r="CA16" s="1122"/>
      <c r="CC16" s="19" t="s">
        <v>89</v>
      </c>
      <c r="CR16" s="1095" t="str">
        <f t="shared" si="7"/>
        <v/>
      </c>
      <c r="CT16" s="19" t="s">
        <v>207</v>
      </c>
      <c r="CV16" s="1096"/>
      <c r="CW16" s="19" t="str">
        <f t="shared" si="6"/>
        <v/>
      </c>
      <c r="CY16" s="19" t="s">
        <v>208</v>
      </c>
      <c r="DA16" s="19"/>
      <c r="DB16" s="19"/>
      <c r="DC16" s="19" t="s">
        <v>108</v>
      </c>
      <c r="DD16" s="19"/>
      <c r="DE16" s="19" t="str">
        <f t="shared" si="10"/>
        <v>300 000 KM</v>
      </c>
      <c r="DH16" s="1122" t="s">
        <v>445</v>
      </c>
      <c r="DI16" s="1123" t="s">
        <v>520</v>
      </c>
      <c r="DL16" s="19" t="s">
        <v>64</v>
      </c>
      <c r="DM16" s="165" t="s">
        <v>964</v>
      </c>
    </row>
    <row r="17" spans="2:113" ht="15" customHeight="1">
      <c r="B17" s="69">
        <f>IFERROR(VLOOKUP(C17,'price list MAN'!$B$5:$C$2002,2,FALSE),"")</f>
        <v>0</v>
      </c>
      <c r="C17" s="446"/>
      <c r="D17" s="29" t="str">
        <f>IFERROR(IF($M$9="Standard Warranty",VLOOKUP(C17,'price list MAN'!$B$5:$J$2002,9,FALSE),VLOOKUP(C17,'price list MAN'!$B$5:$M$2002,12,FALSE)),"")</f>
        <v/>
      </c>
      <c r="E17" s="29" t="str">
        <f>IFERROR(IF(C17="","",IF($M$9="Standard Warranty",VLOOKUP(C17,'price list MAN'!$B$5:$L$2002,11,FALSE),VLOOKUP(C17,'price list MAN'!$B$5:$O$2002,14,FALSE))),"")</f>
        <v/>
      </c>
      <c r="F17" s="29" t="str">
        <f>IFERROR(IF(C17="","",IF($M$9="Standard Warranty",VLOOKUP(C17,'price list MAN'!$B$5:$K$2002,10,FALSE),VLOOKUP(C17,'price list MAN'!$B$5:$N$2002,13,FALSE))),"")</f>
        <v/>
      </c>
      <c r="G17" s="76" t="str">
        <f>IFERROR(IF(C17="","",VLOOKUP(C17,'price list MAN'!$B$5:$F$2000,5,FALSE)),"")</f>
        <v/>
      </c>
      <c r="I17" s="91" t="s">
        <v>687</v>
      </c>
      <c r="L17" s="405"/>
      <c r="M17" s="400">
        <f>IF(AND(G3="KwaZulu-Natal",G4="Customer to collect from Pinetown"),1500*C39,IF(AND(G3&lt;&gt;"KwaZulu-Natal",G4="Customer to collect from Pinetown"),5000*C39,0))</f>
        <v>0</v>
      </c>
      <c r="Q17" s="165" t="str">
        <f t="shared" si="9"/>
        <v/>
      </c>
      <c r="R17" s="1086"/>
      <c r="S17" s="1087"/>
      <c r="V17" s="1083"/>
      <c r="W17" s="1083"/>
      <c r="X17" s="1083"/>
      <c r="Y17" s="1083"/>
      <c r="Z17" s="1083"/>
      <c r="AA17" s="1083"/>
      <c r="AB17" s="1083"/>
      <c r="AC17" s="1083"/>
      <c r="AD17" s="1083"/>
      <c r="AE17" s="1083"/>
      <c r="AF17" s="1083"/>
      <c r="AG17" s="1083"/>
      <c r="AH17" s="1083"/>
      <c r="AI17" s="1083"/>
      <c r="AJ17" s="1083"/>
      <c r="AK17" s="1083"/>
      <c r="AL17" s="1083"/>
      <c r="AM17" s="1083"/>
      <c r="AN17" s="1083"/>
      <c r="AO17" s="1083"/>
      <c r="AP17" s="1083"/>
      <c r="AQ17" s="1083"/>
      <c r="AR17" s="1088"/>
      <c r="AS17" s="1089"/>
      <c r="BD17" s="1129" t="s">
        <v>303</v>
      </c>
      <c r="BE17" s="1085">
        <f t="shared" si="0"/>
        <v>0</v>
      </c>
      <c r="BF17" s="1083" t="str">
        <f>IFERROR(IF($M$9="Standard Warranty",VLOOKUP(C21,'price list MAN'!$B$5:$L$2002,11,FALSE),VLOOKUP(C21,'price list MAN'!$B$5:$O$2002,14,FALSE)),"")</f>
        <v/>
      </c>
      <c r="BH17" s="165" t="s">
        <v>369</v>
      </c>
      <c r="BI17" s="1124" t="s">
        <v>219</v>
      </c>
      <c r="BJ17" s="1124" t="s">
        <v>219</v>
      </c>
      <c r="BK17" s="1124" t="s">
        <v>172</v>
      </c>
      <c r="BL17" s="1124" t="s">
        <v>173</v>
      </c>
      <c r="BM17" s="1125" t="s">
        <v>895</v>
      </c>
      <c r="BN17" s="1125" t="s">
        <v>169</v>
      </c>
      <c r="BO17" s="1125" t="s">
        <v>196</v>
      </c>
      <c r="BP17" s="1125" t="s">
        <v>758</v>
      </c>
      <c r="BQ17" s="1125" t="s">
        <v>704</v>
      </c>
      <c r="BR17" s="1125"/>
      <c r="BS17" s="19" t="s">
        <v>808</v>
      </c>
      <c r="BW17" s="1122" t="s">
        <v>90</v>
      </c>
      <c r="BX17" s="19" t="s">
        <v>90</v>
      </c>
      <c r="CA17" s="1122"/>
      <c r="CC17" s="19" t="s">
        <v>90</v>
      </c>
      <c r="CR17" s="1095" t="str">
        <f t="shared" si="7"/>
        <v/>
      </c>
      <c r="CT17" s="19" t="s">
        <v>208</v>
      </c>
      <c r="CV17" s="1096"/>
      <c r="CW17" s="19" t="str">
        <f t="shared" si="6"/>
        <v/>
      </c>
      <c r="CY17" s="19" t="s">
        <v>1215</v>
      </c>
      <c r="DA17" s="19"/>
      <c r="DB17" s="19"/>
      <c r="DC17" s="19" t="s">
        <v>207</v>
      </c>
      <c r="DD17" s="19"/>
      <c r="DE17" s="19" t="str">
        <f t="shared" si="10"/>
        <v>375 000 KM</v>
      </c>
      <c r="DH17" s="1122" t="s">
        <v>446</v>
      </c>
      <c r="DI17" s="1123" t="s">
        <v>520</v>
      </c>
    </row>
    <row r="18" spans="2:113" ht="15" customHeight="1">
      <c r="B18" s="69">
        <f>IFERROR(VLOOKUP(C18,'price list MAN'!$B$5:$C$2002,2,FALSE),"")</f>
        <v>0</v>
      </c>
      <c r="C18" s="446"/>
      <c r="D18" s="29" t="str">
        <f>IFERROR(IF($M$9="Standard Warranty",VLOOKUP(C18,'price list MAN'!$B$5:$J$2002,9,FALSE),VLOOKUP(C18,'price list MAN'!$B$5:$M$2002,12,FALSE)),"")</f>
        <v/>
      </c>
      <c r="E18" s="29" t="str">
        <f>IFERROR(IF(C18="","",IF($M$9="Standard Warranty",VLOOKUP(C18,'price list MAN'!$B$5:$L$2002,11,FALSE),VLOOKUP(C18,'price list MAN'!$B$5:$O$2002,14,FALSE))),"")</f>
        <v/>
      </c>
      <c r="F18" s="29" t="str">
        <f>IFERROR(IF(C18="","",IF($M$9="Standard Warranty",VLOOKUP(C18,'price list MAN'!$B$5:$K$2002,10,FALSE),VLOOKUP(C18,'price list MAN'!$B$5:$N$2002,13,FALSE))),"")</f>
        <v/>
      </c>
      <c r="G18" s="76" t="str">
        <f>IFERROR(IF(C18="","",VLOOKUP(C18,'price list MAN'!$B$5:$F$2000,5,FALSE)),"")</f>
        <v/>
      </c>
      <c r="I18" s="91" t="s">
        <v>299</v>
      </c>
      <c r="J18" s="7"/>
      <c r="K18" s="7"/>
      <c r="M18" s="1024">
        <f>SUM(M23:M37)*C39</f>
        <v>0</v>
      </c>
      <c r="Q18" s="165" t="str">
        <f t="shared" si="9"/>
        <v/>
      </c>
      <c r="R18" s="1086"/>
      <c r="S18" s="1087"/>
      <c r="V18" s="1083"/>
      <c r="W18" s="1083"/>
      <c r="X18" s="1083"/>
      <c r="Y18" s="1083"/>
      <c r="Z18" s="1083"/>
      <c r="AA18" s="1083"/>
      <c r="AB18" s="1083"/>
      <c r="AC18" s="1083"/>
      <c r="AD18" s="1083"/>
      <c r="AE18" s="1083"/>
      <c r="AF18" s="1083"/>
      <c r="AG18" s="1083"/>
      <c r="AH18" s="1083"/>
      <c r="AI18" s="1083"/>
      <c r="AJ18" s="1083"/>
      <c r="AK18" s="1083"/>
      <c r="AL18" s="1083"/>
      <c r="AM18" s="1083"/>
      <c r="AN18" s="1083"/>
      <c r="AO18" s="1083"/>
      <c r="AP18" s="1083"/>
      <c r="AQ18" s="1083"/>
      <c r="AR18" s="1088"/>
      <c r="AS18" s="1089"/>
      <c r="BD18" s="1129" t="s">
        <v>304</v>
      </c>
      <c r="BE18" s="1085">
        <f t="shared" si="0"/>
        <v>0</v>
      </c>
      <c r="BF18" s="1083" t="str">
        <f>IFERROR(IF($M$9="Standard Warranty",VLOOKUP(C22,'price list MAN'!$B$5:$L$2002,11,FALSE),VLOOKUP(C22,'price list MAN'!$B$5:$O$2002,14,FALSE)),"")</f>
        <v/>
      </c>
      <c r="BH18" s="165" t="s">
        <v>346</v>
      </c>
      <c r="BI18" s="1124" t="s">
        <v>217</v>
      </c>
      <c r="BJ18" s="1124" t="s">
        <v>217</v>
      </c>
      <c r="BK18" s="1124" t="s">
        <v>124</v>
      </c>
      <c r="BL18" s="1124" t="s">
        <v>151</v>
      </c>
      <c r="BM18" s="1125" t="s">
        <v>896</v>
      </c>
      <c r="BN18" s="1125" t="s">
        <v>314</v>
      </c>
      <c r="BO18" s="1125" t="s">
        <v>196</v>
      </c>
      <c r="BP18" s="1125" t="s">
        <v>759</v>
      </c>
      <c r="BQ18" s="1125" t="s">
        <v>705</v>
      </c>
      <c r="BR18" s="1125"/>
      <c r="BS18" s="19" t="s">
        <v>809</v>
      </c>
      <c r="BW18" s="1122" t="s">
        <v>91</v>
      </c>
      <c r="BX18" s="19" t="s">
        <v>91</v>
      </c>
      <c r="CA18" s="1122"/>
      <c r="CC18" s="19" t="s">
        <v>91</v>
      </c>
      <c r="CM18" s="1215" t="s">
        <v>224</v>
      </c>
      <c r="CN18" s="1215"/>
      <c r="CR18" s="1095" t="str">
        <f t="shared" si="7"/>
        <v/>
      </c>
      <c r="CT18" s="19" t="s">
        <v>1215</v>
      </c>
      <c r="CV18" s="1096"/>
      <c r="CW18" s="19" t="str">
        <f t="shared" si="6"/>
        <v/>
      </c>
      <c r="CY18" s="19" t="s">
        <v>110</v>
      </c>
      <c r="DA18" s="19"/>
      <c r="DB18" s="19"/>
      <c r="DC18" s="19" t="s">
        <v>208</v>
      </c>
      <c r="DD18" s="19"/>
      <c r="DE18" s="19" t="str">
        <f t="shared" si="10"/>
        <v>400 000 KM</v>
      </c>
      <c r="DH18" s="1122" t="s">
        <v>447</v>
      </c>
      <c r="DI18" s="1123" t="s">
        <v>520</v>
      </c>
    </row>
    <row r="19" spans="2:113" ht="15" customHeight="1" thickBot="1">
      <c r="B19" s="69">
        <f>IFERROR(VLOOKUP(C19,'price list MAN'!$B$5:$C$2002,2,FALSE),"")</f>
        <v>0</v>
      </c>
      <c r="C19" s="446"/>
      <c r="D19" s="29" t="str">
        <f>IFERROR(IF($M$9="Standard Warranty",VLOOKUP(C19,'price list MAN'!$B$5:$J$2002,9,FALSE),VLOOKUP(C19,'price list MAN'!$B$5:$M$2002,12,FALSE)),"")</f>
        <v/>
      </c>
      <c r="E19" s="29" t="str">
        <f>IFERROR(IF(C19="","",IF($M$9="Standard Warranty",VLOOKUP(C19,'price list MAN'!$B$5:$L$2002,11,FALSE),VLOOKUP(C19,'price list MAN'!$B$5:$O$2002,14,FALSE))),"")</f>
        <v/>
      </c>
      <c r="F19" s="29" t="str">
        <f>IFERROR(IF(C19="","",IF($M$9="Standard Warranty",VLOOKUP(C19,'price list MAN'!$B$5:$K$2002,10,FALSE),VLOOKUP(C19,'price list MAN'!$B$5:$N$2002,13,FALSE))),"")</f>
        <v/>
      </c>
      <c r="G19" s="76" t="str">
        <f>IFERROR(IF(C19="","",VLOOKUP(C19,'price list MAN'!$B$5:$F$2000,5,FALSE)),"")</f>
        <v/>
      </c>
      <c r="I19" s="86" t="s">
        <v>302</v>
      </c>
      <c r="J19" s="92"/>
      <c r="K19" s="92"/>
      <c r="L19" s="92"/>
      <c r="M19" s="93">
        <f>M13-M16-M17+M18</f>
        <v>2250000</v>
      </c>
      <c r="N19" s="1241"/>
      <c r="Q19" s="165" t="str">
        <f t="shared" si="9"/>
        <v/>
      </c>
      <c r="R19" s="1086"/>
      <c r="S19" s="1087"/>
      <c r="V19" s="1083"/>
      <c r="W19" s="1083"/>
      <c r="X19" s="1083"/>
      <c r="Y19" s="1083"/>
      <c r="Z19" s="1083"/>
      <c r="AA19" s="1083"/>
      <c r="AB19" s="1083"/>
      <c r="AC19" s="1083"/>
      <c r="AD19" s="1083"/>
      <c r="AE19" s="1083"/>
      <c r="AF19" s="1083"/>
      <c r="AG19" s="1083"/>
      <c r="AH19" s="1083"/>
      <c r="AI19" s="1083"/>
      <c r="AJ19" s="1083"/>
      <c r="AK19" s="1083"/>
      <c r="AL19" s="1083"/>
      <c r="AM19" s="1083"/>
      <c r="AN19" s="1083"/>
      <c r="AO19" s="1083"/>
      <c r="AP19" s="1083"/>
      <c r="AQ19" s="1083"/>
      <c r="AR19" s="1088"/>
      <c r="AS19" s="1089"/>
      <c r="BD19" s="1129" t="s">
        <v>305</v>
      </c>
      <c r="BE19" s="1085">
        <f t="shared" si="0"/>
        <v>0</v>
      </c>
      <c r="BF19" s="1083" t="str">
        <f>IFERROR(IF($M$9="Standard Warranty",VLOOKUP(C23,'price list MAN'!$B$5:$L$2002,11,FALSE),VLOOKUP(C23,'price list MAN'!$B$5:$O$2002,14,FALSE)),"")</f>
        <v/>
      </c>
      <c r="BH19" s="165" t="s">
        <v>327</v>
      </c>
      <c r="BI19" s="1124" t="s">
        <v>218</v>
      </c>
      <c r="BJ19" s="1124" t="s">
        <v>218</v>
      </c>
      <c r="BK19" s="1124" t="s">
        <v>122</v>
      </c>
      <c r="BL19" s="1124" t="s">
        <v>123</v>
      </c>
      <c r="BM19" s="1125" t="s">
        <v>897</v>
      </c>
      <c r="BN19" s="1118" t="s">
        <v>123</v>
      </c>
      <c r="BO19" s="1125" t="s">
        <v>196</v>
      </c>
      <c r="BP19" s="1125" t="s">
        <v>760</v>
      </c>
      <c r="BQ19" s="1125" t="s">
        <v>706</v>
      </c>
      <c r="BR19" s="1125"/>
      <c r="BS19" s="19" t="s">
        <v>689</v>
      </c>
      <c r="BT19" s="1204"/>
      <c r="BW19" s="1122" t="s">
        <v>92</v>
      </c>
      <c r="BX19" s="19" t="s">
        <v>92</v>
      </c>
      <c r="CA19" s="1122"/>
      <c r="CC19" s="19" t="s">
        <v>92</v>
      </c>
      <c r="CM19" s="19" t="str">
        <f>IF(OR($O$43="TGS4X4",$O$43="TGS6X4",$O$43="TGS8X4",$O$43="TGX4X4",$O$43="TGX6X4",$O$43="TGX8X4"),"Longhaul","Not Longhaul")</f>
        <v>Longhaul</v>
      </c>
      <c r="CN19" s="19" t="str">
        <f>IF(OR($O$41="CLA",$O$41="TGM",$O$41="VW"),"",CM19)</f>
        <v>Longhaul</v>
      </c>
      <c r="CR19" s="1095" t="str">
        <f t="shared" si="7"/>
        <v/>
      </c>
      <c r="CT19" s="19" t="s">
        <v>110</v>
      </c>
      <c r="CV19" s="1096"/>
      <c r="CW19" s="19" t="str">
        <f t="shared" si="6"/>
        <v/>
      </c>
      <c r="CY19" s="19" t="s">
        <v>209</v>
      </c>
      <c r="DA19" s="19"/>
      <c r="DB19" s="19"/>
      <c r="DC19" s="19" t="s">
        <v>110</v>
      </c>
      <c r="DD19" s="19"/>
      <c r="DE19" s="19" t="str">
        <f t="shared" si="10"/>
        <v>450 000 KM</v>
      </c>
      <c r="DH19" s="1122" t="s">
        <v>448</v>
      </c>
      <c r="DI19" s="1123" t="s">
        <v>520</v>
      </c>
    </row>
    <row r="20" spans="2:113" ht="15" customHeight="1" thickBot="1">
      <c r="B20" s="69">
        <f>IFERROR(VLOOKUP(C20,'price list MAN'!$B$5:$C$2002,2,FALSE),"")</f>
        <v>0</v>
      </c>
      <c r="C20" s="446"/>
      <c r="D20" s="29" t="str">
        <f>IFERROR(IF($M$9="Standard Warranty",VLOOKUP(C20,'price list MAN'!$B$5:$J$2002,9,FALSE),VLOOKUP(C20,'price list MAN'!$B$5:$M$2002,12,FALSE)),"")</f>
        <v/>
      </c>
      <c r="E20" s="29" t="str">
        <f>IFERROR(IF(C20="","",IF($M$9="Standard Warranty",VLOOKUP(C20,'price list MAN'!$B$5:$L$2002,11,FALSE),VLOOKUP(C20,'price list MAN'!$B$5:$O$2002,14,FALSE))),"")</f>
        <v/>
      </c>
      <c r="F20" s="29" t="str">
        <f>IFERROR(IF(C20="","",IF($M$9="Standard Warranty",VLOOKUP(C20,'price list MAN'!$B$5:$K$2002,10,FALSE),VLOOKUP(C20,'price list MAN'!$B$5:$N$2002,13,FALSE))),"")</f>
        <v/>
      </c>
      <c r="G20" s="76" t="str">
        <f>IFERROR(IF(C20="","",VLOOKUP(C20,'price list MAN'!$B$5:$F$2000,5,FALSE)),"")</f>
        <v/>
      </c>
      <c r="M20" s="189">
        <f>IF(L16&gt;0.2,1,0)</f>
        <v>0</v>
      </c>
      <c r="N20" s="1241"/>
      <c r="Q20" s="165" t="str">
        <f t="shared" si="9"/>
        <v/>
      </c>
      <c r="R20" s="1086"/>
      <c r="S20" s="1087"/>
      <c r="V20" s="1083"/>
      <c r="W20" s="1083"/>
      <c r="X20" s="1083"/>
      <c r="Y20" s="1083"/>
      <c r="Z20" s="1083"/>
      <c r="AA20" s="1083"/>
      <c r="AB20" s="1083"/>
      <c r="AC20" s="1083"/>
      <c r="AD20" s="1083"/>
      <c r="AE20" s="1083"/>
      <c r="AF20" s="1083"/>
      <c r="AG20" s="1083"/>
      <c r="AH20" s="1083"/>
      <c r="AI20" s="1083"/>
      <c r="AJ20" s="1083"/>
      <c r="AK20" s="1083"/>
      <c r="AL20" s="1083"/>
      <c r="AM20" s="1083"/>
      <c r="AN20" s="1083"/>
      <c r="AO20" s="1083"/>
      <c r="AP20" s="1083"/>
      <c r="AQ20" s="1083"/>
      <c r="AR20" s="1088"/>
      <c r="AS20" s="1089"/>
      <c r="BD20" s="1129" t="s">
        <v>306</v>
      </c>
      <c r="BE20" s="1085">
        <f t="shared" si="0"/>
        <v>0</v>
      </c>
      <c r="BF20" s="1083" t="str">
        <f>IFERROR(IF($M$9="Standard Warranty",VLOOKUP(C24,'price list MAN'!$B$5:$L$2002,11,FALSE),VLOOKUP(C24,'price list MAN'!$B$5:$O$2002,14,FALSE)),"")</f>
        <v/>
      </c>
      <c r="BH20" s="165" t="s">
        <v>371</v>
      </c>
      <c r="BI20" s="1124" t="s">
        <v>219</v>
      </c>
      <c r="BJ20" s="1124" t="s">
        <v>219</v>
      </c>
      <c r="BK20" s="1124" t="s">
        <v>124</v>
      </c>
      <c r="BL20" s="1124" t="s">
        <v>175</v>
      </c>
      <c r="BM20" s="1125" t="s">
        <v>898</v>
      </c>
      <c r="BN20" s="1125" t="s">
        <v>169</v>
      </c>
      <c r="BO20" s="1125" t="s">
        <v>196</v>
      </c>
      <c r="BP20" s="1125" t="s">
        <v>761</v>
      </c>
      <c r="BQ20" s="1125" t="s">
        <v>707</v>
      </c>
      <c r="BR20" s="1125"/>
      <c r="BS20" s="19" t="s">
        <v>810</v>
      </c>
      <c r="BU20" s="1204"/>
      <c r="BW20" s="1122" t="s">
        <v>93</v>
      </c>
      <c r="BX20" s="19" t="s">
        <v>93</v>
      </c>
      <c r="CA20" s="1122"/>
      <c r="CC20" s="19" t="s">
        <v>93</v>
      </c>
      <c r="CM20" s="19" t="s">
        <v>225</v>
      </c>
      <c r="CN20" s="19" t="str">
        <f>IF(OR($O$41="CLA",$O$41="TGM",$O$41="VW"),"",CM20)</f>
        <v>Traction/Distribution</v>
      </c>
      <c r="CR20" s="1095" t="str">
        <f t="shared" si="7"/>
        <v/>
      </c>
      <c r="CT20" s="19" t="s">
        <v>209</v>
      </c>
      <c r="CV20" s="1096"/>
      <c r="CW20" s="19" t="str">
        <f t="shared" si="6"/>
        <v/>
      </c>
      <c r="CY20" s="19" t="s">
        <v>1216</v>
      </c>
      <c r="DB20" s="19"/>
      <c r="DC20" s="19" t="s">
        <v>209</v>
      </c>
      <c r="DD20" s="19"/>
      <c r="DE20" s="19" t="str">
        <f t="shared" si="10"/>
        <v>500 000 KM</v>
      </c>
      <c r="DH20" s="1122" t="s">
        <v>449</v>
      </c>
      <c r="DI20" s="1123" t="s">
        <v>520</v>
      </c>
    </row>
    <row r="21" spans="2:113" ht="15" customHeight="1" thickBot="1">
      <c r="B21" s="69">
        <f>IFERROR(VLOOKUP(C21,'price list MAN'!$B$5:$C$2002,2,FALSE),"")</f>
        <v>0</v>
      </c>
      <c r="C21" s="446"/>
      <c r="D21" s="29" t="str">
        <f>IFERROR(IF($M$9="Standard Warranty",VLOOKUP(C21,'price list MAN'!$B$5:$J$2002,9,FALSE),VLOOKUP(C21,'price list MAN'!$B$5:$M$2002,12,FALSE)),"")</f>
        <v/>
      </c>
      <c r="E21" s="29" t="str">
        <f>IFERROR(IF(C21="","",IF($M$9="Standard Warranty",VLOOKUP(C21,'price list MAN'!$B$5:$L$2002,11,FALSE),VLOOKUP(C21,'price list MAN'!$B$5:$O$2002,14,FALSE))),"")</f>
        <v/>
      </c>
      <c r="F21" s="29" t="str">
        <f>IFERROR(IF(C21="","",IF($M$9="Standard Warranty",VLOOKUP(C21,'price list MAN'!$B$5:$K$2002,10,FALSE),VLOOKUP(C21,'price list MAN'!$B$5:$N$2002,13,FALSE))),"")</f>
        <v/>
      </c>
      <c r="G21" s="76" t="str">
        <f>IFERROR(IF(C21="","",VLOOKUP(C21,'price list MAN'!$B$5:$F$2000,5,FALSE)),"")</f>
        <v/>
      </c>
      <c r="H21" s="217" t="s">
        <v>111</v>
      </c>
      <c r="I21" s="94" t="s">
        <v>563</v>
      </c>
      <c r="J21" s="95"/>
      <c r="K21" s="95"/>
      <c r="L21" s="96"/>
      <c r="M21" s="1025">
        <f>SUM(L23:L37)</f>
        <v>0</v>
      </c>
      <c r="N21" s="1152"/>
      <c r="Q21" s="165" t="str">
        <f t="shared" si="9"/>
        <v/>
      </c>
      <c r="R21" s="1086"/>
      <c r="S21" s="1087"/>
      <c r="V21" s="1083"/>
      <c r="W21" s="1083"/>
      <c r="X21" s="1083"/>
      <c r="Y21" s="1083"/>
      <c r="Z21" s="1083"/>
      <c r="AA21" s="1083"/>
      <c r="AB21" s="1083"/>
      <c r="AC21" s="1083"/>
      <c r="AD21" s="1083"/>
      <c r="AE21" s="1083"/>
      <c r="AF21" s="1083"/>
      <c r="AG21" s="1083"/>
      <c r="AH21" s="1083"/>
      <c r="AI21" s="1083"/>
      <c r="AJ21" s="1083"/>
      <c r="AK21" s="1083"/>
      <c r="AL21" s="1083"/>
      <c r="AM21" s="1083"/>
      <c r="AN21" s="1083"/>
      <c r="AO21" s="1083"/>
      <c r="AP21" s="1083"/>
      <c r="AQ21" s="1083"/>
      <c r="AR21" s="1088"/>
      <c r="AS21" s="1089"/>
      <c r="BE21" s="1085">
        <f t="shared" si="0"/>
        <v>0</v>
      </c>
      <c r="BF21" s="1083" t="str">
        <f>IFERROR(IF($M$9="Standard Warranty",VLOOKUP(C25,'price list MAN'!$B$5:$L$2002,11,FALSE),VLOOKUP(C25,'price list MAN'!$B$5:$O$2002,14,FALSE)),"")</f>
        <v/>
      </c>
      <c r="BH21" s="165" t="s">
        <v>359</v>
      </c>
      <c r="BI21" s="1124" t="s">
        <v>220</v>
      </c>
      <c r="BJ21" s="1124" t="s">
        <v>220</v>
      </c>
      <c r="BK21" s="1124" t="s">
        <v>124</v>
      </c>
      <c r="BL21" s="1124" t="s">
        <v>163</v>
      </c>
      <c r="BM21" s="1125" t="s">
        <v>899</v>
      </c>
      <c r="BN21" s="1125" t="s">
        <v>315</v>
      </c>
      <c r="BO21" s="1125" t="s">
        <v>196</v>
      </c>
      <c r="BP21" s="1125" t="s">
        <v>762</v>
      </c>
      <c r="BQ21" s="1125" t="s">
        <v>708</v>
      </c>
      <c r="BR21" s="1125"/>
      <c r="BS21" s="19" t="s">
        <v>811</v>
      </c>
      <c r="BW21" s="1122" t="s">
        <v>94</v>
      </c>
      <c r="BX21" s="19" t="s">
        <v>94</v>
      </c>
      <c r="CA21" s="1122"/>
      <c r="CC21" s="19" t="s">
        <v>94</v>
      </c>
      <c r="CM21" s="19" t="str">
        <f>IF(OR($I$77="TGS4X2",$I$77="TGS6X2",$I$77="TGS8X2",$I$77="TGX2X2",$I$77="TGX6X2",$I$77="TGX8X2"),"","Hydrodrive")</f>
        <v>Hydrodrive</v>
      </c>
      <c r="CN21" s="19" t="str">
        <f>IF(OR($O$41="CLA",$O$41="TGM",$O$41="VW"),"",CM21)</f>
        <v>Hydrodrive</v>
      </c>
      <c r="CR21" s="1095" t="str">
        <f t="shared" si="7"/>
        <v/>
      </c>
      <c r="CT21" s="19" t="s">
        <v>1216</v>
      </c>
      <c r="CW21" s="19" t="str">
        <f t="shared" si="6"/>
        <v/>
      </c>
      <c r="CY21" s="19" t="s">
        <v>1217</v>
      </c>
      <c r="DB21" s="19"/>
      <c r="DC21" s="19" t="s">
        <v>114</v>
      </c>
      <c r="DD21" s="19"/>
      <c r="DE21" s="19" t="str">
        <f t="shared" si="10"/>
        <v>600 000 KM</v>
      </c>
      <c r="DH21" s="1122" t="s">
        <v>231</v>
      </c>
      <c r="DI21" s="1123" t="s">
        <v>519</v>
      </c>
    </row>
    <row r="22" spans="2:113" ht="15" customHeight="1" thickBot="1">
      <c r="B22" s="69">
        <f>IFERROR(VLOOKUP(C22,'price list MAN'!$B$5:$C$2002,2,FALSE),"")</f>
        <v>0</v>
      </c>
      <c r="C22" s="446"/>
      <c r="D22" s="29" t="str">
        <f>IFERROR(IF($M$9="Standard Warranty",VLOOKUP(C22,'price list MAN'!$B$5:$J$2002,9,FALSE),VLOOKUP(C22,'price list MAN'!$B$5:$M$2002,12,FALSE)),"")</f>
        <v/>
      </c>
      <c r="E22" s="29" t="str">
        <f>IFERROR(IF(C22="","",IF($M$9="Standard Warranty",VLOOKUP(C22,'price list MAN'!$B$5:$L$2002,11,FALSE),VLOOKUP(C22,'price list MAN'!$B$5:$O$2002,14,FALSE))),"")</f>
        <v/>
      </c>
      <c r="F22" s="29" t="str">
        <f>IFERROR(IF(C22="","",IF($M$9="Standard Warranty",VLOOKUP(C22,'price list MAN'!$B$5:$K$2002,10,FALSE),VLOOKUP(C22,'price list MAN'!$B$5:$N$2002,13,FALSE))),"")</f>
        <v/>
      </c>
      <c r="G22" s="76" t="str">
        <f>IFERROR(IF(C22="","",VLOOKUP(C22,'price list MAN'!$B$5:$F$2000,5,FALSE)),"")</f>
        <v/>
      </c>
      <c r="H22" s="217" t="s">
        <v>111</v>
      </c>
      <c r="I22" s="80" t="s">
        <v>310</v>
      </c>
      <c r="J22" s="215" t="s">
        <v>213</v>
      </c>
      <c r="K22" s="215" t="s">
        <v>560</v>
      </c>
      <c r="L22" s="215" t="s">
        <v>397</v>
      </c>
      <c r="M22" s="205" t="s">
        <v>38</v>
      </c>
      <c r="N22" s="1152"/>
      <c r="Q22" s="165" t="str">
        <f t="shared" si="9"/>
        <v/>
      </c>
      <c r="R22" s="1086"/>
      <c r="S22" s="1087"/>
      <c r="V22" s="1083"/>
      <c r="W22" s="1083"/>
      <c r="X22" s="1083"/>
      <c r="Y22" s="1083"/>
      <c r="Z22" s="1083"/>
      <c r="AA22" s="1083"/>
      <c r="AB22" s="1083"/>
      <c r="AC22" s="1083"/>
      <c r="AD22" s="1083"/>
      <c r="AE22" s="1083"/>
      <c r="AF22" s="1083"/>
      <c r="AG22" s="1083"/>
      <c r="AH22" s="1083"/>
      <c r="AI22" s="1083"/>
      <c r="AJ22" s="1083"/>
      <c r="AK22" s="1083"/>
      <c r="AL22" s="1083"/>
      <c r="AM22" s="1083"/>
      <c r="AN22" s="1083"/>
      <c r="AO22" s="1083"/>
      <c r="AP22" s="1083"/>
      <c r="AQ22" s="1083"/>
      <c r="AR22" s="1088"/>
      <c r="AS22" s="1089"/>
      <c r="BE22" s="1085">
        <f t="shared" si="0"/>
        <v>0</v>
      </c>
      <c r="BF22" s="1083" t="str">
        <f>IFERROR(IF($M$9="Standard Warranty",VLOOKUP(C26,'price list MAN'!$B$5:$L$2002,11,FALSE),VLOOKUP(C26,'price list MAN'!$B$5:$O$2002,14,FALSE)),"")</f>
        <v/>
      </c>
      <c r="BH22" s="165" t="s">
        <v>363</v>
      </c>
      <c r="BI22" s="1124" t="s">
        <v>221</v>
      </c>
      <c r="BJ22" s="1124" t="s">
        <v>221</v>
      </c>
      <c r="BK22" s="1124" t="s">
        <v>124</v>
      </c>
      <c r="BL22" s="1124" t="s">
        <v>165</v>
      </c>
      <c r="BM22" s="1125" t="s">
        <v>899</v>
      </c>
      <c r="BN22" s="1125" t="s">
        <v>317</v>
      </c>
      <c r="BO22" s="1125" t="s">
        <v>196</v>
      </c>
      <c r="BP22" s="1125" t="s">
        <v>762</v>
      </c>
      <c r="BQ22" s="1125" t="s">
        <v>708</v>
      </c>
      <c r="BR22" s="1125"/>
      <c r="BU22" s="1122"/>
      <c r="BW22" s="1122" t="s">
        <v>95</v>
      </c>
      <c r="BX22" s="19" t="s">
        <v>95</v>
      </c>
      <c r="CA22" s="1122"/>
      <c r="CC22" s="19" t="s">
        <v>95</v>
      </c>
      <c r="CM22" s="19" t="str">
        <f>IF(OR($I$77="TGS4X2",$I$77="TGS6X2",$I$77="TGS8X2",$I$77="TGX2X2",$I$77="TGX6X2",$I$77="TGX8X2"),"","Heavy Duty")</f>
        <v>Heavy Duty</v>
      </c>
      <c r="CN22" s="19" t="str">
        <f>IF(OR($O$41="CLA",$O$41="TGM",$O$41="VW"),"",CM22)</f>
        <v>Heavy Duty</v>
      </c>
      <c r="CQ22" s="1122"/>
      <c r="CR22" s="1095" t="str">
        <f t="shared" si="7"/>
        <v/>
      </c>
      <c r="CT22" s="19" t="s">
        <v>1217</v>
      </c>
      <c r="CW22" s="19" t="str">
        <f t="shared" ref="CW22:CW33" si="11">IF(OR($CN$14=0,$F$63="None"),"",CY22)</f>
        <v/>
      </c>
      <c r="CY22" s="19" t="s">
        <v>114</v>
      </c>
      <c r="DB22" s="19"/>
      <c r="DC22" s="19" t="s">
        <v>211</v>
      </c>
      <c r="DD22" s="19"/>
      <c r="DE22" s="19" t="str">
        <f t="shared" si="10"/>
        <v>750 000 KM</v>
      </c>
      <c r="DH22" s="1122" t="s">
        <v>229</v>
      </c>
      <c r="DI22" s="1123" t="s">
        <v>521</v>
      </c>
    </row>
    <row r="23" spans="2:113" ht="15" customHeight="1">
      <c r="B23" s="69">
        <f>IFERROR(VLOOKUP(C23,'price list MAN'!$B$5:$C$2002,2,FALSE),"")</f>
        <v>0</v>
      </c>
      <c r="C23" s="446"/>
      <c r="D23" s="29" t="str">
        <f>IFERROR(IF($M$9="Standard Warranty",VLOOKUP(C23,'price list MAN'!$B$5:$J$2002,9,FALSE),VLOOKUP(C23,'price list MAN'!$B$5:$M$2002,12,FALSE)),"")</f>
        <v/>
      </c>
      <c r="E23" s="29" t="str">
        <f>IFERROR(IF(C23="","",IF($M$9="Standard Warranty",VLOOKUP(C23,'price list MAN'!$B$5:$L$2002,11,FALSE),VLOOKUP(C23,'price list MAN'!$B$5:$O$2002,14,FALSE))),"")</f>
        <v/>
      </c>
      <c r="F23" s="29" t="str">
        <f>IFERROR(IF(C23="","",IF($M$9="Standard Warranty",VLOOKUP(C23,'price list MAN'!$B$5:$K$2002,10,FALSE),VLOOKUP(C23,'price list MAN'!$B$5:$N$2002,13,FALSE))),"")</f>
        <v/>
      </c>
      <c r="G23" s="76" t="str">
        <f>IFERROR(IF(C23="","",VLOOKUP(C23,'price list MAN'!$B$5:$F$2000,5,FALSE)),"")</f>
        <v/>
      </c>
      <c r="H23" s="217" t="s">
        <v>111</v>
      </c>
      <c r="I23" s="749" t="str">
        <f>IF(EXW="None","",IF(AND(EXW="Entire Vehicle",EVE&lt;&gt;"",C67&lt;&gt;""),"Ext Warranty"&amp;" : "&amp;EXW,IF(AND(EXW="Driveline",DLM&lt;&gt;"",D67&lt;&gt;""),"Ext Warranty"&amp;" : "&amp;EXW,"Ext Warranty"&amp;" : "&amp;"Bumper to Bumper")))</f>
        <v/>
      </c>
      <c r="J23" s="750" t="str">
        <f>IF(EXW="None","","VMS")</f>
        <v/>
      </c>
      <c r="K23" s="751" t="str">
        <f t="shared" ref="K23:K37" si="12">IF(I23="","",IF(ISNUMBER(SEARCH("licens",I23)),"N","Y"))</f>
        <v/>
      </c>
      <c r="L23" s="1021" t="str">
        <f>IF(EXW="None","",EWC)</f>
        <v/>
      </c>
      <c r="M23" s="752" t="str">
        <f>IF(EXW="None","",EWCUS)</f>
        <v/>
      </c>
      <c r="N23" s="1152"/>
      <c r="Q23" s="165" t="str">
        <f t="shared" si="9"/>
        <v/>
      </c>
      <c r="R23" s="1086"/>
      <c r="S23" s="1087"/>
      <c r="V23" s="1083"/>
      <c r="W23" s="1083"/>
      <c r="X23" s="1083"/>
      <c r="Y23" s="1083"/>
      <c r="Z23" s="1083"/>
      <c r="AA23" s="1083"/>
      <c r="AB23" s="1083"/>
      <c r="AC23" s="1083"/>
      <c r="AD23" s="1083"/>
      <c r="AE23" s="1083"/>
      <c r="AF23" s="1083"/>
      <c r="AG23" s="1083"/>
      <c r="AH23" s="1083"/>
      <c r="AI23" s="1083"/>
      <c r="AJ23" s="1083"/>
      <c r="AK23" s="1083"/>
      <c r="AL23" s="1083"/>
      <c r="AM23" s="1083"/>
      <c r="AN23" s="1083"/>
      <c r="AO23" s="1083"/>
      <c r="AP23" s="1083"/>
      <c r="AQ23" s="1083"/>
      <c r="AR23" s="1088"/>
      <c r="AS23" s="1089"/>
      <c r="BE23" s="1085">
        <f t="shared" si="0"/>
        <v>0</v>
      </c>
      <c r="BF23" s="1083" t="str">
        <f>IFERROR(IF($M$9="Standard Warranty",VLOOKUP(C27,'price list MAN'!$B$5:$L$2002,11,FALSE),VLOOKUP(C27,'price list MAN'!$B$5:$O$2002,14,FALSE)),"")</f>
        <v/>
      </c>
      <c r="BH23" s="165" t="s">
        <v>355</v>
      </c>
      <c r="BI23" s="1124" t="s">
        <v>220</v>
      </c>
      <c r="BJ23" s="1124" t="s">
        <v>220</v>
      </c>
      <c r="BK23" s="1124" t="s">
        <v>124</v>
      </c>
      <c r="BL23" s="1124" t="s">
        <v>159</v>
      </c>
      <c r="BM23" s="1125" t="s">
        <v>900</v>
      </c>
      <c r="BN23" s="1125" t="s">
        <v>315</v>
      </c>
      <c r="BO23" s="1125" t="s">
        <v>196</v>
      </c>
      <c r="BP23" s="1125" t="s">
        <v>763</v>
      </c>
      <c r="BQ23" s="1125" t="s">
        <v>709</v>
      </c>
      <c r="BR23" s="1125"/>
      <c r="BU23" s="1122"/>
      <c r="BW23" s="1122" t="s">
        <v>97</v>
      </c>
      <c r="BX23" s="19" t="s">
        <v>97</v>
      </c>
      <c r="CA23" s="1122"/>
      <c r="CC23" s="19" t="s">
        <v>97</v>
      </c>
      <c r="CM23" s="19" t="str">
        <f>IF(OR(O41="VW",O41="CLA"),"",IF(O40="On-Road","","Off-Road"))</f>
        <v/>
      </c>
      <c r="CN23" s="19" t="str">
        <f>CM23</f>
        <v/>
      </c>
      <c r="CR23" s="1095" t="str">
        <f t="shared" si="7"/>
        <v/>
      </c>
      <c r="CT23" s="19" t="s">
        <v>114</v>
      </c>
      <c r="CV23" s="1096"/>
      <c r="CW23" s="19" t="str">
        <f t="shared" si="11"/>
        <v/>
      </c>
      <c r="CY23" s="19" t="s">
        <v>1218</v>
      </c>
      <c r="DC23" s="165" t="s">
        <v>558</v>
      </c>
      <c r="DE23" s="19" t="str">
        <f t="shared" si="10"/>
        <v>OTHER</v>
      </c>
      <c r="DH23" s="1122" t="s">
        <v>450</v>
      </c>
      <c r="DI23" s="1123" t="s">
        <v>521</v>
      </c>
    </row>
    <row r="24" spans="2:113" ht="15" customHeight="1">
      <c r="B24" s="69">
        <f>IFERROR(VLOOKUP(C24,'price list MAN'!$B$5:$C$2002,2,FALSE),"")</f>
        <v>0</v>
      </c>
      <c r="C24" s="446"/>
      <c r="D24" s="29" t="str">
        <f>IFERROR(IF($M$9="Standard Warranty",VLOOKUP(C24,'price list MAN'!$B$5:$J$2002,9,FALSE),VLOOKUP(C24,'price list MAN'!$B$5:$M$2002,12,FALSE)),"")</f>
        <v/>
      </c>
      <c r="E24" s="29" t="str">
        <f>IFERROR(IF(C24="","",IF($M$9="Standard Warranty",VLOOKUP(C24,'price list MAN'!$B$5:$L$2002,11,FALSE),VLOOKUP(C24,'price list MAN'!$B$5:$O$2002,14,FALSE))),"")</f>
        <v/>
      </c>
      <c r="F24" s="29" t="str">
        <f>IFERROR(IF(C24="","",IF($M$9="Standard Warranty",VLOOKUP(C24,'price list MAN'!$B$5:$K$2002,10,FALSE),VLOOKUP(C24,'price list MAN'!$B$5:$N$2002,13,FALSE))),"")</f>
        <v/>
      </c>
      <c r="G24" s="76" t="str">
        <f>IFERROR(IF(C24="","",VLOOKUP(C24,'price list MAN'!$B$5:$F$2000,5,FALSE)),"")</f>
        <v/>
      </c>
      <c r="H24" s="217" t="s">
        <v>111</v>
      </c>
      <c r="I24" s="98"/>
      <c r="J24" s="220"/>
      <c r="K24" s="871" t="str">
        <f t="shared" si="12"/>
        <v/>
      </c>
      <c r="L24" s="1022"/>
      <c r="M24" s="99"/>
      <c r="N24" s="1152"/>
      <c r="Q24" s="165" t="str">
        <f t="shared" si="9"/>
        <v/>
      </c>
      <c r="R24" s="1086"/>
      <c r="S24" s="1087"/>
      <c r="V24" s="1083"/>
      <c r="W24" s="1083"/>
      <c r="X24" s="1083"/>
      <c r="Y24" s="1083"/>
      <c r="Z24" s="1083"/>
      <c r="AA24" s="1083"/>
      <c r="AB24" s="1083"/>
      <c r="AC24" s="1083"/>
      <c r="AD24" s="1083"/>
      <c r="AE24" s="1083"/>
      <c r="AF24" s="1083"/>
      <c r="AG24" s="1083"/>
      <c r="AH24" s="1083"/>
      <c r="AI24" s="1083"/>
      <c r="AJ24" s="1083"/>
      <c r="AK24" s="1083"/>
      <c r="AL24" s="1083"/>
      <c r="AM24" s="1083"/>
      <c r="AN24" s="1083"/>
      <c r="AO24" s="1083"/>
      <c r="AP24" s="1083"/>
      <c r="AQ24" s="1083"/>
      <c r="AR24" s="1088"/>
      <c r="AS24" s="1089"/>
      <c r="BE24" s="1085">
        <f t="shared" si="0"/>
        <v>0</v>
      </c>
      <c r="BF24" s="1083" t="str">
        <f>IFERROR(IF($M$9="Standard Warranty",VLOOKUP(C28,'price list MAN'!$B$5:$L$2002,11,FALSE),VLOOKUP(C28,'price list MAN'!$B$5:$O$2002,14,FALSE)),"")</f>
        <v/>
      </c>
      <c r="BH24" s="165" t="s">
        <v>362</v>
      </c>
      <c r="BI24" s="1124" t="s">
        <v>221</v>
      </c>
      <c r="BJ24" s="1124" t="s">
        <v>221</v>
      </c>
      <c r="BK24" s="1124" t="s">
        <v>322</v>
      </c>
      <c r="BL24" s="1124" t="s">
        <v>164</v>
      </c>
      <c r="BM24" s="1125" t="s">
        <v>900</v>
      </c>
      <c r="BN24" s="1125" t="s">
        <v>317</v>
      </c>
      <c r="BO24" s="1125" t="s">
        <v>196</v>
      </c>
      <c r="BP24" s="1125" t="s">
        <v>763</v>
      </c>
      <c r="BQ24" s="1125" t="s">
        <v>709</v>
      </c>
      <c r="BR24" s="1125"/>
      <c r="BU24" s="1122"/>
      <c r="BW24" s="1122" t="s">
        <v>98</v>
      </c>
      <c r="BX24" s="19" t="s">
        <v>98</v>
      </c>
      <c r="CA24" s="1122"/>
      <c r="CC24" s="19" t="s">
        <v>98</v>
      </c>
      <c r="CR24" s="1095" t="str">
        <f t="shared" si="7"/>
        <v/>
      </c>
      <c r="CT24" s="19" t="s">
        <v>1218</v>
      </c>
      <c r="CW24" s="19" t="str">
        <f t="shared" si="11"/>
        <v/>
      </c>
      <c r="CY24" s="19" t="s">
        <v>210</v>
      </c>
      <c r="DH24" s="1122" t="s">
        <v>451</v>
      </c>
      <c r="DI24" s="1123" t="s">
        <v>520</v>
      </c>
    </row>
    <row r="25" spans="2:113" ht="15" customHeight="1">
      <c r="B25" s="69">
        <f>IFERROR(VLOOKUP(C25,'price list MAN'!$B$5:$C$2002,2,FALSE),"")</f>
        <v>0</v>
      </c>
      <c r="C25" s="446"/>
      <c r="D25" s="29" t="str">
        <f>IFERROR(IF($M$9="Standard Warranty",VLOOKUP(C25,'price list MAN'!$B$5:$J$2002,9,FALSE),VLOOKUP(C25,'price list MAN'!$B$5:$M$2002,12,FALSE)),"")</f>
        <v/>
      </c>
      <c r="E25" s="29" t="str">
        <f>IFERROR(IF(C25="","",IF($M$9="Standard Warranty",VLOOKUP(C25,'price list MAN'!$B$5:$L$2002,11,FALSE),VLOOKUP(C25,'price list MAN'!$B$5:$O$2002,14,FALSE))),"")</f>
        <v/>
      </c>
      <c r="F25" s="29" t="str">
        <f>IFERROR(IF(C25="","",IF($M$9="Standard Warranty",VLOOKUP(C25,'price list MAN'!$B$5:$K$2002,10,FALSE),VLOOKUP(C25,'price list MAN'!$B$5:$N$2002,13,FALSE))),"")</f>
        <v/>
      </c>
      <c r="G25" s="76" t="str">
        <f>IFERROR(IF(C25="","",VLOOKUP(C25,'price list MAN'!$B$5:$F$2000,5,FALSE)),"")</f>
        <v/>
      </c>
      <c r="H25" s="217" t="s">
        <v>111</v>
      </c>
      <c r="I25" s="98"/>
      <c r="J25" s="220"/>
      <c r="K25" s="871" t="str">
        <f t="shared" si="12"/>
        <v/>
      </c>
      <c r="L25" s="1022"/>
      <c r="M25" s="99"/>
      <c r="N25" s="1152"/>
      <c r="Q25" s="165" t="str">
        <f t="shared" si="9"/>
        <v/>
      </c>
      <c r="R25" s="1086"/>
      <c r="S25" s="1087"/>
      <c r="V25" s="1083"/>
      <c r="W25" s="1083"/>
      <c r="X25" s="1083"/>
      <c r="Y25" s="1083"/>
      <c r="Z25" s="1083"/>
      <c r="AA25" s="1083"/>
      <c r="AB25" s="1083"/>
      <c r="AC25" s="1083"/>
      <c r="AD25" s="1083"/>
      <c r="AE25" s="1083"/>
      <c r="AF25" s="1083"/>
      <c r="AG25" s="1083"/>
      <c r="AH25" s="1083"/>
      <c r="AI25" s="1083"/>
      <c r="AJ25" s="1083"/>
      <c r="AK25" s="1083"/>
      <c r="AL25" s="1083"/>
      <c r="AM25" s="1083"/>
      <c r="AN25" s="1083"/>
      <c r="AO25" s="1083"/>
      <c r="AP25" s="1083"/>
      <c r="AQ25" s="1083"/>
      <c r="AR25" s="1088"/>
      <c r="AS25" s="1089"/>
      <c r="BD25" s="165">
        <v>15</v>
      </c>
      <c r="BE25" s="1085">
        <f t="shared" si="0"/>
        <v>0</v>
      </c>
      <c r="BF25" s="1083" t="str">
        <f>IFERROR(IF($M$9="Standard Warranty",VLOOKUP(C29,'price list MAN'!$B$5:$L$2002,11,FALSE),VLOOKUP(C29,'price list MAN'!$B$5:$O$2002,14,FALSE)),"")</f>
        <v/>
      </c>
      <c r="BH25" s="165" t="s">
        <v>328</v>
      </c>
      <c r="BI25" s="1124" t="s">
        <v>218</v>
      </c>
      <c r="BJ25" s="1124" t="s">
        <v>218</v>
      </c>
      <c r="BK25" s="1124" t="s">
        <v>124</v>
      </c>
      <c r="BL25" s="1124" t="s">
        <v>125</v>
      </c>
      <c r="BM25" s="1125" t="s">
        <v>901</v>
      </c>
      <c r="BN25" s="1125" t="s">
        <v>123</v>
      </c>
      <c r="BO25" s="1125" t="s">
        <v>196</v>
      </c>
      <c r="BP25" s="1125" t="s">
        <v>764</v>
      </c>
      <c r="BQ25" s="1125" t="s">
        <v>710</v>
      </c>
      <c r="BR25" s="1125"/>
      <c r="BU25" s="1122"/>
      <c r="BW25" s="1122" t="s">
        <v>99</v>
      </c>
      <c r="BX25" s="19" t="s">
        <v>99</v>
      </c>
      <c r="CA25" s="1122"/>
      <c r="CC25" s="19" t="s">
        <v>99</v>
      </c>
      <c r="CR25" s="1095" t="str">
        <f t="shared" si="7"/>
        <v/>
      </c>
      <c r="CT25" s="19" t="s">
        <v>210</v>
      </c>
      <c r="CW25" s="19" t="str">
        <f t="shared" si="11"/>
        <v/>
      </c>
      <c r="CY25" s="19" t="s">
        <v>1219</v>
      </c>
      <c r="DH25" s="1122" t="s">
        <v>452</v>
      </c>
      <c r="DI25" s="1123" t="s">
        <v>520</v>
      </c>
    </row>
    <row r="26" spans="2:113" ht="15" customHeight="1">
      <c r="B26" s="69">
        <f>IFERROR(VLOOKUP(C26,'price list MAN'!$B$5:$C$2002,2,FALSE),"")</f>
        <v>0</v>
      </c>
      <c r="C26" s="446"/>
      <c r="D26" s="29" t="str">
        <f>IFERROR(IF($M$9="Standard Warranty",VLOOKUP(C26,'price list MAN'!$B$5:$J$2002,9,FALSE),VLOOKUP(C26,'price list MAN'!$B$5:$M$2002,12,FALSE)),"")</f>
        <v/>
      </c>
      <c r="E26" s="29" t="str">
        <f>IFERROR(IF(C26="","",IF($M$9="Standard Warranty",VLOOKUP(C26,'price list MAN'!$B$5:$L$2002,11,FALSE),VLOOKUP(C26,'price list MAN'!$B$5:$O$2002,14,FALSE))),"")</f>
        <v/>
      </c>
      <c r="F26" s="29" t="str">
        <f>IFERROR(IF(C26="","",IF($M$9="Standard Warranty",VLOOKUP(C26,'price list MAN'!$B$5:$K$2002,10,FALSE),VLOOKUP(C26,'price list MAN'!$B$5:$N$2002,13,FALSE))),"")</f>
        <v/>
      </c>
      <c r="G26" s="76" t="str">
        <f>IFERROR(IF(C26="","",VLOOKUP(C26,'price list MAN'!$B$5:$F$2000,5,FALSE)),"")</f>
        <v/>
      </c>
      <c r="H26" s="217" t="s">
        <v>111</v>
      </c>
      <c r="I26" s="98"/>
      <c r="J26" s="220"/>
      <c r="K26" s="871" t="str">
        <f t="shared" si="12"/>
        <v/>
      </c>
      <c r="L26" s="1022"/>
      <c r="M26" s="99"/>
      <c r="N26" s="1152"/>
      <c r="Q26" s="165" t="str">
        <f t="shared" si="9"/>
        <v/>
      </c>
      <c r="R26" s="1086"/>
      <c r="S26" s="1087"/>
      <c r="V26" s="1083"/>
      <c r="W26" s="1083"/>
      <c r="X26" s="1083"/>
      <c r="Y26" s="1083"/>
      <c r="Z26" s="1083"/>
      <c r="AA26" s="1083"/>
      <c r="AB26" s="1083"/>
      <c r="AC26" s="1083"/>
      <c r="AD26" s="1083"/>
      <c r="AE26" s="1083"/>
      <c r="AF26" s="1083"/>
      <c r="AG26" s="1083"/>
      <c r="AH26" s="1083"/>
      <c r="AI26" s="1083"/>
      <c r="AJ26" s="1083"/>
      <c r="AK26" s="1083"/>
      <c r="AL26" s="1083"/>
      <c r="AM26" s="1083"/>
      <c r="AN26" s="1083"/>
      <c r="AO26" s="1083"/>
      <c r="AP26" s="1083"/>
      <c r="AQ26" s="1083"/>
      <c r="AR26" s="1088"/>
      <c r="AS26" s="1089"/>
      <c r="BD26" s="165">
        <v>30</v>
      </c>
      <c r="BE26" s="1085">
        <f t="shared" si="0"/>
        <v>0</v>
      </c>
      <c r="BF26" s="1083" t="str">
        <f>IFERROR(IF($M$9="Standard Warranty",VLOOKUP(C30,'price list MAN'!$B$5:$L$2002,11,FALSE),VLOOKUP(C30,'price list MAN'!$B$5:$O$2002,14,FALSE)),"")</f>
        <v/>
      </c>
      <c r="BH26" s="165" t="s">
        <v>345</v>
      </c>
      <c r="BI26" s="1124" t="s">
        <v>217</v>
      </c>
      <c r="BJ26" s="1124" t="s">
        <v>217</v>
      </c>
      <c r="BK26" s="1124" t="s">
        <v>124</v>
      </c>
      <c r="BL26" s="1124" t="s">
        <v>150</v>
      </c>
      <c r="BM26" s="1125" t="s">
        <v>902</v>
      </c>
      <c r="BN26" s="1125" t="s">
        <v>314</v>
      </c>
      <c r="BO26" s="1125" t="s">
        <v>196</v>
      </c>
      <c r="BP26" s="1125" t="s">
        <v>765</v>
      </c>
      <c r="BQ26" s="1125" t="s">
        <v>711</v>
      </c>
      <c r="BR26" s="1125"/>
      <c r="BU26" s="1122"/>
      <c r="BW26" s="1122" t="s">
        <v>100</v>
      </c>
      <c r="BX26" s="19" t="s">
        <v>100</v>
      </c>
      <c r="CA26" s="1122"/>
      <c r="CC26" s="19" t="s">
        <v>100</v>
      </c>
      <c r="CR26" s="1095" t="str">
        <f t="shared" si="7"/>
        <v/>
      </c>
      <c r="CT26" s="19" t="s">
        <v>1219</v>
      </c>
      <c r="CW26" s="19" t="str">
        <f t="shared" si="11"/>
        <v/>
      </c>
      <c r="CY26" s="19" t="s">
        <v>201</v>
      </c>
      <c r="DH26" s="1122" t="s">
        <v>453</v>
      </c>
      <c r="DI26" s="1123" t="s">
        <v>520</v>
      </c>
    </row>
    <row r="27" spans="2:113" ht="15" customHeight="1">
      <c r="B27" s="69">
        <f>IFERROR(VLOOKUP(C27,'price list MAN'!$B$5:$C$2002,2,FALSE),"")</f>
        <v>0</v>
      </c>
      <c r="C27" s="446"/>
      <c r="D27" s="29" t="str">
        <f>IFERROR(IF($M$9="Standard Warranty",VLOOKUP(C27,'price list MAN'!$B$5:$J$2002,9,FALSE),VLOOKUP(C27,'price list MAN'!$B$5:$M$2002,12,FALSE)),"")</f>
        <v/>
      </c>
      <c r="E27" s="29" t="str">
        <f>IFERROR(IF(C27="","",IF($M$9="Standard Warranty",VLOOKUP(C27,'price list MAN'!$B$5:$L$2002,11,FALSE),VLOOKUP(C27,'price list MAN'!$B$5:$O$2002,14,FALSE))),"")</f>
        <v/>
      </c>
      <c r="F27" s="29" t="str">
        <f>IFERROR(IF(C27="","",IF($M$9="Standard Warranty",VLOOKUP(C27,'price list MAN'!$B$5:$K$2002,10,FALSE),VLOOKUP(C27,'price list MAN'!$B$5:$N$2002,13,FALSE))),"")</f>
        <v/>
      </c>
      <c r="G27" s="76" t="str">
        <f>IFERROR(IF(C27="","",VLOOKUP(C27,'price list MAN'!$B$5:$F$2000,5,FALSE)),"")</f>
        <v/>
      </c>
      <c r="H27" s="217" t="s">
        <v>111</v>
      </c>
      <c r="I27" s="98"/>
      <c r="J27" s="220"/>
      <c r="K27" s="871" t="str">
        <f t="shared" si="12"/>
        <v/>
      </c>
      <c r="L27" s="1022"/>
      <c r="M27" s="99"/>
      <c r="N27" s="1152"/>
      <c r="Q27" s="165" t="str">
        <f t="shared" si="9"/>
        <v/>
      </c>
      <c r="R27" s="1086"/>
      <c r="S27" s="1087"/>
      <c r="V27" s="1083"/>
      <c r="W27" s="1083"/>
      <c r="X27" s="1083"/>
      <c r="Y27" s="1083"/>
      <c r="Z27" s="1083"/>
      <c r="AA27" s="1083"/>
      <c r="AB27" s="1083"/>
      <c r="AC27" s="1083"/>
      <c r="AD27" s="1083"/>
      <c r="AE27" s="1083"/>
      <c r="AF27" s="1083"/>
      <c r="AG27" s="1083"/>
      <c r="AH27" s="1083"/>
      <c r="AI27" s="1083"/>
      <c r="AJ27" s="1083"/>
      <c r="AK27" s="1083"/>
      <c r="AL27" s="1083"/>
      <c r="AM27" s="1083"/>
      <c r="AN27" s="1083"/>
      <c r="AO27" s="1083"/>
      <c r="AP27" s="1083"/>
      <c r="AQ27" s="1083"/>
      <c r="AR27" s="1088"/>
      <c r="AS27" s="1089"/>
      <c r="BD27" s="165">
        <v>45</v>
      </c>
      <c r="BE27" s="1085">
        <f t="shared" si="0"/>
        <v>0</v>
      </c>
      <c r="BF27" s="1083" t="str">
        <f>IFERROR(IF($M$9="Standard Warranty",VLOOKUP(C31,'price list MAN'!$B$5:$L$2002,11,FALSE),VLOOKUP(C31,'price list MAN'!$B$5:$O$2002,14,FALSE)),"")</f>
        <v/>
      </c>
      <c r="BH27" s="165" t="s">
        <v>329</v>
      </c>
      <c r="BI27" s="1124" t="s">
        <v>218</v>
      </c>
      <c r="BJ27" s="1124" t="s">
        <v>218</v>
      </c>
      <c r="BK27" s="1124" t="s">
        <v>124</v>
      </c>
      <c r="BL27" s="1124" t="s">
        <v>126</v>
      </c>
      <c r="BM27" s="1125" t="s">
        <v>903</v>
      </c>
      <c r="BN27" s="1125" t="s">
        <v>123</v>
      </c>
      <c r="BO27" s="1125" t="s">
        <v>196</v>
      </c>
      <c r="BP27" s="1125" t="s">
        <v>766</v>
      </c>
      <c r="BQ27" s="1125" t="s">
        <v>712</v>
      </c>
      <c r="BR27" s="1125"/>
      <c r="BW27" s="1122" t="s">
        <v>102</v>
      </c>
      <c r="BX27" s="19" t="s">
        <v>102</v>
      </c>
      <c r="CA27" s="1122"/>
      <c r="CC27" s="19" t="s">
        <v>102</v>
      </c>
      <c r="CR27" s="1095" t="str">
        <f t="shared" si="7"/>
        <v/>
      </c>
      <c r="CT27" s="19" t="s">
        <v>201</v>
      </c>
      <c r="CW27" s="19" t="str">
        <f t="shared" si="11"/>
        <v/>
      </c>
      <c r="CY27" s="19" t="s">
        <v>211</v>
      </c>
      <c r="DH27" s="1122" t="s">
        <v>454</v>
      </c>
      <c r="DI27" s="1123" t="s">
        <v>521</v>
      </c>
    </row>
    <row r="28" spans="2:113" ht="15" customHeight="1">
      <c r="B28" s="69">
        <f>IFERROR(VLOOKUP(C28,'price list MAN'!$B$5:$C$2002,2,FALSE),"")</f>
        <v>0</v>
      </c>
      <c r="C28" s="446"/>
      <c r="D28" s="29" t="str">
        <f>IFERROR(IF($M$9="Standard Warranty",VLOOKUP(C28,'price list MAN'!$B$5:$J$2002,9,FALSE),VLOOKUP(C28,'price list MAN'!$B$5:$M$2002,12,FALSE)),"")</f>
        <v/>
      </c>
      <c r="E28" s="29" t="str">
        <f>IFERROR(IF(C28="","",IF($M$9="Standard Warranty",VLOOKUP(C28,'price list MAN'!$B$5:$L$2002,11,FALSE),VLOOKUP(C28,'price list MAN'!$B$5:$O$2002,14,FALSE))),"")</f>
        <v/>
      </c>
      <c r="F28" s="29" t="str">
        <f>IFERROR(IF(C28="","",IF($M$9="Standard Warranty",VLOOKUP(C28,'price list MAN'!$B$5:$K$2002,10,FALSE),VLOOKUP(C28,'price list MAN'!$B$5:$N$2002,13,FALSE))),"")</f>
        <v/>
      </c>
      <c r="G28" s="76" t="str">
        <f>IFERROR(IF(C28="","",VLOOKUP(C28,'price list MAN'!$B$5:$F$2000,5,FALSE)),"")</f>
        <v/>
      </c>
      <c r="H28" s="217" t="s">
        <v>111</v>
      </c>
      <c r="I28" s="98"/>
      <c r="J28" s="220"/>
      <c r="K28" s="871" t="str">
        <f t="shared" si="12"/>
        <v/>
      </c>
      <c r="L28" s="1022"/>
      <c r="M28" s="99"/>
      <c r="N28" s="1152"/>
      <c r="Q28" s="165" t="str">
        <f t="shared" si="9"/>
        <v/>
      </c>
      <c r="R28" s="1086"/>
      <c r="S28" s="1087"/>
      <c r="V28" s="1083"/>
      <c r="W28" s="1083"/>
      <c r="X28" s="1083"/>
      <c r="Y28" s="1083"/>
      <c r="Z28" s="1083"/>
      <c r="AA28" s="1083"/>
      <c r="AB28" s="1083"/>
      <c r="AC28" s="1083"/>
      <c r="AD28" s="1083"/>
      <c r="AE28" s="1083"/>
      <c r="AF28" s="1083"/>
      <c r="AG28" s="1083"/>
      <c r="AH28" s="1083"/>
      <c r="AI28" s="1083"/>
      <c r="AJ28" s="1083"/>
      <c r="AK28" s="1083"/>
      <c r="AL28" s="1083"/>
      <c r="AM28" s="1083"/>
      <c r="AN28" s="1083"/>
      <c r="AO28" s="1083"/>
      <c r="AP28" s="1083"/>
      <c r="AQ28" s="1083"/>
      <c r="AR28" s="1088"/>
      <c r="AS28" s="1089"/>
      <c r="BD28" s="165">
        <v>60</v>
      </c>
      <c r="BE28" s="1085">
        <f t="shared" si="0"/>
        <v>0</v>
      </c>
      <c r="BF28" s="1083" t="str">
        <f>IFERROR(IF($M$9="Standard Warranty",VLOOKUP(C32,'price list MAN'!$B$5:$L$2002,11,FALSE),VLOOKUP(C32,'price list MAN'!$B$5:$O$2002,14,FALSE)),"")</f>
        <v/>
      </c>
      <c r="BH28" s="165" t="s">
        <v>358</v>
      </c>
      <c r="BI28" s="1124" t="s">
        <v>220</v>
      </c>
      <c r="BJ28" s="1124" t="s">
        <v>220</v>
      </c>
      <c r="BK28" s="1124" t="s">
        <v>124</v>
      </c>
      <c r="BL28" s="1124" t="s">
        <v>162</v>
      </c>
      <c r="BM28" s="1125" t="s">
        <v>904</v>
      </c>
      <c r="BN28" s="1125" t="s">
        <v>315</v>
      </c>
      <c r="BO28" s="1125" t="s">
        <v>196</v>
      </c>
      <c r="BP28" s="1125" t="s">
        <v>767</v>
      </c>
      <c r="BQ28" s="1125" t="s">
        <v>713</v>
      </c>
      <c r="BR28" s="1125"/>
      <c r="BW28" s="1122" t="s">
        <v>103</v>
      </c>
      <c r="BX28" s="19" t="s">
        <v>103</v>
      </c>
      <c r="CA28" s="1122"/>
      <c r="CC28" s="19" t="s">
        <v>103</v>
      </c>
      <c r="CR28" s="1095" t="str">
        <f t="shared" si="7"/>
        <v/>
      </c>
      <c r="CT28" s="19" t="s">
        <v>211</v>
      </c>
      <c r="CW28" s="19" t="str">
        <f t="shared" si="11"/>
        <v/>
      </c>
      <c r="CY28" s="19" t="s">
        <v>1220</v>
      </c>
      <c r="DH28" s="1122" t="s">
        <v>455</v>
      </c>
      <c r="DI28" s="1123" t="s">
        <v>521</v>
      </c>
    </row>
    <row r="29" spans="2:113" ht="15" customHeight="1">
      <c r="B29" s="69">
        <f>IFERROR(VLOOKUP(C29,'price list MAN'!$B$5:$C$2002,2,FALSE),"")</f>
        <v>0</v>
      </c>
      <c r="C29" s="446"/>
      <c r="D29" s="29" t="str">
        <f>IFERROR(IF($M$9="Standard Warranty",VLOOKUP(C29,'price list MAN'!$B$5:$J$2002,9,FALSE),VLOOKUP(C29,'price list MAN'!$B$5:$M$2002,12,FALSE)),"")</f>
        <v/>
      </c>
      <c r="E29" s="29" t="str">
        <f>IFERROR(IF(C29="","",IF($M$9="Standard Warranty",VLOOKUP(C29,'price list MAN'!$B$5:$L$2002,11,FALSE),VLOOKUP(C29,'price list MAN'!$B$5:$O$2002,14,FALSE))),"")</f>
        <v/>
      </c>
      <c r="F29" s="29" t="str">
        <f>IFERROR(IF(C29="","",IF($M$9="Standard Warranty",VLOOKUP(C29,'price list MAN'!$B$5:$K$2002,10,FALSE),VLOOKUP(C29,'price list MAN'!$B$5:$N$2002,13,FALSE))),"")</f>
        <v/>
      </c>
      <c r="G29" s="76" t="str">
        <f>IFERROR(IF(C29="","",VLOOKUP(C29,'price list MAN'!$B$5:$F$2000,5,FALSE)),"")</f>
        <v/>
      </c>
      <c r="H29" s="217" t="s">
        <v>111</v>
      </c>
      <c r="I29" s="98"/>
      <c r="J29" s="220"/>
      <c r="K29" s="871" t="str">
        <f t="shared" si="12"/>
        <v/>
      </c>
      <c r="L29" s="1022"/>
      <c r="M29" s="99"/>
      <c r="N29" s="1152"/>
      <c r="Q29" s="165" t="str">
        <f t="shared" si="9"/>
        <v/>
      </c>
      <c r="R29" s="1086"/>
      <c r="S29" s="1087"/>
      <c r="V29" s="1083"/>
      <c r="W29" s="1083"/>
      <c r="X29" s="1083"/>
      <c r="Y29" s="1083"/>
      <c r="Z29" s="1083"/>
      <c r="AA29" s="1083"/>
      <c r="AB29" s="1083"/>
      <c r="AC29" s="1083"/>
      <c r="AD29" s="1083"/>
      <c r="AE29" s="1083"/>
      <c r="AF29" s="1083"/>
      <c r="AG29" s="1083"/>
      <c r="AH29" s="1083"/>
      <c r="AI29" s="1083"/>
      <c r="AJ29" s="1083"/>
      <c r="AK29" s="1083"/>
      <c r="AL29" s="1083"/>
      <c r="AM29" s="1083"/>
      <c r="AN29" s="1083"/>
      <c r="AO29" s="1083"/>
      <c r="AP29" s="1083"/>
      <c r="AQ29" s="1083"/>
      <c r="AR29" s="1088"/>
      <c r="AS29" s="1089"/>
      <c r="BD29" s="165">
        <v>90</v>
      </c>
      <c r="BE29" s="1085">
        <f t="shared" si="0"/>
        <v>0</v>
      </c>
      <c r="BF29" s="1083" t="str">
        <f>IFERROR(IF($M$9="Standard Warranty",VLOOKUP(C33,'price list MAN'!$B$5:$L$2002,11,FALSE),VLOOKUP(C33,'price list MAN'!$B$5:$O$2002,14,FALSE)),"")</f>
        <v/>
      </c>
      <c r="BH29" s="165" t="s">
        <v>332</v>
      </c>
      <c r="BI29" s="1124" t="s">
        <v>216</v>
      </c>
      <c r="BJ29" s="1124" t="s">
        <v>216</v>
      </c>
      <c r="BK29" s="1124" t="s">
        <v>129</v>
      </c>
      <c r="BL29" s="1124" t="s">
        <v>130</v>
      </c>
      <c r="BM29" s="1125" t="s">
        <v>905</v>
      </c>
      <c r="BN29" s="1125" t="s">
        <v>127</v>
      </c>
      <c r="BO29" s="1125" t="s">
        <v>196</v>
      </c>
      <c r="BP29" s="1125" t="s">
        <v>768</v>
      </c>
      <c r="BQ29" s="1125" t="s">
        <v>714</v>
      </c>
      <c r="BR29" s="1125"/>
      <c r="BW29" s="1122" t="s">
        <v>104</v>
      </c>
      <c r="BX29" s="19" t="s">
        <v>104</v>
      </c>
      <c r="CA29" s="1122"/>
      <c r="CC29" s="19" t="s">
        <v>104</v>
      </c>
      <c r="CR29" s="1095" t="str">
        <f t="shared" si="7"/>
        <v/>
      </c>
      <c r="CT29" s="19" t="s">
        <v>1220</v>
      </c>
      <c r="CW29" s="19" t="str">
        <f t="shared" si="11"/>
        <v/>
      </c>
      <c r="CY29" s="19" t="s">
        <v>203</v>
      </c>
      <c r="DH29" s="1122" t="s">
        <v>456</v>
      </c>
      <c r="DI29" s="1123" t="s">
        <v>521</v>
      </c>
    </row>
    <row r="30" spans="2:113" ht="15" customHeight="1">
      <c r="B30" s="69">
        <f>IFERROR(VLOOKUP(C30,'price list MAN'!$B$5:$C$2002,2,FALSE),"")</f>
        <v>0</v>
      </c>
      <c r="C30" s="446"/>
      <c r="D30" s="29" t="str">
        <f>IFERROR(IF($M$9="Standard Warranty",VLOOKUP(C30,'price list MAN'!$B$5:$J$2002,9,FALSE),VLOOKUP(C30,'price list MAN'!$B$5:$M$2002,12,FALSE)),"")</f>
        <v/>
      </c>
      <c r="E30" s="29" t="str">
        <f>IFERROR(IF(C30="","",IF($M$9="Standard Warranty",VLOOKUP(C30,'price list MAN'!$B$5:$L$2002,11,FALSE),VLOOKUP(C30,'price list MAN'!$B$5:$O$2002,14,FALSE))),"")</f>
        <v/>
      </c>
      <c r="F30" s="29" t="str">
        <f>IFERROR(IF(C30="","",IF($M$9="Standard Warranty",VLOOKUP(C30,'price list MAN'!$B$5:$K$2002,10,FALSE),VLOOKUP(C30,'price list MAN'!$B$5:$N$2002,13,FALSE))),"")</f>
        <v/>
      </c>
      <c r="G30" s="76" t="str">
        <f>IFERROR(IF(C30="","",VLOOKUP(C30,'price list MAN'!$B$5:$F$2000,5,FALSE)),"")</f>
        <v/>
      </c>
      <c r="H30" s="217" t="s">
        <v>111</v>
      </c>
      <c r="I30" s="98"/>
      <c r="J30" s="220"/>
      <c r="K30" s="871" t="str">
        <f t="shared" si="12"/>
        <v/>
      </c>
      <c r="L30" s="1022"/>
      <c r="M30" s="99"/>
      <c r="N30" s="1152"/>
      <c r="Q30" s="165" t="str">
        <f t="shared" si="9"/>
        <v/>
      </c>
      <c r="R30" s="1086"/>
      <c r="S30" s="1087"/>
      <c r="V30" s="1083"/>
      <c r="W30" s="1083"/>
      <c r="X30" s="1083"/>
      <c r="Y30" s="1083"/>
      <c r="Z30" s="1083"/>
      <c r="AA30" s="1083"/>
      <c r="AB30" s="1083"/>
      <c r="AC30" s="1083"/>
      <c r="AD30" s="1083"/>
      <c r="AE30" s="1083"/>
      <c r="AF30" s="1083"/>
      <c r="AG30" s="1083"/>
      <c r="AH30" s="1083"/>
      <c r="AI30" s="1083"/>
      <c r="AJ30" s="1083"/>
      <c r="AK30" s="1083"/>
      <c r="AL30" s="1083"/>
      <c r="AM30" s="1083"/>
      <c r="AN30" s="1083"/>
      <c r="AO30" s="1083"/>
      <c r="AP30" s="1083"/>
      <c r="AQ30" s="1083"/>
      <c r="AR30" s="1088"/>
      <c r="AS30" s="1089"/>
      <c r="BD30" s="165">
        <v>120</v>
      </c>
      <c r="BE30" s="1085">
        <f t="shared" si="0"/>
        <v>0</v>
      </c>
      <c r="BF30" s="1083" t="str">
        <f>IFERROR(IF($M$9="Standard Warranty",VLOOKUP(C34,'price list MAN'!$B$5:$L$2002,11,FALSE),VLOOKUP(C34,'price list MAN'!$B$5:$O$2002,14,FALSE)),"")</f>
        <v/>
      </c>
      <c r="BI30" s="1124" t="s">
        <v>200</v>
      </c>
      <c r="BJ30" s="1124" t="s">
        <v>200</v>
      </c>
      <c r="BK30" s="1124"/>
      <c r="BL30" s="1124"/>
      <c r="BM30" s="1125" t="s">
        <v>200</v>
      </c>
      <c r="BN30" s="1125"/>
      <c r="BO30" s="1125"/>
      <c r="BP30" s="1125"/>
      <c r="BQ30" s="1125"/>
      <c r="BR30" s="1125"/>
      <c r="BW30" s="1122" t="s">
        <v>105</v>
      </c>
      <c r="BX30" s="19" t="s">
        <v>105</v>
      </c>
      <c r="CA30" s="1122"/>
      <c r="CC30" s="19" t="s">
        <v>105</v>
      </c>
      <c r="CR30" s="1095" t="str">
        <f t="shared" si="7"/>
        <v/>
      </c>
      <c r="CT30" s="19" t="s">
        <v>203</v>
      </c>
      <c r="CW30" s="19" t="str">
        <f t="shared" si="11"/>
        <v/>
      </c>
      <c r="CY30" s="19" t="s">
        <v>1222</v>
      </c>
      <c r="DH30" s="1122" t="s">
        <v>232</v>
      </c>
      <c r="DI30" s="1123" t="s">
        <v>521</v>
      </c>
    </row>
    <row r="31" spans="2:113" ht="15" customHeight="1">
      <c r="B31" s="69">
        <f>IFERROR(VLOOKUP(C31,'price list MAN'!$B$5:$C$2002,2,FALSE),"")</f>
        <v>0</v>
      </c>
      <c r="C31" s="446"/>
      <c r="D31" s="29" t="str">
        <f>IFERROR(IF($M$9="Standard Warranty",VLOOKUP(C31,'price list MAN'!$B$5:$J$2002,9,FALSE),VLOOKUP(C31,'price list MAN'!$B$5:$M$2002,12,FALSE)),"")</f>
        <v/>
      </c>
      <c r="E31" s="29" t="str">
        <f>IFERROR(IF(C31="","",IF($M$9="Standard Warranty",VLOOKUP(C31,'price list MAN'!$B$5:$L$2002,11,FALSE),VLOOKUP(C31,'price list MAN'!$B$5:$O$2002,14,FALSE))),"")</f>
        <v/>
      </c>
      <c r="F31" s="29" t="str">
        <f>IFERROR(IF(C31="","",IF($M$9="Standard Warranty",VLOOKUP(C31,'price list MAN'!$B$5:$K$2002,10,FALSE),VLOOKUP(C31,'price list MAN'!$B$5:$N$2002,13,FALSE))),"")</f>
        <v/>
      </c>
      <c r="G31" s="76" t="str">
        <f>IFERROR(IF(C31="","",VLOOKUP(C31,'price list MAN'!$B$5:$F$2000,5,FALSE)),"")</f>
        <v/>
      </c>
      <c r="I31" s="98"/>
      <c r="J31" s="220"/>
      <c r="K31" s="871" t="str">
        <f t="shared" si="12"/>
        <v/>
      </c>
      <c r="L31" s="1022"/>
      <c r="M31" s="99"/>
      <c r="N31" s="1152"/>
      <c r="Q31" s="165" t="str">
        <f t="shared" si="9"/>
        <v/>
      </c>
      <c r="R31" s="1086"/>
      <c r="S31" s="1087"/>
      <c r="V31" s="1083"/>
      <c r="W31" s="1083"/>
      <c r="X31" s="1083"/>
      <c r="Y31" s="1083"/>
      <c r="Z31" s="1083"/>
      <c r="AA31" s="1083"/>
      <c r="AB31" s="1083"/>
      <c r="AC31" s="1083"/>
      <c r="AD31" s="1083"/>
      <c r="AE31" s="1083"/>
      <c r="AF31" s="1083"/>
      <c r="AG31" s="1083"/>
      <c r="AH31" s="1083"/>
      <c r="AI31" s="1083"/>
      <c r="AJ31" s="1083"/>
      <c r="AK31" s="1083"/>
      <c r="AL31" s="1083"/>
      <c r="AM31" s="1083"/>
      <c r="AN31" s="1083"/>
      <c r="AO31" s="1083"/>
      <c r="AP31" s="1083"/>
      <c r="AQ31" s="1083"/>
      <c r="AR31" s="1088"/>
      <c r="AS31" s="1089"/>
      <c r="BE31" s="1085">
        <f t="shared" si="0"/>
        <v>0</v>
      </c>
      <c r="BF31" s="1083" t="str">
        <f>IFERROR(IF($M$9="Standard Warranty",VLOOKUP(C35,'price list MAN'!$B$5:$L$2002,11,FALSE),VLOOKUP(C35,'price list MAN'!$B$5:$O$2002,14,FALSE)),"")</f>
        <v/>
      </c>
      <c r="BH31" s="165" t="s">
        <v>337</v>
      </c>
      <c r="BI31" s="1124" t="s">
        <v>65</v>
      </c>
      <c r="BJ31" s="1124" t="s">
        <v>60</v>
      </c>
      <c r="BK31" s="1124" t="s">
        <v>137</v>
      </c>
      <c r="BL31" s="1124" t="s">
        <v>138</v>
      </c>
      <c r="BM31" s="1125" t="s">
        <v>906</v>
      </c>
      <c r="BN31" s="1125" t="s">
        <v>135</v>
      </c>
      <c r="BO31" s="1125" t="s">
        <v>196</v>
      </c>
      <c r="BP31" s="1125" t="s">
        <v>769</v>
      </c>
      <c r="BQ31" s="1125">
        <v>0</v>
      </c>
      <c r="BR31" s="1125"/>
      <c r="BW31" s="1122" t="s">
        <v>106</v>
      </c>
      <c r="BX31" s="19" t="s">
        <v>106</v>
      </c>
      <c r="CA31" s="1122"/>
      <c r="CC31" s="19" t="s">
        <v>106</v>
      </c>
      <c r="CR31" s="1095" t="str">
        <f t="shared" si="7"/>
        <v/>
      </c>
      <c r="CT31" s="19" t="s">
        <v>212</v>
      </c>
      <c r="CW31" s="19" t="str">
        <f t="shared" si="11"/>
        <v/>
      </c>
      <c r="CY31" s="19" t="s">
        <v>1223</v>
      </c>
      <c r="DH31" s="1122" t="s">
        <v>457</v>
      </c>
      <c r="DI31" s="1123" t="s">
        <v>521</v>
      </c>
    </row>
    <row r="32" spans="2:113" ht="15" customHeight="1">
      <c r="B32" s="69">
        <f>IFERROR(VLOOKUP(C32,'price list MAN'!$B$5:$C$2002,2,FALSE),"")</f>
        <v>0</v>
      </c>
      <c r="C32" s="446"/>
      <c r="D32" s="29" t="str">
        <f>IFERROR(IF($M$9="Standard Warranty",VLOOKUP(C32,'price list MAN'!$B$5:$J$2002,9,FALSE),VLOOKUP(C32,'price list MAN'!$B$5:$M$2002,12,FALSE)),"")</f>
        <v/>
      </c>
      <c r="E32" s="29" t="str">
        <f>IFERROR(IF(C32="","",IF($M$9="Standard Warranty",VLOOKUP(C32,'price list MAN'!$B$5:$L$2002,11,FALSE),VLOOKUP(C32,'price list MAN'!$B$5:$O$2002,14,FALSE))),"")</f>
        <v/>
      </c>
      <c r="F32" s="29" t="str">
        <f>IFERROR(IF(C32="","",IF($M$9="Standard Warranty",VLOOKUP(C32,'price list MAN'!$B$5:$K$2002,10,FALSE),VLOOKUP(C32,'price list MAN'!$B$5:$N$2002,13,FALSE))),"")</f>
        <v/>
      </c>
      <c r="G32" s="76" t="str">
        <f>IFERROR(IF(C32="","",VLOOKUP(C32,'price list MAN'!$B$5:$F$2000,5,FALSE)),"")</f>
        <v/>
      </c>
      <c r="I32" s="98"/>
      <c r="J32" s="220"/>
      <c r="K32" s="871" t="str">
        <f t="shared" si="12"/>
        <v/>
      </c>
      <c r="L32" s="1022"/>
      <c r="M32" s="99"/>
      <c r="N32" s="1152"/>
      <c r="Q32" s="165" t="str">
        <f t="shared" si="9"/>
        <v/>
      </c>
      <c r="R32" s="1086"/>
      <c r="S32" s="1087"/>
      <c r="V32" s="1083"/>
      <c r="W32" s="1083"/>
      <c r="X32" s="1083"/>
      <c r="Y32" s="1083"/>
      <c r="Z32" s="1083"/>
      <c r="AA32" s="1083"/>
      <c r="AB32" s="1083"/>
      <c r="AC32" s="1083"/>
      <c r="AD32" s="1083"/>
      <c r="AE32" s="1083"/>
      <c r="AF32" s="1083"/>
      <c r="AG32" s="1083"/>
      <c r="AH32" s="1083"/>
      <c r="AI32" s="1083"/>
      <c r="AJ32" s="1083"/>
      <c r="AK32" s="1083"/>
      <c r="AL32" s="1083"/>
      <c r="AM32" s="1083"/>
      <c r="AN32" s="1083"/>
      <c r="AO32" s="1083"/>
      <c r="AP32" s="1083"/>
      <c r="AQ32" s="1083"/>
      <c r="AR32" s="1088"/>
      <c r="AS32" s="1089"/>
      <c r="BE32" s="1085">
        <f t="shared" si="0"/>
        <v>0</v>
      </c>
      <c r="BF32" s="1083" t="str">
        <f>IFERROR(IF($M$9="Standard Warranty",VLOOKUP(C36,'price list MAN'!$B$5:$L$2002,11,FALSE),VLOOKUP(C36,'price list MAN'!$B$5:$O$2002,14,FALSE)),"")</f>
        <v/>
      </c>
      <c r="BH32" s="165" t="s">
        <v>338</v>
      </c>
      <c r="BI32" s="1124" t="s">
        <v>65</v>
      </c>
      <c r="BJ32" s="1124" t="s">
        <v>60</v>
      </c>
      <c r="BK32" s="1124" t="s">
        <v>139</v>
      </c>
      <c r="BL32" s="1124" t="s">
        <v>140</v>
      </c>
      <c r="BM32" s="1125" t="s">
        <v>907</v>
      </c>
      <c r="BN32" s="1125" t="s">
        <v>135</v>
      </c>
      <c r="BO32" s="1125" t="s">
        <v>196</v>
      </c>
      <c r="BP32" s="1125">
        <v>0</v>
      </c>
      <c r="BQ32" s="1125">
        <v>0</v>
      </c>
      <c r="BR32" s="1125"/>
      <c r="BW32" s="1122" t="s">
        <v>107</v>
      </c>
      <c r="BX32" s="19" t="s">
        <v>107</v>
      </c>
      <c r="CA32" s="1122"/>
      <c r="CC32" s="19" t="s">
        <v>107</v>
      </c>
      <c r="CR32" s="1095" t="str">
        <f t="shared" si="7"/>
        <v/>
      </c>
      <c r="CT32" s="19" t="s">
        <v>558</v>
      </c>
      <c r="CW32" s="19" t="str">
        <f t="shared" si="11"/>
        <v/>
      </c>
      <c r="CY32" s="19" t="s">
        <v>212</v>
      </c>
      <c r="DH32" s="1122" t="s">
        <v>458</v>
      </c>
      <c r="DI32" s="1123" t="s">
        <v>521</v>
      </c>
    </row>
    <row r="33" spans="2:731" ht="15" customHeight="1">
      <c r="B33" s="69">
        <f>IFERROR(VLOOKUP(C33,'price list MAN'!$B$5:$C$2002,2,FALSE),"")</f>
        <v>0</v>
      </c>
      <c r="C33" s="446"/>
      <c r="D33" s="29" t="str">
        <f>IFERROR(IF($M$9="Standard Warranty",VLOOKUP(C33,'price list MAN'!$B$5:$J$2002,9,FALSE),VLOOKUP(C33,'price list MAN'!$B$5:$M$2002,12,FALSE)),"")</f>
        <v/>
      </c>
      <c r="E33" s="29" t="str">
        <f>IFERROR(IF(C33="","",IF($M$9="Standard Warranty",VLOOKUP(C33,'price list MAN'!$B$5:$L$2002,11,FALSE),VLOOKUP(C33,'price list MAN'!$B$5:$O$2002,14,FALSE))),"")</f>
        <v/>
      </c>
      <c r="F33" s="29" t="str">
        <f>IFERROR(IF(C33="","",IF($M$9="Standard Warranty",VLOOKUP(C33,'price list MAN'!$B$5:$K$2002,10,FALSE),VLOOKUP(C33,'price list MAN'!$B$5:$N$2002,13,FALSE))),"")</f>
        <v/>
      </c>
      <c r="G33" s="76" t="str">
        <f>IFERROR(IF(C33="","",VLOOKUP(C33,'price list MAN'!$B$5:$F$2000,5,FALSE)),"")</f>
        <v/>
      </c>
      <c r="I33" s="98"/>
      <c r="J33" s="220"/>
      <c r="K33" s="871" t="str">
        <f t="shared" si="12"/>
        <v/>
      </c>
      <c r="L33" s="1022"/>
      <c r="M33" s="99"/>
      <c r="N33" s="1152"/>
      <c r="Q33" s="165" t="str">
        <f t="shared" si="9"/>
        <v/>
      </c>
      <c r="R33" s="1086"/>
      <c r="S33" s="1087"/>
      <c r="V33" s="1083"/>
      <c r="W33" s="1083"/>
      <c r="X33" s="1083"/>
      <c r="Y33" s="1083"/>
      <c r="Z33" s="1083"/>
      <c r="AA33" s="1083"/>
      <c r="AB33" s="1083"/>
      <c r="AC33" s="1083"/>
      <c r="AD33" s="1083"/>
      <c r="AE33" s="1083"/>
      <c r="AF33" s="1083"/>
      <c r="AG33" s="1083"/>
      <c r="AH33" s="1083"/>
      <c r="AI33" s="1083"/>
      <c r="AJ33" s="1083"/>
      <c r="AK33" s="1083"/>
      <c r="AL33" s="1083"/>
      <c r="AM33" s="1083"/>
      <c r="AN33" s="1083"/>
      <c r="AO33" s="1083"/>
      <c r="AP33" s="1083"/>
      <c r="AQ33" s="1083"/>
      <c r="AR33" s="1088"/>
      <c r="AS33" s="1089"/>
      <c r="BE33" s="1085">
        <f t="shared" si="0"/>
        <v>0</v>
      </c>
      <c r="BF33" s="1083" t="str">
        <f>IFERROR(IF($M$9="Standard Warranty",VLOOKUP(C37,'price list MAN'!$B$5:$L$2002,11,FALSE),VLOOKUP(C37,'price list MAN'!$B$5:$O$2002,14,FALSE)),"")</f>
        <v/>
      </c>
      <c r="BH33" s="165" t="s">
        <v>424</v>
      </c>
      <c r="BI33" s="1124" t="s">
        <v>401</v>
      </c>
      <c r="BJ33" s="1124" t="s">
        <v>421</v>
      </c>
      <c r="BK33" s="1124" t="s">
        <v>142</v>
      </c>
      <c r="BL33" s="1124" t="s">
        <v>143</v>
      </c>
      <c r="BM33" s="1125" t="s">
        <v>908</v>
      </c>
      <c r="BN33" s="1125" t="s">
        <v>135</v>
      </c>
      <c r="BO33" s="1125" t="s">
        <v>196</v>
      </c>
      <c r="BP33" s="1125" t="s">
        <v>770</v>
      </c>
      <c r="BQ33" s="1125" t="s">
        <v>715</v>
      </c>
      <c r="BR33" s="1125"/>
      <c r="BW33" s="1122" t="s">
        <v>558</v>
      </c>
      <c r="BX33" s="19" t="s">
        <v>558</v>
      </c>
      <c r="CC33" s="19" t="s">
        <v>558</v>
      </c>
      <c r="CW33" s="19" t="str">
        <f t="shared" si="11"/>
        <v/>
      </c>
      <c r="CY33" s="19" t="s">
        <v>558</v>
      </c>
      <c r="DH33" s="1122" t="s">
        <v>459</v>
      </c>
      <c r="DI33" s="1123" t="s">
        <v>521</v>
      </c>
    </row>
    <row r="34" spans="2:731" ht="15" customHeight="1">
      <c r="B34" s="69">
        <f>IFERROR(VLOOKUP(C34,'price list MAN'!$B$5:$C$2002,2,FALSE),"")</f>
        <v>0</v>
      </c>
      <c r="C34" s="446"/>
      <c r="D34" s="29" t="str">
        <f>IFERROR(IF($M$9="Standard Warranty",VLOOKUP(C34,'price list MAN'!$B$5:$J$2002,9,FALSE),VLOOKUP(C34,'price list MAN'!$B$5:$M$2002,12,FALSE)),"")</f>
        <v/>
      </c>
      <c r="E34" s="29" t="str">
        <f>IFERROR(IF(C34="","",IF($M$9="Standard Warranty",VLOOKUP(C34,'price list MAN'!$B$5:$L$2002,11,FALSE),VLOOKUP(C34,'price list MAN'!$B$5:$O$2002,14,FALSE))),"")</f>
        <v/>
      </c>
      <c r="F34" s="29" t="str">
        <f>IFERROR(IF(C34="","",IF($M$9="Standard Warranty",VLOOKUP(C34,'price list MAN'!$B$5:$K$2002,10,FALSE),VLOOKUP(C34,'price list MAN'!$B$5:$N$2002,13,FALSE))),"")</f>
        <v/>
      </c>
      <c r="G34" s="76" t="str">
        <f>IFERROR(IF(C34="","",VLOOKUP(C34,'price list MAN'!$B$5:$F$2000,5,FALSE)),"")</f>
        <v/>
      </c>
      <c r="I34" s="98"/>
      <c r="J34" s="220"/>
      <c r="K34" s="871" t="str">
        <f t="shared" si="12"/>
        <v/>
      </c>
      <c r="L34" s="1022"/>
      <c r="M34" s="99"/>
      <c r="N34" s="1152"/>
      <c r="Q34" s="165" t="str">
        <f t="shared" si="9"/>
        <v/>
      </c>
      <c r="R34" s="1086"/>
      <c r="S34" s="1087"/>
      <c r="V34" s="1083"/>
      <c r="W34" s="1083"/>
      <c r="X34" s="1083"/>
      <c r="Y34" s="1083"/>
      <c r="Z34" s="1083"/>
      <c r="AA34" s="1083"/>
      <c r="AB34" s="1083"/>
      <c r="AC34" s="1083"/>
      <c r="AD34" s="1083"/>
      <c r="AE34" s="1083"/>
      <c r="AF34" s="1083"/>
      <c r="AG34" s="1083"/>
      <c r="AH34" s="1083"/>
      <c r="AI34" s="1083"/>
      <c r="AJ34" s="1083"/>
      <c r="AK34" s="1083"/>
      <c r="AL34" s="1083"/>
      <c r="AM34" s="1083"/>
      <c r="AN34" s="1083"/>
      <c r="AO34" s="1083"/>
      <c r="AP34" s="1083"/>
      <c r="AQ34" s="1083"/>
      <c r="AR34" s="1088"/>
      <c r="AS34" s="1089"/>
      <c r="BE34" s="1085">
        <f t="shared" si="0"/>
        <v>0</v>
      </c>
      <c r="BF34" s="1083" t="str">
        <f>IFERROR(IF($M$9="Standard Warranty",VLOOKUP(C38,'price list MAN'!$B$5:$L$2002,11,FALSE),VLOOKUP(C38,'price list MAN'!$B$5:$O$2002,14,FALSE)),"")</f>
        <v/>
      </c>
      <c r="BH34" s="165" t="s">
        <v>342</v>
      </c>
      <c r="BI34" s="1124" t="s">
        <v>401</v>
      </c>
      <c r="BJ34" s="1124" t="s">
        <v>401</v>
      </c>
      <c r="BK34" s="1124" t="s">
        <v>147</v>
      </c>
      <c r="BL34" s="1124" t="s">
        <v>148</v>
      </c>
      <c r="BM34" s="1125" t="s">
        <v>909</v>
      </c>
      <c r="BN34" s="1125" t="s">
        <v>135</v>
      </c>
      <c r="BO34" s="1125" t="s">
        <v>196</v>
      </c>
      <c r="BP34" s="1125" t="s">
        <v>771</v>
      </c>
      <c r="BQ34" s="1125" t="s">
        <v>716</v>
      </c>
      <c r="BR34" s="1125"/>
      <c r="BX34" s="1122"/>
      <c r="DH34" s="1122" t="s">
        <v>460</v>
      </c>
      <c r="DI34" s="1123" t="s">
        <v>521</v>
      </c>
    </row>
    <row r="35" spans="2:731" ht="15" customHeight="1">
      <c r="B35" s="69">
        <f>IFERROR(VLOOKUP(C35,'price list MAN'!$B$5:$C$2002,2,FALSE),"")</f>
        <v>0</v>
      </c>
      <c r="C35" s="446"/>
      <c r="D35" s="29" t="str">
        <f>IFERROR(IF($M$9="Standard Warranty",VLOOKUP(C35,'price list MAN'!$B$5:$J$2002,9,FALSE),VLOOKUP(C35,'price list MAN'!$B$5:$M$2002,12,FALSE)),"")</f>
        <v/>
      </c>
      <c r="E35" s="29" t="str">
        <f>IFERROR(IF(C35="","",IF($M$9="Standard Warranty",VLOOKUP(C35,'price list MAN'!$B$5:$L$2002,11,FALSE),VLOOKUP(C35,'price list MAN'!$B$5:$O$2002,14,FALSE))),"")</f>
        <v/>
      </c>
      <c r="F35" s="29" t="str">
        <f>IFERROR(IF(C35="","",IF($M$9="Standard Warranty",VLOOKUP(C35,'price list MAN'!$B$5:$K$2002,10,FALSE),VLOOKUP(C35,'price list MAN'!$B$5:$N$2002,13,FALSE))),"")</f>
        <v/>
      </c>
      <c r="G35" s="76" t="str">
        <f>IFERROR(IF(C35="","",VLOOKUP(C35,'price list MAN'!$B$5:$F$2000,5,FALSE)),"")</f>
        <v/>
      </c>
      <c r="I35" s="98"/>
      <c r="J35" s="220"/>
      <c r="K35" s="871" t="str">
        <f t="shared" si="12"/>
        <v/>
      </c>
      <c r="L35" s="1022"/>
      <c r="M35" s="99"/>
      <c r="N35" s="1152"/>
      <c r="Q35" s="165" t="str">
        <f t="shared" si="9"/>
        <v/>
      </c>
      <c r="R35" s="1086"/>
      <c r="S35" s="1087"/>
      <c r="V35" s="1083"/>
      <c r="W35" s="1083"/>
      <c r="X35" s="1083"/>
      <c r="Y35" s="1083"/>
      <c r="Z35" s="1083"/>
      <c r="AA35" s="1083"/>
      <c r="AB35" s="1083"/>
      <c r="AC35" s="1083"/>
      <c r="AD35" s="1083"/>
      <c r="AE35" s="1083"/>
      <c r="AF35" s="1083"/>
      <c r="AG35" s="1083"/>
      <c r="AH35" s="1083"/>
      <c r="AI35" s="1083"/>
      <c r="AJ35" s="1083"/>
      <c r="AK35" s="1083"/>
      <c r="AL35" s="1083"/>
      <c r="AM35" s="1083"/>
      <c r="AN35" s="1083"/>
      <c r="AO35" s="1083"/>
      <c r="AP35" s="1083"/>
      <c r="AQ35" s="1083"/>
      <c r="AR35" s="1088"/>
      <c r="AS35" s="1089"/>
      <c r="BE35" s="1084" t="s">
        <v>398</v>
      </c>
      <c r="BF35" s="1091">
        <f>SUM(BF5:BF34)</f>
        <v>1625000</v>
      </c>
      <c r="BH35" s="165" t="s">
        <v>350</v>
      </c>
      <c r="BI35" s="1124" t="s">
        <v>65</v>
      </c>
      <c r="BJ35" s="1124" t="s">
        <v>423</v>
      </c>
      <c r="BK35" s="1124" t="s">
        <v>124</v>
      </c>
      <c r="BL35" s="1124" t="s">
        <v>155</v>
      </c>
      <c r="BM35" s="1125" t="s">
        <v>910</v>
      </c>
      <c r="BN35" s="1125" t="s">
        <v>135</v>
      </c>
      <c r="BO35" s="1125" t="s">
        <v>196</v>
      </c>
      <c r="BP35" s="1125" t="s">
        <v>772</v>
      </c>
      <c r="BQ35" s="1125" t="s">
        <v>717</v>
      </c>
      <c r="BR35" s="1125"/>
      <c r="BX35" s="1122"/>
      <c r="DH35" s="1122" t="s">
        <v>461</v>
      </c>
      <c r="DI35" s="1123" t="s">
        <v>521</v>
      </c>
    </row>
    <row r="36" spans="2:731" ht="15" customHeight="1">
      <c r="B36" s="69">
        <f>IFERROR(VLOOKUP(C36,'price list MAN'!$B$5:$C$2002,2,FALSE),"")</f>
        <v>0</v>
      </c>
      <c r="C36" s="446"/>
      <c r="D36" s="29" t="str">
        <f>IFERROR(IF($M$9="Standard Warranty",VLOOKUP(C36,'price list MAN'!$B$5:$J$2002,9,FALSE),VLOOKUP(C36,'price list MAN'!$B$5:$M$2002,12,FALSE)),"")</f>
        <v/>
      </c>
      <c r="E36" s="29" t="str">
        <f>IFERROR(IF(C36="","",IF($M$9="Standard Warranty",VLOOKUP(C36,'price list MAN'!$B$5:$L$2002,11,FALSE),VLOOKUP(C36,'price list MAN'!$B$5:$O$2002,14,FALSE))),"")</f>
        <v/>
      </c>
      <c r="F36" s="29" t="str">
        <f>IFERROR(IF(C36="","",IF($M$9="Standard Warranty",VLOOKUP(C36,'price list MAN'!$B$5:$K$2002,10,FALSE),VLOOKUP(C36,'price list MAN'!$B$5:$N$2002,13,FALSE))),"")</f>
        <v/>
      </c>
      <c r="G36" s="76" t="str">
        <f>IFERROR(IF(C36="","",VLOOKUP(C36,'price list MAN'!$B$5:$F$2000,5,FALSE)),"")</f>
        <v/>
      </c>
      <c r="I36" s="98"/>
      <c r="J36" s="220"/>
      <c r="K36" s="871" t="str">
        <f t="shared" si="12"/>
        <v/>
      </c>
      <c r="L36" s="1022"/>
      <c r="M36" s="99"/>
      <c r="N36" s="1153"/>
      <c r="Q36" s="165" t="str">
        <f t="shared" si="9"/>
        <v/>
      </c>
      <c r="R36" s="1086"/>
      <c r="S36" s="1087"/>
      <c r="V36" s="1083"/>
      <c r="W36" s="1083"/>
      <c r="X36" s="1083"/>
      <c r="Y36" s="1083"/>
      <c r="Z36" s="1083"/>
      <c r="AA36" s="1083"/>
      <c r="AB36" s="1083"/>
      <c r="AC36" s="1083"/>
      <c r="AD36" s="1083"/>
      <c r="AE36" s="1083"/>
      <c r="AF36" s="1083"/>
      <c r="AG36" s="1083"/>
      <c r="AH36" s="1083"/>
      <c r="AI36" s="1083"/>
      <c r="AJ36" s="1083"/>
      <c r="AK36" s="1083"/>
      <c r="AL36" s="1083"/>
      <c r="AM36" s="1083"/>
      <c r="AN36" s="1083"/>
      <c r="AO36" s="1083"/>
      <c r="AP36" s="1083"/>
      <c r="AQ36" s="1083"/>
      <c r="AR36" s="1088"/>
      <c r="AS36" s="1089"/>
      <c r="BH36" s="165" t="s">
        <v>351</v>
      </c>
      <c r="BI36" s="1124" t="s">
        <v>65</v>
      </c>
      <c r="BJ36" s="1124" t="s">
        <v>423</v>
      </c>
      <c r="BK36" s="1124" t="s">
        <v>124</v>
      </c>
      <c r="BL36" s="1124" t="s">
        <v>156</v>
      </c>
      <c r="BM36" s="1125" t="s">
        <v>911</v>
      </c>
      <c r="BN36" s="1125" t="s">
        <v>135</v>
      </c>
      <c r="BO36" s="1125" t="s">
        <v>196</v>
      </c>
      <c r="BP36" s="1125" t="s">
        <v>773</v>
      </c>
      <c r="BQ36" s="1125" t="s">
        <v>718</v>
      </c>
      <c r="BR36" s="1125"/>
      <c r="BX36" s="1122"/>
      <c r="DH36" s="1122" t="s">
        <v>462</v>
      </c>
      <c r="DI36" s="1123" t="s">
        <v>521</v>
      </c>
    </row>
    <row r="37" spans="2:731" ht="15" customHeight="1" thickBot="1">
      <c r="B37" s="69">
        <f>IFERROR(VLOOKUP(C37,'price list MAN'!$B$5:$C$2002,2,FALSE),"")</f>
        <v>0</v>
      </c>
      <c r="C37" s="446"/>
      <c r="D37" s="29" t="str">
        <f>IFERROR(IF($M$9="Standard Warranty",VLOOKUP(C37,'price list MAN'!$B$5:$J$2002,9,FALSE),VLOOKUP(C37,'price list MAN'!$B$5:$M$2002,12,FALSE)),"")</f>
        <v/>
      </c>
      <c r="E37" s="29" t="str">
        <f>IFERROR(IF(C37="","",IF($M$9="Standard Warranty",VLOOKUP(C37,'price list MAN'!$B$5:$L$2002,11,FALSE),VLOOKUP(C37,'price list MAN'!$B$5:$O$2002,14,FALSE))),"")</f>
        <v/>
      </c>
      <c r="F37" s="29" t="str">
        <f>IFERROR(IF(C37="","",IF($M$9="Standard Warranty",VLOOKUP(C37,'price list MAN'!$B$5:$K$2002,10,FALSE),VLOOKUP(C37,'price list MAN'!$B$5:$N$2002,13,FALSE))),"")</f>
        <v/>
      </c>
      <c r="G37" s="76" t="str">
        <f>IFERROR(IF(C37="","",VLOOKUP(C37,'price list MAN'!$B$5:$F$2000,5,FALSE)),"")</f>
        <v/>
      </c>
      <c r="I37" s="100"/>
      <c r="J37" s="221"/>
      <c r="K37" s="1030" t="str">
        <f t="shared" si="12"/>
        <v/>
      </c>
      <c r="L37" s="1023"/>
      <c r="M37" s="103"/>
      <c r="Q37" s="165" t="str">
        <f t="shared" si="9"/>
        <v/>
      </c>
      <c r="R37" s="1086"/>
      <c r="S37" s="1087"/>
      <c r="V37" s="1083"/>
      <c r="W37" s="1083"/>
      <c r="X37" s="1083"/>
      <c r="Y37" s="1083"/>
      <c r="Z37" s="1083"/>
      <c r="AA37" s="1083"/>
      <c r="AB37" s="1083"/>
      <c r="AC37" s="1083"/>
      <c r="AD37" s="1083"/>
      <c r="AE37" s="1083"/>
      <c r="AF37" s="1083"/>
      <c r="AG37" s="1083"/>
      <c r="AH37" s="1083"/>
      <c r="AI37" s="1083"/>
      <c r="AJ37" s="1083"/>
      <c r="AK37" s="1083"/>
      <c r="AL37" s="1083"/>
      <c r="AM37" s="1083"/>
      <c r="AN37" s="1083"/>
      <c r="AO37" s="1083"/>
      <c r="AP37" s="1083"/>
      <c r="AQ37" s="1083"/>
      <c r="AR37" s="1088"/>
      <c r="AS37" s="1089"/>
      <c r="BH37" s="165" t="s">
        <v>352</v>
      </c>
      <c r="BI37" s="1124" t="s">
        <v>65</v>
      </c>
      <c r="BJ37" s="1124" t="s">
        <v>423</v>
      </c>
      <c r="BK37" s="1124" t="s">
        <v>124</v>
      </c>
      <c r="BL37" s="1124" t="s">
        <v>157</v>
      </c>
      <c r="BM37" s="1125" t="s">
        <v>912</v>
      </c>
      <c r="BN37" s="1125" t="s">
        <v>135</v>
      </c>
      <c r="BO37" s="1125" t="s">
        <v>196</v>
      </c>
      <c r="BP37" s="1125" t="s">
        <v>774</v>
      </c>
      <c r="BQ37" s="1125" t="s">
        <v>719</v>
      </c>
      <c r="BR37" s="1125"/>
      <c r="BX37" s="1122"/>
      <c r="DH37" s="1122" t="s">
        <v>223</v>
      </c>
      <c r="DI37" s="1123" t="s">
        <v>521</v>
      </c>
    </row>
    <row r="38" spans="2:731" ht="15" customHeight="1" thickBot="1">
      <c r="B38" s="70">
        <f>IFERROR(VLOOKUP(C38,'price list MAN'!$B$5:$C$2002,2,FALSE),"")</f>
        <v>0</v>
      </c>
      <c r="C38" s="447"/>
      <c r="D38" s="29" t="str">
        <f>IFERROR(IF($M$9="Standard Warranty",VLOOKUP(C38,'price list MAN'!$B$5:$J$2002,9,FALSE),VLOOKUP(C38,'price list MAN'!$B$5:$M$2002,12,FALSE)),"")</f>
        <v/>
      </c>
      <c r="E38" s="29" t="str">
        <f>IFERROR(IF(C38="","",IF($M$9="Standard Warranty",VLOOKUP(C38,'price list MAN'!$B$5:$L$2002,11,FALSE),VLOOKUP(C38,'price list MAN'!$B$5:$O$2002,14,FALSE))),"")</f>
        <v/>
      </c>
      <c r="F38" s="29" t="str">
        <f>IFERROR(IF(C38="","",IF($M$9="Standard Warranty",VLOOKUP(C38,'price list MAN'!$B$5:$K$2002,10,FALSE),VLOOKUP(C38,'price list MAN'!$B$5:$N$2002,13,FALSE))),"")</f>
        <v/>
      </c>
      <c r="G38" s="76" t="str">
        <f>IFERROR(IF(C38="","",VLOOKUP(C38,'price list MAN'!$B$5:$F$2000,5,FALSE)),"")</f>
        <v/>
      </c>
      <c r="I38" s="869"/>
      <c r="J38" s="870"/>
      <c r="K38" s="871"/>
      <c r="L38" s="1018"/>
      <c r="M38" s="872"/>
      <c r="Q38" s="165" t="str">
        <f t="shared" si="9"/>
        <v/>
      </c>
      <c r="R38" s="1086"/>
      <c r="S38" s="1087"/>
      <c r="V38" s="1083"/>
      <c r="W38" s="1083"/>
      <c r="X38" s="1083"/>
      <c r="Y38" s="1083"/>
      <c r="Z38" s="1083"/>
      <c r="AA38" s="1083"/>
      <c r="AB38" s="1083"/>
      <c r="AC38" s="1083"/>
      <c r="AD38" s="1083"/>
      <c r="AE38" s="1083"/>
      <c r="AF38" s="1083"/>
      <c r="AG38" s="1083"/>
      <c r="AH38" s="1083"/>
      <c r="AI38" s="1083"/>
      <c r="AJ38" s="1083"/>
      <c r="AK38" s="1083"/>
      <c r="AL38" s="1083"/>
      <c r="AM38" s="1083"/>
      <c r="AN38" s="1083"/>
      <c r="AO38" s="1083"/>
      <c r="AP38" s="1083"/>
      <c r="AQ38" s="1083"/>
      <c r="AR38" s="1088"/>
      <c r="AS38" s="1089"/>
      <c r="BH38" s="165" t="s">
        <v>365</v>
      </c>
      <c r="BI38" s="1124" t="s">
        <v>402</v>
      </c>
      <c r="BJ38" s="1124" t="s">
        <v>402</v>
      </c>
      <c r="BK38" s="1124" t="s">
        <v>124</v>
      </c>
      <c r="BL38" s="1124" t="s">
        <v>167</v>
      </c>
      <c r="BM38" s="1125" t="s">
        <v>913</v>
      </c>
      <c r="BN38" s="1125" t="s">
        <v>135</v>
      </c>
      <c r="BO38" s="1125" t="s">
        <v>196</v>
      </c>
      <c r="BP38" s="1125" t="s">
        <v>775</v>
      </c>
      <c r="BQ38" s="1125" t="s">
        <v>720</v>
      </c>
      <c r="BR38" s="1125"/>
      <c r="BX38" s="1122"/>
      <c r="DH38" s="1122" t="s">
        <v>463</v>
      </c>
      <c r="DI38" s="1123" t="s">
        <v>521</v>
      </c>
    </row>
    <row r="39" spans="2:731" ht="21.75" customHeight="1" thickBot="1">
      <c r="B39" s="72" t="s">
        <v>307</v>
      </c>
      <c r="C39" s="73">
        <f>COUNTA(C9:C38)</f>
        <v>1</v>
      </c>
      <c r="D39" s="74">
        <f>SUM(D9:D38)</f>
        <v>2250000</v>
      </c>
      <c r="E39" s="74">
        <f>SUM(E9:E38)</f>
        <v>1625000</v>
      </c>
      <c r="F39" s="74">
        <f>SUM(F9:F38)</f>
        <v>1706250</v>
      </c>
      <c r="G39" s="71"/>
      <c r="I39" s="1216" t="s">
        <v>1196</v>
      </c>
      <c r="J39" s="1019"/>
      <c r="K39" s="1019"/>
      <c r="L39" s="1218">
        <f>SUM(L23:L37)</f>
        <v>0</v>
      </c>
      <c r="M39" s="1220">
        <f>SUM(M23:M37)</f>
        <v>0</v>
      </c>
      <c r="R39" s="1084"/>
      <c r="S39" s="1092"/>
      <c r="AR39" s="1088"/>
      <c r="AS39" s="1089"/>
      <c r="BH39" s="165" t="s">
        <v>366</v>
      </c>
      <c r="BI39" s="1124" t="s">
        <v>402</v>
      </c>
      <c r="BJ39" s="1124" t="s">
        <v>402</v>
      </c>
      <c r="BK39" s="1124" t="s">
        <v>124</v>
      </c>
      <c r="BL39" s="1124" t="s">
        <v>168</v>
      </c>
      <c r="BM39" s="1125" t="s">
        <v>914</v>
      </c>
      <c r="BN39" s="1125" t="s">
        <v>135</v>
      </c>
      <c r="BO39" s="1125" t="s">
        <v>196</v>
      </c>
      <c r="BP39" s="1125" t="s">
        <v>776</v>
      </c>
      <c r="BQ39" s="1125" t="s">
        <v>721</v>
      </c>
      <c r="BR39" s="1125"/>
      <c r="BX39" s="1122"/>
      <c r="DH39" s="1122" t="s">
        <v>464</v>
      </c>
      <c r="DI39" s="1123" t="s">
        <v>521</v>
      </c>
    </row>
    <row r="40" spans="2:731" ht="15.75" customHeight="1" thickBot="1">
      <c r="I40" s="1217"/>
      <c r="J40" s="1020"/>
      <c r="K40" s="1020"/>
      <c r="L40" s="1219"/>
      <c r="M40" s="1221"/>
      <c r="O40" s="165" t="str">
        <f>VLOOKUP(M12&amp;"",$DH$4:$DI$102,2,FALSE)</f>
        <v>On-Road</v>
      </c>
      <c r="BH40" s="165" t="s">
        <v>374</v>
      </c>
      <c r="BI40" s="1124" t="s">
        <v>403</v>
      </c>
      <c r="BJ40" s="1124" t="s">
        <v>420</v>
      </c>
      <c r="BK40" s="1124" t="s">
        <v>178</v>
      </c>
      <c r="BL40" s="1124" t="s">
        <v>179</v>
      </c>
      <c r="BM40" s="1125" t="s">
        <v>915</v>
      </c>
      <c r="BN40" s="1125" t="s">
        <v>135</v>
      </c>
      <c r="BO40" s="1125" t="s">
        <v>196</v>
      </c>
      <c r="BP40" s="1125" t="s">
        <v>777</v>
      </c>
      <c r="BQ40" s="1125" t="s">
        <v>722</v>
      </c>
      <c r="BR40" s="1125"/>
      <c r="BY40" s="1122"/>
      <c r="BZ40" s="1122"/>
      <c r="DH40" s="1122" t="s">
        <v>465</v>
      </c>
      <c r="DI40" s="1123" t="s">
        <v>521</v>
      </c>
    </row>
    <row r="41" spans="2:731" ht="15.75" customHeight="1" thickBot="1">
      <c r="B41" s="164" t="s">
        <v>43</v>
      </c>
      <c r="C41" s="256" t="s">
        <v>534</v>
      </c>
      <c r="D41" s="448" t="s">
        <v>51</v>
      </c>
      <c r="E41" s="257"/>
      <c r="F41" s="81"/>
      <c r="G41" s="125"/>
      <c r="I41" s="869"/>
      <c r="J41" s="870"/>
      <c r="K41" s="871"/>
      <c r="L41" s="872"/>
      <c r="M41" s="872"/>
      <c r="N41" s="1154"/>
      <c r="O41" s="165" t="str">
        <f>LEFT(M12,3)</f>
        <v>TGX</v>
      </c>
      <c r="BH41" s="165" t="s">
        <v>375</v>
      </c>
      <c r="BI41" s="1124" t="s">
        <v>403</v>
      </c>
      <c r="BJ41" s="1124" t="s">
        <v>422</v>
      </c>
      <c r="BK41" s="1124" t="s">
        <v>180</v>
      </c>
      <c r="BL41" s="1124" t="s">
        <v>181</v>
      </c>
      <c r="BM41" s="1125" t="s">
        <v>916</v>
      </c>
      <c r="BN41" s="1125" t="s">
        <v>135</v>
      </c>
      <c r="BO41" s="1125" t="s">
        <v>196</v>
      </c>
      <c r="BP41" s="1125" t="s">
        <v>778</v>
      </c>
      <c r="BQ41" s="1125" t="s">
        <v>723</v>
      </c>
      <c r="BR41" s="1125"/>
      <c r="BX41" s="1122"/>
      <c r="DH41" s="1122" t="s">
        <v>233</v>
      </c>
      <c r="DI41" s="1123" t="s">
        <v>521</v>
      </c>
    </row>
    <row r="42" spans="2:731" ht="15.75" customHeight="1" thickBot="1">
      <c r="B42" s="91"/>
      <c r="C42" s="208"/>
      <c r="D42" s="18"/>
      <c r="E42" s="255" t="s">
        <v>222</v>
      </c>
      <c r="F42" s="255" t="s">
        <v>433</v>
      </c>
      <c r="G42" s="264" t="s">
        <v>562</v>
      </c>
      <c r="I42" s="863" t="s">
        <v>1163</v>
      </c>
      <c r="J42" s="81"/>
      <c r="K42" s="81"/>
      <c r="L42" s="81"/>
      <c r="M42" s="97">
        <f>SUM(M44:M45)</f>
        <v>57012</v>
      </c>
      <c r="O42" s="165" t="str">
        <f>IF(M12="","",IF(ISNUMBER(SEARCH("-EL",M12)),"EL",""))</f>
        <v/>
      </c>
      <c r="BG42" s="19"/>
      <c r="BH42" s="165" t="s">
        <v>376</v>
      </c>
      <c r="BI42" s="1124" t="s">
        <v>403</v>
      </c>
      <c r="BJ42" s="1124" t="s">
        <v>422</v>
      </c>
      <c r="BK42" s="1124" t="s">
        <v>180</v>
      </c>
      <c r="BL42" s="1124" t="s">
        <v>182</v>
      </c>
      <c r="BM42" s="1125" t="s">
        <v>917</v>
      </c>
      <c r="BN42" s="1125" t="s">
        <v>135</v>
      </c>
      <c r="BO42" s="1125" t="s">
        <v>196</v>
      </c>
      <c r="BP42" s="1125" t="s">
        <v>779</v>
      </c>
      <c r="BQ42" s="1125" t="s">
        <v>724</v>
      </c>
      <c r="BR42" s="1125"/>
      <c r="BW42" s="1122"/>
      <c r="CY42" s="165"/>
      <c r="DH42" s="1122" t="s">
        <v>230</v>
      </c>
      <c r="DI42" s="1123" t="s">
        <v>521</v>
      </c>
    </row>
    <row r="43" spans="2:731" s="7" customFormat="1" ht="15.75" customHeight="1" thickBot="1">
      <c r="B43" s="43"/>
      <c r="C43" s="21"/>
      <c r="D43" s="21"/>
      <c r="E43" s="484"/>
      <c r="F43" s="263"/>
      <c r="G43" s="485"/>
      <c r="I43" s="80"/>
      <c r="J43" s="215"/>
      <c r="K43" s="215"/>
      <c r="L43" s="222"/>
      <c r="M43" s="864"/>
      <c r="N43" s="19"/>
      <c r="O43" s="165" t="str">
        <f>LEFT(M12,3)&amp;MID(M12,11,3)</f>
        <v>TGX6X4</v>
      </c>
      <c r="P43" s="165"/>
      <c r="Q43" s="165"/>
      <c r="R43" s="165"/>
      <c r="S43" s="19"/>
      <c r="T43" s="1134"/>
      <c r="U43" s="1134"/>
      <c r="V43" s="1204"/>
      <c r="W43" s="1204"/>
      <c r="X43" s="1204"/>
      <c r="Y43" s="1204"/>
      <c r="Z43" s="1204"/>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65"/>
      <c r="BB43" s="19"/>
      <c r="BC43" s="19"/>
      <c r="BD43" s="19"/>
      <c r="BE43" s="19"/>
      <c r="BF43" s="19"/>
      <c r="BG43" s="19"/>
      <c r="BH43" s="165" t="s">
        <v>377</v>
      </c>
      <c r="BI43" s="1124" t="s">
        <v>403</v>
      </c>
      <c r="BJ43" s="1124" t="s">
        <v>420</v>
      </c>
      <c r="BK43" s="1124" t="s">
        <v>178</v>
      </c>
      <c r="BL43" s="1124" t="s">
        <v>183</v>
      </c>
      <c r="BM43" s="1125" t="s">
        <v>918</v>
      </c>
      <c r="BN43" s="1125" t="s">
        <v>135</v>
      </c>
      <c r="BO43" s="1125" t="s">
        <v>196</v>
      </c>
      <c r="BP43" s="1125" t="s">
        <v>780</v>
      </c>
      <c r="BQ43" s="1125" t="s">
        <v>725</v>
      </c>
      <c r="BR43" s="1125"/>
      <c r="BS43" s="19"/>
      <c r="BT43" s="19"/>
      <c r="BU43" s="19"/>
      <c r="BV43" s="19"/>
      <c r="BW43" s="1122"/>
      <c r="BX43" s="19"/>
      <c r="BY43" s="19"/>
      <c r="BZ43" s="19"/>
      <c r="CA43" s="19"/>
      <c r="CB43" s="19"/>
      <c r="CC43" s="19"/>
      <c r="CD43" s="19"/>
      <c r="CE43" s="19"/>
      <c r="CF43" s="19"/>
      <c r="CG43" s="19"/>
      <c r="CH43" s="19"/>
      <c r="CI43" s="19"/>
      <c r="CJ43" s="19"/>
      <c r="CK43" s="19"/>
      <c r="CL43" s="19"/>
      <c r="CM43" s="19"/>
      <c r="CN43" s="19"/>
      <c r="CO43" s="19"/>
      <c r="CP43" s="19"/>
      <c r="CQ43" s="19"/>
      <c r="CR43" s="19"/>
      <c r="CS43" s="19"/>
      <c r="CT43" s="19"/>
      <c r="CU43" s="19"/>
      <c r="CV43" s="19"/>
      <c r="CW43" s="19"/>
      <c r="CX43" s="19"/>
      <c r="CY43" s="19"/>
      <c r="CZ43" s="19"/>
      <c r="DA43" s="19"/>
      <c r="DB43" s="19"/>
      <c r="DC43" s="19"/>
      <c r="DD43" s="19"/>
      <c r="DE43" s="19"/>
      <c r="DF43" s="19"/>
      <c r="DG43" s="19"/>
      <c r="DH43" s="1122" t="s">
        <v>466</v>
      </c>
      <c r="DI43" s="1123" t="s">
        <v>521</v>
      </c>
      <c r="DJ43" s="19"/>
      <c r="DK43" s="19"/>
      <c r="DL43" s="19"/>
      <c r="DM43" s="19"/>
      <c r="DN43" s="19"/>
      <c r="DO43" s="19"/>
      <c r="DP43" s="19"/>
      <c r="DQ43" s="19"/>
      <c r="DR43" s="19"/>
      <c r="DS43" s="19"/>
      <c r="DT43" s="19"/>
      <c r="DU43" s="19"/>
      <c r="DV43" s="19"/>
      <c r="DW43" s="19"/>
      <c r="DX43" s="19"/>
      <c r="DY43" s="19"/>
      <c r="DZ43" s="19"/>
      <c r="EA43" s="19"/>
      <c r="EB43" s="19"/>
      <c r="EC43" s="19"/>
      <c r="ED43" s="19"/>
      <c r="EE43" s="19"/>
      <c r="EF43" s="19"/>
      <c r="EG43" s="19"/>
      <c r="EH43" s="19"/>
      <c r="EI43" s="19"/>
      <c r="EJ43" s="19"/>
      <c r="EK43" s="19"/>
      <c r="EL43" s="19"/>
      <c r="EM43" s="19"/>
      <c r="EN43" s="19"/>
      <c r="EO43" s="19"/>
      <c r="EP43" s="19"/>
      <c r="EQ43" s="19"/>
      <c r="ER43" s="19"/>
      <c r="ES43" s="19"/>
      <c r="ET43" s="19"/>
      <c r="EU43" s="19"/>
      <c r="EV43" s="19"/>
      <c r="EW43" s="19"/>
      <c r="EX43" s="19"/>
      <c r="EY43" s="19"/>
      <c r="EZ43" s="19"/>
      <c r="FA43" s="19"/>
      <c r="FB43" s="19"/>
      <c r="FC43" s="19"/>
      <c r="FD43" s="19"/>
      <c r="FE43" s="19"/>
      <c r="FF43" s="19"/>
      <c r="FG43" s="19"/>
      <c r="FH43" s="19"/>
      <c r="FI43" s="19"/>
      <c r="FJ43" s="19"/>
      <c r="FK43" s="19"/>
      <c r="FL43" s="19"/>
      <c r="FM43" s="19"/>
      <c r="FN43" s="19"/>
      <c r="FO43" s="19"/>
      <c r="FP43" s="19"/>
      <c r="FQ43" s="19"/>
      <c r="FR43" s="19"/>
      <c r="FS43" s="19"/>
      <c r="FT43" s="19"/>
      <c r="FU43" s="19"/>
      <c r="FV43" s="19"/>
      <c r="FW43" s="19"/>
      <c r="FX43" s="19"/>
      <c r="FY43" s="19"/>
      <c r="FZ43" s="19"/>
      <c r="GA43" s="19"/>
      <c r="GB43" s="19"/>
      <c r="GC43" s="19"/>
      <c r="GD43" s="19"/>
      <c r="GE43" s="19"/>
      <c r="GF43" s="19"/>
      <c r="GG43" s="19"/>
      <c r="GH43" s="19"/>
      <c r="GI43" s="19"/>
      <c r="GJ43" s="19"/>
      <c r="GK43" s="19"/>
      <c r="GL43" s="19"/>
      <c r="GM43" s="19"/>
      <c r="GN43" s="19"/>
      <c r="GO43" s="19"/>
      <c r="GP43" s="19"/>
      <c r="GQ43" s="19"/>
      <c r="GR43" s="19"/>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19"/>
      <c r="HX43" s="19"/>
      <c r="HY43" s="19"/>
      <c r="HZ43" s="19"/>
      <c r="IA43" s="19"/>
      <c r="IB43" s="19"/>
      <c r="IC43" s="19"/>
      <c r="ID43" s="19"/>
      <c r="IE43" s="19"/>
      <c r="IF43" s="19"/>
      <c r="IG43" s="19"/>
      <c r="IH43" s="19"/>
      <c r="II43" s="19"/>
      <c r="IJ43" s="19"/>
      <c r="IK43" s="19"/>
      <c r="IL43" s="19"/>
      <c r="IM43" s="19"/>
      <c r="IN43" s="19"/>
      <c r="IO43" s="19"/>
      <c r="IP43" s="19"/>
      <c r="IQ43" s="19"/>
      <c r="IR43" s="19"/>
      <c r="IS43" s="19"/>
      <c r="IT43" s="19"/>
      <c r="IU43" s="19"/>
      <c r="IV43" s="19"/>
      <c r="IW43" s="19"/>
      <c r="IX43" s="19"/>
      <c r="IY43" s="19"/>
      <c r="IZ43" s="19"/>
      <c r="JA43" s="19"/>
      <c r="JB43" s="19"/>
      <c r="JC43" s="19"/>
      <c r="JD43" s="19"/>
      <c r="JE43" s="19"/>
      <c r="JF43" s="19"/>
      <c r="JG43" s="19"/>
      <c r="JH43" s="19"/>
      <c r="JI43" s="19"/>
      <c r="JJ43" s="19"/>
      <c r="JK43" s="19"/>
      <c r="JL43" s="19"/>
      <c r="JM43" s="19"/>
      <c r="JN43" s="19"/>
      <c r="JO43" s="19"/>
      <c r="JP43" s="19"/>
      <c r="JQ43" s="19"/>
      <c r="JR43" s="19"/>
      <c r="JS43" s="19"/>
      <c r="JT43" s="19"/>
      <c r="JU43" s="19"/>
      <c r="JV43" s="19"/>
      <c r="JW43" s="19"/>
      <c r="JX43" s="19"/>
      <c r="JY43" s="19"/>
      <c r="JZ43" s="19"/>
      <c r="KA43" s="19"/>
      <c r="KB43" s="19"/>
      <c r="KC43" s="19"/>
      <c r="KD43" s="19"/>
      <c r="KE43" s="19"/>
      <c r="KF43" s="19"/>
      <c r="KG43" s="19"/>
      <c r="KH43" s="19"/>
      <c r="KI43" s="19"/>
      <c r="KJ43" s="19"/>
      <c r="KK43" s="19"/>
      <c r="KL43" s="19"/>
      <c r="KM43" s="19"/>
      <c r="KN43" s="19"/>
      <c r="KO43" s="19"/>
      <c r="KP43" s="19"/>
      <c r="KQ43" s="19"/>
      <c r="KR43" s="19"/>
      <c r="KS43" s="19"/>
      <c r="KT43" s="19"/>
      <c r="KU43" s="19"/>
      <c r="KV43" s="19"/>
      <c r="KW43" s="19"/>
      <c r="KX43" s="19"/>
      <c r="KY43" s="19"/>
      <c r="KZ43" s="19"/>
      <c r="LA43" s="19"/>
      <c r="LB43" s="19"/>
      <c r="LC43" s="19"/>
      <c r="LD43" s="19"/>
      <c r="LE43" s="19"/>
      <c r="LF43" s="19"/>
      <c r="LG43" s="19"/>
      <c r="LH43" s="19"/>
      <c r="LI43" s="19"/>
      <c r="LJ43" s="19"/>
      <c r="LK43" s="19"/>
      <c r="LL43" s="19"/>
      <c r="LM43" s="19"/>
      <c r="LN43" s="19"/>
      <c r="LO43" s="19"/>
      <c r="LP43" s="19"/>
      <c r="LQ43" s="19"/>
      <c r="LR43" s="19"/>
      <c r="LS43" s="19"/>
      <c r="LT43" s="19"/>
      <c r="LU43" s="19"/>
      <c r="LV43" s="19"/>
      <c r="LW43" s="19"/>
      <c r="LX43" s="19"/>
      <c r="LY43" s="19"/>
      <c r="LZ43" s="19"/>
      <c r="MA43" s="19"/>
      <c r="MB43" s="19"/>
      <c r="MC43" s="19"/>
      <c r="MD43" s="19"/>
      <c r="ME43" s="19"/>
      <c r="MF43" s="19"/>
      <c r="MG43" s="19"/>
      <c r="MH43" s="19"/>
      <c r="MI43" s="19"/>
      <c r="MJ43" s="19"/>
      <c r="MK43" s="19"/>
      <c r="ML43" s="19"/>
      <c r="MM43" s="19"/>
      <c r="MN43" s="19"/>
      <c r="MO43" s="19"/>
      <c r="MP43" s="19"/>
      <c r="MQ43" s="19"/>
      <c r="MR43" s="19"/>
      <c r="MS43" s="19"/>
      <c r="MT43" s="19"/>
      <c r="MU43" s="19"/>
      <c r="MV43" s="19"/>
      <c r="MW43" s="19"/>
      <c r="MX43" s="19"/>
      <c r="MY43" s="19"/>
      <c r="MZ43" s="19"/>
      <c r="NA43" s="19"/>
      <c r="NB43" s="19"/>
      <c r="NC43" s="19"/>
      <c r="ND43" s="19"/>
      <c r="NE43" s="19"/>
      <c r="NF43" s="19"/>
      <c r="NG43" s="19"/>
      <c r="NH43" s="19"/>
      <c r="NI43" s="19"/>
      <c r="NJ43" s="19"/>
      <c r="NK43" s="19"/>
      <c r="NL43" s="19"/>
      <c r="NM43" s="19"/>
      <c r="NN43" s="19"/>
      <c r="NO43" s="19"/>
      <c r="NP43" s="19"/>
      <c r="NQ43" s="19"/>
      <c r="NR43" s="19"/>
      <c r="NS43" s="19"/>
      <c r="NT43" s="19"/>
      <c r="NU43" s="19"/>
      <c r="NV43" s="19"/>
      <c r="NW43" s="19"/>
      <c r="NX43" s="19"/>
      <c r="NY43" s="19"/>
      <c r="NZ43" s="19"/>
      <c r="OA43" s="19"/>
      <c r="OB43" s="19"/>
      <c r="OC43" s="19"/>
      <c r="OD43" s="19"/>
      <c r="OE43" s="19"/>
      <c r="OF43" s="19"/>
      <c r="OG43" s="19"/>
      <c r="OH43" s="19"/>
      <c r="OI43" s="19"/>
      <c r="OJ43" s="19"/>
      <c r="OK43" s="19"/>
      <c r="OL43" s="19"/>
      <c r="OM43" s="19"/>
      <c r="ON43" s="19"/>
      <c r="OO43" s="19"/>
      <c r="OP43" s="19"/>
      <c r="OQ43" s="19"/>
      <c r="OR43" s="19"/>
      <c r="OS43" s="19"/>
      <c r="OT43" s="19"/>
      <c r="OU43" s="19"/>
      <c r="OV43" s="19"/>
      <c r="OW43" s="19"/>
      <c r="OX43" s="19"/>
      <c r="OY43" s="19"/>
      <c r="OZ43" s="19"/>
      <c r="PA43" s="19"/>
      <c r="PB43" s="19"/>
      <c r="PC43" s="19"/>
      <c r="PD43" s="19"/>
      <c r="PE43" s="19"/>
      <c r="PF43" s="19"/>
      <c r="PG43" s="19"/>
      <c r="PH43" s="19"/>
      <c r="PI43" s="19"/>
      <c r="PJ43" s="19"/>
      <c r="PK43" s="19"/>
      <c r="PL43" s="19"/>
      <c r="PM43" s="19"/>
      <c r="PN43" s="19"/>
      <c r="PO43" s="19"/>
      <c r="PP43" s="19"/>
      <c r="PQ43" s="19"/>
      <c r="PR43" s="19"/>
      <c r="PS43" s="19"/>
      <c r="PT43" s="19"/>
      <c r="PU43" s="19"/>
      <c r="PV43" s="19"/>
      <c r="PW43" s="19"/>
      <c r="PX43" s="19"/>
      <c r="PY43" s="19"/>
      <c r="PZ43" s="19"/>
      <c r="QA43" s="19"/>
      <c r="QB43" s="19"/>
      <c r="QC43" s="19"/>
      <c r="QD43" s="19"/>
      <c r="QE43" s="19"/>
      <c r="QF43" s="19"/>
      <c r="QG43" s="19"/>
      <c r="QH43" s="19"/>
      <c r="QI43" s="19"/>
      <c r="QJ43" s="19"/>
      <c r="QK43" s="19"/>
      <c r="QL43" s="19"/>
      <c r="QM43" s="19"/>
      <c r="QN43" s="19"/>
      <c r="QO43" s="19"/>
      <c r="QP43" s="19"/>
      <c r="QQ43" s="19"/>
      <c r="QR43" s="19"/>
      <c r="QS43" s="19"/>
      <c r="QT43" s="19"/>
      <c r="QU43" s="19"/>
      <c r="QV43" s="19"/>
      <c r="QW43" s="19"/>
      <c r="QX43" s="19"/>
      <c r="QY43" s="19"/>
      <c r="QZ43" s="19"/>
      <c r="RA43" s="19"/>
      <c r="RB43" s="19"/>
      <c r="RC43" s="19"/>
      <c r="RD43" s="19"/>
      <c r="RE43" s="19"/>
      <c r="RF43" s="19"/>
      <c r="RG43" s="19"/>
      <c r="RH43" s="19"/>
      <c r="RI43" s="19"/>
      <c r="RJ43" s="19"/>
      <c r="RK43" s="19"/>
      <c r="RL43" s="19"/>
      <c r="RM43" s="19"/>
      <c r="RN43" s="19"/>
      <c r="RO43" s="19"/>
      <c r="RP43" s="19"/>
      <c r="RQ43" s="19"/>
      <c r="RR43" s="19"/>
      <c r="RS43" s="19"/>
      <c r="RT43" s="19"/>
      <c r="RU43" s="19"/>
      <c r="RV43" s="19"/>
      <c r="RW43" s="19"/>
      <c r="RX43" s="19"/>
      <c r="RY43" s="19"/>
      <c r="RZ43" s="19"/>
      <c r="SA43" s="19"/>
      <c r="SB43" s="19"/>
      <c r="SC43" s="19"/>
      <c r="SD43" s="19"/>
      <c r="SE43" s="19"/>
      <c r="SF43" s="19"/>
      <c r="SG43" s="19"/>
      <c r="SH43" s="19"/>
      <c r="SI43" s="19"/>
      <c r="SJ43" s="19"/>
      <c r="SK43" s="19"/>
      <c r="SL43" s="19"/>
      <c r="SM43" s="19"/>
      <c r="SN43" s="19"/>
      <c r="SO43" s="19"/>
      <c r="SP43" s="19"/>
      <c r="SQ43" s="19"/>
      <c r="SR43" s="19"/>
      <c r="SS43" s="19"/>
      <c r="ST43" s="19"/>
      <c r="SU43" s="19"/>
      <c r="SV43" s="19"/>
      <c r="SW43" s="19"/>
      <c r="SX43" s="19"/>
      <c r="SY43" s="19"/>
      <c r="SZ43" s="19"/>
      <c r="TA43" s="19"/>
      <c r="TB43" s="19"/>
      <c r="TC43" s="19"/>
      <c r="TD43" s="19"/>
      <c r="TE43" s="19"/>
      <c r="TF43" s="19"/>
      <c r="TG43" s="19"/>
      <c r="TH43" s="19"/>
      <c r="TI43" s="19"/>
      <c r="TJ43" s="19"/>
      <c r="TK43" s="19"/>
      <c r="TL43" s="19"/>
      <c r="TM43" s="19"/>
      <c r="TN43" s="19"/>
      <c r="TO43" s="19"/>
      <c r="TP43" s="19"/>
      <c r="TQ43" s="19"/>
      <c r="TR43" s="19"/>
      <c r="TS43" s="19"/>
      <c r="TT43" s="19"/>
      <c r="TU43" s="19"/>
      <c r="TV43" s="19"/>
      <c r="TW43" s="19"/>
      <c r="TX43" s="19"/>
      <c r="TY43" s="19"/>
      <c r="TZ43" s="19"/>
      <c r="UA43" s="19"/>
      <c r="UB43" s="19"/>
      <c r="UC43" s="19"/>
      <c r="UD43" s="19"/>
      <c r="UE43" s="19"/>
      <c r="UF43" s="19"/>
      <c r="UG43" s="19"/>
      <c r="UH43" s="19"/>
      <c r="UI43" s="19"/>
      <c r="UJ43" s="19"/>
      <c r="UK43" s="19"/>
      <c r="UL43" s="19"/>
      <c r="UM43" s="19"/>
      <c r="UN43" s="19"/>
      <c r="UO43" s="19"/>
      <c r="UP43" s="19"/>
      <c r="UQ43" s="19"/>
      <c r="UR43" s="19"/>
      <c r="US43" s="19"/>
      <c r="UT43" s="19"/>
      <c r="UU43" s="19"/>
      <c r="UV43" s="19"/>
      <c r="UW43" s="19"/>
      <c r="UX43" s="19"/>
      <c r="UY43" s="19"/>
      <c r="UZ43" s="19"/>
      <c r="VA43" s="19"/>
      <c r="VB43" s="19"/>
      <c r="VC43" s="19"/>
      <c r="VD43" s="19"/>
      <c r="VE43" s="19"/>
      <c r="VF43" s="19"/>
      <c r="VG43" s="19"/>
      <c r="VH43" s="19"/>
      <c r="VI43" s="19"/>
      <c r="VJ43" s="19"/>
      <c r="VK43" s="19"/>
      <c r="VL43" s="19"/>
      <c r="VM43" s="19"/>
      <c r="VN43" s="19"/>
      <c r="VO43" s="19"/>
      <c r="VP43" s="19"/>
      <c r="VQ43" s="19"/>
      <c r="VR43" s="19"/>
      <c r="VS43" s="19"/>
      <c r="VT43" s="19"/>
      <c r="VU43" s="19"/>
      <c r="VV43" s="19"/>
      <c r="VW43" s="19"/>
      <c r="VX43" s="19"/>
      <c r="VY43" s="19"/>
      <c r="VZ43" s="19"/>
      <c r="WA43" s="19"/>
      <c r="WB43" s="19"/>
      <c r="WC43" s="19"/>
      <c r="WD43" s="19"/>
      <c r="WE43" s="19"/>
      <c r="WF43" s="19"/>
      <c r="WG43" s="19"/>
      <c r="WH43" s="19"/>
      <c r="WI43" s="19"/>
      <c r="WJ43" s="19"/>
      <c r="WK43" s="19"/>
      <c r="WL43" s="19"/>
      <c r="WM43" s="19"/>
      <c r="WN43" s="19"/>
      <c r="WO43" s="19"/>
      <c r="WP43" s="19"/>
      <c r="WQ43" s="19"/>
      <c r="WR43" s="19"/>
      <c r="WS43" s="19"/>
      <c r="WT43" s="19"/>
      <c r="WU43" s="19"/>
      <c r="WV43" s="19"/>
      <c r="WW43" s="19"/>
      <c r="WX43" s="19"/>
      <c r="WY43" s="19"/>
      <c r="WZ43" s="19"/>
      <c r="XA43" s="19"/>
      <c r="XB43" s="19"/>
      <c r="XC43" s="19"/>
      <c r="XD43" s="19"/>
      <c r="XE43" s="19"/>
      <c r="XF43" s="19"/>
      <c r="XG43" s="19"/>
      <c r="XH43" s="19"/>
      <c r="XI43" s="19"/>
      <c r="XJ43" s="19"/>
      <c r="XK43" s="19"/>
      <c r="XL43" s="19"/>
      <c r="XM43" s="19"/>
      <c r="XN43" s="19"/>
      <c r="XO43" s="19"/>
      <c r="XP43" s="19"/>
      <c r="XQ43" s="19"/>
      <c r="XR43" s="19"/>
      <c r="XS43" s="19"/>
      <c r="XT43" s="19"/>
      <c r="XU43" s="19"/>
      <c r="XV43" s="19"/>
      <c r="XW43" s="19"/>
      <c r="XX43" s="19"/>
      <c r="XY43" s="19"/>
      <c r="XZ43" s="19"/>
      <c r="YA43" s="19"/>
      <c r="YB43" s="19"/>
      <c r="YC43" s="19"/>
      <c r="YD43" s="19"/>
      <c r="YE43" s="19"/>
      <c r="YF43" s="19"/>
      <c r="YG43" s="19"/>
      <c r="YH43" s="19"/>
      <c r="YI43" s="19"/>
      <c r="YJ43" s="19"/>
      <c r="YK43" s="19"/>
      <c r="YL43" s="19"/>
      <c r="YM43" s="19"/>
      <c r="YN43" s="19"/>
      <c r="YO43" s="19"/>
      <c r="YP43" s="19"/>
      <c r="YQ43" s="19"/>
      <c r="YR43" s="19"/>
      <c r="YS43" s="19"/>
      <c r="YT43" s="19"/>
      <c r="YU43" s="19"/>
      <c r="YV43" s="19"/>
      <c r="YW43" s="19"/>
      <c r="YX43" s="19"/>
      <c r="YY43" s="19"/>
      <c r="YZ43" s="19"/>
      <c r="ZA43" s="19"/>
      <c r="ZB43" s="19"/>
      <c r="ZC43" s="19"/>
      <c r="ZD43" s="19"/>
      <c r="ZE43" s="19"/>
      <c r="ZF43" s="19"/>
      <c r="ZG43" s="19"/>
      <c r="ZH43" s="19"/>
      <c r="ZI43" s="19"/>
      <c r="ZJ43" s="19"/>
      <c r="ZK43" s="19"/>
      <c r="ZL43" s="19"/>
      <c r="ZM43" s="19"/>
      <c r="ZN43" s="19"/>
      <c r="ZO43" s="19"/>
      <c r="ZP43" s="19"/>
      <c r="ZQ43" s="19"/>
      <c r="ZR43" s="19"/>
      <c r="ZS43" s="19"/>
      <c r="ZT43" s="19"/>
      <c r="ZU43" s="19"/>
      <c r="ZV43" s="19"/>
      <c r="ZW43" s="19"/>
      <c r="ZX43" s="19"/>
      <c r="ZY43" s="19"/>
      <c r="ZZ43" s="19"/>
      <c r="AAA43" s="19"/>
      <c r="AAB43" s="19"/>
      <c r="AAC43" s="19"/>
      <c r="AAD43" s="19"/>
      <c r="AAE43" s="19"/>
      <c r="AAF43" s="19"/>
      <c r="AAG43" s="19"/>
      <c r="AAH43" s="19"/>
      <c r="AAI43" s="19"/>
      <c r="AAJ43" s="19"/>
      <c r="AAK43" s="19"/>
      <c r="AAL43" s="19"/>
      <c r="AAM43" s="19"/>
      <c r="AAN43" s="19"/>
      <c r="AAO43" s="19"/>
      <c r="AAP43" s="19"/>
      <c r="AAQ43" s="19"/>
      <c r="AAR43" s="19"/>
      <c r="AAS43" s="19"/>
      <c r="AAT43" s="19"/>
      <c r="AAU43" s="19"/>
      <c r="AAV43" s="19"/>
      <c r="AAW43" s="19"/>
      <c r="AAX43" s="19"/>
      <c r="AAY43" s="19"/>
      <c r="AAZ43" s="19"/>
      <c r="ABA43" s="19"/>
      <c r="ABB43" s="19"/>
      <c r="ABC43" s="19"/>
    </row>
    <row r="44" spans="2:731" s="7" customFormat="1" ht="15.75" customHeight="1" thickBot="1">
      <c r="I44" s="42" t="s">
        <v>1164</v>
      </c>
      <c r="M44" s="865">
        <v>56667</v>
      </c>
      <c r="N44" s="19"/>
      <c r="O44" s="19"/>
      <c r="P44" s="165"/>
      <c r="Q44" s="165"/>
      <c r="R44" s="165"/>
      <c r="S44" s="19"/>
      <c r="T44" s="1134"/>
      <c r="U44" s="1134"/>
      <c r="V44" s="1204"/>
      <c r="W44" s="1204"/>
      <c r="X44" s="1204"/>
      <c r="Y44" s="1204"/>
      <c r="Z44" s="1204"/>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65"/>
      <c r="BB44" s="19"/>
      <c r="BC44" s="19"/>
      <c r="BD44" s="19"/>
      <c r="BE44" s="19"/>
      <c r="BF44" s="19"/>
      <c r="BG44" s="19"/>
      <c r="BH44" s="165" t="s">
        <v>378</v>
      </c>
      <c r="BI44" s="1124" t="s">
        <v>403</v>
      </c>
      <c r="BJ44" s="1124" t="s">
        <v>420</v>
      </c>
      <c r="BK44" s="1124" t="s">
        <v>178</v>
      </c>
      <c r="BL44" s="1124" t="s">
        <v>184</v>
      </c>
      <c r="BM44" s="1125" t="s">
        <v>919</v>
      </c>
      <c r="BN44" s="1125" t="s">
        <v>135</v>
      </c>
      <c r="BO44" s="1125" t="s">
        <v>196</v>
      </c>
      <c r="BP44" s="1125" t="s">
        <v>781</v>
      </c>
      <c r="BQ44" s="1125" t="s">
        <v>726</v>
      </c>
      <c r="BR44" s="1125"/>
      <c r="BS44" s="19"/>
      <c r="BT44" s="19"/>
      <c r="BU44" s="19"/>
      <c r="BV44" s="19"/>
      <c r="BW44" s="1122"/>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122" t="s">
        <v>467</v>
      </c>
      <c r="DI44" s="1123" t="s">
        <v>521</v>
      </c>
      <c r="DJ44" s="19"/>
      <c r="DK44" s="19"/>
      <c r="DL44" s="19"/>
      <c r="DM44" s="19"/>
      <c r="DN44" s="19"/>
      <c r="DO44" s="19"/>
      <c r="DP44" s="19"/>
      <c r="DQ44" s="19"/>
      <c r="DR44" s="19"/>
      <c r="DS44" s="19"/>
      <c r="DT44" s="19"/>
      <c r="DU44" s="19"/>
      <c r="DV44" s="19"/>
      <c r="DW44" s="19"/>
      <c r="DX44" s="19"/>
      <c r="DY44" s="19"/>
      <c r="DZ44" s="19"/>
      <c r="EA44" s="19"/>
      <c r="EB44" s="19"/>
      <c r="EC44" s="19"/>
      <c r="ED44" s="19"/>
      <c r="EE44" s="19"/>
      <c r="EF44" s="19"/>
      <c r="EG44" s="19"/>
      <c r="EH44" s="19"/>
      <c r="EI44" s="19"/>
      <c r="EJ44" s="19"/>
      <c r="EK44" s="19"/>
      <c r="EL44" s="19"/>
      <c r="EM44" s="19"/>
      <c r="EN44" s="19"/>
      <c r="EO44" s="19"/>
      <c r="EP44" s="19"/>
      <c r="EQ44" s="19"/>
      <c r="ER44" s="19"/>
      <c r="ES44" s="19"/>
      <c r="ET44" s="19"/>
      <c r="EU44" s="19"/>
      <c r="EV44" s="19"/>
      <c r="EW44" s="19"/>
      <c r="EX44" s="19"/>
      <c r="EY44" s="19"/>
      <c r="EZ44" s="19"/>
      <c r="FA44" s="19"/>
      <c r="FB44" s="19"/>
      <c r="FC44" s="19"/>
      <c r="FD44" s="19"/>
      <c r="FE44" s="19"/>
      <c r="FF44" s="19"/>
      <c r="FG44" s="19"/>
      <c r="FH44" s="19"/>
      <c r="FI44" s="19"/>
      <c r="FJ44" s="19"/>
      <c r="FK44" s="19"/>
      <c r="FL44" s="19"/>
      <c r="FM44" s="19"/>
      <c r="FN44" s="19"/>
      <c r="FO44" s="19"/>
      <c r="FP44" s="19"/>
      <c r="FQ44" s="19"/>
      <c r="FR44" s="19"/>
      <c r="FS44" s="19"/>
      <c r="FT44" s="19"/>
      <c r="FU44" s="19"/>
      <c r="FV44" s="19"/>
      <c r="FW44" s="19"/>
      <c r="FX44" s="19"/>
      <c r="FY44" s="19"/>
      <c r="FZ44" s="19"/>
      <c r="GA44" s="19"/>
      <c r="GB44" s="19"/>
      <c r="GC44" s="19"/>
      <c r="GD44" s="19"/>
      <c r="GE44" s="19"/>
      <c r="GF44" s="19"/>
      <c r="GG44" s="19"/>
      <c r="GH44" s="19"/>
      <c r="GI44" s="19"/>
      <c r="GJ44" s="19"/>
      <c r="GK44" s="19"/>
      <c r="GL44" s="19"/>
      <c r="GM44" s="19"/>
      <c r="GN44" s="19"/>
      <c r="GO44" s="19"/>
      <c r="GP44" s="19"/>
      <c r="GQ44" s="19"/>
      <c r="GR44" s="19"/>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19"/>
      <c r="HX44" s="19"/>
      <c r="HY44" s="19"/>
      <c r="HZ44" s="19"/>
      <c r="IA44" s="19"/>
      <c r="IB44" s="19"/>
      <c r="IC44" s="19"/>
      <c r="ID44" s="19"/>
      <c r="IE44" s="19"/>
      <c r="IF44" s="19"/>
      <c r="IG44" s="19"/>
      <c r="IH44" s="19"/>
      <c r="II44" s="19"/>
      <c r="IJ44" s="19"/>
      <c r="IK44" s="19"/>
      <c r="IL44" s="19"/>
      <c r="IM44" s="19"/>
      <c r="IN44" s="19"/>
      <c r="IO44" s="19"/>
      <c r="IP44" s="19"/>
      <c r="IQ44" s="19"/>
      <c r="IR44" s="19"/>
      <c r="IS44" s="19"/>
      <c r="IT44" s="19"/>
      <c r="IU44" s="19"/>
      <c r="IV44" s="19"/>
      <c r="IW44" s="19"/>
      <c r="IX44" s="19"/>
      <c r="IY44" s="19"/>
      <c r="IZ44" s="19"/>
      <c r="JA44" s="19"/>
      <c r="JB44" s="19"/>
      <c r="JC44" s="19"/>
      <c r="JD44" s="19"/>
      <c r="JE44" s="19"/>
      <c r="JF44" s="19"/>
      <c r="JG44" s="19"/>
      <c r="JH44" s="19"/>
      <c r="JI44" s="19"/>
      <c r="JJ44" s="19"/>
      <c r="JK44" s="19"/>
      <c r="JL44" s="19"/>
      <c r="JM44" s="19"/>
      <c r="JN44" s="19"/>
      <c r="JO44" s="19"/>
      <c r="JP44" s="19"/>
      <c r="JQ44" s="19"/>
      <c r="JR44" s="19"/>
      <c r="JS44" s="19"/>
      <c r="JT44" s="19"/>
      <c r="JU44" s="19"/>
      <c r="JV44" s="19"/>
      <c r="JW44" s="19"/>
      <c r="JX44" s="19"/>
      <c r="JY44" s="19"/>
      <c r="JZ44" s="19"/>
      <c r="KA44" s="19"/>
      <c r="KB44" s="19"/>
      <c r="KC44" s="19"/>
      <c r="KD44" s="19"/>
      <c r="KE44" s="19"/>
      <c r="KF44" s="19"/>
      <c r="KG44" s="19"/>
      <c r="KH44" s="19"/>
      <c r="KI44" s="19"/>
      <c r="KJ44" s="19"/>
      <c r="KK44" s="19"/>
      <c r="KL44" s="19"/>
      <c r="KM44" s="19"/>
      <c r="KN44" s="19"/>
      <c r="KO44" s="19"/>
      <c r="KP44" s="19"/>
      <c r="KQ44" s="19"/>
      <c r="KR44" s="19"/>
      <c r="KS44" s="19"/>
      <c r="KT44" s="19"/>
      <c r="KU44" s="19"/>
      <c r="KV44" s="19"/>
      <c r="KW44" s="19"/>
      <c r="KX44" s="19"/>
      <c r="KY44" s="19"/>
      <c r="KZ44" s="19"/>
      <c r="LA44" s="19"/>
      <c r="LB44" s="19"/>
      <c r="LC44" s="19"/>
      <c r="LD44" s="19"/>
      <c r="LE44" s="19"/>
      <c r="LF44" s="19"/>
      <c r="LG44" s="19"/>
      <c r="LH44" s="19"/>
      <c r="LI44" s="19"/>
      <c r="LJ44" s="19"/>
      <c r="LK44" s="19"/>
      <c r="LL44" s="19"/>
      <c r="LM44" s="19"/>
      <c r="LN44" s="19"/>
      <c r="LO44" s="19"/>
      <c r="LP44" s="19"/>
      <c r="LQ44" s="19"/>
      <c r="LR44" s="19"/>
      <c r="LS44" s="19"/>
      <c r="LT44" s="19"/>
      <c r="LU44" s="19"/>
      <c r="LV44" s="19"/>
      <c r="LW44" s="19"/>
      <c r="LX44" s="19"/>
      <c r="LY44" s="19"/>
      <c r="LZ44" s="19"/>
      <c r="MA44" s="19"/>
      <c r="MB44" s="19"/>
      <c r="MC44" s="19"/>
      <c r="MD44" s="19"/>
      <c r="ME44" s="19"/>
      <c r="MF44" s="19"/>
      <c r="MG44" s="19"/>
      <c r="MH44" s="19"/>
      <c r="MI44" s="19"/>
      <c r="MJ44" s="19"/>
      <c r="MK44" s="19"/>
      <c r="ML44" s="19"/>
      <c r="MM44" s="19"/>
      <c r="MN44" s="19"/>
      <c r="MO44" s="19"/>
      <c r="MP44" s="19"/>
      <c r="MQ44" s="19"/>
      <c r="MR44" s="19"/>
      <c r="MS44" s="19"/>
      <c r="MT44" s="19"/>
      <c r="MU44" s="19"/>
      <c r="MV44" s="19"/>
      <c r="MW44" s="19"/>
      <c r="MX44" s="19"/>
      <c r="MY44" s="19"/>
      <c r="MZ44" s="19"/>
      <c r="NA44" s="19"/>
      <c r="NB44" s="19"/>
      <c r="NC44" s="19"/>
      <c r="ND44" s="19"/>
      <c r="NE44" s="19"/>
      <c r="NF44" s="19"/>
      <c r="NG44" s="19"/>
      <c r="NH44" s="19"/>
      <c r="NI44" s="19"/>
      <c r="NJ44" s="19"/>
      <c r="NK44" s="19"/>
      <c r="NL44" s="19"/>
      <c r="NM44" s="19"/>
      <c r="NN44" s="19"/>
      <c r="NO44" s="19"/>
      <c r="NP44" s="19"/>
      <c r="NQ44" s="19"/>
      <c r="NR44" s="19"/>
      <c r="NS44" s="19"/>
      <c r="NT44" s="19"/>
      <c r="NU44" s="19"/>
      <c r="NV44" s="19"/>
      <c r="NW44" s="19"/>
      <c r="NX44" s="19"/>
      <c r="NY44" s="19"/>
      <c r="NZ44" s="19"/>
      <c r="OA44" s="19"/>
      <c r="OB44" s="19"/>
      <c r="OC44" s="19"/>
      <c r="OD44" s="19"/>
      <c r="OE44" s="19"/>
      <c r="OF44" s="19"/>
      <c r="OG44" s="19"/>
      <c r="OH44" s="19"/>
      <c r="OI44" s="19"/>
      <c r="OJ44" s="19"/>
      <c r="OK44" s="19"/>
      <c r="OL44" s="19"/>
      <c r="OM44" s="19"/>
      <c r="ON44" s="19"/>
      <c r="OO44" s="19"/>
      <c r="OP44" s="19"/>
      <c r="OQ44" s="19"/>
      <c r="OR44" s="19"/>
      <c r="OS44" s="19"/>
      <c r="OT44" s="19"/>
      <c r="OU44" s="19"/>
      <c r="OV44" s="19"/>
      <c r="OW44" s="19"/>
      <c r="OX44" s="19"/>
      <c r="OY44" s="19"/>
      <c r="OZ44" s="19"/>
      <c r="PA44" s="19"/>
      <c r="PB44" s="19"/>
      <c r="PC44" s="19"/>
      <c r="PD44" s="19"/>
      <c r="PE44" s="19"/>
      <c r="PF44" s="19"/>
      <c r="PG44" s="19"/>
      <c r="PH44" s="19"/>
      <c r="PI44" s="19"/>
      <c r="PJ44" s="19"/>
      <c r="PK44" s="19"/>
      <c r="PL44" s="19"/>
      <c r="PM44" s="19"/>
      <c r="PN44" s="19"/>
      <c r="PO44" s="19"/>
      <c r="PP44" s="19"/>
      <c r="PQ44" s="19"/>
      <c r="PR44" s="19"/>
      <c r="PS44" s="19"/>
      <c r="PT44" s="19"/>
      <c r="PU44" s="19"/>
      <c r="PV44" s="19"/>
      <c r="PW44" s="19"/>
      <c r="PX44" s="19"/>
      <c r="PY44" s="19"/>
      <c r="PZ44" s="19"/>
      <c r="QA44" s="19"/>
      <c r="QB44" s="19"/>
      <c r="QC44" s="19"/>
      <c r="QD44" s="19"/>
      <c r="QE44" s="19"/>
      <c r="QF44" s="19"/>
      <c r="QG44" s="19"/>
      <c r="QH44" s="19"/>
      <c r="QI44" s="19"/>
      <c r="QJ44" s="19"/>
      <c r="QK44" s="19"/>
      <c r="QL44" s="19"/>
      <c r="QM44" s="19"/>
      <c r="QN44" s="19"/>
      <c r="QO44" s="19"/>
      <c r="QP44" s="19"/>
      <c r="QQ44" s="19"/>
      <c r="QR44" s="19"/>
      <c r="QS44" s="19"/>
      <c r="QT44" s="19"/>
      <c r="QU44" s="19"/>
      <c r="QV44" s="19"/>
      <c r="QW44" s="19"/>
      <c r="QX44" s="19"/>
      <c r="QY44" s="19"/>
      <c r="QZ44" s="19"/>
      <c r="RA44" s="19"/>
      <c r="RB44" s="19"/>
      <c r="RC44" s="19"/>
      <c r="RD44" s="19"/>
      <c r="RE44" s="19"/>
      <c r="RF44" s="19"/>
      <c r="RG44" s="19"/>
      <c r="RH44" s="19"/>
      <c r="RI44" s="19"/>
      <c r="RJ44" s="19"/>
      <c r="RK44" s="19"/>
      <c r="RL44" s="19"/>
      <c r="RM44" s="19"/>
      <c r="RN44" s="19"/>
      <c r="RO44" s="19"/>
      <c r="RP44" s="19"/>
      <c r="RQ44" s="19"/>
      <c r="RR44" s="19"/>
      <c r="RS44" s="19"/>
      <c r="RT44" s="19"/>
      <c r="RU44" s="19"/>
      <c r="RV44" s="19"/>
      <c r="RW44" s="19"/>
      <c r="RX44" s="19"/>
      <c r="RY44" s="19"/>
      <c r="RZ44" s="19"/>
      <c r="SA44" s="19"/>
      <c r="SB44" s="19"/>
      <c r="SC44" s="19"/>
      <c r="SD44" s="19"/>
      <c r="SE44" s="19"/>
      <c r="SF44" s="19"/>
      <c r="SG44" s="19"/>
      <c r="SH44" s="19"/>
      <c r="SI44" s="19"/>
      <c r="SJ44" s="19"/>
      <c r="SK44" s="19"/>
      <c r="SL44" s="19"/>
      <c r="SM44" s="19"/>
      <c r="SN44" s="19"/>
      <c r="SO44" s="19"/>
      <c r="SP44" s="19"/>
      <c r="SQ44" s="19"/>
      <c r="SR44" s="19"/>
      <c r="SS44" s="19"/>
      <c r="ST44" s="19"/>
      <c r="SU44" s="19"/>
      <c r="SV44" s="19"/>
      <c r="SW44" s="19"/>
      <c r="SX44" s="19"/>
      <c r="SY44" s="19"/>
      <c r="SZ44" s="19"/>
      <c r="TA44" s="19"/>
      <c r="TB44" s="19"/>
      <c r="TC44" s="19"/>
      <c r="TD44" s="19"/>
      <c r="TE44" s="19"/>
      <c r="TF44" s="19"/>
      <c r="TG44" s="19"/>
      <c r="TH44" s="19"/>
      <c r="TI44" s="19"/>
      <c r="TJ44" s="19"/>
      <c r="TK44" s="19"/>
      <c r="TL44" s="19"/>
      <c r="TM44" s="19"/>
      <c r="TN44" s="19"/>
      <c r="TO44" s="19"/>
      <c r="TP44" s="19"/>
      <c r="TQ44" s="19"/>
      <c r="TR44" s="19"/>
      <c r="TS44" s="19"/>
      <c r="TT44" s="19"/>
      <c r="TU44" s="19"/>
      <c r="TV44" s="19"/>
      <c r="TW44" s="19"/>
      <c r="TX44" s="19"/>
      <c r="TY44" s="19"/>
      <c r="TZ44" s="19"/>
      <c r="UA44" s="19"/>
      <c r="UB44" s="19"/>
      <c r="UC44" s="19"/>
      <c r="UD44" s="19"/>
      <c r="UE44" s="19"/>
      <c r="UF44" s="19"/>
      <c r="UG44" s="19"/>
      <c r="UH44" s="19"/>
      <c r="UI44" s="19"/>
      <c r="UJ44" s="19"/>
      <c r="UK44" s="19"/>
      <c r="UL44" s="19"/>
      <c r="UM44" s="19"/>
      <c r="UN44" s="19"/>
      <c r="UO44" s="19"/>
      <c r="UP44" s="19"/>
      <c r="UQ44" s="19"/>
      <c r="UR44" s="19"/>
      <c r="US44" s="19"/>
      <c r="UT44" s="19"/>
      <c r="UU44" s="19"/>
      <c r="UV44" s="19"/>
      <c r="UW44" s="19"/>
      <c r="UX44" s="19"/>
      <c r="UY44" s="19"/>
      <c r="UZ44" s="19"/>
      <c r="VA44" s="19"/>
      <c r="VB44" s="19"/>
      <c r="VC44" s="19"/>
      <c r="VD44" s="19"/>
      <c r="VE44" s="19"/>
      <c r="VF44" s="19"/>
      <c r="VG44" s="19"/>
      <c r="VH44" s="19"/>
      <c r="VI44" s="19"/>
      <c r="VJ44" s="19"/>
      <c r="VK44" s="19"/>
      <c r="VL44" s="19"/>
      <c r="VM44" s="19"/>
      <c r="VN44" s="19"/>
      <c r="VO44" s="19"/>
      <c r="VP44" s="19"/>
      <c r="VQ44" s="19"/>
      <c r="VR44" s="19"/>
      <c r="VS44" s="19"/>
      <c r="VT44" s="19"/>
      <c r="VU44" s="19"/>
      <c r="VV44" s="19"/>
      <c r="VW44" s="19"/>
      <c r="VX44" s="19"/>
      <c r="VY44" s="19"/>
      <c r="VZ44" s="19"/>
      <c r="WA44" s="19"/>
      <c r="WB44" s="19"/>
      <c r="WC44" s="19"/>
      <c r="WD44" s="19"/>
      <c r="WE44" s="19"/>
      <c r="WF44" s="19"/>
      <c r="WG44" s="19"/>
      <c r="WH44" s="19"/>
      <c r="WI44" s="19"/>
      <c r="WJ44" s="19"/>
      <c r="WK44" s="19"/>
      <c r="WL44" s="19"/>
      <c r="WM44" s="19"/>
      <c r="WN44" s="19"/>
      <c r="WO44" s="19"/>
      <c r="WP44" s="19"/>
      <c r="WQ44" s="19"/>
      <c r="WR44" s="19"/>
      <c r="WS44" s="19"/>
      <c r="WT44" s="19"/>
      <c r="WU44" s="19"/>
      <c r="WV44" s="19"/>
      <c r="WW44" s="19"/>
      <c r="WX44" s="19"/>
      <c r="WY44" s="19"/>
      <c r="WZ44" s="19"/>
      <c r="XA44" s="19"/>
      <c r="XB44" s="19"/>
      <c r="XC44" s="19"/>
      <c r="XD44" s="19"/>
      <c r="XE44" s="19"/>
      <c r="XF44" s="19"/>
      <c r="XG44" s="19"/>
      <c r="XH44" s="19"/>
      <c r="XI44" s="19"/>
      <c r="XJ44" s="19"/>
      <c r="XK44" s="19"/>
      <c r="XL44" s="19"/>
      <c r="XM44" s="19"/>
      <c r="XN44" s="19"/>
      <c r="XO44" s="19"/>
      <c r="XP44" s="19"/>
      <c r="XQ44" s="19"/>
      <c r="XR44" s="19"/>
      <c r="XS44" s="19"/>
      <c r="XT44" s="19"/>
      <c r="XU44" s="19"/>
      <c r="XV44" s="19"/>
      <c r="XW44" s="19"/>
      <c r="XX44" s="19"/>
      <c r="XY44" s="19"/>
      <c r="XZ44" s="19"/>
      <c r="YA44" s="19"/>
      <c r="YB44" s="19"/>
      <c r="YC44" s="19"/>
      <c r="YD44" s="19"/>
      <c r="YE44" s="19"/>
      <c r="YF44" s="19"/>
      <c r="YG44" s="19"/>
      <c r="YH44" s="19"/>
      <c r="YI44" s="19"/>
      <c r="YJ44" s="19"/>
      <c r="YK44" s="19"/>
      <c r="YL44" s="19"/>
      <c r="YM44" s="19"/>
      <c r="YN44" s="19"/>
      <c r="YO44" s="19"/>
      <c r="YP44" s="19"/>
      <c r="YQ44" s="19"/>
      <c r="YR44" s="19"/>
      <c r="YS44" s="19"/>
      <c r="YT44" s="19"/>
      <c r="YU44" s="19"/>
      <c r="YV44" s="19"/>
      <c r="YW44" s="19"/>
      <c r="YX44" s="19"/>
      <c r="YY44" s="19"/>
      <c r="YZ44" s="19"/>
      <c r="ZA44" s="19"/>
      <c r="ZB44" s="19"/>
      <c r="ZC44" s="19"/>
      <c r="ZD44" s="19"/>
      <c r="ZE44" s="19"/>
      <c r="ZF44" s="19"/>
      <c r="ZG44" s="19"/>
      <c r="ZH44" s="19"/>
      <c r="ZI44" s="19"/>
      <c r="ZJ44" s="19"/>
      <c r="ZK44" s="19"/>
      <c r="ZL44" s="19"/>
      <c r="ZM44" s="19"/>
      <c r="ZN44" s="19"/>
      <c r="ZO44" s="19"/>
      <c r="ZP44" s="19"/>
      <c r="ZQ44" s="19"/>
      <c r="ZR44" s="19"/>
      <c r="ZS44" s="19"/>
      <c r="ZT44" s="19"/>
      <c r="ZU44" s="19"/>
      <c r="ZV44" s="19"/>
      <c r="ZW44" s="19"/>
      <c r="ZX44" s="19"/>
      <c r="ZY44" s="19"/>
      <c r="ZZ44" s="19"/>
      <c r="AAA44" s="19"/>
      <c r="AAB44" s="19"/>
      <c r="AAC44" s="19"/>
      <c r="AAD44" s="19"/>
      <c r="AAE44" s="19"/>
      <c r="AAF44" s="19"/>
      <c r="AAG44" s="19"/>
      <c r="AAH44" s="19"/>
      <c r="AAI44" s="19"/>
      <c r="AAJ44" s="19"/>
      <c r="AAK44" s="19"/>
      <c r="AAL44" s="19"/>
      <c r="AAM44" s="19"/>
      <c r="AAN44" s="19"/>
      <c r="AAO44" s="19"/>
      <c r="AAP44" s="19"/>
      <c r="AAQ44" s="19"/>
      <c r="AAR44" s="19"/>
      <c r="AAS44" s="19"/>
      <c r="AAT44" s="19"/>
      <c r="AAU44" s="19"/>
      <c r="AAV44" s="19"/>
      <c r="AAW44" s="19"/>
      <c r="AAX44" s="19"/>
      <c r="AAY44" s="19"/>
      <c r="AAZ44" s="19"/>
      <c r="ABA44" s="19"/>
      <c r="ABB44" s="19"/>
      <c r="ABC44" s="19"/>
    </row>
    <row r="45" spans="2:731" s="7" customFormat="1" ht="15.75" customHeight="1" thickBot="1">
      <c r="B45" s="164" t="s">
        <v>523</v>
      </c>
      <c r="C45" s="115"/>
      <c r="D45" s="115"/>
      <c r="E45" s="115"/>
      <c r="F45" s="114"/>
      <c r="G45" s="251"/>
      <c r="I45" s="866" t="s">
        <v>1165</v>
      </c>
      <c r="J45" s="867"/>
      <c r="K45" s="867"/>
      <c r="L45" s="867"/>
      <c r="M45" s="868">
        <v>345</v>
      </c>
      <c r="N45" s="19"/>
      <c r="O45" s="1093" t="str">
        <f>LEFT(B9,10)&amp;IF(MID(B9,19,1)="X",MID(B9,14,6),MID(B9,14,5))</f>
        <v>TGX-26-540BLS-X</v>
      </c>
      <c r="P45" s="165"/>
      <c r="Q45" s="165"/>
      <c r="R45" s="165"/>
      <c r="S45" s="19"/>
      <c r="T45" s="1134"/>
      <c r="U45" s="1134"/>
      <c r="V45" s="1204"/>
      <c r="W45" s="1204"/>
      <c r="X45" s="1204"/>
      <c r="Y45" s="1204"/>
      <c r="Z45" s="1204"/>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65"/>
      <c r="BB45" s="19"/>
      <c r="BC45" s="19"/>
      <c r="BD45" s="19"/>
      <c r="BE45" s="19"/>
      <c r="BF45" s="19"/>
      <c r="BG45" s="19"/>
      <c r="BH45" s="165" t="s">
        <v>379</v>
      </c>
      <c r="BI45" s="1124" t="s">
        <v>403</v>
      </c>
      <c r="BJ45" s="1124" t="s">
        <v>420</v>
      </c>
      <c r="BK45" s="1124" t="s">
        <v>178</v>
      </c>
      <c r="BL45" s="1124" t="s">
        <v>185</v>
      </c>
      <c r="BM45" s="1125" t="s">
        <v>920</v>
      </c>
      <c r="BN45" s="1125" t="s">
        <v>135</v>
      </c>
      <c r="BO45" s="1125" t="s">
        <v>196</v>
      </c>
      <c r="BP45" s="1125" t="s">
        <v>782</v>
      </c>
      <c r="BQ45" s="1125" t="s">
        <v>727</v>
      </c>
      <c r="BR45" s="1125"/>
      <c r="BS45" s="19"/>
      <c r="BT45" s="19"/>
      <c r="BU45" s="19"/>
      <c r="BV45" s="19"/>
      <c r="BW45" s="1122"/>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122" t="s">
        <v>468</v>
      </c>
      <c r="DI45" s="1123" t="s">
        <v>521</v>
      </c>
      <c r="DJ45" s="19"/>
      <c r="DK45" s="19"/>
      <c r="DL45" s="19"/>
      <c r="DM45" s="19"/>
      <c r="DN45" s="19"/>
      <c r="DO45" s="19"/>
      <c r="DP45" s="19"/>
      <c r="DQ45" s="19"/>
      <c r="DR45" s="19"/>
      <c r="DS45" s="19"/>
      <c r="DT45" s="19"/>
      <c r="DU45" s="19"/>
      <c r="DV45" s="19"/>
      <c r="DW45" s="19"/>
      <c r="DX45" s="19"/>
      <c r="DY45" s="19"/>
      <c r="DZ45" s="19"/>
      <c r="EA45" s="19"/>
      <c r="EB45" s="19"/>
      <c r="EC45" s="19"/>
      <c r="ED45" s="19"/>
      <c r="EE45" s="19"/>
      <c r="EF45" s="19"/>
      <c r="EG45" s="19"/>
      <c r="EH45" s="19"/>
      <c r="EI45" s="19"/>
      <c r="EJ45" s="19"/>
      <c r="EK45" s="19"/>
      <c r="EL45" s="19"/>
      <c r="EM45" s="19"/>
      <c r="EN45" s="19"/>
      <c r="EO45" s="19"/>
      <c r="EP45" s="19"/>
      <c r="EQ45" s="19"/>
      <c r="ER45" s="19"/>
      <c r="ES45" s="19"/>
      <c r="ET45" s="19"/>
      <c r="EU45" s="19"/>
      <c r="EV45" s="19"/>
      <c r="EW45" s="19"/>
      <c r="EX45" s="19"/>
      <c r="EY45" s="19"/>
      <c r="EZ45" s="19"/>
      <c r="FA45" s="19"/>
      <c r="FB45" s="19"/>
      <c r="FC45" s="19"/>
      <c r="FD45" s="19"/>
      <c r="FE45" s="19"/>
      <c r="FF45" s="19"/>
      <c r="FG45" s="19"/>
      <c r="FH45" s="19"/>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19"/>
      <c r="GN45" s="19"/>
      <c r="GO45" s="19"/>
      <c r="GP45" s="19"/>
      <c r="GQ45" s="19"/>
      <c r="GR45" s="19"/>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19"/>
      <c r="HX45" s="19"/>
      <c r="HY45" s="19"/>
      <c r="HZ45" s="19"/>
      <c r="IA45" s="19"/>
      <c r="IB45" s="19"/>
      <c r="IC45" s="19"/>
      <c r="ID45" s="19"/>
      <c r="IE45" s="19"/>
      <c r="IF45" s="19"/>
      <c r="IG45" s="19"/>
      <c r="IH45" s="19"/>
      <c r="II45" s="19"/>
      <c r="IJ45" s="19"/>
      <c r="IK45" s="19"/>
      <c r="IL45" s="19"/>
      <c r="IM45" s="19"/>
      <c r="IN45" s="19"/>
      <c r="IO45" s="19"/>
      <c r="IP45" s="19"/>
      <c r="IQ45" s="19"/>
      <c r="IR45" s="19"/>
      <c r="IS45" s="19"/>
      <c r="IT45" s="19"/>
      <c r="IU45" s="19"/>
      <c r="IV45" s="19"/>
      <c r="IW45" s="19"/>
      <c r="IX45" s="19"/>
      <c r="IY45" s="19"/>
      <c r="IZ45" s="19"/>
      <c r="JA45" s="19"/>
      <c r="JB45" s="19"/>
      <c r="JC45" s="19"/>
      <c r="JD45" s="19"/>
      <c r="JE45" s="19"/>
      <c r="JF45" s="19"/>
      <c r="JG45" s="19"/>
      <c r="JH45" s="19"/>
      <c r="JI45" s="19"/>
      <c r="JJ45" s="19"/>
      <c r="JK45" s="19"/>
      <c r="JL45" s="19"/>
      <c r="JM45" s="19"/>
      <c r="JN45" s="19"/>
      <c r="JO45" s="19"/>
      <c r="JP45" s="19"/>
      <c r="JQ45" s="19"/>
      <c r="JR45" s="19"/>
      <c r="JS45" s="19"/>
      <c r="JT45" s="19"/>
      <c r="JU45" s="19"/>
      <c r="JV45" s="19"/>
      <c r="JW45" s="19"/>
      <c r="JX45" s="19"/>
      <c r="JY45" s="19"/>
      <c r="JZ45" s="19"/>
      <c r="KA45" s="19"/>
      <c r="KB45" s="19"/>
      <c r="KC45" s="19"/>
      <c r="KD45" s="19"/>
      <c r="KE45" s="19"/>
      <c r="KF45" s="19"/>
      <c r="KG45" s="19"/>
      <c r="KH45" s="19"/>
      <c r="KI45" s="19"/>
      <c r="KJ45" s="19"/>
      <c r="KK45" s="19"/>
      <c r="KL45" s="19"/>
      <c r="KM45" s="19"/>
      <c r="KN45" s="19"/>
      <c r="KO45" s="19"/>
      <c r="KP45" s="19"/>
      <c r="KQ45" s="19"/>
      <c r="KR45" s="19"/>
      <c r="KS45" s="19"/>
      <c r="KT45" s="19"/>
      <c r="KU45" s="19"/>
      <c r="KV45" s="19"/>
      <c r="KW45" s="19"/>
      <c r="KX45" s="19"/>
      <c r="KY45" s="19"/>
      <c r="KZ45" s="19"/>
      <c r="LA45" s="19"/>
      <c r="LB45" s="19"/>
      <c r="LC45" s="19"/>
      <c r="LD45" s="19"/>
      <c r="LE45" s="19"/>
      <c r="LF45" s="19"/>
      <c r="LG45" s="19"/>
      <c r="LH45" s="19"/>
      <c r="LI45" s="19"/>
      <c r="LJ45" s="19"/>
      <c r="LK45" s="19"/>
      <c r="LL45" s="19"/>
      <c r="LM45" s="19"/>
      <c r="LN45" s="19"/>
      <c r="LO45" s="19"/>
      <c r="LP45" s="19"/>
      <c r="LQ45" s="19"/>
      <c r="LR45" s="19"/>
      <c r="LS45" s="19"/>
      <c r="LT45" s="19"/>
      <c r="LU45" s="19"/>
      <c r="LV45" s="19"/>
      <c r="LW45" s="19"/>
      <c r="LX45" s="19"/>
      <c r="LY45" s="19"/>
      <c r="LZ45" s="19"/>
      <c r="MA45" s="19"/>
      <c r="MB45" s="19"/>
      <c r="MC45" s="19"/>
      <c r="MD45" s="19"/>
      <c r="ME45" s="19"/>
      <c r="MF45" s="19"/>
      <c r="MG45" s="19"/>
      <c r="MH45" s="19"/>
      <c r="MI45" s="19"/>
      <c r="MJ45" s="19"/>
      <c r="MK45" s="19"/>
      <c r="ML45" s="19"/>
      <c r="MM45" s="19"/>
      <c r="MN45" s="19"/>
      <c r="MO45" s="19"/>
      <c r="MP45" s="19"/>
      <c r="MQ45" s="19"/>
      <c r="MR45" s="19"/>
      <c r="MS45" s="19"/>
      <c r="MT45" s="19"/>
      <c r="MU45" s="19"/>
      <c r="MV45" s="19"/>
      <c r="MW45" s="19"/>
      <c r="MX45" s="19"/>
      <c r="MY45" s="19"/>
      <c r="MZ45" s="19"/>
      <c r="NA45" s="19"/>
      <c r="NB45" s="19"/>
      <c r="NC45" s="19"/>
      <c r="ND45" s="19"/>
      <c r="NE45" s="19"/>
      <c r="NF45" s="19"/>
      <c r="NG45" s="19"/>
      <c r="NH45" s="19"/>
      <c r="NI45" s="19"/>
      <c r="NJ45" s="19"/>
      <c r="NK45" s="19"/>
      <c r="NL45" s="19"/>
      <c r="NM45" s="19"/>
      <c r="NN45" s="19"/>
      <c r="NO45" s="19"/>
      <c r="NP45" s="19"/>
      <c r="NQ45" s="19"/>
      <c r="NR45" s="19"/>
      <c r="NS45" s="19"/>
      <c r="NT45" s="19"/>
      <c r="NU45" s="19"/>
      <c r="NV45" s="19"/>
      <c r="NW45" s="19"/>
      <c r="NX45" s="19"/>
      <c r="NY45" s="19"/>
      <c r="NZ45" s="19"/>
      <c r="OA45" s="19"/>
      <c r="OB45" s="19"/>
      <c r="OC45" s="19"/>
      <c r="OD45" s="19"/>
      <c r="OE45" s="19"/>
      <c r="OF45" s="19"/>
      <c r="OG45" s="19"/>
      <c r="OH45" s="19"/>
      <c r="OI45" s="19"/>
      <c r="OJ45" s="19"/>
      <c r="OK45" s="19"/>
      <c r="OL45" s="19"/>
      <c r="OM45" s="19"/>
      <c r="ON45" s="19"/>
      <c r="OO45" s="19"/>
      <c r="OP45" s="19"/>
      <c r="OQ45" s="19"/>
      <c r="OR45" s="19"/>
      <c r="OS45" s="19"/>
      <c r="OT45" s="19"/>
      <c r="OU45" s="19"/>
      <c r="OV45" s="19"/>
      <c r="OW45" s="19"/>
      <c r="OX45" s="19"/>
      <c r="OY45" s="19"/>
      <c r="OZ45" s="19"/>
      <c r="PA45" s="19"/>
      <c r="PB45" s="19"/>
      <c r="PC45" s="19"/>
      <c r="PD45" s="19"/>
      <c r="PE45" s="19"/>
      <c r="PF45" s="19"/>
      <c r="PG45" s="19"/>
      <c r="PH45" s="19"/>
      <c r="PI45" s="19"/>
      <c r="PJ45" s="19"/>
      <c r="PK45" s="19"/>
      <c r="PL45" s="19"/>
      <c r="PM45" s="19"/>
      <c r="PN45" s="19"/>
      <c r="PO45" s="19"/>
      <c r="PP45" s="19"/>
      <c r="PQ45" s="19"/>
      <c r="PR45" s="19"/>
      <c r="PS45" s="19"/>
      <c r="PT45" s="19"/>
      <c r="PU45" s="19"/>
      <c r="PV45" s="19"/>
      <c r="PW45" s="19"/>
      <c r="PX45" s="19"/>
      <c r="PY45" s="19"/>
      <c r="PZ45" s="19"/>
      <c r="QA45" s="19"/>
      <c r="QB45" s="19"/>
      <c r="QC45" s="19"/>
      <c r="QD45" s="19"/>
      <c r="QE45" s="19"/>
      <c r="QF45" s="19"/>
      <c r="QG45" s="19"/>
      <c r="QH45" s="19"/>
      <c r="QI45" s="19"/>
      <c r="QJ45" s="19"/>
      <c r="QK45" s="19"/>
      <c r="QL45" s="19"/>
      <c r="QM45" s="19"/>
      <c r="QN45" s="19"/>
      <c r="QO45" s="19"/>
      <c r="QP45" s="19"/>
      <c r="QQ45" s="19"/>
      <c r="QR45" s="19"/>
      <c r="QS45" s="19"/>
      <c r="QT45" s="19"/>
      <c r="QU45" s="19"/>
      <c r="QV45" s="19"/>
      <c r="QW45" s="19"/>
      <c r="QX45" s="19"/>
      <c r="QY45" s="19"/>
      <c r="QZ45" s="19"/>
      <c r="RA45" s="19"/>
      <c r="RB45" s="19"/>
      <c r="RC45" s="19"/>
      <c r="RD45" s="19"/>
      <c r="RE45" s="19"/>
      <c r="RF45" s="19"/>
      <c r="RG45" s="19"/>
      <c r="RH45" s="19"/>
      <c r="RI45" s="19"/>
      <c r="RJ45" s="19"/>
      <c r="RK45" s="19"/>
      <c r="RL45" s="19"/>
      <c r="RM45" s="19"/>
      <c r="RN45" s="19"/>
      <c r="RO45" s="19"/>
      <c r="RP45" s="19"/>
      <c r="RQ45" s="19"/>
      <c r="RR45" s="19"/>
      <c r="RS45" s="19"/>
      <c r="RT45" s="19"/>
      <c r="RU45" s="19"/>
      <c r="RV45" s="19"/>
      <c r="RW45" s="19"/>
      <c r="RX45" s="19"/>
      <c r="RY45" s="19"/>
      <c r="RZ45" s="19"/>
      <c r="SA45" s="19"/>
      <c r="SB45" s="19"/>
      <c r="SC45" s="19"/>
      <c r="SD45" s="19"/>
      <c r="SE45" s="19"/>
      <c r="SF45" s="19"/>
      <c r="SG45" s="19"/>
      <c r="SH45" s="19"/>
      <c r="SI45" s="19"/>
      <c r="SJ45" s="19"/>
      <c r="SK45" s="19"/>
      <c r="SL45" s="19"/>
      <c r="SM45" s="19"/>
      <c r="SN45" s="19"/>
      <c r="SO45" s="19"/>
      <c r="SP45" s="19"/>
      <c r="SQ45" s="19"/>
      <c r="SR45" s="19"/>
      <c r="SS45" s="19"/>
      <c r="ST45" s="19"/>
      <c r="SU45" s="19"/>
      <c r="SV45" s="19"/>
      <c r="SW45" s="19"/>
      <c r="SX45" s="19"/>
      <c r="SY45" s="19"/>
      <c r="SZ45" s="19"/>
      <c r="TA45" s="19"/>
      <c r="TB45" s="19"/>
      <c r="TC45" s="19"/>
      <c r="TD45" s="19"/>
      <c r="TE45" s="19"/>
      <c r="TF45" s="19"/>
      <c r="TG45" s="19"/>
      <c r="TH45" s="19"/>
      <c r="TI45" s="19"/>
      <c r="TJ45" s="19"/>
      <c r="TK45" s="19"/>
      <c r="TL45" s="19"/>
      <c r="TM45" s="19"/>
      <c r="TN45" s="19"/>
      <c r="TO45" s="19"/>
      <c r="TP45" s="19"/>
      <c r="TQ45" s="19"/>
      <c r="TR45" s="19"/>
      <c r="TS45" s="19"/>
      <c r="TT45" s="19"/>
      <c r="TU45" s="19"/>
      <c r="TV45" s="19"/>
      <c r="TW45" s="19"/>
      <c r="TX45" s="19"/>
      <c r="TY45" s="19"/>
      <c r="TZ45" s="19"/>
      <c r="UA45" s="19"/>
      <c r="UB45" s="19"/>
      <c r="UC45" s="19"/>
      <c r="UD45" s="19"/>
      <c r="UE45" s="19"/>
      <c r="UF45" s="19"/>
      <c r="UG45" s="19"/>
      <c r="UH45" s="19"/>
      <c r="UI45" s="19"/>
      <c r="UJ45" s="19"/>
      <c r="UK45" s="19"/>
      <c r="UL45" s="19"/>
      <c r="UM45" s="19"/>
      <c r="UN45" s="19"/>
      <c r="UO45" s="19"/>
      <c r="UP45" s="19"/>
      <c r="UQ45" s="19"/>
      <c r="UR45" s="19"/>
      <c r="US45" s="19"/>
      <c r="UT45" s="19"/>
      <c r="UU45" s="19"/>
      <c r="UV45" s="19"/>
      <c r="UW45" s="19"/>
      <c r="UX45" s="19"/>
      <c r="UY45" s="19"/>
      <c r="UZ45" s="19"/>
      <c r="VA45" s="19"/>
      <c r="VB45" s="19"/>
      <c r="VC45" s="19"/>
      <c r="VD45" s="19"/>
      <c r="VE45" s="19"/>
      <c r="VF45" s="19"/>
      <c r="VG45" s="19"/>
      <c r="VH45" s="19"/>
      <c r="VI45" s="19"/>
      <c r="VJ45" s="19"/>
      <c r="VK45" s="19"/>
      <c r="VL45" s="19"/>
      <c r="VM45" s="19"/>
      <c r="VN45" s="19"/>
      <c r="VO45" s="19"/>
      <c r="VP45" s="19"/>
      <c r="VQ45" s="19"/>
      <c r="VR45" s="19"/>
      <c r="VS45" s="19"/>
      <c r="VT45" s="19"/>
      <c r="VU45" s="19"/>
      <c r="VV45" s="19"/>
      <c r="VW45" s="19"/>
      <c r="VX45" s="19"/>
      <c r="VY45" s="19"/>
      <c r="VZ45" s="19"/>
      <c r="WA45" s="19"/>
      <c r="WB45" s="19"/>
      <c r="WC45" s="19"/>
      <c r="WD45" s="19"/>
      <c r="WE45" s="19"/>
      <c r="WF45" s="19"/>
      <c r="WG45" s="19"/>
      <c r="WH45" s="19"/>
      <c r="WI45" s="19"/>
      <c r="WJ45" s="19"/>
      <c r="WK45" s="19"/>
      <c r="WL45" s="19"/>
      <c r="WM45" s="19"/>
      <c r="WN45" s="19"/>
      <c r="WO45" s="19"/>
      <c r="WP45" s="19"/>
      <c r="WQ45" s="19"/>
      <c r="WR45" s="19"/>
      <c r="WS45" s="19"/>
      <c r="WT45" s="19"/>
      <c r="WU45" s="19"/>
      <c r="WV45" s="19"/>
      <c r="WW45" s="19"/>
      <c r="WX45" s="19"/>
      <c r="WY45" s="19"/>
      <c r="WZ45" s="19"/>
      <c r="XA45" s="19"/>
      <c r="XB45" s="19"/>
      <c r="XC45" s="19"/>
      <c r="XD45" s="19"/>
      <c r="XE45" s="19"/>
      <c r="XF45" s="19"/>
      <c r="XG45" s="19"/>
      <c r="XH45" s="19"/>
      <c r="XI45" s="19"/>
      <c r="XJ45" s="19"/>
      <c r="XK45" s="19"/>
      <c r="XL45" s="19"/>
      <c r="XM45" s="19"/>
      <c r="XN45" s="19"/>
      <c r="XO45" s="19"/>
      <c r="XP45" s="19"/>
      <c r="XQ45" s="19"/>
      <c r="XR45" s="19"/>
      <c r="XS45" s="19"/>
      <c r="XT45" s="19"/>
      <c r="XU45" s="19"/>
      <c r="XV45" s="19"/>
      <c r="XW45" s="19"/>
      <c r="XX45" s="19"/>
      <c r="XY45" s="19"/>
      <c r="XZ45" s="19"/>
      <c r="YA45" s="19"/>
      <c r="YB45" s="19"/>
      <c r="YC45" s="19"/>
      <c r="YD45" s="19"/>
      <c r="YE45" s="19"/>
      <c r="YF45" s="19"/>
      <c r="YG45" s="19"/>
      <c r="YH45" s="19"/>
      <c r="YI45" s="19"/>
      <c r="YJ45" s="19"/>
      <c r="YK45" s="19"/>
      <c r="YL45" s="19"/>
      <c r="YM45" s="19"/>
      <c r="YN45" s="19"/>
      <c r="YO45" s="19"/>
      <c r="YP45" s="19"/>
      <c r="YQ45" s="19"/>
      <c r="YR45" s="19"/>
      <c r="YS45" s="19"/>
      <c r="YT45" s="19"/>
      <c r="YU45" s="19"/>
      <c r="YV45" s="19"/>
      <c r="YW45" s="19"/>
      <c r="YX45" s="19"/>
      <c r="YY45" s="19"/>
      <c r="YZ45" s="19"/>
      <c r="ZA45" s="19"/>
      <c r="ZB45" s="19"/>
      <c r="ZC45" s="19"/>
      <c r="ZD45" s="19"/>
      <c r="ZE45" s="19"/>
      <c r="ZF45" s="19"/>
      <c r="ZG45" s="19"/>
      <c r="ZH45" s="19"/>
      <c r="ZI45" s="19"/>
      <c r="ZJ45" s="19"/>
      <c r="ZK45" s="19"/>
      <c r="ZL45" s="19"/>
      <c r="ZM45" s="19"/>
      <c r="ZN45" s="19"/>
      <c r="ZO45" s="19"/>
      <c r="ZP45" s="19"/>
      <c r="ZQ45" s="19"/>
      <c r="ZR45" s="19"/>
      <c r="ZS45" s="19"/>
      <c r="ZT45" s="19"/>
      <c r="ZU45" s="19"/>
      <c r="ZV45" s="19"/>
      <c r="ZW45" s="19"/>
      <c r="ZX45" s="19"/>
      <c r="ZY45" s="19"/>
      <c r="ZZ45" s="19"/>
      <c r="AAA45" s="19"/>
      <c r="AAB45" s="19"/>
      <c r="AAC45" s="19"/>
      <c r="AAD45" s="19"/>
      <c r="AAE45" s="19"/>
      <c r="AAF45" s="19"/>
      <c r="AAG45" s="19"/>
      <c r="AAH45" s="19"/>
      <c r="AAI45" s="19"/>
      <c r="AAJ45" s="19"/>
      <c r="AAK45" s="19"/>
      <c r="AAL45" s="19"/>
      <c r="AAM45" s="19"/>
      <c r="AAN45" s="19"/>
      <c r="AAO45" s="19"/>
      <c r="AAP45" s="19"/>
      <c r="AAQ45" s="19"/>
      <c r="AAR45" s="19"/>
      <c r="AAS45" s="19"/>
      <c r="AAT45" s="19"/>
      <c r="AAU45" s="19"/>
      <c r="AAV45" s="19"/>
      <c r="AAW45" s="19"/>
      <c r="AAX45" s="19"/>
      <c r="AAY45" s="19"/>
      <c r="AAZ45" s="19"/>
      <c r="ABA45" s="19"/>
      <c r="ABB45" s="19"/>
      <c r="ABC45" s="19"/>
    </row>
    <row r="46" spans="2:731" ht="15.75" customHeight="1" thickBot="1">
      <c r="B46" s="116" t="s">
        <v>101</v>
      </c>
      <c r="C46" s="161"/>
      <c r="D46" s="449" t="s">
        <v>56</v>
      </c>
      <c r="E46" s="406"/>
      <c r="F46" s="22" t="s">
        <v>561</v>
      </c>
      <c r="G46" s="452"/>
      <c r="I46" s="96"/>
      <c r="O46" s="165" t="str">
        <f>O45&amp;E47&amp;"/"&amp;E48&amp;G46</f>
        <v>TGX-26-540BLS-X/</v>
      </c>
      <c r="BG46" s="19"/>
      <c r="BH46" s="165" t="s">
        <v>380</v>
      </c>
      <c r="BI46" s="1124" t="s">
        <v>403</v>
      </c>
      <c r="BJ46" s="1124" t="s">
        <v>420</v>
      </c>
      <c r="BK46" s="1124" t="s">
        <v>178</v>
      </c>
      <c r="BL46" s="1124" t="s">
        <v>186</v>
      </c>
      <c r="BM46" s="1125" t="s">
        <v>921</v>
      </c>
      <c r="BN46" s="1125" t="s">
        <v>135</v>
      </c>
      <c r="BO46" s="1125" t="s">
        <v>196</v>
      </c>
      <c r="BP46" s="1125" t="s">
        <v>783</v>
      </c>
      <c r="BQ46" s="1125">
        <v>0</v>
      </c>
      <c r="BR46" s="1125"/>
      <c r="BW46" s="1122"/>
      <c r="CY46" s="165"/>
      <c r="DH46" s="1122" t="s">
        <v>469</v>
      </c>
      <c r="DI46" s="1123" t="s">
        <v>521</v>
      </c>
    </row>
    <row r="47" spans="2:731" ht="15.75" customHeight="1" thickBot="1">
      <c r="B47" s="42" t="s">
        <v>35</v>
      </c>
      <c r="C47" s="18"/>
      <c r="D47" s="59" t="s">
        <v>295</v>
      </c>
      <c r="E47" s="450"/>
      <c r="F47" s="262" t="s">
        <v>33</v>
      </c>
      <c r="G47" s="264" t="s">
        <v>562</v>
      </c>
      <c r="I47" s="180" t="s">
        <v>556</v>
      </c>
      <c r="J47" s="181"/>
      <c r="K47" s="181"/>
      <c r="L47" s="182"/>
      <c r="M47" s="183">
        <f>SUM(M49:M58)</f>
        <v>0</v>
      </c>
      <c r="BG47" s="19"/>
      <c r="BH47" s="165" t="s">
        <v>383</v>
      </c>
      <c r="BI47" s="1124" t="s">
        <v>64</v>
      </c>
      <c r="BJ47" s="1124" t="s">
        <v>64</v>
      </c>
      <c r="BK47" s="1124" t="s">
        <v>124</v>
      </c>
      <c r="BL47" s="1124" t="s">
        <v>189</v>
      </c>
      <c r="BM47" s="1125" t="s">
        <v>922</v>
      </c>
      <c r="BN47" s="1125" t="s">
        <v>135</v>
      </c>
      <c r="BO47" s="1125" t="s">
        <v>196</v>
      </c>
      <c r="BP47" s="1125" t="s">
        <v>784</v>
      </c>
      <c r="BQ47" s="1125" t="s">
        <v>728</v>
      </c>
      <c r="BR47" s="1125"/>
      <c r="BW47" s="1122"/>
      <c r="CY47" s="165"/>
      <c r="DH47" s="1122" t="s">
        <v>470</v>
      </c>
      <c r="DI47" s="1123" t="s">
        <v>521</v>
      </c>
    </row>
    <row r="48" spans="2:731" ht="15.75" customHeight="1" thickBot="1">
      <c r="B48" s="42" t="s">
        <v>564</v>
      </c>
      <c r="C48" s="18"/>
      <c r="D48" s="59" t="s">
        <v>295</v>
      </c>
      <c r="E48" s="451"/>
      <c r="F48" s="23">
        <f>IFERROR(IF(D46=BY6,VLOOKUP(O46,[8]BuyBack!$E$4:$F$843,2,FALSE),VLOOKUP(O46,'[8]Trade Back'!$E$4:$F$843,2,FALSE)),0)</f>
        <v>0</v>
      </c>
      <c r="G48" s="453">
        <v>0</v>
      </c>
      <c r="I48" s="80" t="s">
        <v>526</v>
      </c>
      <c r="J48" s="204"/>
      <c r="K48" s="215"/>
      <c r="L48" s="81"/>
      <c r="M48" s="205" t="s">
        <v>397</v>
      </c>
      <c r="BG48" s="19"/>
      <c r="BH48" s="165" t="s">
        <v>384</v>
      </c>
      <c r="BI48" s="1124" t="s">
        <v>64</v>
      </c>
      <c r="BJ48" s="1124" t="s">
        <v>64</v>
      </c>
      <c r="BK48" s="1124" t="s">
        <v>124</v>
      </c>
      <c r="BL48" s="1124" t="s">
        <v>190</v>
      </c>
      <c r="BM48" s="1125" t="s">
        <v>923</v>
      </c>
      <c r="BN48" s="1125" t="s">
        <v>135</v>
      </c>
      <c r="BO48" s="1125" t="s">
        <v>196</v>
      </c>
      <c r="BP48" s="1125">
        <v>0</v>
      </c>
      <c r="BQ48" s="1125" t="s">
        <v>729</v>
      </c>
      <c r="BR48" s="1125"/>
      <c r="BW48" s="1122"/>
      <c r="CY48" s="165"/>
      <c r="DH48" s="1122" t="s">
        <v>471</v>
      </c>
      <c r="DI48" s="1123" t="s">
        <v>521</v>
      </c>
    </row>
    <row r="49" spans="2:113" ht="15.75" customHeight="1">
      <c r="B49" s="247"/>
      <c r="C49" s="184"/>
      <c r="D49" s="185"/>
      <c r="E49" s="186"/>
      <c r="F49" s="38"/>
      <c r="G49" s="264" t="s">
        <v>562</v>
      </c>
      <c r="I49" s="1026"/>
      <c r="J49" s="1027"/>
      <c r="K49" s="1027"/>
      <c r="L49" s="1028"/>
      <c r="M49" s="1029"/>
      <c r="BG49" s="19"/>
      <c r="BH49" s="165" t="s">
        <v>388</v>
      </c>
      <c r="BI49" s="1124" t="s">
        <v>404</v>
      </c>
      <c r="BJ49" s="1124" t="s">
        <v>404</v>
      </c>
      <c r="BK49" s="1124" t="s">
        <v>124</v>
      </c>
      <c r="BL49" s="1124" t="s">
        <v>194</v>
      </c>
      <c r="BM49" s="1125" t="s">
        <v>924</v>
      </c>
      <c r="BN49" s="1125" t="s">
        <v>135</v>
      </c>
      <c r="BO49" s="1125" t="s">
        <v>196</v>
      </c>
      <c r="BP49" s="1125" t="s">
        <v>785</v>
      </c>
      <c r="BQ49" s="1125" t="s">
        <v>730</v>
      </c>
      <c r="BR49" s="1125"/>
      <c r="BW49" s="1122"/>
      <c r="CY49" s="165"/>
      <c r="DH49" s="1122" t="s">
        <v>472</v>
      </c>
      <c r="DI49" s="1123" t="s">
        <v>519</v>
      </c>
    </row>
    <row r="50" spans="2:113" ht="15.75" customHeight="1">
      <c r="B50" s="42"/>
      <c r="C50" s="18"/>
      <c r="D50" s="59"/>
      <c r="E50" s="186" t="s">
        <v>555</v>
      </c>
      <c r="F50" s="450"/>
      <c r="G50" s="453">
        <v>0</v>
      </c>
      <c r="I50" s="98"/>
      <c r="J50" s="77"/>
      <c r="K50" s="77"/>
      <c r="L50" s="78"/>
      <c r="M50" s="206"/>
      <c r="BG50" s="19"/>
      <c r="BI50" s="1124" t="s">
        <v>200</v>
      </c>
      <c r="BJ50" s="1124" t="s">
        <v>200</v>
      </c>
      <c r="BK50" s="1124"/>
      <c r="BL50" s="1124"/>
      <c r="BM50" s="1125" t="s">
        <v>200</v>
      </c>
      <c r="BN50" s="1125"/>
      <c r="BO50" s="1125"/>
      <c r="BP50" s="1125"/>
      <c r="BQ50" s="1125"/>
      <c r="BR50" s="1125"/>
      <c r="BW50" s="1122"/>
      <c r="CY50" s="165"/>
      <c r="DH50" s="1122" t="s">
        <v>473</v>
      </c>
      <c r="DI50" s="1123" t="s">
        <v>521</v>
      </c>
    </row>
    <row r="51" spans="2:113" ht="15.75" customHeight="1" thickBot="1">
      <c r="B51" s="118"/>
      <c r="C51" s="162"/>
      <c r="D51" s="119"/>
      <c r="E51" s="245"/>
      <c r="F51" s="178" t="str">
        <f>IF(AND(D46&lt;&gt;"None",E47&lt;&gt;"",E48&lt;&gt;"",F48&lt;&gt;""),"",IF(AND(D46&lt;&gt;"None",E47&lt;&gt;"",E48&lt;&gt;"",F50&lt;&gt;""),"",IF(AND(D46="None",E47="",E48="",F50="",F48=0),"","COMBINATION N/A")))</f>
        <v/>
      </c>
      <c r="G51" s="246"/>
      <c r="I51" s="98"/>
      <c r="J51" s="77"/>
      <c r="K51" s="77"/>
      <c r="L51" s="78"/>
      <c r="M51" s="206"/>
      <c r="O51" s="165" t="str">
        <f>$M$12&amp;O52</f>
        <v>TGX-26-5406X4BLS-XLXNone/</v>
      </c>
      <c r="BG51" s="19"/>
      <c r="BH51" s="165" t="s">
        <v>389</v>
      </c>
      <c r="BI51" s="1124" t="s">
        <v>324</v>
      </c>
      <c r="BJ51" s="1124" t="s">
        <v>406</v>
      </c>
      <c r="BK51" s="1124" t="s">
        <v>318</v>
      </c>
      <c r="BL51" s="1124" t="s">
        <v>319</v>
      </c>
      <c r="BM51" s="1125" t="s">
        <v>925</v>
      </c>
      <c r="BN51" s="1125" t="s">
        <v>319</v>
      </c>
      <c r="BO51" s="1125" t="s">
        <v>196</v>
      </c>
      <c r="BP51" s="1125" t="s">
        <v>786</v>
      </c>
      <c r="BQ51" s="1125" t="s">
        <v>731</v>
      </c>
      <c r="BR51" s="1125"/>
      <c r="BW51" s="1122"/>
      <c r="CY51" s="165"/>
      <c r="DH51" s="1122" t="s">
        <v>474</v>
      </c>
      <c r="DI51" s="1123" t="s">
        <v>521</v>
      </c>
    </row>
    <row r="52" spans="2:113" ht="15.75" customHeight="1" thickBot="1">
      <c r="I52" s="328"/>
      <c r="J52" s="77"/>
      <c r="K52" s="77"/>
      <c r="L52" s="78"/>
      <c r="M52" s="206"/>
      <c r="O52" s="165" t="str">
        <f>F53&amp;E54&amp;"/"&amp;E55</f>
        <v>None/</v>
      </c>
      <c r="BG52" s="19"/>
      <c r="BH52" s="165" t="s">
        <v>390</v>
      </c>
      <c r="BI52" s="1124" t="s">
        <v>324</v>
      </c>
      <c r="BJ52" s="1124" t="s">
        <v>406</v>
      </c>
      <c r="BK52" s="1124" t="s">
        <v>325</v>
      </c>
      <c r="BL52" s="1124" t="s">
        <v>135</v>
      </c>
      <c r="BM52" s="1125" t="s">
        <v>926</v>
      </c>
      <c r="BN52" s="1125" t="s">
        <v>135</v>
      </c>
      <c r="BO52" s="1125" t="s">
        <v>196</v>
      </c>
      <c r="BP52" s="1125" t="s">
        <v>787</v>
      </c>
      <c r="BQ52" s="1125" t="s">
        <v>732</v>
      </c>
      <c r="BR52" s="1125"/>
      <c r="BW52" s="1122"/>
      <c r="CY52" s="165"/>
      <c r="DH52" s="1122" t="s">
        <v>475</v>
      </c>
      <c r="DI52" s="1123" t="s">
        <v>521</v>
      </c>
    </row>
    <row r="53" spans="2:113" ht="15.75" customHeight="1">
      <c r="B53" s="164" t="s">
        <v>524</v>
      </c>
      <c r="C53" s="115"/>
      <c r="D53" s="31"/>
      <c r="E53" s="82"/>
      <c r="F53" s="454" t="s">
        <v>56</v>
      </c>
      <c r="G53" s="120"/>
      <c r="I53" s="98"/>
      <c r="J53" s="77"/>
      <c r="K53" s="77"/>
      <c r="L53" s="78"/>
      <c r="M53" s="206"/>
      <c r="BG53" s="19"/>
      <c r="BH53" s="165" t="s">
        <v>391</v>
      </c>
      <c r="BI53" s="1124" t="s">
        <v>324</v>
      </c>
      <c r="BJ53" s="1124" t="s">
        <v>406</v>
      </c>
      <c r="BK53" s="1124" t="s">
        <v>320</v>
      </c>
      <c r="BL53" s="1124" t="s">
        <v>326</v>
      </c>
      <c r="BM53" s="1125" t="s">
        <v>927</v>
      </c>
      <c r="BN53" s="1125" t="s">
        <v>319</v>
      </c>
      <c r="BO53" s="1125" t="s">
        <v>196</v>
      </c>
      <c r="BP53" s="1125">
        <v>0</v>
      </c>
      <c r="BQ53" s="1125">
        <v>0</v>
      </c>
      <c r="BR53" s="1125"/>
      <c r="CY53" s="165"/>
      <c r="DH53" s="1122" t="s">
        <v>476</v>
      </c>
      <c r="DI53" s="1123" t="s">
        <v>521</v>
      </c>
    </row>
    <row r="54" spans="2:113" ht="15.75" customHeight="1">
      <c r="B54" s="42" t="s">
        <v>35</v>
      </c>
      <c r="C54" s="18"/>
      <c r="D54" s="59" t="s">
        <v>295</v>
      </c>
      <c r="E54" s="455"/>
      <c r="F54" s="262" t="s">
        <v>33</v>
      </c>
      <c r="G54" s="264" t="s">
        <v>562</v>
      </c>
      <c r="I54" s="98"/>
      <c r="J54" s="77"/>
      <c r="K54" s="77"/>
      <c r="L54" s="78"/>
      <c r="M54" s="206"/>
      <c r="BG54" s="19"/>
      <c r="BI54" s="1124" t="s">
        <v>200</v>
      </c>
      <c r="BJ54" s="1124" t="s">
        <v>200</v>
      </c>
      <c r="BK54" s="1124"/>
      <c r="BL54" s="1124"/>
      <c r="BM54" s="1125" t="s">
        <v>200</v>
      </c>
      <c r="BN54" s="1125"/>
      <c r="BO54" s="1125"/>
      <c r="BP54" s="1125"/>
      <c r="BQ54" s="1125"/>
      <c r="BR54" s="1125"/>
      <c r="CY54" s="165"/>
      <c r="DH54" s="1122" t="s">
        <v>477</v>
      </c>
      <c r="DI54" s="1123" t="s">
        <v>521</v>
      </c>
    </row>
    <row r="55" spans="2:113" ht="15.75" customHeight="1">
      <c r="B55" s="42" t="s">
        <v>42</v>
      </c>
      <c r="C55" s="18"/>
      <c r="D55" s="59" t="s">
        <v>295</v>
      </c>
      <c r="E55" s="455"/>
      <c r="F55" s="38">
        <f>IFERROR(VLOOKUP(O51,'[8]R &amp; M'!$C$2:$F$421,4,FALSE),0)</f>
        <v>0</v>
      </c>
      <c r="G55" s="453"/>
      <c r="I55" s="98"/>
      <c r="J55" s="77"/>
      <c r="K55" s="77"/>
      <c r="L55" s="78"/>
      <c r="M55" s="206"/>
      <c r="N55" s="1115" t="str">
        <f>SUBSTITUTE(SUBSTITUTE(E55," ",""),"KM","")</f>
        <v/>
      </c>
      <c r="BG55" s="19"/>
      <c r="BH55" s="165" t="s">
        <v>330</v>
      </c>
      <c r="BI55" s="1124" t="s">
        <v>216</v>
      </c>
      <c r="BJ55" s="1124" t="s">
        <v>216</v>
      </c>
      <c r="BK55" s="1124" t="s">
        <v>122</v>
      </c>
      <c r="BL55" s="1124" t="s">
        <v>127</v>
      </c>
      <c r="BM55" s="1125" t="s">
        <v>928</v>
      </c>
      <c r="BN55" s="1125" t="s">
        <v>127</v>
      </c>
      <c r="BO55" s="1125" t="s">
        <v>196</v>
      </c>
      <c r="BP55" s="1125" t="s">
        <v>788</v>
      </c>
      <c r="BQ55" s="1125" t="s">
        <v>733</v>
      </c>
      <c r="BR55" s="1125"/>
      <c r="CY55" s="165"/>
      <c r="DH55" s="1122" t="s">
        <v>478</v>
      </c>
      <c r="DI55" s="1123" t="s">
        <v>521</v>
      </c>
    </row>
    <row r="56" spans="2:113" ht="15.75" customHeight="1">
      <c r="B56" s="247" t="s">
        <v>1206</v>
      </c>
      <c r="C56" s="184"/>
      <c r="D56" s="1011"/>
      <c r="E56" s="1005"/>
      <c r="F56" s="38"/>
      <c r="G56" s="1007"/>
      <c r="I56" s="98"/>
      <c r="J56" s="77"/>
      <c r="K56" s="77"/>
      <c r="L56" s="78"/>
      <c r="M56" s="206"/>
      <c r="N56" s="1155"/>
      <c r="O56" s="165" t="str">
        <f>IF(OR(F53="None",F53=""),"No","Yes")</f>
        <v>No</v>
      </c>
      <c r="R56" s="19"/>
      <c r="BG56" s="19"/>
      <c r="BH56" s="165" t="s">
        <v>367</v>
      </c>
      <c r="BI56" s="1124" t="s">
        <v>219</v>
      </c>
      <c r="BJ56" s="1124" t="s">
        <v>219</v>
      </c>
      <c r="BK56" s="1124" t="s">
        <v>122</v>
      </c>
      <c r="BL56" s="1124" t="s">
        <v>169</v>
      </c>
      <c r="BM56" s="1125" t="s">
        <v>929</v>
      </c>
      <c r="BN56" s="1125" t="s">
        <v>169</v>
      </c>
      <c r="BO56" s="1125" t="s">
        <v>196</v>
      </c>
      <c r="BP56" s="1125" t="s">
        <v>789</v>
      </c>
      <c r="BQ56" s="1125" t="s">
        <v>812</v>
      </c>
      <c r="BR56" s="1125"/>
      <c r="CY56" s="165"/>
      <c r="DH56" s="1122" t="s">
        <v>479</v>
      </c>
      <c r="DI56" s="1123" t="s">
        <v>520</v>
      </c>
    </row>
    <row r="57" spans="2:113" ht="15.75" customHeight="1">
      <c r="B57" s="42"/>
      <c r="C57" s="18"/>
      <c r="D57" s="59"/>
      <c r="E57" s="186" t="s">
        <v>559</v>
      </c>
      <c r="F57" s="1003">
        <f>IFERROR($N$55*E56,0)</f>
        <v>0</v>
      </c>
      <c r="G57" s="1004">
        <f>IFERROR($N$55*G56,0)</f>
        <v>0</v>
      </c>
      <c r="I57" s="98"/>
      <c r="J57" s="77"/>
      <c r="K57" s="77"/>
      <c r="L57" s="78"/>
      <c r="M57" s="206"/>
      <c r="R57" s="19"/>
      <c r="BG57" s="19"/>
      <c r="BH57" s="165" t="s">
        <v>368</v>
      </c>
      <c r="BI57" s="1124" t="s">
        <v>219</v>
      </c>
      <c r="BJ57" s="1124" t="s">
        <v>219</v>
      </c>
      <c r="BK57" s="1124" t="s">
        <v>170</v>
      </c>
      <c r="BL57" s="1124" t="s">
        <v>171</v>
      </c>
      <c r="BM57" s="1125" t="s">
        <v>930</v>
      </c>
      <c r="BN57" s="1125" t="s">
        <v>169</v>
      </c>
      <c r="BO57" s="1125" t="s">
        <v>196</v>
      </c>
      <c r="BP57" s="1125" t="s">
        <v>790</v>
      </c>
      <c r="BQ57" s="1125" t="s">
        <v>734</v>
      </c>
      <c r="BR57" s="1125"/>
      <c r="CY57" s="165"/>
      <c r="DH57" s="1122" t="s">
        <v>226</v>
      </c>
      <c r="DI57" s="1123" t="s">
        <v>520</v>
      </c>
    </row>
    <row r="58" spans="2:113" ht="15.75" customHeight="1" thickBot="1">
      <c r="B58" s="118"/>
      <c r="C58" s="162"/>
      <c r="D58" s="119"/>
      <c r="E58" s="245"/>
      <c r="F58" s="178" t="str">
        <f>IF(AND(F53&lt;&gt;"None",E54&lt;&gt;"",E55&lt;&gt;"",F55&lt;&gt;0),"",IF(AND(F53&lt;&gt;"None",E54&lt;&gt;"",E55&lt;&gt;"",F57&lt;&gt;""),"",IF(AND(F53="None",E54="",E55="",F57=0,RMC=0),"","COMBINATION N/A")))</f>
        <v/>
      </c>
      <c r="G58" s="246"/>
      <c r="I58" s="100"/>
      <c r="J58" s="101"/>
      <c r="K58" s="101"/>
      <c r="L58" s="102"/>
      <c r="M58" s="207"/>
      <c r="R58" s="19"/>
      <c r="BG58" s="19"/>
      <c r="BH58" s="165" t="s">
        <v>343</v>
      </c>
      <c r="BI58" s="1124" t="s">
        <v>217</v>
      </c>
      <c r="BJ58" s="1124" t="s">
        <v>217</v>
      </c>
      <c r="BK58" s="1124" t="s">
        <v>122</v>
      </c>
      <c r="BL58" s="1124" t="s">
        <v>314</v>
      </c>
      <c r="BM58" s="1125" t="s">
        <v>927</v>
      </c>
      <c r="BN58" s="1125" t="s">
        <v>314</v>
      </c>
      <c r="BO58" s="1125" t="s">
        <v>196</v>
      </c>
      <c r="BP58" s="1125">
        <v>0</v>
      </c>
      <c r="BQ58" s="1125">
        <v>0</v>
      </c>
      <c r="BR58" s="1125"/>
      <c r="CY58" s="165"/>
      <c r="DH58" s="1122" t="s">
        <v>227</v>
      </c>
      <c r="DI58" s="1123" t="s">
        <v>520</v>
      </c>
    </row>
    <row r="59" spans="2:113" ht="15.75" customHeight="1" thickBot="1">
      <c r="I59" s="7"/>
      <c r="J59" s="7"/>
      <c r="K59" s="7"/>
      <c r="L59" s="7"/>
      <c r="M59" s="7"/>
      <c r="O59" s="1094"/>
      <c r="BG59" s="19"/>
      <c r="BH59" s="165" t="s">
        <v>327</v>
      </c>
      <c r="BI59" s="1124" t="s">
        <v>218</v>
      </c>
      <c r="BJ59" s="1124" t="s">
        <v>218</v>
      </c>
      <c r="BK59" s="1124" t="s">
        <v>122</v>
      </c>
      <c r="BL59" s="1124" t="s">
        <v>123</v>
      </c>
      <c r="BM59" s="1125" t="s">
        <v>897</v>
      </c>
      <c r="BN59" s="1125" t="s">
        <v>123</v>
      </c>
      <c r="BO59" s="1125" t="s">
        <v>196</v>
      </c>
      <c r="BP59" s="1125" t="s">
        <v>760</v>
      </c>
      <c r="BQ59" s="1125" t="s">
        <v>706</v>
      </c>
      <c r="BR59" s="1125"/>
      <c r="CY59" s="165"/>
      <c r="DH59" s="1122" t="s">
        <v>228</v>
      </c>
      <c r="DI59" s="1123" t="s">
        <v>520</v>
      </c>
    </row>
    <row r="60" spans="2:113" ht="15.75" customHeight="1" thickBot="1">
      <c r="B60" s="164" t="s">
        <v>525</v>
      </c>
      <c r="C60" s="115"/>
      <c r="D60" s="31"/>
      <c r="E60" s="31"/>
      <c r="F60" s="81"/>
      <c r="G60" s="252"/>
      <c r="I60" s="94" t="s">
        <v>532</v>
      </c>
      <c r="J60" s="104"/>
      <c r="K60" s="104"/>
      <c r="L60" s="104"/>
      <c r="M60" s="97">
        <f>SUM(M61:M64,M68,M66)</f>
        <v>345</v>
      </c>
      <c r="O60" s="165" t="str">
        <f>IF(AND(D65="",D66=""),"",(D65&amp;"/"&amp;D66))</f>
        <v/>
      </c>
      <c r="BG60" s="19"/>
      <c r="BH60" s="165" t="s">
        <v>353</v>
      </c>
      <c r="BI60" s="1124" t="s">
        <v>220</v>
      </c>
      <c r="BJ60" s="1124" t="s">
        <v>220</v>
      </c>
      <c r="BK60" s="1124" t="s">
        <v>122</v>
      </c>
      <c r="BL60" s="1124" t="s">
        <v>315</v>
      </c>
      <c r="BM60" s="1125" t="s">
        <v>929</v>
      </c>
      <c r="BN60" s="1125" t="s">
        <v>315</v>
      </c>
      <c r="BO60" s="1125" t="s">
        <v>196</v>
      </c>
      <c r="BP60" s="1125" t="s">
        <v>789</v>
      </c>
      <c r="BQ60" s="1125" t="s">
        <v>812</v>
      </c>
      <c r="BR60" s="1125"/>
      <c r="CY60" s="165"/>
      <c r="DH60" s="1122" t="s">
        <v>480</v>
      </c>
      <c r="DI60" s="1123" t="s">
        <v>520</v>
      </c>
    </row>
    <row r="61" spans="2:113" ht="15.75" customHeight="1">
      <c r="B61" s="91"/>
      <c r="F61" s="351" t="str">
        <f>IF(OR(O41="CLA",O41="TGM",O41="VW"),"App. N/A","Choose App.")</f>
        <v>Choose App.</v>
      </c>
      <c r="G61" s="456" t="s">
        <v>1224</v>
      </c>
      <c r="I61" s="89" t="s">
        <v>293</v>
      </c>
      <c r="J61" s="81"/>
      <c r="K61" s="81"/>
      <c r="L61" s="81"/>
      <c r="M61" s="495">
        <f>IF(D41="Yes",'Trade Ins'!$M$32,0)</f>
        <v>0</v>
      </c>
      <c r="O61" s="165" t="str">
        <f>IF(AND(E65="",E66=""),"",(E65&amp;"/"&amp;E66))</f>
        <v/>
      </c>
      <c r="BG61" s="19"/>
      <c r="BH61" s="165" t="s">
        <v>361</v>
      </c>
      <c r="BI61" s="1124" t="s">
        <v>221</v>
      </c>
      <c r="BJ61" s="1124" t="s">
        <v>221</v>
      </c>
      <c r="BK61" s="1124" t="s">
        <v>122</v>
      </c>
      <c r="BL61" s="1124" t="s">
        <v>317</v>
      </c>
      <c r="BM61" s="1125" t="s">
        <v>929</v>
      </c>
      <c r="BN61" s="1125" t="s">
        <v>317</v>
      </c>
      <c r="BO61" s="1125" t="s">
        <v>196</v>
      </c>
      <c r="BP61" s="1125" t="s">
        <v>789</v>
      </c>
      <c r="BQ61" s="1125" t="s">
        <v>812</v>
      </c>
      <c r="BR61" s="1125"/>
      <c r="CY61" s="165"/>
      <c r="DH61" s="1122" t="s">
        <v>481</v>
      </c>
      <c r="DI61" s="1123" t="s">
        <v>520</v>
      </c>
    </row>
    <row r="62" spans="2:113" ht="15.75" customHeight="1">
      <c r="B62" s="91"/>
      <c r="F62" s="260"/>
      <c r="G62" s="254"/>
      <c r="I62" s="91" t="s">
        <v>21</v>
      </c>
      <c r="M62" s="496">
        <f>ABS(IF(F50="",((STC-STCUS)*C39),((F50-G50)*C39)))</f>
        <v>0</v>
      </c>
      <c r="O62" s="165" t="str">
        <f>IF(EXW="Combination",O43&amp;O63&amp;O60&amp;O61&amp;F63&amp;O56,O43&amp;O63&amp;O60&amp;O61&amp;F63&amp;O56)</f>
        <v>TGX6X4NoneNo</v>
      </c>
      <c r="BG62" s="19"/>
      <c r="BH62" s="165" t="s">
        <v>327</v>
      </c>
      <c r="BI62" s="1124" t="s">
        <v>218</v>
      </c>
      <c r="BJ62" s="1124" t="s">
        <v>218</v>
      </c>
      <c r="BK62" s="1124" t="s">
        <v>122</v>
      </c>
      <c r="BL62" s="1124" t="s">
        <v>123</v>
      </c>
      <c r="BM62" s="1125" t="s">
        <v>897</v>
      </c>
      <c r="BN62" s="1125" t="s">
        <v>123</v>
      </c>
      <c r="BO62" s="1125" t="s">
        <v>196</v>
      </c>
      <c r="BP62" s="1125" t="s">
        <v>760</v>
      </c>
      <c r="BQ62" s="1125" t="s">
        <v>706</v>
      </c>
      <c r="BR62" s="1125"/>
      <c r="CY62" s="165"/>
      <c r="DH62" s="1122" t="s">
        <v>482</v>
      </c>
      <c r="DI62" s="1123" t="s">
        <v>520</v>
      </c>
    </row>
    <row r="63" spans="2:113" ht="15.75" customHeight="1">
      <c r="B63" s="121" t="s">
        <v>49</v>
      </c>
      <c r="C63" s="163"/>
      <c r="D63" s="18"/>
      <c r="E63" s="59" t="s">
        <v>295</v>
      </c>
      <c r="F63" s="449" t="s">
        <v>56</v>
      </c>
      <c r="G63" s="117"/>
      <c r="I63" s="91" t="s">
        <v>22</v>
      </c>
      <c r="M63" s="496">
        <f>ABS(IF(F57=0,((F55-G55)*C39),((F57-G57)*C39)))</f>
        <v>0</v>
      </c>
      <c r="O63" s="165" t="str">
        <f>IF(G61="Hydrodrive","HYDRO",IF(G61="Heavy Duty","H/D",""))</f>
        <v/>
      </c>
      <c r="BG63" s="19"/>
      <c r="BH63" s="165" t="s">
        <v>343</v>
      </c>
      <c r="BI63" s="1124" t="s">
        <v>217</v>
      </c>
      <c r="BJ63" s="1124" t="s">
        <v>217</v>
      </c>
      <c r="BK63" s="1124" t="s">
        <v>122</v>
      </c>
      <c r="BL63" s="1124" t="s">
        <v>314</v>
      </c>
      <c r="BM63" s="1125" t="s">
        <v>927</v>
      </c>
      <c r="BN63" s="1125" t="s">
        <v>314</v>
      </c>
      <c r="BO63" s="1125" t="s">
        <v>196</v>
      </c>
      <c r="BP63" s="1125">
        <v>0</v>
      </c>
      <c r="BQ63" s="1125">
        <v>0</v>
      </c>
      <c r="BR63" s="1125"/>
      <c r="CY63" s="165"/>
      <c r="DH63" s="1122" t="s">
        <v>483</v>
      </c>
      <c r="DI63" s="1123" t="s">
        <v>520</v>
      </c>
    </row>
    <row r="64" spans="2:113" ht="15.75" customHeight="1">
      <c r="B64" s="20"/>
      <c r="C64" s="15"/>
      <c r="D64" s="250" t="s">
        <v>61</v>
      </c>
      <c r="E64" s="250" t="s">
        <v>62</v>
      </c>
      <c r="F64" s="253"/>
      <c r="G64" s="117"/>
      <c r="I64" s="91" t="s">
        <v>298</v>
      </c>
      <c r="M64" s="496">
        <f>(M45+M47)*C39</f>
        <v>345</v>
      </c>
      <c r="O64" s="165" t="str">
        <f>O43&amp;O63&amp;O74&amp;P64&amp;O56</f>
        <v>TGX6X412 MONTHS/UNLIMITEDEntire VehicleNo</v>
      </c>
      <c r="P64" s="165" t="s">
        <v>40</v>
      </c>
      <c r="BG64" s="19"/>
      <c r="BI64" s="1124" t="s">
        <v>200</v>
      </c>
      <c r="BJ64" s="1124" t="s">
        <v>200</v>
      </c>
      <c r="BK64" s="1124"/>
      <c r="BL64" s="1124"/>
      <c r="BM64" s="1125" t="s">
        <v>200</v>
      </c>
      <c r="BN64" s="1125"/>
      <c r="BO64" s="1125"/>
      <c r="BP64" s="1125"/>
      <c r="BQ64" s="1125"/>
      <c r="BR64" s="1125"/>
      <c r="CY64" s="165"/>
      <c r="DH64" s="1122" t="s">
        <v>484</v>
      </c>
      <c r="DI64" s="1123" t="s">
        <v>520</v>
      </c>
    </row>
    <row r="65" spans="2:113" ht="15.75" customHeight="1">
      <c r="B65" s="42" t="s">
        <v>35</v>
      </c>
      <c r="C65" s="18"/>
      <c r="D65" s="450"/>
      <c r="E65" s="458"/>
      <c r="F65" s="249" t="s">
        <v>33</v>
      </c>
      <c r="G65" s="264" t="s">
        <v>562</v>
      </c>
      <c r="H65" s="60"/>
      <c r="I65" s="91" t="s">
        <v>41</v>
      </c>
      <c r="M65" s="496">
        <f>IF(O41&lt;&gt;"",351,0)*C39</f>
        <v>351</v>
      </c>
      <c r="O65" s="165" t="str">
        <f>O43&amp;O63&amp;O75&amp;P65&amp;O56</f>
        <v>TGX6X436 MONTHS/450 000 KMDrivelineNo</v>
      </c>
      <c r="P65" s="165" t="s">
        <v>39</v>
      </c>
      <c r="BH65" s="165" t="s">
        <v>387</v>
      </c>
      <c r="BI65" s="1124" t="s">
        <v>404</v>
      </c>
      <c r="BJ65" s="1124" t="s">
        <v>404</v>
      </c>
      <c r="BK65" s="1124" t="s">
        <v>122</v>
      </c>
      <c r="BL65" s="1124" t="s">
        <v>193</v>
      </c>
      <c r="BM65" s="1125" t="s">
        <v>922</v>
      </c>
      <c r="BN65" s="1125" t="s">
        <v>135</v>
      </c>
      <c r="BO65" s="1125" t="s">
        <v>196</v>
      </c>
      <c r="BP65" s="1125" t="s">
        <v>784</v>
      </c>
      <c r="BQ65" s="1125" t="s">
        <v>728</v>
      </c>
      <c r="BR65" s="1125"/>
      <c r="DH65" s="1122" t="s">
        <v>485</v>
      </c>
      <c r="DI65" s="1123" t="s">
        <v>520</v>
      </c>
    </row>
    <row r="66" spans="2:113" ht="15.75" customHeight="1">
      <c r="B66" s="42" t="s">
        <v>42</v>
      </c>
      <c r="C66" s="18"/>
      <c r="D66" s="457"/>
      <c r="E66" s="459"/>
      <c r="F66" s="248" t="str">
        <f>IF(D68&lt;&gt;"","",IF(EXW="None","",IF(AND(EXW="Entire Vehicle",P90&lt;&gt;0),P92,IF(AND(EXW="Driveline",Q90&lt;&gt;0),Q92,IF(AND(EXW="Combination",P90&lt;&gt;0,Q90&lt;&gt;0),R92,0)))))</f>
        <v/>
      </c>
      <c r="G66" s="453"/>
      <c r="H66" s="61"/>
      <c r="I66" s="91" t="s">
        <v>49</v>
      </c>
      <c r="M66" s="496">
        <f>IF(EXW="None",0,ABS((F66-G66)*C39))</f>
        <v>0</v>
      </c>
      <c r="BH66" s="165" t="s">
        <v>385</v>
      </c>
      <c r="BI66" s="1124" t="s">
        <v>64</v>
      </c>
      <c r="BJ66" s="1124" t="s">
        <v>64</v>
      </c>
      <c r="BK66" s="1124" t="s">
        <v>122</v>
      </c>
      <c r="BL66" s="1124" t="s">
        <v>191</v>
      </c>
      <c r="BM66" s="1125" t="s">
        <v>931</v>
      </c>
      <c r="BN66" s="1125" t="s">
        <v>135</v>
      </c>
      <c r="BO66" s="1125" t="s">
        <v>196</v>
      </c>
      <c r="BP66" s="1125" t="s">
        <v>791</v>
      </c>
      <c r="BQ66" s="1125" t="s">
        <v>735</v>
      </c>
      <c r="BR66" s="1125"/>
      <c r="DH66" s="1122" t="s">
        <v>486</v>
      </c>
      <c r="DI66" s="1123" t="s">
        <v>520</v>
      </c>
    </row>
    <row r="67" spans="2:113" ht="15.75" customHeight="1">
      <c r="B67" s="42"/>
      <c r="C67" s="18"/>
      <c r="D67" s="24"/>
      <c r="E67" s="261"/>
      <c r="F67" s="187" t="str">
        <f>IF(AND(F63&lt;&gt;"None",E66&lt;&gt;"",E65&lt;&gt;"",D65&lt;&gt;"",D66&lt;&gt;"",F66&lt;&gt;0),"",IF(AND(F63="None",E65="",E66="",D65="",D66=""),"",IF(AND(F63="Driveline",E65&lt;&gt;"",E66&lt;&gt;"",D65="",D66="",F66&lt;&gt;0),"",IF(AND(F63="Entire Vehicle",D65&lt;&gt;"",D66&lt;&gt;"",E65="",E66="",F66&lt;&gt;0),"","COMBINATION N/A"))))</f>
        <v/>
      </c>
      <c r="G67" s="122"/>
      <c r="I67" s="91" t="s">
        <v>197</v>
      </c>
      <c r="M67" s="528">
        <f>F71*C39</f>
        <v>26860</v>
      </c>
      <c r="BH67" s="165" t="s">
        <v>382</v>
      </c>
      <c r="BI67" s="1124" t="s">
        <v>64</v>
      </c>
      <c r="BJ67" s="1124" t="s">
        <v>64</v>
      </c>
      <c r="BK67" s="1124" t="s">
        <v>122</v>
      </c>
      <c r="BL67" s="1124" t="s">
        <v>188</v>
      </c>
      <c r="BM67" s="1125" t="s">
        <v>932</v>
      </c>
      <c r="BN67" s="1125" t="s">
        <v>135</v>
      </c>
      <c r="BO67" s="1125" t="s">
        <v>196</v>
      </c>
      <c r="BP67" s="1125" t="s">
        <v>792</v>
      </c>
      <c r="BQ67" s="1125" t="s">
        <v>736</v>
      </c>
      <c r="BR67" s="1125"/>
      <c r="DH67" s="1122" t="s">
        <v>487</v>
      </c>
      <c r="DI67" s="1123" t="s">
        <v>520</v>
      </c>
    </row>
    <row r="68" spans="2:113" ht="15.75" customHeight="1" thickBot="1">
      <c r="B68" s="121" t="s">
        <v>197</v>
      </c>
      <c r="C68" s="163"/>
      <c r="D68" s="1116" t="str">
        <f>IF(AND(EVE="",DLM=""),"",IF(AND(EVE&lt;&gt;"",P87&lt;P88),"Please select the term that is greater than your Factory Warrany",IF(AND(DLM&lt;&gt;"",Q87&lt;Q88),"Please select the term that is greater than your Factory Warrany","")))</f>
        <v/>
      </c>
      <c r="E68" s="18"/>
      <c r="F68" s="23"/>
      <c r="G68" s="123"/>
      <c r="I68" s="105" t="s">
        <v>24</v>
      </c>
      <c r="J68" s="87"/>
      <c r="K68" s="87"/>
      <c r="L68" s="87"/>
      <c r="M68" s="497">
        <f>M21*C39</f>
        <v>0</v>
      </c>
      <c r="BH68" s="165" t="s">
        <v>364</v>
      </c>
      <c r="BI68" s="1124" t="s">
        <v>402</v>
      </c>
      <c r="BJ68" s="1124" t="s">
        <v>402</v>
      </c>
      <c r="BK68" s="1124" t="s">
        <v>122</v>
      </c>
      <c r="BL68" s="1124" t="s">
        <v>166</v>
      </c>
      <c r="BM68" s="1125" t="s">
        <v>933</v>
      </c>
      <c r="BN68" s="1125" t="s">
        <v>135</v>
      </c>
      <c r="BO68" s="1125" t="s">
        <v>196</v>
      </c>
      <c r="BP68" s="1125" t="s">
        <v>793</v>
      </c>
      <c r="BQ68" s="1125" t="s">
        <v>737</v>
      </c>
      <c r="BR68" s="1125"/>
      <c r="DH68" s="1122" t="s">
        <v>488</v>
      </c>
      <c r="DI68" s="1123" t="s">
        <v>520</v>
      </c>
    </row>
    <row r="69" spans="2:113" ht="15.75" customHeight="1">
      <c r="B69" s="20"/>
      <c r="C69" s="15"/>
      <c r="D69" s="202" t="s">
        <v>40</v>
      </c>
      <c r="E69" s="203" t="s">
        <v>39</v>
      </c>
      <c r="F69" s="523" t="s">
        <v>33</v>
      </c>
      <c r="G69" s="524" t="s">
        <v>562</v>
      </c>
      <c r="O69" s="165" t="str">
        <f>O43&amp;O63&amp;E76&amp;"/"&amp;E77</f>
        <v>TGX6X424 MONTHS/300 000 KM</v>
      </c>
      <c r="BH69" s="165" t="s">
        <v>341</v>
      </c>
      <c r="BI69" s="1124" t="s">
        <v>401</v>
      </c>
      <c r="BJ69" s="1124" t="s">
        <v>401</v>
      </c>
      <c r="BK69" s="1124" t="s">
        <v>122</v>
      </c>
      <c r="BL69" s="1124" t="s">
        <v>146</v>
      </c>
      <c r="BM69" s="1125" t="s">
        <v>934</v>
      </c>
      <c r="BN69" s="1125" t="s">
        <v>135</v>
      </c>
      <c r="BO69" s="1125" t="s">
        <v>196</v>
      </c>
      <c r="BP69" s="1125" t="s">
        <v>794</v>
      </c>
      <c r="BQ69" s="1125" t="s">
        <v>738</v>
      </c>
      <c r="BR69" s="1125"/>
      <c r="DH69" s="1122" t="s">
        <v>489</v>
      </c>
      <c r="DI69" s="1123" t="s">
        <v>520</v>
      </c>
    </row>
    <row r="70" spans="2:113" ht="15.75" customHeight="1" thickBot="1">
      <c r="B70" s="42" t="s">
        <v>35</v>
      </c>
      <c r="C70" s="18"/>
      <c r="D70" s="24" t="str">
        <f>IF(M9="Standard Warranty","12 MONTHS",IF(OR(MODEL="CLA",MODEL="TGM"),"12 MONTHS",IF(MODEL="VW","",IF(AND(MODEL="TGS",O42="EL"),"36 MONTHS",IF(MODEL="TGX","36 MONTHS","24 MONTHS")))))</f>
        <v>12 MONTHS</v>
      </c>
      <c r="E70" s="24" t="str">
        <f>IF(AND(M9="Standard Warranty",MODEL="CLA"),"24 MONTHS",IF(AND(M9="Standard Warranty",MODEL="TGM"),"24 MONTHS",IF(AND(M9="Standard Warranty",MODEL="VW"),"24 MONTHS",IF(AND(M9="Standard Warranty",MODEL="TGS"),"36 MONTHS",IF(AND(M9="Standard Warranty",MODEL="TGX"),"36 MONTHS",IF(AND(M9="Extended Warranty Campaign",MODEL="CLA"),"36 MONTHS",IF(AND(M9="Extended Warranty Campaign",MODEL="TGM"),"36 MONTHS",IF(AND(M9="Extended Warranty Campaign",MODEL="TGS"),"48 MONTHS",IF(AND(M9="Extended Warranty Campaign",MODEL="TGX"),"48 MONTHS","")))))))))</f>
        <v>36 MONTHS</v>
      </c>
      <c r="F70" s="165"/>
      <c r="G70" s="525"/>
      <c r="BH70" s="165" t="s">
        <v>336</v>
      </c>
      <c r="BI70" s="1124" t="s">
        <v>65</v>
      </c>
      <c r="BJ70" s="1124" t="s">
        <v>60</v>
      </c>
      <c r="BK70" s="1124" t="s">
        <v>122</v>
      </c>
      <c r="BL70" s="1124" t="s">
        <v>136</v>
      </c>
      <c r="BM70" s="1125" t="s">
        <v>935</v>
      </c>
      <c r="BN70" s="1125" t="s">
        <v>135</v>
      </c>
      <c r="BO70" s="1125" t="s">
        <v>196</v>
      </c>
      <c r="BP70" s="1125" t="s">
        <v>795</v>
      </c>
      <c r="BQ70" s="1125" t="s">
        <v>739</v>
      </c>
      <c r="BR70" s="1125"/>
      <c r="DH70" s="1122" t="s">
        <v>490</v>
      </c>
      <c r="DI70" s="1123" t="s">
        <v>520</v>
      </c>
    </row>
    <row r="71" spans="2:113" ht="15.75" customHeight="1">
      <c r="B71" s="42" t="s">
        <v>42</v>
      </c>
      <c r="C71" s="18"/>
      <c r="D71" s="24" t="str">
        <f>IF(M9="Standard Warranty","UNLIMITED",IF(OR(MODEL="CLA",MODEL="TGM"),"UNLIMITED",IF(MODEL="VW","",IF(AND(MODEL="TGS",O42="EL"),"450 000 KM",IF(MODEL="TGX","450 000 KM","300 000 KM")))))</f>
        <v>UNLIMITED</v>
      </c>
      <c r="E71" s="24" t="str">
        <f>IF(OR(O45="TGS-33-440BBS-L",O45="TGS-33-480BBS-L"),"450 000 KM",IF(AND(M9="Standard Warranty",MODEL="CLA"),"UNLIMITED",IF(AND(M9="Standard Warranty",MODEL="TGM"),"UNLIMITED",IF(AND(M9="Standard Warranty",MODEL="VW"),"UNLIMITED",IF(AND(M9="Standard Warranty",MODEL="TGS"),"450 000 KM",IF(AND(M9="Standard Warranty",MODEL="TGX"),"450 000 KM",IF(AND(M9="Extended Warranty Campaign",MODEL="CLA"),"300 000 KM",IF(AND(M9="Extended Warranty Campaign",MODEL="TGM"),"450 000 KM",IF(AND(M9="Standard Warranty",APPT="Off-Road"),"450 000 KM","600 000 KM")))))))))</f>
        <v>450 000 KM</v>
      </c>
      <c r="F71" s="526">
        <f>IFERROR(IF(OR(O45="TGS-33-440BBS-L",O45="TGS-33-480BBS-L"),VLOOKUP(O73&amp;"",'[8]Factory Warranties'!$F$6:$G$317,2,FALSE),VLOOKUP(O72&amp;"",'[8]Factory Warranties'!$F$6:$G$317,2,FALSE)),0)</f>
        <v>26860</v>
      </c>
      <c r="G71" s="527">
        <v>0</v>
      </c>
      <c r="I71" s="89" t="s">
        <v>23</v>
      </c>
      <c r="J71" s="81"/>
      <c r="K71" s="81"/>
      <c r="L71" s="81"/>
      <c r="M71" s="106">
        <f>M13-M16-M17+M18-M60</f>
        <v>2249655</v>
      </c>
      <c r="O71" s="165" t="str">
        <f>IF(G61="Hydrodrive","HYDRO",IF(G61="Heavy Duty","H/D",IF(G61="Longhaul","LH","")))</f>
        <v>LH</v>
      </c>
      <c r="BH71" s="165" t="s">
        <v>340</v>
      </c>
      <c r="BI71" s="1124" t="s">
        <v>401</v>
      </c>
      <c r="BJ71" s="1124" t="s">
        <v>401</v>
      </c>
      <c r="BK71" s="1124" t="s">
        <v>144</v>
      </c>
      <c r="BL71" s="1124" t="s">
        <v>145</v>
      </c>
      <c r="BM71" s="1125" t="s">
        <v>936</v>
      </c>
      <c r="BN71" s="1125" t="s">
        <v>135</v>
      </c>
      <c r="BO71" s="1125" t="s">
        <v>196</v>
      </c>
      <c r="BP71" s="1125" t="s">
        <v>796</v>
      </c>
      <c r="BQ71" s="1125" t="s">
        <v>740</v>
      </c>
      <c r="BR71" s="1125"/>
      <c r="DH71" s="1122" t="s">
        <v>491</v>
      </c>
      <c r="DI71" s="1123" t="s">
        <v>520</v>
      </c>
    </row>
    <row r="72" spans="2:113" ht="15.75" customHeight="1" thickBot="1">
      <c r="B72" s="105"/>
      <c r="C72" s="87"/>
      <c r="D72" s="87"/>
      <c r="E72" s="87"/>
      <c r="F72" s="201" t="str">
        <f>IF(F71&lt;&gt;0,"",IF(AND(D70&lt;&gt;"",D71&lt;&gt;"",E70&lt;&gt;"",E71&lt;&gt;"",F71=0,F61&lt;&gt;"App. N/A"),"CHOOSE THE CORRECT APPLICATION",""))</f>
        <v/>
      </c>
      <c r="G72" s="126"/>
      <c r="I72" s="105" t="s">
        <v>300</v>
      </c>
      <c r="J72" s="87"/>
      <c r="K72" s="87"/>
      <c r="L72" s="87"/>
      <c r="M72" s="407" t="str">
        <f>IF(AND($M$20=0,$M$71&gt;=$M$14),"Salesman Limit",IF(AND($M$20=1,$M$71&gt;=$M$14),"Disc. HQ Salesman Limit",IF(AND($M$20=0,$M$71&gt;=$BF$35,$M$71&lt;$M$14),"Sales Manager Limit",IF(AND($M$20=1,$M$71&gt;=$BF$35,$M$71&lt;$M$14),"Disc. HQ Sales Manager Limit",IF($M$71&lt;$BF$35,"HQ Decision")))))</f>
        <v>Salesman Limit</v>
      </c>
      <c r="O72" s="165" t="str">
        <f>O43&amp;D70&amp;"/"&amp;D71&amp;E70&amp;"/"&amp;E71&amp;O56</f>
        <v>TGX6X412 MONTHS/UNLIMITED36 MONTHS/450 000 KMNo</v>
      </c>
      <c r="BH72" s="165" t="s">
        <v>386</v>
      </c>
      <c r="BI72" s="1124" t="s">
        <v>404</v>
      </c>
      <c r="BJ72" s="1124" t="s">
        <v>404</v>
      </c>
      <c r="BK72" s="1124" t="s">
        <v>133</v>
      </c>
      <c r="BL72" s="1124" t="s">
        <v>192</v>
      </c>
      <c r="BM72" s="1125" t="s">
        <v>937</v>
      </c>
      <c r="BN72" s="1125" t="s">
        <v>135</v>
      </c>
      <c r="BO72" s="1125" t="s">
        <v>196</v>
      </c>
      <c r="BP72" s="1125" t="s">
        <v>797</v>
      </c>
      <c r="BQ72" s="1125" t="s">
        <v>741</v>
      </c>
      <c r="BR72" s="1125"/>
      <c r="DH72" s="1122" t="s">
        <v>492</v>
      </c>
      <c r="DI72" s="1123" t="s">
        <v>520</v>
      </c>
    </row>
    <row r="73" spans="2:113" ht="15.75" customHeight="1" thickBot="1">
      <c r="O73" s="165" t="str">
        <f>O45&amp;D70&amp;"/"&amp;D71&amp;E70&amp;"/"&amp;E71&amp;O56</f>
        <v>TGX-26-540BLS-X12 MONTHS/UNLIMITED36 MONTHS/450 000 KMNo</v>
      </c>
      <c r="BH73" s="165" t="s">
        <v>381</v>
      </c>
      <c r="BI73" s="1124" t="s">
        <v>64</v>
      </c>
      <c r="BJ73" s="1124" t="s">
        <v>64</v>
      </c>
      <c r="BK73" s="1124" t="s">
        <v>133</v>
      </c>
      <c r="BL73" s="1124" t="s">
        <v>187</v>
      </c>
      <c r="BM73" s="1125" t="s">
        <v>937</v>
      </c>
      <c r="BN73" s="1125" t="s">
        <v>135</v>
      </c>
      <c r="BO73" s="1125" t="s">
        <v>196</v>
      </c>
      <c r="BP73" s="1125" t="s">
        <v>797</v>
      </c>
      <c r="BQ73" s="1125" t="s">
        <v>741</v>
      </c>
      <c r="BR73" s="1125"/>
      <c r="DH73" s="1122" t="s">
        <v>493</v>
      </c>
      <c r="DI73" s="1123" t="s">
        <v>520</v>
      </c>
    </row>
    <row r="74" spans="2:113" ht="15.75" customHeight="1" thickBot="1">
      <c r="B74" s="191" t="s">
        <v>426</v>
      </c>
      <c r="C74" s="191"/>
      <c r="D74" s="192"/>
      <c r="E74" s="192"/>
      <c r="F74" s="193"/>
      <c r="G74" s="197"/>
      <c r="I74" s="94" t="s">
        <v>16</v>
      </c>
      <c r="J74" s="104"/>
      <c r="K74" s="104"/>
      <c r="L74" s="104"/>
      <c r="M74" s="124"/>
      <c r="N74" s="188"/>
      <c r="O74" s="165" t="str">
        <f>IF(AND(D70="",D71=""),"",(D70&amp;"/"&amp;D71))</f>
        <v>12 MONTHS/UNLIMITED</v>
      </c>
      <c r="Q74" s="165" t="str">
        <f>IF(O74&lt;&gt;"","EV","")</f>
        <v>EV</v>
      </c>
      <c r="BH74" s="165" t="s">
        <v>373</v>
      </c>
      <c r="BI74" s="1124" t="s">
        <v>403</v>
      </c>
      <c r="BJ74" s="1124" t="s">
        <v>405</v>
      </c>
      <c r="BK74" s="1124" t="s">
        <v>133</v>
      </c>
      <c r="BL74" s="1124" t="s">
        <v>177</v>
      </c>
      <c r="BM74" s="1125" t="s">
        <v>938</v>
      </c>
      <c r="BN74" s="1125" t="s">
        <v>135</v>
      </c>
      <c r="BO74" s="1125" t="s">
        <v>196</v>
      </c>
      <c r="BP74" s="1125" t="s">
        <v>798</v>
      </c>
      <c r="BQ74" s="1125" t="s">
        <v>742</v>
      </c>
      <c r="BR74" s="1125"/>
      <c r="DH74" s="1122" t="s">
        <v>494</v>
      </c>
      <c r="DI74" s="1123" t="s">
        <v>520</v>
      </c>
    </row>
    <row r="75" spans="2:113" ht="15.75" customHeight="1">
      <c r="B75" s="19"/>
      <c r="C75" s="19"/>
      <c r="D75" s="19"/>
      <c r="E75" s="19" t="s">
        <v>109</v>
      </c>
      <c r="F75" s="19" t="s">
        <v>52</v>
      </c>
      <c r="G75" s="198"/>
      <c r="I75" s="109" t="s">
        <v>529</v>
      </c>
      <c r="J75" s="81"/>
      <c r="K75" s="81"/>
      <c r="L75" s="110"/>
      <c r="M75" s="414">
        <f>IF(M72="Salesman Limit",15000,IF(M72="Disc. HQ Salesman Limit",15000,IF(M72="Sales Manager Limit",9000,IF(M72="Disc. HQ Sales Manager Limit",9000,IF(M72="HQ Decision",4500)))))*C39</f>
        <v>15000</v>
      </c>
      <c r="O75" s="165" t="str">
        <f>IF(AND(E70="",E71=""),"",(E70&amp;"/"&amp;E71))</f>
        <v>36 MONTHS/450 000 KM</v>
      </c>
      <c r="Q75" s="165" t="str">
        <f>IF(O75&lt;&gt;"","DL","")</f>
        <v>DL</v>
      </c>
      <c r="BH75" s="165" t="s">
        <v>349</v>
      </c>
      <c r="BI75" s="1124" t="s">
        <v>65</v>
      </c>
      <c r="BJ75" s="1124" t="s">
        <v>423</v>
      </c>
      <c r="BK75" s="1124" t="s">
        <v>133</v>
      </c>
      <c r="BL75" s="1124" t="s">
        <v>154</v>
      </c>
      <c r="BM75" s="1125" t="s">
        <v>939</v>
      </c>
      <c r="BN75" s="1125" t="s">
        <v>135</v>
      </c>
      <c r="BO75" s="1125" t="s">
        <v>196</v>
      </c>
      <c r="BP75" s="1125" t="s">
        <v>799</v>
      </c>
      <c r="BQ75" s="1125" t="s">
        <v>743</v>
      </c>
      <c r="BR75" s="1125"/>
      <c r="DH75" s="1122" t="s">
        <v>495</v>
      </c>
      <c r="DI75" s="1123" t="s">
        <v>520</v>
      </c>
    </row>
    <row r="76" spans="2:113" ht="15.75" customHeight="1">
      <c r="B76" s="19" t="s">
        <v>35</v>
      </c>
      <c r="C76" s="19"/>
      <c r="D76" s="194" t="s">
        <v>295</v>
      </c>
      <c r="E76" s="195" t="s">
        <v>113</v>
      </c>
      <c r="F76" s="196" t="s">
        <v>33</v>
      </c>
      <c r="G76" s="199" t="s">
        <v>34</v>
      </c>
      <c r="I76" s="111" t="s">
        <v>530</v>
      </c>
      <c r="L76" s="56"/>
      <c r="M76" s="415">
        <f>IF(M72="Salesman Limit",(M71-M14)*10%,IF(M72="Disc. HQ Salesman Limit",(M71-M14)*10%,IF(M72="Sales Manager Limit",(M71-BF35)*5%,IF(M72="Disc. HQ Sales Manager Limit",(M71-BF35)*5%,IF(M72="HQ Decision",0)))))</f>
        <v>54340.5</v>
      </c>
      <c r="Q76" s="165" t="str">
        <f>IF(O76&lt;&gt;"","DL","")</f>
        <v/>
      </c>
      <c r="BH76" s="165" t="s">
        <v>335</v>
      </c>
      <c r="BI76" s="1124" t="s">
        <v>65</v>
      </c>
      <c r="BJ76" s="1124" t="s">
        <v>60</v>
      </c>
      <c r="BK76" s="1124" t="s">
        <v>133</v>
      </c>
      <c r="BL76" s="1124" t="s">
        <v>134</v>
      </c>
      <c r="BM76" s="1125" t="s">
        <v>940</v>
      </c>
      <c r="BN76" s="1125" t="s">
        <v>135</v>
      </c>
      <c r="BO76" s="1125" t="s">
        <v>196</v>
      </c>
      <c r="BP76" s="1125" t="s">
        <v>800</v>
      </c>
      <c r="BQ76" s="1125" t="s">
        <v>744</v>
      </c>
      <c r="BR76" s="1125"/>
      <c r="DH76" s="1122" t="s">
        <v>496</v>
      </c>
      <c r="DI76" s="1123" t="s">
        <v>520</v>
      </c>
    </row>
    <row r="77" spans="2:113" ht="15.75" customHeight="1" thickBot="1">
      <c r="B77" s="19" t="s">
        <v>42</v>
      </c>
      <c r="C77" s="19"/>
      <c r="D77" s="194" t="s">
        <v>295</v>
      </c>
      <c r="E77" s="195" t="s">
        <v>108</v>
      </c>
      <c r="F77" s="193">
        <f>IFERROR(IF(F75="No",0,IF(O41="TGM",VLOOKUP(O69&amp;"",'[8]Warranties (TGM)'!$AD$5:$AE$80,2,FALSE),IF(O41="TGS",VLOOKUP(O69&amp;"",'[8]Warranties (TGS)'!$N$5:$O$213,2,FALSE),VLOOKUP(O69&amp;"",'[8]Warranties (TGX)'!$N$4:$O$221,2,FALSE)))),0)</f>
        <v>1580</v>
      </c>
      <c r="G77" s="197">
        <v>0</v>
      </c>
      <c r="I77" s="112" t="s">
        <v>531</v>
      </c>
      <c r="J77" s="87"/>
      <c r="K77" s="87"/>
      <c r="L77" s="113"/>
      <c r="M77" s="416">
        <f>IF(AND(M72="Salesman Limit",M10="Yes"),3000,IF(AND(M72="Disc. HQ Salesman Limit",M10="Yes"),3000,IF(AND(M72="Sales Manager Limit",M10="Yes"),2000,IF(AND(M72="Disc. HQ Sales Manager Limit",M10="Yes"),2000,IF(AND(M72="HQ Decision",M10="Yes"),1500,0)))))*C39</f>
        <v>3000</v>
      </c>
      <c r="BH77" s="165" t="s">
        <v>339</v>
      </c>
      <c r="BI77" s="1124" t="s">
        <v>65</v>
      </c>
      <c r="BJ77" s="1124" t="s">
        <v>60</v>
      </c>
      <c r="BK77" s="1124" t="s">
        <v>133</v>
      </c>
      <c r="BL77" s="1124" t="s">
        <v>141</v>
      </c>
      <c r="BM77" s="1125" t="s">
        <v>941</v>
      </c>
      <c r="BN77" s="1125" t="s">
        <v>135</v>
      </c>
      <c r="BO77" s="1125" t="s">
        <v>196</v>
      </c>
      <c r="BP77" s="1125" t="s">
        <v>801</v>
      </c>
      <c r="BQ77" s="1125" t="s">
        <v>745</v>
      </c>
      <c r="BR77" s="1125"/>
      <c r="DH77" s="1122" t="s">
        <v>497</v>
      </c>
      <c r="DI77" s="1123" t="s">
        <v>520</v>
      </c>
    </row>
    <row r="78" spans="2:113" ht="15.75" customHeight="1" thickBot="1">
      <c r="B78" s="165"/>
      <c r="C78" s="165"/>
      <c r="D78" s="165"/>
      <c r="E78" s="165"/>
      <c r="F78" s="188" t="str">
        <f>IF(AND(F75&lt;&gt;"No",E76&lt;&gt;"",E77&lt;&gt;"",F77&lt;&gt;0),"",IF(AND(F75="No",E76="",E77=""),"","COMBINATION N/A"))</f>
        <v/>
      </c>
      <c r="G78" s="165"/>
      <c r="I78" s="107" t="s">
        <v>18</v>
      </c>
      <c r="J78" s="96"/>
      <c r="K78" s="96"/>
      <c r="L78" s="96"/>
      <c r="M78" s="417">
        <f>IF(AND(M72="Salesman Limit",SUM(M75:M77)&gt;200000),200000,IF(AND(M72="Disc. HQ Salesman Limit",SUM(M75:M77)&gt;200000),200000,IF(AND(M72="Sales Manager Limit",SUM(M75:M77)&gt;100000),100000,IF(AND(M72="Disc. HQ Sales Manager Limit",SUM(M75:M77)&gt;100000),100000,IF(AND(M72="HQ Limit",SUM(M75:M77)&gt;50000),50000,SUM(M75:M77))))))</f>
        <v>72340.5</v>
      </c>
      <c r="N78" s="188" t="str">
        <f>IF(AND($M$72="Salesman Limit",SUM($M$75:$M$77)&gt;200000),"Above Commission Limit",IF(AND($M$72="Disc. HQ Salesman Limit",SUM($M$75:$M$77)&gt;200000),"Above Commission Limit",IF(AND($M$72="Sales Manager Limit",SUM($M$75:$M$77)&gt;100000),"Above Commission Limit",IF(AND($M$72="Disc. HQ Sales Manager Limit",SUM($M$75:$M$77)&gt;100000),"Above Commission Limit",IF(AND($M$72="HQ Decision",SUM($M$75:$M$77)&gt;50000),"Above Commission Limit","")))))</f>
        <v/>
      </c>
      <c r="BI78" s="165" t="s">
        <v>200</v>
      </c>
      <c r="BJ78" s="1130"/>
      <c r="BK78" s="1130"/>
      <c r="BM78" s="1130" t="s">
        <v>200</v>
      </c>
      <c r="BN78" s="1125"/>
      <c r="BO78" s="1125"/>
      <c r="DH78" s="1122" t="s">
        <v>498</v>
      </c>
      <c r="DI78" s="1123" t="s">
        <v>520</v>
      </c>
    </row>
    <row r="79" spans="2:113" ht="15.75" customHeight="1" thickBot="1">
      <c r="B79" s="165"/>
      <c r="C79" s="165"/>
      <c r="D79" s="165"/>
      <c r="E79" s="165"/>
      <c r="F79" s="165"/>
      <c r="G79" s="165"/>
      <c r="L79" s="56"/>
      <c r="M79" s="165"/>
      <c r="BH79" s="165" t="s">
        <v>671</v>
      </c>
      <c r="BI79" s="1207" t="s">
        <v>675</v>
      </c>
      <c r="BJ79" s="1131" t="s">
        <v>675</v>
      </c>
      <c r="BK79" s="1131" t="s">
        <v>122</v>
      </c>
      <c r="BL79" s="1130" t="s">
        <v>667</v>
      </c>
      <c r="BM79" s="1125" t="s">
        <v>942</v>
      </c>
      <c r="BN79" s="1125" t="s">
        <v>667</v>
      </c>
      <c r="BO79" s="1125" t="s">
        <v>196</v>
      </c>
      <c r="BP79" s="1125" t="s">
        <v>802</v>
      </c>
      <c r="BQ79" s="1125" t="s">
        <v>746</v>
      </c>
      <c r="DH79" s="1122" t="s">
        <v>499</v>
      </c>
      <c r="DI79" s="1123" t="s">
        <v>520</v>
      </c>
    </row>
    <row r="80" spans="2:113" ht="15.75" customHeight="1" thickBot="1">
      <c r="I80" s="107" t="s">
        <v>20</v>
      </c>
      <c r="J80" s="108"/>
      <c r="K80" s="108"/>
      <c r="L80" s="96"/>
      <c r="M80" s="347"/>
      <c r="BH80" s="165" t="s">
        <v>672</v>
      </c>
      <c r="BI80" s="1207" t="s">
        <v>675</v>
      </c>
      <c r="BJ80" s="1131" t="s">
        <v>675</v>
      </c>
      <c r="BK80" s="1131" t="s">
        <v>122</v>
      </c>
      <c r="BL80" s="1130" t="s">
        <v>668</v>
      </c>
      <c r="BM80" s="1125" t="s">
        <v>943</v>
      </c>
      <c r="BN80" s="1125" t="s">
        <v>668</v>
      </c>
      <c r="BO80" s="1125" t="s">
        <v>196</v>
      </c>
      <c r="BP80" s="1125" t="e">
        <v>#N/A</v>
      </c>
      <c r="BQ80" s="1125" t="e">
        <v>#N/A</v>
      </c>
      <c r="DH80" s="1122" t="s">
        <v>500</v>
      </c>
      <c r="DI80" s="1123" t="s">
        <v>520</v>
      </c>
    </row>
    <row r="81" spans="9:113" ht="15.75" customHeight="1">
      <c r="I81" s="109" t="s">
        <v>529</v>
      </c>
      <c r="J81" s="81"/>
      <c r="K81" s="81"/>
      <c r="L81" s="110"/>
      <c r="M81" s="414">
        <f>IF(M72="Salesman Limit",3000,IF(M72="Disc. HQ Salesman Limit",3000,IF(M72="Sales Manager Limit",2000,IF(M72="Disc. HQ Sales Manager Limit",2000,IF(M72="HQ Decision",1000)))))*C39</f>
        <v>3000</v>
      </c>
      <c r="O81" s="165" t="str">
        <f>IF(AND(D65="",D66=""),"",(D65&amp;"/"&amp;D66))</f>
        <v/>
      </c>
      <c r="Q81" s="165" t="str">
        <f>IF(O81&lt;&gt;"","EV","")</f>
        <v/>
      </c>
      <c r="BH81" s="165" t="s">
        <v>673</v>
      </c>
      <c r="BI81" s="1207" t="s">
        <v>675</v>
      </c>
      <c r="BJ81" s="1131" t="s">
        <v>675</v>
      </c>
      <c r="BK81" s="1131" t="s">
        <v>122</v>
      </c>
      <c r="BL81" s="1130" t="s">
        <v>669</v>
      </c>
      <c r="BM81" s="1125" t="s">
        <v>944</v>
      </c>
      <c r="BN81" s="1125" t="s">
        <v>669</v>
      </c>
      <c r="BO81" s="1125" t="s">
        <v>196</v>
      </c>
      <c r="BP81" s="1125" t="e">
        <v>#N/A</v>
      </c>
      <c r="BQ81" s="1125" t="e">
        <v>#N/A</v>
      </c>
      <c r="DH81" s="1122" t="s">
        <v>501</v>
      </c>
      <c r="DI81" s="1123" t="s">
        <v>520</v>
      </c>
    </row>
    <row r="82" spans="9:113" ht="15.75" customHeight="1">
      <c r="I82" s="111" t="s">
        <v>530</v>
      </c>
      <c r="L82" s="56"/>
      <c r="M82" s="415">
        <f>IF(M72="Salesman Limit",(M71-M14)*10%,IF(M72="Disc. HQ Salesman Limit",(M71-M14)*10%,IF(M72="Sales Manager Limit",(M71-$BF$35)*5%,IF(M72="Disc. HQ Sales Manager Limit",(M71-$BF$35)*5%,IF(M72="HQ Decision",0)))))</f>
        <v>54340.5</v>
      </c>
      <c r="O82" s="165" t="str">
        <f>IF(AND(E65="",E66=""),"",(E65&amp;"/"&amp;E66))</f>
        <v/>
      </c>
      <c r="Q82" s="165" t="str">
        <f>IF(O82&lt;&gt;"","DL","")</f>
        <v/>
      </c>
      <c r="BH82" s="165" t="s">
        <v>674</v>
      </c>
      <c r="BI82" s="1207" t="s">
        <v>675</v>
      </c>
      <c r="BJ82" s="1131" t="s">
        <v>675</v>
      </c>
      <c r="BK82" s="1131" t="s">
        <v>122</v>
      </c>
      <c r="BL82" s="1130" t="s">
        <v>676</v>
      </c>
      <c r="BM82" s="1125" t="s">
        <v>945</v>
      </c>
      <c r="BN82" s="1125" t="s">
        <v>670</v>
      </c>
      <c r="BO82" s="1125" t="s">
        <v>196</v>
      </c>
      <c r="BP82" s="1125" t="e">
        <v>#N/A</v>
      </c>
      <c r="BQ82" s="1125" t="e">
        <v>#N/A</v>
      </c>
      <c r="DH82" s="1122" t="s">
        <v>502</v>
      </c>
      <c r="DI82" s="1123" t="s">
        <v>520</v>
      </c>
    </row>
    <row r="83" spans="9:113" ht="15.75" customHeight="1" thickBot="1">
      <c r="I83" s="112" t="s">
        <v>531</v>
      </c>
      <c r="J83" s="87"/>
      <c r="K83" s="87"/>
      <c r="L83" s="113"/>
      <c r="M83" s="416">
        <f>IF(AND(M72="Salesman Limit",M10="Yes"),1000,IF(AND(M72="Disc. HQ Salesman Limit",M10="Yes"),1000,IF(AND(M72="Sales Manager Limit",M10="Yes"),1000,IF(AND(M72="Disc. HQ Sales Manager Limit",M10="Yes"),1000,IF(AND(M72="HQ Decision",M10="Yes"),1000,0)))))*C39</f>
        <v>1000</v>
      </c>
      <c r="O83" s="165" t="str">
        <f>IF(EXW="Combination",Q81&amp;" : "&amp;O81&amp;" - "&amp;Q82&amp;" : "&amp;O82,"")</f>
        <v/>
      </c>
      <c r="Q83" s="165" t="s">
        <v>533</v>
      </c>
      <c r="BM83" s="1130" t="s">
        <v>200</v>
      </c>
      <c r="DH83" s="1122" t="s">
        <v>503</v>
      </c>
      <c r="DI83" s="1123" t="s">
        <v>520</v>
      </c>
    </row>
    <row r="84" spans="9:113" ht="15.75" customHeight="1" thickBot="1">
      <c r="I84" s="107" t="s">
        <v>18</v>
      </c>
      <c r="J84" s="96"/>
      <c r="K84" s="96"/>
      <c r="L84" s="96"/>
      <c r="M84" s="417">
        <f>IF(AND(M72="Salesman Limit",SUM(M81:M83)&gt;200000),200000,IF(AND(M72="Disc. HQ Salesman Limit",SUM(M81:M83)&gt;200000),200000,IF(AND(M72="Sales Manager Limit",SUM(M81:M83)&gt;100000),100000,IF(AND(M72="Disc. HQ Sales Manager Limit",SUM(M81:M83)&gt;100000),100000,IF(AND(M72="HQ Limit",SUM(M81:M83)&gt;50000),50000,SUM(M81:M83))))))</f>
        <v>58340.5</v>
      </c>
      <c r="N84" s="188" t="str">
        <f>IF(AND($M$72="Salesman Limit",SUM($M$81:$M$83)&gt;200000),"Above Commission Limit",IF(AND($M$72="Disc. HQ Salesman Limit",SUM($M$81:$M$83)&gt;200000),"Above Commission Limit",IF(AND($M$72="Sales Manager Limit",SUM($M$81:$M$83)&gt;100000),"Above Commission Limit",IF(AND($M$72="Disc. HQ Sales Manager Limit",SUM($M$81:$M$83)&gt;100000),"Above Commission Limit",IF(AND($M$72="HQ Decision",SUM($M$81:$M$83)&gt;50000),"Above Commission Limit","")))))</f>
        <v/>
      </c>
      <c r="DH84" s="1122" t="s">
        <v>503</v>
      </c>
      <c r="DI84" s="1123" t="s">
        <v>520</v>
      </c>
    </row>
    <row r="85" spans="9:113">
      <c r="I85" s="1232" t="s">
        <v>96</v>
      </c>
      <c r="J85" s="1232"/>
      <c r="K85" s="1232"/>
      <c r="L85" s="1232"/>
      <c r="M85" s="1232"/>
      <c r="DH85" s="1122" t="s">
        <v>504</v>
      </c>
      <c r="DI85" s="1123" t="s">
        <v>520</v>
      </c>
    </row>
    <row r="86" spans="9:113">
      <c r="I86" s="1233"/>
      <c r="J86" s="1233"/>
      <c r="K86" s="1233"/>
      <c r="L86" s="1233"/>
      <c r="M86" s="1233"/>
      <c r="DH86" s="1122" t="s">
        <v>505</v>
      </c>
      <c r="DI86" s="1123" t="s">
        <v>520</v>
      </c>
    </row>
    <row r="87" spans="9:113">
      <c r="P87" s="165" t="str">
        <f>SUBSTITUTE(SUBSTITUTE(EVE," ",""),"MONTHS","")</f>
        <v/>
      </c>
      <c r="Q87" s="165" t="str">
        <f>SUBSTITUTE(SUBSTITUTE(DLM," ",""),"MONTHS","")</f>
        <v/>
      </c>
      <c r="DH87" s="1122" t="s">
        <v>506</v>
      </c>
      <c r="DI87" s="1123" t="s">
        <v>520</v>
      </c>
    </row>
    <row r="88" spans="9:113">
      <c r="P88" s="165" t="str">
        <f>SUBSTITUTE(SUBSTITUTE(D70," ",""),"MONTHS","")</f>
        <v>12</v>
      </c>
      <c r="Q88" s="165" t="str">
        <f>SUBSTITUTE(SUBSTITUTE(E70," ",""),"MONTHS","")</f>
        <v>36</v>
      </c>
      <c r="DH88" s="1122" t="s">
        <v>507</v>
      </c>
      <c r="DI88" s="1123" t="s">
        <v>520</v>
      </c>
    </row>
    <row r="89" spans="9:113">
      <c r="P89" s="165" t="s">
        <v>40</v>
      </c>
      <c r="Q89" s="165" t="s">
        <v>39</v>
      </c>
      <c r="R89" s="165" t="s">
        <v>57</v>
      </c>
      <c r="BN89" s="1132">
        <f ca="1">TODAY()</f>
        <v>43222</v>
      </c>
      <c r="BO89" s="1132">
        <v>43510</v>
      </c>
      <c r="DH89" s="1122" t="s">
        <v>508</v>
      </c>
      <c r="DI89" s="1123" t="s">
        <v>520</v>
      </c>
    </row>
    <row r="90" spans="9:113">
      <c r="O90" s="165" t="s">
        <v>1211</v>
      </c>
      <c r="P90" s="1117" t="str">
        <f>IFERROR(IF(AND(O41="TGM",EXW="Entire Vehicle"),VLOOKUP(O62&amp;"",'[8]Warranties (TGM)'!$F$5:$G$600,2,FALSE),IF(AND(O41="CLA",EXW="Entire Vehicle"),VLOOKUP(O62&amp;"",'[8]Warranties (CLA)'!$F$4:$G$19,2,FALSE),IF(AND(O41="TGS",EXW="Entire Vehicle"),VLOOKUP(O62&amp;"",'[8]Warranties (TGS)'!$AC$5:$AD$600,2,FALSE),IF(AND(O41="TGX",EXW="Entire Vehicle"),VLOOKUP(O62&amp;"",'[8]Warranties (TGX)'!$AC$5:$AD$600,2,FALSE),"")))),0)</f>
        <v/>
      </c>
      <c r="Q90" s="1117" t="str">
        <f>IFERROR(IF(AND(O41="TGM",EXW="Driveline"),VLOOKUP(O62&amp;"",'[8]Warranties (TGM)'!$N$5:$O$600,2,FALSE),IF(AND(O41="CLA",EXW="Driveline"),VLOOKUP(O62&amp;"",'[8]Warranties (CLA)'!$F$4:$G$19,2,FALSE),IF(AND(O41="TGS",EXW="Driveline"),VLOOKUP(O62&amp;"",'[8]Warranties (TGS)'!$AK$5:$AL$600,2,FALSE),IF(AND(O41="TGX",EXW="Driveline"),VLOOKUP(O62&amp;"",'[8]Warranties (TGX)'!$AK$5:$AL$600,2,FALSE),"")))),0)</f>
        <v/>
      </c>
      <c r="R90" s="1117">
        <f>IFERROR(IF(AND(O41="TGM",F63="Combination"),VLOOKUP(O62&amp;"",'[8]Warranties (TGM)'!$W$5:$X$600,2,FALSE),IF(AND(O41="TGM",F63="Entire Vehicle"),VLOOKUP(O62&amp;"",'[8]Warranties (TGM)'!$F$5:$G$600,2,FALSE),IF(AND(O41="TGM",F63="Driveline"),VLOOKUP(O62&amp;"",'[8]Warranties (TGM)'!$N$5:$O$600,2,FALSE),IF(AND(O41="CLA",F63="Driveline"),VLOOKUP(O62&amp;"",'[8]Warranties (CLA)'!$F$4:$G$19,2,FALSE),IF(AND(O41="CLA",F63="Entire Vehicle"),VLOOKUP(O62&amp;"",'[8]Warranties (CLA)'!$F$4:$G$19,2,FALSE),IF(AND(O41="TGS",F63="Combination"),VLOOKUP(O62&amp;"",'[8]Warranties (TGS)'!$G$5:$H$600,2,FALSE),IF(AND(O41="TGS",F63="Entire Vehicle"),VLOOKUP(O62&amp;"",'[8]Warranties (TGS)'!$AC$5:$AD$600,2,FALSE),IF(AND(O41="TGS",F63="Driveline"),VLOOKUP(O62&amp;"",'[8]Warranties (TGS)'!$AK$5:$AL$600,2,FALSE),IF(AND(O41="TGX",F63="Combination"),VLOOKUP(O62&amp;"",'[8]Warranties (TGX)'!$G$5:$H$600,2,FALSE),IF(AND(O41="TGX",F63="Entire Vehicle"),VLOOKUP(O62&amp;"",'[8]Warranties (TGX)'!$AC$5:$AD$600,2,FALSE),VLOOKUP(O62&amp;"",'[8]Warranties (TGX)'!$AK$5:$AL$600,2,FALSE))))))))))),0)</f>
        <v>0</v>
      </c>
      <c r="BO90" s="1130">
        <f ca="1">BN89-BO89</f>
        <v>-288</v>
      </c>
      <c r="DH90" s="1122" t="s">
        <v>509</v>
      </c>
      <c r="DI90" s="1123" t="s">
        <v>520</v>
      </c>
    </row>
    <row r="91" spans="9:113">
      <c r="O91" s="165" t="s">
        <v>1212</v>
      </c>
      <c r="P91" s="1117">
        <f>IFERROR(IF(O41="TGM",VLOOKUP(O64&amp;"",'[8]Warranties (TGM)'!$F$5:$G$600,2,FALSE),IF(O41="CLA",VLOOKUP(O64&amp;"",'[8]Warranties (CLA)'!$F$4:$G$19,2,FALSE),IF(O41="TGS",VLOOKUP(O64&amp;"",'[8]Warranties (TGS)'!$AC$5:$AD$600,2,FALSE),IF(O41="TGX",VLOOKUP(O64&amp;"",'[8]Warranties (TGX)'!$AC$5:$AD$600,2,FALSE),"")))),0)</f>
        <v>0</v>
      </c>
      <c r="Q91" s="1117">
        <f>IFERROR(IF(O41="TGM",VLOOKUP(O65&amp;"",'[8]Warranties (TGM)'!$N$5:$O$600,2,FALSE),IF(O41="CLA",VLOOKUP(O65&amp;"",'[8]Warranties (CLA)'!$F$4:$G$19,2,FALSE),IF(O41="TGS",VLOOKUP(O65&amp;"",'[8]Warranties (TGS)'!$AK$5:$AL$600,2,FALSE),IF(O41="TGX",VLOOKUP(O65&amp;"",'[8]Warranties (TGX)'!$AK$5:$AL$600,2,FALSE),"")))),0)</f>
        <v>26860</v>
      </c>
      <c r="R91" s="1117">
        <f>IFERROR(IF(OR(O42="TGS-33-440BBS-L",O42="TGS-33-480BBS-L"),VLOOKUP(O72&amp;"",'[8]Factory Warranties'!$F$6:$G$317,2,FALSE),VLOOKUP(O72&amp;"",'[8]Factory Warranties'!$F$6:$G$317,2,FALSE)),0)</f>
        <v>26860</v>
      </c>
      <c r="DH91" s="1122" t="s">
        <v>510</v>
      </c>
      <c r="DI91" s="1123" t="s">
        <v>520</v>
      </c>
    </row>
    <row r="92" spans="9:113">
      <c r="P92" s="1117" t="e">
        <f>ABS(P90-P91)</f>
        <v>#VALUE!</v>
      </c>
      <c r="Q92" s="1117" t="e">
        <f t="shared" ref="Q92:R92" si="13">ABS(Q90-Q91)</f>
        <v>#VALUE!</v>
      </c>
      <c r="R92" s="1117">
        <f t="shared" si="13"/>
        <v>26860</v>
      </c>
      <c r="DH92" s="1122" t="s">
        <v>511</v>
      </c>
      <c r="DI92" s="1123" t="s">
        <v>520</v>
      </c>
    </row>
    <row r="93" spans="9:113" ht="15" customHeight="1">
      <c r="DH93" s="1122" t="s">
        <v>511</v>
      </c>
      <c r="DI93" s="1123" t="s">
        <v>520</v>
      </c>
    </row>
    <row r="94" spans="9:113">
      <c r="DH94" s="1122" t="s">
        <v>428</v>
      </c>
      <c r="DI94" s="1123" t="s">
        <v>520</v>
      </c>
    </row>
    <row r="95" spans="9:113">
      <c r="DH95" s="1122" t="s">
        <v>512</v>
      </c>
      <c r="DI95" s="1123" t="s">
        <v>520</v>
      </c>
    </row>
    <row r="96" spans="9:113">
      <c r="DH96" s="1122" t="s">
        <v>513</v>
      </c>
      <c r="DI96" s="1123" t="s">
        <v>521</v>
      </c>
    </row>
    <row r="97" spans="112:113">
      <c r="DH97" s="1122" t="s">
        <v>514</v>
      </c>
      <c r="DI97" s="1123" t="s">
        <v>519</v>
      </c>
    </row>
    <row r="98" spans="112:113">
      <c r="DH98" s="1122" t="s">
        <v>514</v>
      </c>
      <c r="DI98" s="1123" t="s">
        <v>519</v>
      </c>
    </row>
    <row r="99" spans="112:113">
      <c r="DH99" s="1122" t="s">
        <v>515</v>
      </c>
      <c r="DI99" s="1123" t="s">
        <v>521</v>
      </c>
    </row>
    <row r="100" spans="112:113">
      <c r="DH100" s="1122" t="s">
        <v>516</v>
      </c>
      <c r="DI100" s="1123" t="s">
        <v>521</v>
      </c>
    </row>
    <row r="101" spans="112:113">
      <c r="DH101" s="1122" t="s">
        <v>517</v>
      </c>
      <c r="DI101" s="1123" t="s">
        <v>521</v>
      </c>
    </row>
    <row r="102" spans="112:113">
      <c r="DH102" s="1122" t="s">
        <v>518</v>
      </c>
      <c r="DI102" s="1123" t="s">
        <v>521</v>
      </c>
    </row>
  </sheetData>
  <sheetProtection algorithmName="SHA-512" hashValue="dwAp+psjaGi52NdYNtFIG3MSTLsyArL7eu75YJrUM9Hpqe7Ay3CTZbFqpkCrRsgGyEZ06NPRHWzr8upUmwo8wQ==" saltValue="I8gDWCLmtas20olfPtC3nA==" spinCount="100000" sheet="1" objects="1" scenarios="1"/>
  <sortState ref="BS4:BS9">
    <sortCondition ref="BS4"/>
  </sortState>
  <mergeCells count="51">
    <mergeCell ref="I85:M86"/>
    <mergeCell ref="B7:G7"/>
    <mergeCell ref="CQ5:CT5"/>
    <mergeCell ref="CV5:CY5"/>
    <mergeCell ref="R7:R8"/>
    <mergeCell ref="I7:M7"/>
    <mergeCell ref="V7:V8"/>
    <mergeCell ref="T7:T8"/>
    <mergeCell ref="S7:S8"/>
    <mergeCell ref="AI7:AI8"/>
    <mergeCell ref="AJ7:AJ8"/>
    <mergeCell ref="AK7:AK8"/>
    <mergeCell ref="AL7:AL8"/>
    <mergeCell ref="AM7:AM8"/>
    <mergeCell ref="AN7:AN8"/>
    <mergeCell ref="N19:N20"/>
    <mergeCell ref="DC3:DE3"/>
    <mergeCell ref="Z7:Z8"/>
    <mergeCell ref="W7:W8"/>
    <mergeCell ref="U7:U8"/>
    <mergeCell ref="X7:X8"/>
    <mergeCell ref="Y7:Y8"/>
    <mergeCell ref="AO7:AO8"/>
    <mergeCell ref="AP7:AP8"/>
    <mergeCell ref="AQ7:AQ8"/>
    <mergeCell ref="AR7:AR8"/>
    <mergeCell ref="AC5:AL6"/>
    <mergeCell ref="CM3:CY3"/>
    <mergeCell ref="BV3:CC3"/>
    <mergeCell ref="AF7:AF8"/>
    <mergeCell ref="AG7:AG8"/>
    <mergeCell ref="AH7:AH8"/>
    <mergeCell ref="C3:D3"/>
    <mergeCell ref="C4:D4"/>
    <mergeCell ref="C5:D5"/>
    <mergeCell ref="AS7:AS8"/>
    <mergeCell ref="CE3:CK3"/>
    <mergeCell ref="CG1:CH1"/>
    <mergeCell ref="CM18:CN18"/>
    <mergeCell ref="I39:I40"/>
    <mergeCell ref="L39:L40"/>
    <mergeCell ref="M39:M40"/>
    <mergeCell ref="CI1:CJ1"/>
    <mergeCell ref="BY1:CA1"/>
    <mergeCell ref="BD3:BF3"/>
    <mergeCell ref="BH3:BO3"/>
    <mergeCell ref="AA7:AA8"/>
    <mergeCell ref="AB7:AB8"/>
    <mergeCell ref="AC7:AC8"/>
    <mergeCell ref="AD7:AD8"/>
    <mergeCell ref="AE7:AE8"/>
  </mergeCells>
  <conditionalFormatting sqref="CA51:CA52">
    <cfRule type="duplicateValues" dxfId="43" priority="35"/>
  </conditionalFormatting>
  <conditionalFormatting sqref="F61">
    <cfRule type="cellIs" dxfId="42" priority="31" operator="equal">
      <formula>"App. N/A"</formula>
    </cfRule>
    <cfRule type="cellIs" dxfId="41" priority="32" operator="equal">
      <formula>"Choose App."</formula>
    </cfRule>
  </conditionalFormatting>
  <conditionalFormatting sqref="CH2">
    <cfRule type="duplicateValues" dxfId="40" priority="30"/>
  </conditionalFormatting>
  <conditionalFormatting sqref="CJ2">
    <cfRule type="duplicateValues" dxfId="39" priority="29"/>
  </conditionalFormatting>
  <conditionalFormatting sqref="N74">
    <cfRule type="cellIs" dxfId="38" priority="22" operator="equal">
      <formula>"Above Commission Limit"</formula>
    </cfRule>
    <cfRule type="cellIs" dxfId="37" priority="23" operator="equal">
      <formula>"Above Commission Limit"</formula>
    </cfRule>
  </conditionalFormatting>
  <conditionalFormatting sqref="N78">
    <cfRule type="cellIs" dxfId="36" priority="20" operator="equal">
      <formula>"Above Commission Limit"</formula>
    </cfRule>
    <cfRule type="cellIs" dxfId="35" priority="21" operator="equal">
      <formula>"Above Commission Limit"</formula>
    </cfRule>
  </conditionalFormatting>
  <conditionalFormatting sqref="F67">
    <cfRule type="cellIs" dxfId="34" priority="16" operator="equal">
      <formula>"COMBINATION N/A"</formula>
    </cfRule>
    <cfRule type="cellIs" dxfId="33" priority="17" operator="equal">
      <formula>"COMBINATION N/A"</formula>
    </cfRule>
  </conditionalFormatting>
  <conditionalFormatting sqref="M72">
    <cfRule type="cellIs" dxfId="32" priority="7" operator="equal">
      <formula>"Salesmans Limit"</formula>
    </cfRule>
    <cfRule type="cellIs" dxfId="31" priority="8" operator="equal">
      <formula>"Sales Manager Limit"</formula>
    </cfRule>
    <cfRule type="cellIs" dxfId="30" priority="9" operator="equal">
      <formula>"Salesman Limit"</formula>
    </cfRule>
    <cfRule type="cellIs" dxfId="29" priority="10" operator="equal">
      <formula>"Disc. HQ Sales Manager Limit"</formula>
    </cfRule>
    <cfRule type="cellIs" dxfId="28" priority="11" operator="equal">
      <formula>"Disc. HQ Salesman Limit"</formula>
    </cfRule>
    <cfRule type="containsText" dxfId="27" priority="12" operator="containsText" text="Disc. HQ Decision">
      <formula>NOT(ISERROR(SEARCH("Disc. HQ Decision",M72)))</formula>
    </cfRule>
    <cfRule type="cellIs" dxfId="26" priority="13" operator="equal">
      <formula>"HQ Decision"</formula>
    </cfRule>
    <cfRule type="cellIs" dxfId="25" priority="14" operator="equal">
      <formula>"Sales Manager Limit"</formula>
    </cfRule>
    <cfRule type="cellIs" dxfId="24" priority="15" operator="equal">
      <formula>"Salesman Limit"</formula>
    </cfRule>
  </conditionalFormatting>
  <conditionalFormatting sqref="F58">
    <cfRule type="cellIs" dxfId="23" priority="6" operator="equal">
      <formula>"COMBINATION N/A"</formula>
    </cfRule>
  </conditionalFormatting>
  <conditionalFormatting sqref="F51">
    <cfRule type="cellIs" dxfId="22" priority="5" operator="equal">
      <formula>"COMBINATION N/A"</formula>
    </cfRule>
  </conditionalFormatting>
  <conditionalFormatting sqref="C9:C38">
    <cfRule type="beginsWith" dxfId="21" priority="3" operator="beginsWith" text="TBA">
      <formula>LEFT(C9,LEN("TBA"))="TBA"</formula>
    </cfRule>
    <cfRule type="duplicateValues" dxfId="20" priority="4"/>
  </conditionalFormatting>
  <conditionalFormatting sqref="N84">
    <cfRule type="cellIs" dxfId="19" priority="1" operator="equal">
      <formula>"Above Commission Limit"</formula>
    </cfRule>
    <cfRule type="cellIs" dxfId="18" priority="2" operator="equal">
      <formula>"Above Commission Limit"</formula>
    </cfRule>
  </conditionalFormatting>
  <dataValidations count="21">
    <dataValidation type="list" allowBlank="1" showInputMessage="1" showErrorMessage="1" sqref="E66" xr:uid="{00000000-0002-0000-0100-000000000000}">
      <formula1>$CW$6:$CW$33</formula1>
    </dataValidation>
    <dataValidation type="list" allowBlank="1" showInputMessage="1" showErrorMessage="1" sqref="E54" xr:uid="{00000000-0002-0000-0100-000001000000}">
      <formula1>$CG$4:$CG$7</formula1>
    </dataValidation>
    <dataValidation type="list" allowBlank="1" showInputMessage="1" showErrorMessage="1" sqref="F75 G46 D41 M10" xr:uid="{00000000-0002-0000-0100-000002000000}">
      <formula1>cus</formula1>
    </dataValidation>
    <dataValidation type="list" allowBlank="1" showInputMessage="1" showErrorMessage="1" sqref="F53" xr:uid="{00000000-0002-0000-0100-000003000000}">
      <formula1>$CE$4:$CE$7</formula1>
    </dataValidation>
    <dataValidation type="list" allowBlank="1" showInputMessage="1" showErrorMessage="1" sqref="F63" xr:uid="{00000000-0002-0000-0100-000004000000}">
      <formula1>$CM$6:$CM$9</formula1>
    </dataValidation>
    <dataValidation type="list" allowBlank="1" showInputMessage="1" showErrorMessage="1" sqref="D65" xr:uid="{00000000-0002-0000-0100-000005000000}">
      <formula1>$CQ$6:$CQ$12</formula1>
    </dataValidation>
    <dataValidation type="list" allowBlank="1" showInputMessage="1" showErrorMessage="1" sqref="E65" xr:uid="{00000000-0002-0000-0100-000006000000}">
      <formula1>$CV$6:$CV$13</formula1>
    </dataValidation>
    <dataValidation type="list" allowBlank="1" showInputMessage="1" showErrorMessage="1" sqref="E47" xr:uid="{00000000-0002-0000-0100-000007000000}">
      <formula1>$BV$5:$BV$10</formula1>
    </dataValidation>
    <dataValidation type="list" allowBlank="1" showInputMessage="1" showErrorMessage="1" sqref="M9" xr:uid="{00000000-0002-0000-0100-000008000000}">
      <formula1>war</formula1>
    </dataValidation>
    <dataValidation type="list" allowBlank="1" showInputMessage="1" showErrorMessage="1" sqref="G61" xr:uid="{00000000-0002-0000-0100-000009000000}">
      <formula1>$CN$19:$CN$23</formula1>
    </dataValidation>
    <dataValidation type="list" allowBlank="1" showInputMessage="1" showErrorMessage="1" sqref="C5" xr:uid="{00000000-0002-0000-0100-00000A000000}">
      <formula1>$BS$4:$BS$9</formula1>
    </dataValidation>
    <dataValidation type="list" allowBlank="1" showInputMessage="1" showErrorMessage="1" sqref="E55" xr:uid="{00000000-0002-0000-0100-00000B000000}">
      <formula1>$CH$4:$CH$10</formula1>
    </dataValidation>
    <dataValidation type="list" allowBlank="1" showInputMessage="1" showErrorMessage="1" sqref="E48" xr:uid="{00000000-0002-0000-0100-00000C000000}">
      <formula1>$BW$5:$BW$33</formula1>
    </dataValidation>
    <dataValidation type="list" allowBlank="1" showInputMessage="1" showErrorMessage="1" sqref="D46" xr:uid="{00000000-0002-0000-0100-00000D000000}">
      <formula1>$BY$5:$BY$7</formula1>
    </dataValidation>
    <dataValidation type="list" allowBlank="1" showInputMessage="1" showErrorMessage="1" sqref="D66" xr:uid="{00000000-0002-0000-0100-00000E000000}">
      <formula1>$CR$6:$CR$32</formula1>
    </dataValidation>
    <dataValidation type="list" allowBlank="1" showInputMessage="1" showErrorMessage="1" sqref="E77" xr:uid="{00000000-0002-0000-0100-00000F000000}">
      <formula1>$DE$8:$DE$22</formula1>
    </dataValidation>
    <dataValidation type="list" allowBlank="1" showInputMessage="1" showErrorMessage="1" sqref="E76" xr:uid="{00000000-0002-0000-0100-000010000000}">
      <formula1>$DD$8:$DD$11</formula1>
    </dataValidation>
    <dataValidation type="list" allowBlank="1" showInputMessage="1" showErrorMessage="1" sqref="C4:D4" xr:uid="{00000000-0002-0000-0100-000011000000}">
      <formula1>$BM$55:$BM$59</formula1>
    </dataValidation>
    <dataValidation type="list" allowBlank="1" showInputMessage="1" showErrorMessage="1" sqref="M11" xr:uid="{00000000-0002-0000-0100-000012000000}">
      <formula1>$BD$25:$BD$30</formula1>
    </dataValidation>
    <dataValidation type="list" allowBlank="1" showInputMessage="1" showErrorMessage="1" sqref="G4" xr:uid="{00000000-0002-0000-0100-000013000000}">
      <formula1>$BT$13:$BT$14</formula1>
    </dataValidation>
    <dataValidation type="list" allowBlank="1" showInputMessage="1" showErrorMessage="1" sqref="G3" xr:uid="{00000000-0002-0000-0100-000014000000}">
      <formula1>$BS$13:$BS$21</formula1>
    </dataValidation>
  </dataValidations>
  <printOptions horizontalCentered="1" verticalCentered="1"/>
  <pageMargins left="0.23622047244094491" right="0.23622047244094491" top="0" bottom="0" header="0" footer="0"/>
  <pageSetup paperSize="9" scale="67" orientation="portrait" r:id="rId1"/>
  <ignoredErrors>
    <ignoredError sqref="M8 M68 M18 M65 K23:K37 M61 M67" unlockedFormula="1"/>
    <ignoredError sqref="F72" evalError="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A1:AH223"/>
  <sheetViews>
    <sheetView showGridLines="0" showOutlineSymbols="0" topLeftCell="A10" zoomScale="61" zoomScaleNormal="61" workbookViewId="0">
      <selection activeCell="N12" sqref="N12"/>
    </sheetView>
  </sheetViews>
  <sheetFormatPr defaultColWidth="11.68359375" defaultRowHeight="15"/>
  <cols>
    <col min="1" max="1" width="2" style="384" customWidth="1"/>
    <col min="2" max="2" width="12" style="384" customWidth="1"/>
    <col min="3" max="3" width="15.41796875" style="384" customWidth="1"/>
    <col min="4" max="4" width="29.578125" style="384" bestFit="1" customWidth="1"/>
    <col min="5" max="5" width="9.578125" style="384" customWidth="1"/>
    <col min="6" max="6" width="21.68359375" style="384" customWidth="1"/>
    <col min="7" max="7" width="19.578125" style="358" customWidth="1"/>
    <col min="8" max="8" width="23" style="384" customWidth="1"/>
    <col min="9" max="9" width="19.26171875" style="384" customWidth="1"/>
    <col min="10" max="10" width="23" style="384" customWidth="1"/>
    <col min="11" max="11" width="21.68359375" style="386" customWidth="1"/>
    <col min="12" max="12" width="19.578125" style="384" customWidth="1"/>
    <col min="13" max="13" width="24.578125" style="384" bestFit="1" customWidth="1"/>
    <col min="14" max="14" width="21.578125" style="384" bestFit="1" customWidth="1"/>
    <col min="15" max="15" width="17.41796875" style="384" bestFit="1" customWidth="1"/>
    <col min="16" max="16384" width="11.68359375" style="384"/>
  </cols>
  <sheetData>
    <row r="1" spans="1:34" s="356" customFormat="1" ht="30.75" customHeight="1">
      <c r="A1" s="218" t="s">
        <v>542</v>
      </c>
      <c r="F1" s="357"/>
      <c r="G1" s="358"/>
      <c r="H1" s="359"/>
      <c r="I1" s="360"/>
      <c r="J1" s="360"/>
      <c r="K1" s="361"/>
    </row>
    <row r="2" spans="1:34" s="356" customFormat="1" ht="30.75" customHeight="1">
      <c r="A2" s="218" t="s">
        <v>543</v>
      </c>
      <c r="F2" s="357"/>
      <c r="G2" s="358"/>
      <c r="H2" s="359"/>
      <c r="I2" s="360"/>
      <c r="J2" s="360"/>
      <c r="K2" s="361"/>
      <c r="AG2" s="438" t="s">
        <v>552</v>
      </c>
      <c r="AH2" s="439"/>
    </row>
    <row r="3" spans="1:34" s="219" customFormat="1" ht="15.3" thickBot="1">
      <c r="G3" s="224"/>
      <c r="K3" s="227"/>
      <c r="AG3" s="440" t="s">
        <v>553</v>
      </c>
      <c r="AH3" s="440"/>
    </row>
    <row r="4" spans="1:34" s="231" customFormat="1" ht="30.75" customHeight="1" thickBot="1">
      <c r="A4" s="228"/>
      <c r="B4" s="229" t="s">
        <v>537</v>
      </c>
      <c r="C4" s="230"/>
      <c r="D4" s="1248" t="str">
        <f>'Deal Sheet'!$C$5</f>
        <v>MAN Bloemfontein</v>
      </c>
      <c r="E4" s="1248"/>
      <c r="F4" s="1248"/>
      <c r="G4" s="1248"/>
      <c r="H4" s="230" t="s">
        <v>538</v>
      </c>
      <c r="I4" s="1249" t="str">
        <f>'Deal Sheet'!$C$3</f>
        <v>ABCD Transport</v>
      </c>
      <c r="J4" s="1250"/>
      <c r="K4" s="1250"/>
      <c r="L4" s="1250"/>
      <c r="M4" s="1250"/>
      <c r="N4" s="1250"/>
      <c r="O4" s="1251"/>
      <c r="AG4" s="440" t="s">
        <v>554</v>
      </c>
      <c r="AH4" s="441"/>
    </row>
    <row r="5" spans="1:34" s="233" customFormat="1" ht="29.25" customHeight="1" thickBot="1">
      <c r="A5" s="232"/>
      <c r="B5" s="1252" t="s">
        <v>544</v>
      </c>
      <c r="C5" s="1253"/>
      <c r="D5" s="1253"/>
      <c r="E5" s="1253"/>
      <c r="F5" s="1253"/>
      <c r="G5" s="1253"/>
      <c r="H5" s="1253"/>
      <c r="I5" s="1253"/>
      <c r="J5" s="1253"/>
      <c r="K5" s="1253"/>
      <c r="L5" s="1253"/>
      <c r="M5" s="1253"/>
      <c r="N5" s="1254"/>
      <c r="O5" s="244"/>
      <c r="AG5" s="442"/>
      <c r="AH5" s="442"/>
    </row>
    <row r="6" spans="1:34" s="231" customFormat="1" ht="30.75" customHeight="1" thickBot="1">
      <c r="A6" s="234"/>
      <c r="B6" s="235" t="s">
        <v>545</v>
      </c>
      <c r="C6" s="223"/>
      <c r="D6" s="1255" t="s">
        <v>553</v>
      </c>
      <c r="E6" s="1256"/>
      <c r="F6" s="1256"/>
      <c r="G6" s="1256"/>
      <c r="H6" s="1256"/>
      <c r="I6" s="1256"/>
      <c r="J6" s="1256"/>
      <c r="K6" s="1256"/>
      <c r="L6" s="1256"/>
      <c r="M6" s="1256"/>
      <c r="N6" s="1256"/>
      <c r="O6" s="1257"/>
      <c r="P6" s="190" t="s">
        <v>295</v>
      </c>
    </row>
    <row r="7" spans="1:34" s="219" customFormat="1" ht="12" customHeight="1">
      <c r="A7" s="226"/>
      <c r="B7" s="225"/>
      <c r="C7" s="226"/>
      <c r="D7" s="226"/>
      <c r="G7" s="224"/>
      <c r="I7" s="226"/>
      <c r="J7" s="226"/>
      <c r="K7" s="236"/>
      <c r="L7" s="226"/>
      <c r="M7" s="226"/>
      <c r="N7" s="226"/>
    </row>
    <row r="8" spans="1:34" s="219" customFormat="1">
      <c r="A8" s="226"/>
      <c r="B8" s="226"/>
      <c r="C8" s="226"/>
      <c r="D8" s="259"/>
      <c r="E8" s="258"/>
      <c r="F8" s="259"/>
      <c r="G8" s="237"/>
      <c r="H8" s="226"/>
      <c r="I8" s="226"/>
      <c r="J8" s="226"/>
      <c r="K8" s="236"/>
      <c r="L8" s="226"/>
      <c r="M8" s="226"/>
      <c r="N8" s="226"/>
    </row>
    <row r="9" spans="1:34" s="219" customFormat="1" ht="2.25" customHeight="1">
      <c r="G9" s="224"/>
      <c r="K9" s="227"/>
    </row>
    <row r="10" spans="1:34" s="238" customFormat="1" ht="18" customHeight="1" thickBot="1">
      <c r="B10" s="239"/>
      <c r="C10" s="240"/>
      <c r="D10" s="240"/>
      <c r="E10" s="241"/>
      <c r="G10" s="242"/>
      <c r="H10" s="241"/>
      <c r="K10" s="243"/>
    </row>
    <row r="11" spans="1:34" s="368" customFormat="1" ht="66" customHeight="1" thickBot="1">
      <c r="A11" s="362"/>
      <c r="B11" s="363" t="s">
        <v>557</v>
      </c>
      <c r="C11" s="364" t="s">
        <v>27</v>
      </c>
      <c r="D11" s="365" t="s">
        <v>1</v>
      </c>
      <c r="E11" s="366" t="s">
        <v>28</v>
      </c>
      <c r="F11" s="364" t="s">
        <v>117</v>
      </c>
      <c r="G11" s="364" t="s">
        <v>546</v>
      </c>
      <c r="H11" s="364" t="s">
        <v>547</v>
      </c>
      <c r="I11" s="364" t="s">
        <v>536</v>
      </c>
      <c r="J11" s="364" t="s">
        <v>548</v>
      </c>
      <c r="K11" s="364" t="s">
        <v>540</v>
      </c>
      <c r="L11" s="364" t="s">
        <v>549</v>
      </c>
      <c r="M11" s="364" t="s">
        <v>685</v>
      </c>
      <c r="N11" s="364" t="s">
        <v>541</v>
      </c>
      <c r="O11" s="367" t="s">
        <v>545</v>
      </c>
    </row>
    <row r="12" spans="1:34" s="372" customFormat="1" ht="30" customHeight="1">
      <c r="A12" s="369"/>
      <c r="B12" s="1138">
        <v>1</v>
      </c>
      <c r="C12" s="1139"/>
      <c r="D12" s="1139"/>
      <c r="E12" s="1140"/>
      <c r="F12" s="1139"/>
      <c r="G12" s="1139"/>
      <c r="H12" s="1141">
        <f t="shared" ref="H12:H31" si="0">J12+I12</f>
        <v>0</v>
      </c>
      <c r="I12" s="1141">
        <f t="shared" ref="I12:I21" si="1">J12*14%</f>
        <v>0</v>
      </c>
      <c r="J12" s="1142"/>
      <c r="K12" s="1143">
        <f t="shared" ref="K12:K21" si="2">J12-N12</f>
        <v>0</v>
      </c>
      <c r="L12" s="1143">
        <f t="shared" ref="L12:L31" si="3">IF(AND(C12&lt;&gt;"",$D$6="IN/OUT TRADE IN"),10000,0)</f>
        <v>0</v>
      </c>
      <c r="M12" s="1143">
        <f t="shared" ref="M12:M21" si="4">K12+L12</f>
        <v>0</v>
      </c>
      <c r="N12" s="1142"/>
      <c r="O12" s="1144"/>
    </row>
    <row r="13" spans="1:34" s="374" customFormat="1" ht="30" customHeight="1">
      <c r="A13" s="373"/>
      <c r="B13" s="465">
        <v>2</v>
      </c>
      <c r="C13" s="466"/>
      <c r="D13" s="466"/>
      <c r="E13" s="467"/>
      <c r="F13" s="466"/>
      <c r="G13" s="466"/>
      <c r="H13" s="370">
        <f t="shared" si="0"/>
        <v>0</v>
      </c>
      <c r="I13" s="370">
        <f t="shared" si="1"/>
        <v>0</v>
      </c>
      <c r="J13" s="468"/>
      <c r="K13" s="371">
        <f t="shared" si="2"/>
        <v>0</v>
      </c>
      <c r="L13" s="371">
        <f t="shared" si="3"/>
        <v>0</v>
      </c>
      <c r="M13" s="371">
        <f t="shared" si="4"/>
        <v>0</v>
      </c>
      <c r="N13" s="468"/>
      <c r="O13" s="469"/>
    </row>
    <row r="14" spans="1:34" s="374" customFormat="1" ht="30" customHeight="1">
      <c r="A14" s="373"/>
      <c r="B14" s="465">
        <v>3</v>
      </c>
      <c r="C14" s="466"/>
      <c r="D14" s="466"/>
      <c r="E14" s="467"/>
      <c r="F14" s="466"/>
      <c r="G14" s="466"/>
      <c r="H14" s="370">
        <f t="shared" si="0"/>
        <v>0</v>
      </c>
      <c r="I14" s="370">
        <f t="shared" si="1"/>
        <v>0</v>
      </c>
      <c r="J14" s="468">
        <v>0</v>
      </c>
      <c r="K14" s="371">
        <f t="shared" si="2"/>
        <v>0</v>
      </c>
      <c r="L14" s="371">
        <f t="shared" si="3"/>
        <v>0</v>
      </c>
      <c r="M14" s="371">
        <f t="shared" si="4"/>
        <v>0</v>
      </c>
      <c r="N14" s="468">
        <v>0</v>
      </c>
      <c r="O14" s="469"/>
    </row>
    <row r="15" spans="1:34" s="374" customFormat="1" ht="30" customHeight="1">
      <c r="A15" s="373"/>
      <c r="B15" s="465">
        <v>4</v>
      </c>
      <c r="C15" s="466"/>
      <c r="D15" s="466"/>
      <c r="E15" s="467"/>
      <c r="F15" s="466"/>
      <c r="G15" s="466"/>
      <c r="H15" s="370">
        <f t="shared" si="0"/>
        <v>0</v>
      </c>
      <c r="I15" s="370">
        <f t="shared" si="1"/>
        <v>0</v>
      </c>
      <c r="J15" s="468">
        <v>0</v>
      </c>
      <c r="K15" s="371">
        <f t="shared" si="2"/>
        <v>0</v>
      </c>
      <c r="L15" s="371">
        <f t="shared" si="3"/>
        <v>0</v>
      </c>
      <c r="M15" s="371">
        <f t="shared" si="4"/>
        <v>0</v>
      </c>
      <c r="N15" s="468">
        <v>0</v>
      </c>
      <c r="O15" s="469"/>
    </row>
    <row r="16" spans="1:34" s="374" customFormat="1" ht="30" customHeight="1">
      <c r="A16" s="373"/>
      <c r="B16" s="465">
        <v>5</v>
      </c>
      <c r="C16" s="466"/>
      <c r="D16" s="466"/>
      <c r="E16" s="467"/>
      <c r="F16" s="466"/>
      <c r="G16" s="466"/>
      <c r="H16" s="370">
        <f t="shared" si="0"/>
        <v>0</v>
      </c>
      <c r="I16" s="370">
        <f t="shared" si="1"/>
        <v>0</v>
      </c>
      <c r="J16" s="468">
        <v>0</v>
      </c>
      <c r="K16" s="371">
        <f t="shared" si="2"/>
        <v>0</v>
      </c>
      <c r="L16" s="371">
        <f t="shared" si="3"/>
        <v>0</v>
      </c>
      <c r="M16" s="371">
        <f t="shared" si="4"/>
        <v>0</v>
      </c>
      <c r="N16" s="468">
        <v>0</v>
      </c>
      <c r="O16" s="469"/>
    </row>
    <row r="17" spans="1:15" s="374" customFormat="1" ht="30" customHeight="1">
      <c r="A17" s="373"/>
      <c r="B17" s="465">
        <v>6</v>
      </c>
      <c r="C17" s="466"/>
      <c r="D17" s="466"/>
      <c r="E17" s="467"/>
      <c r="F17" s="466"/>
      <c r="G17" s="466"/>
      <c r="H17" s="370">
        <f t="shared" si="0"/>
        <v>0</v>
      </c>
      <c r="I17" s="370">
        <f t="shared" si="1"/>
        <v>0</v>
      </c>
      <c r="J17" s="468">
        <v>0</v>
      </c>
      <c r="K17" s="371">
        <f t="shared" si="2"/>
        <v>0</v>
      </c>
      <c r="L17" s="371">
        <f t="shared" si="3"/>
        <v>0</v>
      </c>
      <c r="M17" s="371">
        <f t="shared" si="4"/>
        <v>0</v>
      </c>
      <c r="N17" s="468">
        <v>0</v>
      </c>
      <c r="O17" s="469"/>
    </row>
    <row r="18" spans="1:15" s="374" customFormat="1" ht="30" customHeight="1">
      <c r="A18" s="373"/>
      <c r="B18" s="465">
        <v>7</v>
      </c>
      <c r="C18" s="466"/>
      <c r="D18" s="466"/>
      <c r="E18" s="467"/>
      <c r="F18" s="466"/>
      <c r="G18" s="466"/>
      <c r="H18" s="370">
        <f t="shared" si="0"/>
        <v>0</v>
      </c>
      <c r="I18" s="370">
        <f t="shared" si="1"/>
        <v>0</v>
      </c>
      <c r="J18" s="468">
        <v>0</v>
      </c>
      <c r="K18" s="371">
        <f t="shared" si="2"/>
        <v>0</v>
      </c>
      <c r="L18" s="371">
        <f t="shared" si="3"/>
        <v>0</v>
      </c>
      <c r="M18" s="371">
        <f t="shared" si="4"/>
        <v>0</v>
      </c>
      <c r="N18" s="468">
        <v>0</v>
      </c>
      <c r="O18" s="469"/>
    </row>
    <row r="19" spans="1:15" s="374" customFormat="1" ht="30" customHeight="1">
      <c r="A19" s="373"/>
      <c r="B19" s="465">
        <v>8</v>
      </c>
      <c r="C19" s="466"/>
      <c r="D19" s="466"/>
      <c r="E19" s="467"/>
      <c r="F19" s="466"/>
      <c r="G19" s="466"/>
      <c r="H19" s="370">
        <f t="shared" si="0"/>
        <v>0</v>
      </c>
      <c r="I19" s="370">
        <f t="shared" si="1"/>
        <v>0</v>
      </c>
      <c r="J19" s="468">
        <v>0</v>
      </c>
      <c r="K19" s="371">
        <f t="shared" si="2"/>
        <v>0</v>
      </c>
      <c r="L19" s="371">
        <f t="shared" si="3"/>
        <v>0</v>
      </c>
      <c r="M19" s="371">
        <f t="shared" si="4"/>
        <v>0</v>
      </c>
      <c r="N19" s="468">
        <v>0</v>
      </c>
      <c r="O19" s="469"/>
    </row>
    <row r="20" spans="1:15" s="374" customFormat="1" ht="30" customHeight="1">
      <c r="A20" s="373"/>
      <c r="B20" s="465">
        <v>9</v>
      </c>
      <c r="C20" s="466"/>
      <c r="D20" s="466"/>
      <c r="E20" s="467"/>
      <c r="F20" s="466"/>
      <c r="G20" s="466"/>
      <c r="H20" s="370">
        <f t="shared" si="0"/>
        <v>0</v>
      </c>
      <c r="I20" s="370">
        <f t="shared" si="1"/>
        <v>0</v>
      </c>
      <c r="J20" s="468">
        <v>0</v>
      </c>
      <c r="K20" s="371">
        <f t="shared" si="2"/>
        <v>0</v>
      </c>
      <c r="L20" s="371">
        <f t="shared" si="3"/>
        <v>0</v>
      </c>
      <c r="M20" s="371">
        <f t="shared" si="4"/>
        <v>0</v>
      </c>
      <c r="N20" s="468">
        <v>0</v>
      </c>
      <c r="O20" s="469"/>
    </row>
    <row r="21" spans="1:15" s="374" customFormat="1" ht="30" customHeight="1">
      <c r="A21" s="373"/>
      <c r="B21" s="465">
        <v>10</v>
      </c>
      <c r="C21" s="466"/>
      <c r="D21" s="466"/>
      <c r="E21" s="467"/>
      <c r="F21" s="466"/>
      <c r="G21" s="466"/>
      <c r="H21" s="370">
        <f t="shared" si="0"/>
        <v>0</v>
      </c>
      <c r="I21" s="370">
        <f t="shared" si="1"/>
        <v>0</v>
      </c>
      <c r="J21" s="468">
        <v>0</v>
      </c>
      <c r="K21" s="371">
        <f t="shared" si="2"/>
        <v>0</v>
      </c>
      <c r="L21" s="371">
        <f t="shared" si="3"/>
        <v>0</v>
      </c>
      <c r="M21" s="371">
        <f t="shared" si="4"/>
        <v>0</v>
      </c>
      <c r="N21" s="468">
        <v>0</v>
      </c>
      <c r="O21" s="469"/>
    </row>
    <row r="22" spans="1:15" s="374" customFormat="1" ht="30" customHeight="1">
      <c r="A22" s="373"/>
      <c r="B22" s="465">
        <v>11</v>
      </c>
      <c r="C22" s="466"/>
      <c r="D22" s="466"/>
      <c r="E22" s="467"/>
      <c r="F22" s="466"/>
      <c r="G22" s="466"/>
      <c r="H22" s="370">
        <f t="shared" si="0"/>
        <v>0</v>
      </c>
      <c r="I22" s="370">
        <f t="shared" ref="I22" si="5">J22*14%</f>
        <v>0</v>
      </c>
      <c r="J22" s="468">
        <v>0</v>
      </c>
      <c r="K22" s="371">
        <f t="shared" ref="K22" si="6">J22-N22</f>
        <v>0</v>
      </c>
      <c r="L22" s="371">
        <f t="shared" si="3"/>
        <v>0</v>
      </c>
      <c r="M22" s="371">
        <f t="shared" ref="M22" si="7">K22+L22</f>
        <v>0</v>
      </c>
      <c r="N22" s="468">
        <v>0</v>
      </c>
      <c r="O22" s="469"/>
    </row>
    <row r="23" spans="1:15" s="374" customFormat="1" ht="30" customHeight="1">
      <c r="A23" s="373"/>
      <c r="B23" s="465">
        <v>12</v>
      </c>
      <c r="C23" s="466"/>
      <c r="D23" s="466"/>
      <c r="E23" s="467"/>
      <c r="F23" s="466"/>
      <c r="G23" s="466"/>
      <c r="H23" s="370">
        <f t="shared" si="0"/>
        <v>0</v>
      </c>
      <c r="I23" s="370">
        <f t="shared" ref="I23" si="8">J23*14%</f>
        <v>0</v>
      </c>
      <c r="J23" s="468">
        <v>0</v>
      </c>
      <c r="K23" s="371">
        <f t="shared" ref="K23" si="9">J23-N23</f>
        <v>0</v>
      </c>
      <c r="L23" s="371">
        <f t="shared" si="3"/>
        <v>0</v>
      </c>
      <c r="M23" s="371">
        <f t="shared" ref="M23" si="10">K23+L23</f>
        <v>0</v>
      </c>
      <c r="N23" s="468">
        <v>0</v>
      </c>
      <c r="O23" s="469"/>
    </row>
    <row r="24" spans="1:15" s="374" customFormat="1" ht="30" customHeight="1">
      <c r="A24" s="373"/>
      <c r="B24" s="465">
        <v>13</v>
      </c>
      <c r="C24" s="466"/>
      <c r="D24" s="466"/>
      <c r="E24" s="467"/>
      <c r="F24" s="466"/>
      <c r="G24" s="466"/>
      <c r="H24" s="370">
        <f t="shared" si="0"/>
        <v>0</v>
      </c>
      <c r="I24" s="370">
        <f t="shared" ref="I24" si="11">J24*14%</f>
        <v>0</v>
      </c>
      <c r="J24" s="468">
        <v>0</v>
      </c>
      <c r="K24" s="371">
        <f t="shared" ref="K24" si="12">J24-N24</f>
        <v>0</v>
      </c>
      <c r="L24" s="371">
        <f t="shared" si="3"/>
        <v>0</v>
      </c>
      <c r="M24" s="371">
        <f t="shared" ref="M24" si="13">K24+L24</f>
        <v>0</v>
      </c>
      <c r="N24" s="468">
        <v>0</v>
      </c>
      <c r="O24" s="469"/>
    </row>
    <row r="25" spans="1:15" s="374" customFormat="1" ht="30" customHeight="1">
      <c r="A25" s="373"/>
      <c r="B25" s="465">
        <v>14</v>
      </c>
      <c r="C25" s="466"/>
      <c r="D25" s="466"/>
      <c r="E25" s="467"/>
      <c r="F25" s="466"/>
      <c r="G25" s="466"/>
      <c r="H25" s="370">
        <f t="shared" si="0"/>
        <v>0</v>
      </c>
      <c r="I25" s="370">
        <f t="shared" ref="I25" si="14">J25*14%</f>
        <v>0</v>
      </c>
      <c r="J25" s="468">
        <v>0</v>
      </c>
      <c r="K25" s="371">
        <f t="shared" ref="K25" si="15">J25-N25</f>
        <v>0</v>
      </c>
      <c r="L25" s="371">
        <f t="shared" si="3"/>
        <v>0</v>
      </c>
      <c r="M25" s="371">
        <f t="shared" ref="M25" si="16">K25+L25</f>
        <v>0</v>
      </c>
      <c r="N25" s="468">
        <v>0</v>
      </c>
      <c r="O25" s="469"/>
    </row>
    <row r="26" spans="1:15" s="374" customFormat="1" ht="30" customHeight="1">
      <c r="A26" s="373"/>
      <c r="B26" s="465">
        <v>15</v>
      </c>
      <c r="C26" s="466"/>
      <c r="D26" s="466"/>
      <c r="E26" s="467"/>
      <c r="F26" s="466"/>
      <c r="G26" s="466"/>
      <c r="H26" s="370">
        <f t="shared" si="0"/>
        <v>0</v>
      </c>
      <c r="I26" s="370">
        <f t="shared" ref="I26" si="17">J26*14%</f>
        <v>0</v>
      </c>
      <c r="J26" s="468">
        <v>0</v>
      </c>
      <c r="K26" s="371">
        <f t="shared" ref="K26" si="18">J26-N26</f>
        <v>0</v>
      </c>
      <c r="L26" s="371">
        <f t="shared" si="3"/>
        <v>0</v>
      </c>
      <c r="M26" s="371">
        <f t="shared" ref="M26" si="19">K26+L26</f>
        <v>0</v>
      </c>
      <c r="N26" s="468">
        <v>0</v>
      </c>
      <c r="O26" s="469"/>
    </row>
    <row r="27" spans="1:15" s="374" customFormat="1" ht="30" customHeight="1">
      <c r="A27" s="373"/>
      <c r="B27" s="465">
        <v>16</v>
      </c>
      <c r="C27" s="466"/>
      <c r="D27" s="466"/>
      <c r="E27" s="467"/>
      <c r="F27" s="466"/>
      <c r="G27" s="466"/>
      <c r="H27" s="370">
        <f t="shared" si="0"/>
        <v>0</v>
      </c>
      <c r="I27" s="370">
        <f t="shared" ref="I27" si="20">J27*14%</f>
        <v>0</v>
      </c>
      <c r="J27" s="468">
        <v>0</v>
      </c>
      <c r="K27" s="371">
        <f t="shared" ref="K27" si="21">J27-N27</f>
        <v>0</v>
      </c>
      <c r="L27" s="371">
        <f t="shared" si="3"/>
        <v>0</v>
      </c>
      <c r="M27" s="371">
        <f t="shared" ref="M27" si="22">K27+L27</f>
        <v>0</v>
      </c>
      <c r="N27" s="468">
        <v>0</v>
      </c>
      <c r="O27" s="469"/>
    </row>
    <row r="28" spans="1:15" s="374" customFormat="1" ht="30" customHeight="1">
      <c r="A28" s="373"/>
      <c r="B28" s="465">
        <v>17</v>
      </c>
      <c r="C28" s="466"/>
      <c r="D28" s="466"/>
      <c r="E28" s="467"/>
      <c r="F28" s="466"/>
      <c r="G28" s="466"/>
      <c r="H28" s="370">
        <f t="shared" si="0"/>
        <v>0</v>
      </c>
      <c r="I28" s="370">
        <f t="shared" ref="I28" si="23">J28*14%</f>
        <v>0</v>
      </c>
      <c r="J28" s="468">
        <v>0</v>
      </c>
      <c r="K28" s="371">
        <f t="shared" ref="K28" si="24">J28-N28</f>
        <v>0</v>
      </c>
      <c r="L28" s="371">
        <f t="shared" si="3"/>
        <v>0</v>
      </c>
      <c r="M28" s="371">
        <f t="shared" ref="M28" si="25">K28+L28</f>
        <v>0</v>
      </c>
      <c r="N28" s="468">
        <v>0</v>
      </c>
      <c r="O28" s="469"/>
    </row>
    <row r="29" spans="1:15" s="374" customFormat="1" ht="30" customHeight="1">
      <c r="A29" s="373"/>
      <c r="B29" s="465">
        <v>18</v>
      </c>
      <c r="C29" s="466"/>
      <c r="D29" s="466"/>
      <c r="E29" s="467"/>
      <c r="F29" s="466"/>
      <c r="G29" s="466"/>
      <c r="H29" s="370">
        <f t="shared" si="0"/>
        <v>0</v>
      </c>
      <c r="I29" s="370">
        <f t="shared" ref="I29" si="26">J29*14%</f>
        <v>0</v>
      </c>
      <c r="J29" s="468">
        <v>0</v>
      </c>
      <c r="K29" s="371">
        <f t="shared" ref="K29" si="27">J29-N29</f>
        <v>0</v>
      </c>
      <c r="L29" s="371">
        <f t="shared" si="3"/>
        <v>0</v>
      </c>
      <c r="M29" s="371">
        <f t="shared" ref="M29" si="28">K29+L29</f>
        <v>0</v>
      </c>
      <c r="N29" s="468">
        <v>0</v>
      </c>
      <c r="O29" s="469"/>
    </row>
    <row r="30" spans="1:15" s="374" customFormat="1" ht="30" customHeight="1">
      <c r="A30" s="373"/>
      <c r="B30" s="465">
        <v>19</v>
      </c>
      <c r="C30" s="466"/>
      <c r="D30" s="466"/>
      <c r="E30" s="467"/>
      <c r="F30" s="466"/>
      <c r="G30" s="466"/>
      <c r="H30" s="370">
        <f t="shared" si="0"/>
        <v>0</v>
      </c>
      <c r="I30" s="370">
        <f t="shared" ref="I30" si="29">J30*14%</f>
        <v>0</v>
      </c>
      <c r="J30" s="468">
        <v>0</v>
      </c>
      <c r="K30" s="371">
        <f t="shared" ref="K30" si="30">J30-N30</f>
        <v>0</v>
      </c>
      <c r="L30" s="371">
        <f t="shared" si="3"/>
        <v>0</v>
      </c>
      <c r="M30" s="371">
        <f t="shared" ref="M30" si="31">K30+L30</f>
        <v>0</v>
      </c>
      <c r="N30" s="468">
        <v>0</v>
      </c>
      <c r="O30" s="469"/>
    </row>
    <row r="31" spans="1:15" s="374" customFormat="1" ht="30" customHeight="1" thickBot="1">
      <c r="A31" s="373"/>
      <c r="B31" s="1145">
        <v>20</v>
      </c>
      <c r="C31" s="1146"/>
      <c r="D31" s="1146"/>
      <c r="E31" s="1147"/>
      <c r="F31" s="1146"/>
      <c r="G31" s="1146"/>
      <c r="H31" s="1148">
        <f t="shared" si="0"/>
        <v>0</v>
      </c>
      <c r="I31" s="1148">
        <f t="shared" ref="I31" si="32">J31*14%</f>
        <v>0</v>
      </c>
      <c r="J31" s="1149">
        <v>0</v>
      </c>
      <c r="K31" s="1150">
        <f t="shared" ref="K31" si="33">J31-N31</f>
        <v>0</v>
      </c>
      <c r="L31" s="1150">
        <f t="shared" si="3"/>
        <v>0</v>
      </c>
      <c r="M31" s="1150">
        <f t="shared" ref="M31" si="34">K31+L31</f>
        <v>0</v>
      </c>
      <c r="N31" s="1149">
        <v>0</v>
      </c>
      <c r="O31" s="1151"/>
    </row>
    <row r="32" spans="1:15" s="379" customFormat="1" ht="33" customHeight="1" thickBot="1">
      <c r="A32" s="375"/>
      <c r="B32" s="978" t="s">
        <v>539</v>
      </c>
      <c r="C32" s="979">
        <f>COUNTA(C31,C30,C29,C28,C27,C26,C25,C24,C23,C22,C21,C20,C19,C18,C17,C16,C15,C14,C13,C12)</f>
        <v>0</v>
      </c>
      <c r="D32" s="1258" t="s">
        <v>550</v>
      </c>
      <c r="E32" s="1259"/>
      <c r="F32" s="1259"/>
      <c r="G32" s="1260"/>
      <c r="H32" s="376">
        <f t="shared" ref="H32:N32" si="35">SUM(H9:H31)</f>
        <v>0</v>
      </c>
      <c r="I32" s="377">
        <f t="shared" si="35"/>
        <v>0</v>
      </c>
      <c r="J32" s="377">
        <f t="shared" si="35"/>
        <v>0</v>
      </c>
      <c r="K32" s="378">
        <f t="shared" si="35"/>
        <v>0</v>
      </c>
      <c r="L32" s="378">
        <f t="shared" si="35"/>
        <v>0</v>
      </c>
      <c r="M32" s="378">
        <f t="shared" si="35"/>
        <v>0</v>
      </c>
      <c r="N32" s="377">
        <f t="shared" si="35"/>
        <v>0</v>
      </c>
      <c r="O32" s="375"/>
    </row>
    <row r="33" spans="1:14" ht="14.25" customHeight="1">
      <c r="A33" s="380"/>
      <c r="B33" s="360"/>
      <c r="C33" s="360"/>
      <c r="D33" s="360"/>
      <c r="E33" s="381"/>
      <c r="F33" s="360"/>
      <c r="G33" s="382"/>
      <c r="H33" s="360"/>
      <c r="I33" s="360"/>
      <c r="J33" s="360"/>
      <c r="K33" s="383"/>
      <c r="L33" s="360"/>
      <c r="M33" s="360"/>
      <c r="N33" s="360"/>
    </row>
    <row r="34" spans="1:14" s="380" customFormat="1" ht="15.6" customHeight="1">
      <c r="E34" s="385"/>
    </row>
    <row r="35" spans="1:14" ht="15.6" customHeight="1">
      <c r="A35" s="380"/>
      <c r="B35" s="380"/>
      <c r="E35" s="385"/>
      <c r="F35" s="380"/>
      <c r="I35" s="380"/>
    </row>
    <row r="36" spans="1:14" s="380" customFormat="1" ht="15.3" thickBot="1">
      <c r="E36" s="385"/>
    </row>
    <row r="37" spans="1:14" s="387" customFormat="1">
      <c r="C37" s="1242"/>
      <c r="D37" s="1243"/>
      <c r="E37" s="388"/>
      <c r="G37" s="1242"/>
      <c r="H37" s="1243"/>
      <c r="J37" s="389"/>
      <c r="K37" s="390"/>
      <c r="L37" s="391"/>
      <c r="M37" s="380"/>
    </row>
    <row r="38" spans="1:14">
      <c r="C38" s="1244"/>
      <c r="D38" s="1245"/>
      <c r="E38" s="392"/>
      <c r="G38" s="1244"/>
      <c r="H38" s="1245"/>
      <c r="J38" s="393"/>
      <c r="K38" s="380"/>
      <c r="L38" s="394"/>
      <c r="M38" s="380"/>
    </row>
    <row r="39" spans="1:14" ht="15.3" thickBot="1">
      <c r="C39" s="1246"/>
      <c r="D39" s="1247"/>
      <c r="E39" s="392"/>
      <c r="G39" s="1246"/>
      <c r="H39" s="1247"/>
      <c r="J39" s="395"/>
      <c r="K39" s="396"/>
      <c r="L39" s="397"/>
      <c r="M39" s="380"/>
    </row>
    <row r="40" spans="1:14">
      <c r="C40" s="398" t="s">
        <v>29</v>
      </c>
      <c r="E40" s="392"/>
      <c r="G40" s="398" t="s">
        <v>551</v>
      </c>
      <c r="H40" s="387"/>
      <c r="J40" s="387" t="s">
        <v>31</v>
      </c>
      <c r="K40" s="399"/>
      <c r="L40" s="387"/>
      <c r="M40" s="387"/>
    </row>
    <row r="41" spans="1:14">
      <c r="E41" s="392"/>
    </row>
    <row r="42" spans="1:14">
      <c r="E42" s="392"/>
    </row>
    <row r="43" spans="1:14">
      <c r="E43" s="392"/>
    </row>
    <row r="44" spans="1:14">
      <c r="E44" s="392"/>
    </row>
    <row r="45" spans="1:14">
      <c r="E45" s="392"/>
    </row>
    <row r="46" spans="1:14">
      <c r="E46" s="392"/>
    </row>
    <row r="47" spans="1:14">
      <c r="E47" s="392"/>
    </row>
    <row r="48" spans="1:14">
      <c r="E48" s="392"/>
    </row>
    <row r="49" spans="5:5">
      <c r="E49" s="392"/>
    </row>
    <row r="50" spans="5:5">
      <c r="E50" s="392"/>
    </row>
    <row r="51" spans="5:5">
      <c r="E51" s="392"/>
    </row>
    <row r="52" spans="5:5">
      <c r="E52" s="392"/>
    </row>
    <row r="53" spans="5:5">
      <c r="E53" s="392"/>
    </row>
    <row r="54" spans="5:5">
      <c r="E54" s="392"/>
    </row>
    <row r="55" spans="5:5">
      <c r="E55" s="392"/>
    </row>
    <row r="56" spans="5:5">
      <c r="E56" s="392"/>
    </row>
    <row r="57" spans="5:5">
      <c r="E57" s="392"/>
    </row>
    <row r="58" spans="5:5">
      <c r="E58" s="392"/>
    </row>
    <row r="59" spans="5:5">
      <c r="E59" s="392"/>
    </row>
    <row r="60" spans="5:5">
      <c r="E60" s="392"/>
    </row>
    <row r="61" spans="5:5">
      <c r="E61" s="392"/>
    </row>
    <row r="62" spans="5:5">
      <c r="E62" s="392"/>
    </row>
    <row r="63" spans="5:5">
      <c r="E63" s="392"/>
    </row>
    <row r="64" spans="5:5">
      <c r="E64" s="392"/>
    </row>
    <row r="65" spans="5:5">
      <c r="E65" s="392"/>
    </row>
    <row r="66" spans="5:5">
      <c r="E66" s="392"/>
    </row>
    <row r="67" spans="5:5">
      <c r="E67" s="392"/>
    </row>
    <row r="68" spans="5:5">
      <c r="E68" s="392"/>
    </row>
    <row r="69" spans="5:5">
      <c r="E69" s="392"/>
    </row>
    <row r="70" spans="5:5">
      <c r="E70" s="392"/>
    </row>
    <row r="71" spans="5:5">
      <c r="E71" s="392"/>
    </row>
    <row r="72" spans="5:5">
      <c r="E72" s="392"/>
    </row>
    <row r="73" spans="5:5">
      <c r="E73" s="392"/>
    </row>
    <row r="74" spans="5:5">
      <c r="E74" s="392"/>
    </row>
    <row r="75" spans="5:5">
      <c r="E75" s="392"/>
    </row>
    <row r="76" spans="5:5">
      <c r="E76" s="392"/>
    </row>
    <row r="77" spans="5:5">
      <c r="E77" s="392"/>
    </row>
    <row r="78" spans="5:5">
      <c r="E78" s="392"/>
    </row>
    <row r="79" spans="5:5">
      <c r="E79" s="392"/>
    </row>
    <row r="80" spans="5:5">
      <c r="E80" s="392"/>
    </row>
    <row r="81" spans="5:5">
      <c r="E81" s="392"/>
    </row>
    <row r="82" spans="5:5">
      <c r="E82" s="392"/>
    </row>
    <row r="83" spans="5:5">
      <c r="E83" s="392"/>
    </row>
    <row r="84" spans="5:5">
      <c r="E84" s="392"/>
    </row>
    <row r="85" spans="5:5">
      <c r="E85" s="392"/>
    </row>
    <row r="86" spans="5:5">
      <c r="E86" s="392"/>
    </row>
    <row r="87" spans="5:5">
      <c r="E87" s="392"/>
    </row>
    <row r="88" spans="5:5">
      <c r="E88" s="392"/>
    </row>
    <row r="89" spans="5:5">
      <c r="E89" s="392"/>
    </row>
    <row r="90" spans="5:5">
      <c r="E90" s="392"/>
    </row>
    <row r="91" spans="5:5">
      <c r="E91" s="392"/>
    </row>
    <row r="92" spans="5:5">
      <c r="E92" s="392"/>
    </row>
    <row r="93" spans="5:5">
      <c r="E93" s="392"/>
    </row>
    <row r="94" spans="5:5">
      <c r="E94" s="392"/>
    </row>
    <row r="95" spans="5:5">
      <c r="E95" s="392"/>
    </row>
    <row r="96" spans="5:5">
      <c r="E96" s="392"/>
    </row>
    <row r="97" spans="5:5">
      <c r="E97" s="392"/>
    </row>
    <row r="98" spans="5:5">
      <c r="E98" s="392"/>
    </row>
    <row r="99" spans="5:5">
      <c r="E99" s="392"/>
    </row>
    <row r="100" spans="5:5">
      <c r="E100" s="392"/>
    </row>
    <row r="101" spans="5:5">
      <c r="E101" s="392"/>
    </row>
    <row r="102" spans="5:5">
      <c r="E102" s="392"/>
    </row>
    <row r="103" spans="5:5">
      <c r="E103" s="392"/>
    </row>
    <row r="104" spans="5:5">
      <c r="E104" s="392"/>
    </row>
    <row r="105" spans="5:5">
      <c r="E105" s="392"/>
    </row>
    <row r="106" spans="5:5">
      <c r="E106" s="392"/>
    </row>
    <row r="107" spans="5:5">
      <c r="E107" s="392"/>
    </row>
    <row r="108" spans="5:5">
      <c r="E108" s="392"/>
    </row>
    <row r="109" spans="5:5">
      <c r="E109" s="392"/>
    </row>
    <row r="110" spans="5:5">
      <c r="E110" s="392"/>
    </row>
    <row r="111" spans="5:5">
      <c r="E111" s="392"/>
    </row>
    <row r="112" spans="5:5">
      <c r="E112" s="392"/>
    </row>
    <row r="113" spans="5:5">
      <c r="E113" s="392"/>
    </row>
    <row r="114" spans="5:5">
      <c r="E114" s="392"/>
    </row>
    <row r="115" spans="5:5">
      <c r="E115" s="392"/>
    </row>
    <row r="116" spans="5:5">
      <c r="E116" s="392"/>
    </row>
    <row r="117" spans="5:5">
      <c r="E117" s="392"/>
    </row>
    <row r="118" spans="5:5">
      <c r="E118" s="392"/>
    </row>
    <row r="119" spans="5:5">
      <c r="E119" s="392"/>
    </row>
    <row r="120" spans="5:5">
      <c r="E120" s="392"/>
    </row>
    <row r="121" spans="5:5">
      <c r="E121" s="392"/>
    </row>
    <row r="122" spans="5:5">
      <c r="E122" s="392"/>
    </row>
    <row r="123" spans="5:5">
      <c r="E123" s="392"/>
    </row>
    <row r="124" spans="5:5">
      <c r="E124" s="392"/>
    </row>
    <row r="125" spans="5:5">
      <c r="E125" s="392"/>
    </row>
    <row r="126" spans="5:5">
      <c r="E126" s="392"/>
    </row>
    <row r="127" spans="5:5">
      <c r="E127" s="392"/>
    </row>
    <row r="128" spans="5:5">
      <c r="E128" s="392"/>
    </row>
    <row r="129" spans="5:5">
      <c r="E129" s="392"/>
    </row>
    <row r="130" spans="5:5">
      <c r="E130" s="392"/>
    </row>
    <row r="131" spans="5:5">
      <c r="E131" s="392"/>
    </row>
    <row r="132" spans="5:5">
      <c r="E132" s="392"/>
    </row>
    <row r="133" spans="5:5">
      <c r="E133" s="392"/>
    </row>
    <row r="134" spans="5:5">
      <c r="E134" s="392"/>
    </row>
    <row r="135" spans="5:5">
      <c r="E135" s="392"/>
    </row>
    <row r="136" spans="5:5">
      <c r="E136" s="392"/>
    </row>
    <row r="137" spans="5:5">
      <c r="E137" s="392"/>
    </row>
    <row r="138" spans="5:5">
      <c r="E138" s="392"/>
    </row>
    <row r="139" spans="5:5">
      <c r="E139" s="392"/>
    </row>
    <row r="140" spans="5:5">
      <c r="E140" s="392"/>
    </row>
    <row r="141" spans="5:5">
      <c r="E141" s="392"/>
    </row>
    <row r="142" spans="5:5">
      <c r="E142" s="392"/>
    </row>
    <row r="143" spans="5:5">
      <c r="E143" s="392"/>
    </row>
    <row r="144" spans="5:5">
      <c r="E144" s="392"/>
    </row>
    <row r="145" spans="5:5">
      <c r="E145" s="392"/>
    </row>
    <row r="146" spans="5:5">
      <c r="E146" s="392"/>
    </row>
    <row r="147" spans="5:5">
      <c r="E147" s="392"/>
    </row>
    <row r="148" spans="5:5">
      <c r="E148" s="392"/>
    </row>
    <row r="149" spans="5:5">
      <c r="E149" s="392"/>
    </row>
    <row r="150" spans="5:5">
      <c r="E150" s="392"/>
    </row>
    <row r="151" spans="5:5">
      <c r="E151" s="392"/>
    </row>
    <row r="152" spans="5:5">
      <c r="E152" s="392"/>
    </row>
    <row r="153" spans="5:5">
      <c r="E153" s="392"/>
    </row>
    <row r="154" spans="5:5">
      <c r="E154" s="392"/>
    </row>
    <row r="155" spans="5:5">
      <c r="E155" s="392"/>
    </row>
    <row r="156" spans="5:5">
      <c r="E156" s="392"/>
    </row>
    <row r="157" spans="5:5">
      <c r="E157" s="392"/>
    </row>
    <row r="158" spans="5:5">
      <c r="E158" s="392"/>
    </row>
    <row r="159" spans="5:5">
      <c r="E159" s="392"/>
    </row>
    <row r="160" spans="5:5">
      <c r="E160" s="392"/>
    </row>
    <row r="161" spans="5:5">
      <c r="E161" s="392"/>
    </row>
    <row r="162" spans="5:5">
      <c r="E162" s="392"/>
    </row>
    <row r="163" spans="5:5">
      <c r="E163" s="392"/>
    </row>
    <row r="164" spans="5:5">
      <c r="E164" s="392"/>
    </row>
    <row r="165" spans="5:5">
      <c r="E165" s="392"/>
    </row>
    <row r="166" spans="5:5">
      <c r="E166" s="392"/>
    </row>
    <row r="167" spans="5:5">
      <c r="E167" s="392"/>
    </row>
    <row r="168" spans="5:5">
      <c r="E168" s="392"/>
    </row>
    <row r="169" spans="5:5">
      <c r="E169" s="392"/>
    </row>
    <row r="170" spans="5:5">
      <c r="E170" s="392"/>
    </row>
    <row r="171" spans="5:5">
      <c r="E171" s="392"/>
    </row>
    <row r="172" spans="5:5">
      <c r="E172" s="392"/>
    </row>
    <row r="173" spans="5:5">
      <c r="E173" s="392"/>
    </row>
    <row r="174" spans="5:5">
      <c r="E174" s="392"/>
    </row>
    <row r="175" spans="5:5">
      <c r="E175" s="392"/>
    </row>
    <row r="176" spans="5:5">
      <c r="E176" s="392"/>
    </row>
    <row r="177" spans="5:5">
      <c r="E177" s="392"/>
    </row>
    <row r="178" spans="5:5">
      <c r="E178" s="392"/>
    </row>
    <row r="179" spans="5:5">
      <c r="E179" s="392"/>
    </row>
    <row r="180" spans="5:5">
      <c r="E180" s="392"/>
    </row>
    <row r="181" spans="5:5">
      <c r="E181" s="392"/>
    </row>
    <row r="182" spans="5:5">
      <c r="E182" s="392"/>
    </row>
    <row r="183" spans="5:5">
      <c r="E183" s="392"/>
    </row>
    <row r="184" spans="5:5">
      <c r="E184" s="392"/>
    </row>
    <row r="185" spans="5:5">
      <c r="E185" s="392"/>
    </row>
    <row r="186" spans="5:5">
      <c r="E186" s="392"/>
    </row>
    <row r="187" spans="5:5">
      <c r="E187" s="392"/>
    </row>
    <row r="188" spans="5:5">
      <c r="E188" s="392"/>
    </row>
    <row r="189" spans="5:5">
      <c r="E189" s="392"/>
    </row>
    <row r="190" spans="5:5">
      <c r="E190" s="392"/>
    </row>
    <row r="191" spans="5:5">
      <c r="E191" s="392"/>
    </row>
    <row r="192" spans="5:5">
      <c r="E192" s="392"/>
    </row>
    <row r="193" spans="5:5">
      <c r="E193" s="392"/>
    </row>
    <row r="194" spans="5:5">
      <c r="E194" s="392"/>
    </row>
    <row r="195" spans="5:5">
      <c r="E195" s="392"/>
    </row>
    <row r="196" spans="5:5">
      <c r="E196" s="392"/>
    </row>
    <row r="197" spans="5:5">
      <c r="E197" s="392"/>
    </row>
    <row r="198" spans="5:5">
      <c r="E198" s="392"/>
    </row>
    <row r="199" spans="5:5">
      <c r="E199" s="392"/>
    </row>
    <row r="200" spans="5:5">
      <c r="E200" s="392"/>
    </row>
    <row r="201" spans="5:5">
      <c r="E201" s="392"/>
    </row>
    <row r="202" spans="5:5">
      <c r="E202" s="392"/>
    </row>
    <row r="203" spans="5:5">
      <c r="E203" s="392"/>
    </row>
    <row r="204" spans="5:5">
      <c r="E204" s="392"/>
    </row>
    <row r="205" spans="5:5">
      <c r="E205" s="392"/>
    </row>
    <row r="206" spans="5:5">
      <c r="E206" s="392"/>
    </row>
    <row r="207" spans="5:5">
      <c r="E207" s="392"/>
    </row>
    <row r="208" spans="5:5">
      <c r="E208" s="392"/>
    </row>
    <row r="209" spans="5:5">
      <c r="E209" s="392"/>
    </row>
    <row r="210" spans="5:5">
      <c r="E210" s="392"/>
    </row>
    <row r="211" spans="5:5">
      <c r="E211" s="392"/>
    </row>
    <row r="212" spans="5:5">
      <c r="E212" s="392"/>
    </row>
    <row r="213" spans="5:5">
      <c r="E213" s="392"/>
    </row>
    <row r="214" spans="5:5">
      <c r="E214" s="392"/>
    </row>
    <row r="215" spans="5:5">
      <c r="E215" s="392"/>
    </row>
    <row r="216" spans="5:5">
      <c r="E216" s="392"/>
    </row>
    <row r="217" spans="5:5">
      <c r="E217" s="392"/>
    </row>
    <row r="218" spans="5:5">
      <c r="E218" s="392"/>
    </row>
    <row r="219" spans="5:5">
      <c r="E219" s="392"/>
    </row>
    <row r="220" spans="5:5">
      <c r="E220" s="392"/>
    </row>
    <row r="221" spans="5:5">
      <c r="E221" s="392"/>
    </row>
    <row r="222" spans="5:5">
      <c r="E222" s="392"/>
    </row>
    <row r="223" spans="5:5">
      <c r="E223" s="392"/>
    </row>
  </sheetData>
  <sheetProtection algorithmName="SHA-512" hashValue="NovY3ZZaJychg3tQ2mXTtaLNGeUKg6sMiR7v6tmy9r26YPyJeQGevoL5lg978j/mXDsvC21qxMO8a89yz8oJ2Q==" saltValue="hU310jFawGGrNInfquuR8w==" spinCount="100000" sheet="1" objects="1" scenarios="1"/>
  <mergeCells count="7">
    <mergeCell ref="C37:D39"/>
    <mergeCell ref="G37:H39"/>
    <mergeCell ref="D4:G4"/>
    <mergeCell ref="I4:O4"/>
    <mergeCell ref="B5:N5"/>
    <mergeCell ref="D6:O6"/>
    <mergeCell ref="D32:G32"/>
  </mergeCells>
  <conditionalFormatting sqref="G13">
    <cfRule type="duplicateValues" dxfId="17" priority="7"/>
  </conditionalFormatting>
  <conditionalFormatting sqref="F13">
    <cfRule type="duplicateValues" dxfId="16" priority="6"/>
  </conditionalFormatting>
  <conditionalFormatting sqref="G13">
    <cfRule type="duplicateValues" dxfId="15" priority="5"/>
  </conditionalFormatting>
  <conditionalFormatting sqref="F13:G13">
    <cfRule type="duplicateValues" dxfId="14" priority="3"/>
    <cfRule type="duplicateValues" dxfId="13" priority="4"/>
  </conditionalFormatting>
  <conditionalFormatting sqref="F14:G31 F12:G12">
    <cfRule type="duplicateValues" dxfId="12" priority="327"/>
    <cfRule type="duplicateValues" dxfId="11" priority="328"/>
  </conditionalFormatting>
  <conditionalFormatting sqref="G14:G31">
    <cfRule type="duplicateValues" dxfId="10" priority="335"/>
  </conditionalFormatting>
  <conditionalFormatting sqref="F14:F31">
    <cfRule type="duplicateValues" dxfId="9" priority="336"/>
  </conditionalFormatting>
  <conditionalFormatting sqref="G12">
    <cfRule type="duplicateValues" dxfId="8" priority="337"/>
  </conditionalFormatting>
  <conditionalFormatting sqref="F12">
    <cfRule type="duplicateValues" dxfId="7" priority="338"/>
  </conditionalFormatting>
  <conditionalFormatting sqref="G12:G31">
    <cfRule type="duplicateValues" dxfId="6" priority="342"/>
  </conditionalFormatting>
  <conditionalFormatting sqref="F12:F31">
    <cfRule type="duplicateValues" dxfId="5" priority="344"/>
  </conditionalFormatting>
  <dataValidations count="1">
    <dataValidation type="list" allowBlank="1" showInputMessage="1" showErrorMessage="1" sqref="D6:O6" xr:uid="{00000000-0002-0000-0200-000000000000}">
      <formula1>$AG$2:$AG$3</formula1>
    </dataValidation>
  </dataValidations>
  <printOptions horizontalCentered="1" verticalCentered="1"/>
  <pageMargins left="0" right="0" top="0" bottom="0.35" header="0" footer="0.25"/>
  <pageSetup paperSize="9" scale="46" orientation="landscape" r:id="rId1"/>
  <headerFooter alignWithMargins="0">
    <oddFooter>&amp;L&amp;BMAN Truck and Bus Confidential&amp;B&amp;C&amp;D&amp;RPage &amp;P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theme="7" tint="0.79998168889431442"/>
    <pageSetUpPr fitToPage="1"/>
  </sheetPr>
  <dimension ref="A1:EM63"/>
  <sheetViews>
    <sheetView zoomScale="75" zoomScaleNormal="75" workbookViewId="0">
      <selection activeCell="BT16" sqref="BT16:BX46"/>
    </sheetView>
  </sheetViews>
  <sheetFormatPr defaultColWidth="9.15625" defaultRowHeight="12.3"/>
  <cols>
    <col min="1" max="1" width="13" style="136" customWidth="1"/>
    <col min="2" max="2" width="23.68359375" style="129" customWidth="1"/>
    <col min="3" max="3" width="12.15625" style="28" customWidth="1"/>
    <col min="4" max="4" width="12.26171875" style="28" customWidth="1"/>
    <col min="5" max="5" width="10.68359375" style="28" customWidth="1"/>
    <col min="6" max="6" width="13.15625" style="28" customWidth="1"/>
    <col min="7" max="7" width="12.41796875" style="28" customWidth="1"/>
    <col min="8" max="10" width="9.41796875" style="28" customWidth="1"/>
    <col min="11" max="11" width="52.68359375" style="334" customWidth="1"/>
    <col min="12" max="14" width="9.15625" style="1031" customWidth="1"/>
    <col min="15" max="15" width="15" style="1031" hidden="1" customWidth="1"/>
    <col min="16" max="16" width="21.15625" style="1031" hidden="1" customWidth="1"/>
    <col min="17" max="18" width="9.15625" style="1031" hidden="1" customWidth="1"/>
    <col min="19" max="48" width="9.15625" style="1031" customWidth="1"/>
    <col min="49" max="49" width="9.15625" style="1031"/>
    <col min="50" max="50" width="10.41796875" style="1031" bestFit="1" customWidth="1"/>
    <col min="51" max="51" width="10.15625" style="1031" bestFit="1" customWidth="1"/>
    <col min="52" max="52" width="10.26171875" style="1031" bestFit="1" customWidth="1"/>
    <col min="53" max="53" width="9.15625" style="1031"/>
    <col min="54" max="56" width="9.26171875" style="1031" bestFit="1" customWidth="1"/>
    <col min="57" max="67" width="9.15625" style="1031"/>
    <col min="68" max="68" width="10.83984375" style="1031" customWidth="1"/>
    <col min="69" max="69" width="9.15625" style="1031"/>
    <col min="70" max="70" width="10.41796875" style="1031" bestFit="1" customWidth="1"/>
    <col min="71" max="71" width="10.26171875" style="1031" bestFit="1" customWidth="1"/>
    <col min="72" max="72" width="13.15625" style="1031" customWidth="1"/>
    <col min="73" max="73" width="18.41796875" style="1031" customWidth="1"/>
    <col min="74" max="74" width="12.83984375" style="1031" bestFit="1" customWidth="1"/>
    <col min="75" max="75" width="9.68359375" style="1031" bestFit="1" customWidth="1"/>
    <col min="76" max="76" width="10" style="1031" bestFit="1" customWidth="1"/>
    <col min="77" max="77" width="9.15625" style="1031"/>
    <col min="78" max="78" width="16.26171875" style="1032" customWidth="1"/>
    <col min="79" max="79" width="17.83984375" style="1031" customWidth="1"/>
    <col min="80" max="115" width="9.15625" style="1031"/>
    <col min="116" max="137" width="9.15625" style="1099"/>
    <col min="138" max="143" width="9.15625" style="1100"/>
    <col min="144" max="16384" width="9.15625" style="28"/>
  </cols>
  <sheetData>
    <row r="1" spans="1:143" ht="36.75" customHeight="1" thickBot="1">
      <c r="A1" s="1273" t="s">
        <v>416</v>
      </c>
      <c r="B1" s="1274"/>
      <c r="C1" s="1274"/>
      <c r="D1" s="1274"/>
      <c r="E1" s="1274"/>
      <c r="F1" s="1274"/>
      <c r="G1" s="1274"/>
      <c r="H1" s="1274"/>
      <c r="I1" s="1274"/>
      <c r="J1" s="1274"/>
      <c r="K1" s="1275"/>
    </row>
    <row r="2" spans="1:143" s="147" customFormat="1" ht="15" customHeight="1" thickBot="1">
      <c r="A2" s="146"/>
      <c r="B2" s="146"/>
      <c r="C2" s="146"/>
      <c r="D2" s="146"/>
      <c r="E2" s="146"/>
      <c r="F2" s="146"/>
      <c r="G2" s="146"/>
      <c r="H2" s="146"/>
      <c r="I2" s="146"/>
      <c r="J2" s="146"/>
      <c r="K2" s="335"/>
      <c r="L2" s="1033"/>
      <c r="M2" s="1033"/>
      <c r="N2" s="1033"/>
      <c r="O2" s="1033"/>
      <c r="P2" s="1033"/>
      <c r="Q2" s="1033"/>
      <c r="R2" s="1033"/>
      <c r="S2" s="1033"/>
      <c r="T2" s="1033"/>
      <c r="U2" s="1033"/>
      <c r="V2" s="1033"/>
      <c r="W2" s="1033"/>
      <c r="X2" s="1033"/>
      <c r="Y2" s="1033"/>
      <c r="Z2" s="1033"/>
      <c r="AA2" s="1033"/>
      <c r="AB2" s="1033"/>
      <c r="AC2" s="1033"/>
      <c r="AD2" s="1033"/>
      <c r="AE2" s="1033"/>
      <c r="AF2" s="1033"/>
      <c r="AG2" s="1033"/>
      <c r="AH2" s="1033"/>
      <c r="AI2" s="1033"/>
      <c r="AJ2" s="1033"/>
      <c r="AK2" s="1033"/>
      <c r="AL2" s="1033"/>
      <c r="AM2" s="1033"/>
      <c r="AN2" s="1033"/>
      <c r="AO2" s="1033"/>
      <c r="AP2" s="1033"/>
      <c r="AQ2" s="1033"/>
      <c r="AR2" s="1033"/>
      <c r="AS2" s="1033"/>
      <c r="AT2" s="1033"/>
      <c r="AU2" s="1033"/>
      <c r="AV2" s="1033"/>
      <c r="AW2" s="1033"/>
      <c r="AX2" s="1033"/>
      <c r="AY2" s="1033"/>
      <c r="AZ2" s="1033"/>
      <c r="BA2" s="1033"/>
      <c r="BB2" s="1033"/>
      <c r="BC2" s="1033"/>
      <c r="BD2" s="1033"/>
      <c r="BE2" s="1033"/>
      <c r="BF2" s="1033"/>
      <c r="BG2" s="1033"/>
      <c r="BH2" s="1033"/>
      <c r="BI2" s="1033"/>
      <c r="BJ2" s="1033"/>
      <c r="BK2" s="1033"/>
      <c r="BL2" s="1033"/>
      <c r="BM2" s="1033"/>
      <c r="BN2" s="1033"/>
      <c r="BO2" s="1033"/>
      <c r="BP2" s="1033"/>
      <c r="BQ2" s="1033"/>
      <c r="BR2" s="1033"/>
      <c r="BS2" s="1033"/>
      <c r="BT2" s="1033"/>
      <c r="BU2" s="1033"/>
      <c r="BV2" s="1033"/>
      <c r="BW2" s="1033"/>
      <c r="BX2" s="1033"/>
      <c r="BY2" s="1033"/>
      <c r="BZ2" s="1034"/>
      <c r="CA2" s="1033"/>
      <c r="CB2" s="1033"/>
      <c r="CC2" s="1033"/>
      <c r="CD2" s="1033"/>
      <c r="CE2" s="1033"/>
      <c r="CF2" s="1033"/>
      <c r="CG2" s="1033"/>
      <c r="CH2" s="1033"/>
      <c r="CI2" s="1033"/>
      <c r="CJ2" s="1033"/>
      <c r="CK2" s="1033"/>
      <c r="CL2" s="1033"/>
      <c r="CM2" s="1033"/>
      <c r="CN2" s="1033"/>
      <c r="CO2" s="1033"/>
      <c r="CP2" s="1033"/>
      <c r="CQ2" s="1033"/>
      <c r="CR2" s="1033"/>
      <c r="CS2" s="1033"/>
      <c r="CT2" s="1033"/>
      <c r="CU2" s="1033"/>
      <c r="CV2" s="1033"/>
      <c r="CW2" s="1033"/>
      <c r="CX2" s="1033"/>
      <c r="CY2" s="1033"/>
      <c r="CZ2" s="1033"/>
      <c r="DA2" s="1033"/>
      <c r="DB2" s="1033"/>
      <c r="DC2" s="1033"/>
      <c r="DD2" s="1033"/>
      <c r="DE2" s="1033"/>
      <c r="DF2" s="1033"/>
      <c r="DG2" s="1033"/>
      <c r="DH2" s="1033"/>
      <c r="DI2" s="1033"/>
      <c r="DJ2" s="1033"/>
      <c r="DK2" s="1033"/>
      <c r="DL2" s="1101"/>
      <c r="DM2" s="1101"/>
      <c r="DN2" s="1101"/>
      <c r="DO2" s="1101"/>
      <c r="DP2" s="1101"/>
      <c r="DQ2" s="1101"/>
      <c r="DR2" s="1101"/>
      <c r="DS2" s="1101"/>
      <c r="DT2" s="1101"/>
      <c r="DU2" s="1101"/>
      <c r="DV2" s="1101"/>
      <c r="DW2" s="1101"/>
      <c r="DX2" s="1101"/>
      <c r="DY2" s="1101"/>
      <c r="DZ2" s="1101"/>
      <c r="EA2" s="1101"/>
      <c r="EB2" s="1101"/>
      <c r="EC2" s="1101"/>
      <c r="ED2" s="1101"/>
      <c r="EE2" s="1101"/>
      <c r="EF2" s="1101"/>
      <c r="EG2" s="1101"/>
      <c r="EH2" s="1102"/>
      <c r="EI2" s="1102"/>
      <c r="EJ2" s="1102"/>
      <c r="EK2" s="1102"/>
      <c r="EL2" s="1102"/>
      <c r="EM2" s="1102"/>
    </row>
    <row r="3" spans="1:143" s="137" customFormat="1" ht="16.5" customHeight="1">
      <c r="A3" s="151"/>
      <c r="B3" s="152"/>
      <c r="C3" s="152"/>
      <c r="D3" s="152"/>
      <c r="E3" s="152"/>
      <c r="F3" s="152"/>
      <c r="G3" s="148"/>
      <c r="H3" s="148"/>
      <c r="I3" s="148"/>
      <c r="J3" s="148"/>
      <c r="K3" s="149"/>
      <c r="L3" s="1031"/>
      <c r="M3" s="1031"/>
      <c r="N3" s="1031"/>
      <c r="O3" s="1031"/>
      <c r="P3" s="1031"/>
      <c r="Q3" s="1031"/>
      <c r="R3" s="1031"/>
      <c r="S3" s="1031"/>
      <c r="T3" s="1031"/>
      <c r="U3" s="1031"/>
      <c r="V3" s="1031"/>
      <c r="W3" s="1031"/>
      <c r="X3" s="1031"/>
      <c r="Y3" s="1031"/>
      <c r="Z3" s="1031"/>
      <c r="AA3" s="1031"/>
      <c r="AB3" s="1031"/>
      <c r="AC3" s="1031"/>
      <c r="AD3" s="1031"/>
      <c r="AE3" s="1031"/>
      <c r="AF3" s="1031"/>
      <c r="AG3" s="1031"/>
      <c r="AH3" s="1031"/>
      <c r="AI3" s="1031"/>
      <c r="AJ3" s="1031"/>
      <c r="AK3" s="1031"/>
      <c r="AL3" s="1031"/>
      <c r="AM3" s="1031"/>
      <c r="AN3" s="1031"/>
      <c r="AO3" s="1031"/>
      <c r="AP3" s="1031"/>
      <c r="AQ3" s="1031"/>
      <c r="AR3" s="1031"/>
      <c r="AS3" s="1031"/>
      <c r="AT3" s="1031"/>
      <c r="AU3" s="1031"/>
      <c r="AV3" s="1031"/>
      <c r="AW3" s="1031"/>
      <c r="AX3" s="1031"/>
      <c r="AY3" s="1031"/>
      <c r="AZ3" s="1031"/>
      <c r="BA3" s="1031"/>
      <c r="BB3" s="1031"/>
      <c r="BC3" s="1031"/>
      <c r="BD3" s="1031"/>
      <c r="BE3" s="1031"/>
      <c r="BF3" s="1031"/>
      <c r="BG3" s="1031"/>
      <c r="BH3" s="1031"/>
      <c r="BI3" s="1031"/>
      <c r="BJ3" s="1031"/>
      <c r="BK3" s="1031"/>
      <c r="BL3" s="1031"/>
      <c r="BM3" s="1031"/>
      <c r="BN3" s="1031"/>
      <c r="BO3" s="1031"/>
      <c r="BP3" s="1031"/>
      <c r="BQ3" s="1031"/>
      <c r="BR3" s="1031"/>
      <c r="BS3" s="1031"/>
      <c r="BT3" s="1031"/>
      <c r="BU3" s="1031"/>
      <c r="BV3" s="1031"/>
      <c r="BW3" s="1031"/>
      <c r="BX3" s="1031"/>
      <c r="BY3" s="1031"/>
      <c r="BZ3" s="1032"/>
      <c r="CA3" s="1031"/>
      <c r="CB3" s="1031"/>
      <c r="CC3" s="1031"/>
      <c r="CD3" s="1031"/>
      <c r="CE3" s="1031"/>
      <c r="CF3" s="1031"/>
      <c r="CG3" s="1031"/>
      <c r="CH3" s="1031"/>
      <c r="CI3" s="1031"/>
      <c r="CJ3" s="1031"/>
      <c r="CK3" s="1031"/>
      <c r="CL3" s="1031"/>
      <c r="CM3" s="1031"/>
      <c r="CN3" s="1031"/>
      <c r="CO3" s="1031"/>
      <c r="CP3" s="1031"/>
      <c r="CQ3" s="1031"/>
      <c r="CR3" s="1031"/>
      <c r="CS3" s="1031"/>
      <c r="CT3" s="1031"/>
      <c r="CU3" s="1031"/>
      <c r="CV3" s="1031"/>
      <c r="CW3" s="1031"/>
      <c r="CX3" s="1031"/>
      <c r="CY3" s="1031"/>
      <c r="CZ3" s="1031"/>
      <c r="DA3" s="1031"/>
      <c r="DB3" s="1031"/>
      <c r="DC3" s="1031"/>
      <c r="DD3" s="1031"/>
      <c r="DE3" s="1031"/>
      <c r="DF3" s="1031"/>
      <c r="DG3" s="1031"/>
      <c r="DH3" s="1031"/>
      <c r="DI3" s="1031"/>
      <c r="DJ3" s="1031"/>
      <c r="DK3" s="1031"/>
      <c r="DL3" s="1099"/>
      <c r="DM3" s="1099"/>
      <c r="DN3" s="1099"/>
      <c r="DO3" s="1099"/>
      <c r="DP3" s="1099"/>
      <c r="DQ3" s="1099"/>
      <c r="DR3" s="1099"/>
      <c r="DS3" s="1099"/>
      <c r="DT3" s="1099"/>
      <c r="DU3" s="1099"/>
      <c r="DV3" s="1099"/>
      <c r="DW3" s="1099"/>
      <c r="DX3" s="1099"/>
      <c r="DY3" s="1099"/>
      <c r="DZ3" s="1099"/>
      <c r="EA3" s="1099"/>
      <c r="EB3" s="1099"/>
      <c r="EC3" s="1099"/>
      <c r="ED3" s="1099"/>
      <c r="EE3" s="1099"/>
      <c r="EF3" s="1099"/>
      <c r="EG3" s="1099"/>
      <c r="EH3" s="1100"/>
      <c r="EI3" s="1100"/>
      <c r="EJ3" s="1100"/>
      <c r="EK3" s="1100"/>
      <c r="EL3" s="1100"/>
      <c r="EM3" s="1100"/>
    </row>
    <row r="4" spans="1:143" s="137" customFormat="1" ht="16.5" customHeight="1">
      <c r="A4" s="157"/>
      <c r="B4" s="154"/>
      <c r="C4" s="158"/>
      <c r="D4" s="338"/>
      <c r="E4" s="338"/>
      <c r="F4" s="338"/>
      <c r="G4" s="155"/>
      <c r="H4" s="140"/>
      <c r="I4" s="140"/>
      <c r="J4" s="140"/>
      <c r="K4" s="141"/>
      <c r="L4" s="1031"/>
      <c r="M4" s="1031"/>
      <c r="N4" s="1031"/>
      <c r="O4" s="1031"/>
      <c r="P4" s="1031"/>
      <c r="Q4" s="1031"/>
      <c r="R4" s="1031"/>
      <c r="S4" s="1031"/>
      <c r="T4" s="1031"/>
      <c r="U4" s="1031"/>
      <c r="V4" s="1031"/>
      <c r="W4" s="1031"/>
      <c r="X4" s="1031"/>
      <c r="Y4" s="1031"/>
      <c r="Z4" s="1031"/>
      <c r="AA4" s="1031"/>
      <c r="AB4" s="1031"/>
      <c r="AC4" s="1031"/>
      <c r="AD4" s="1031"/>
      <c r="AE4" s="1031"/>
      <c r="AF4" s="1031"/>
      <c r="AG4" s="1031"/>
      <c r="AH4" s="1031"/>
      <c r="AI4" s="1031"/>
      <c r="AJ4" s="1031"/>
      <c r="AK4" s="1031"/>
      <c r="AL4" s="1031"/>
      <c r="AM4" s="1031"/>
      <c r="AN4" s="1031"/>
      <c r="AO4" s="1031"/>
      <c r="AP4" s="1031"/>
      <c r="AQ4" s="1031"/>
      <c r="AR4" s="1031"/>
      <c r="AS4" s="1031"/>
      <c r="AT4" s="1031"/>
      <c r="AU4" s="1031"/>
      <c r="AV4" s="1031"/>
      <c r="AW4" s="1031"/>
      <c r="AX4" s="1031"/>
      <c r="AY4" s="1031"/>
      <c r="AZ4" s="1031"/>
      <c r="BA4" s="1031"/>
      <c r="BB4" s="1031"/>
      <c r="BC4" s="1031"/>
      <c r="BD4" s="1031"/>
      <c r="BE4" s="1031"/>
      <c r="BF4" s="1031"/>
      <c r="BG4" s="1031"/>
      <c r="BH4" s="1031"/>
      <c r="BI4" s="1031"/>
      <c r="BJ4" s="1031"/>
      <c r="BK4" s="1031"/>
      <c r="BL4" s="1031"/>
      <c r="BM4" s="1031"/>
      <c r="BN4" s="1031"/>
      <c r="BO4" s="1031"/>
      <c r="BP4" s="1031"/>
      <c r="BQ4" s="1031"/>
      <c r="BR4" s="1031"/>
      <c r="BS4" s="1031"/>
      <c r="BT4" s="1031"/>
      <c r="BU4" s="1031"/>
      <c r="BV4" s="1031"/>
      <c r="BW4" s="1031"/>
      <c r="BX4" s="1031"/>
      <c r="BY4" s="1031"/>
      <c r="BZ4" s="1032"/>
      <c r="CA4" s="1031"/>
      <c r="CB4" s="1031"/>
      <c r="CC4" s="1031"/>
      <c r="CD4" s="1031"/>
      <c r="CE4" s="1031"/>
      <c r="CF4" s="1031"/>
      <c r="CG4" s="1031"/>
      <c r="CH4" s="1031"/>
      <c r="CI4" s="1031"/>
      <c r="CJ4" s="1031"/>
      <c r="CK4" s="1031"/>
      <c r="CL4" s="1031"/>
      <c r="CM4" s="1031"/>
      <c r="CN4" s="1031"/>
      <c r="CO4" s="1031"/>
      <c r="CP4" s="1031"/>
      <c r="CQ4" s="1031"/>
      <c r="CR4" s="1031"/>
      <c r="CS4" s="1031"/>
      <c r="CT4" s="1031"/>
      <c r="CU4" s="1031"/>
      <c r="CV4" s="1031"/>
      <c r="CW4" s="1031"/>
      <c r="CX4" s="1031"/>
      <c r="CY4" s="1031"/>
      <c r="CZ4" s="1031"/>
      <c r="DA4" s="1031"/>
      <c r="DB4" s="1031"/>
      <c r="DC4" s="1031"/>
      <c r="DD4" s="1031"/>
      <c r="DE4" s="1031"/>
      <c r="DF4" s="1031"/>
      <c r="DG4" s="1031"/>
      <c r="DH4" s="1031"/>
      <c r="DI4" s="1031"/>
      <c r="DJ4" s="1031"/>
      <c r="DK4" s="1031"/>
      <c r="DL4" s="1099"/>
      <c r="DM4" s="1099"/>
      <c r="DN4" s="1099"/>
      <c r="DO4" s="1099"/>
      <c r="DP4" s="1099"/>
      <c r="DQ4" s="1099"/>
      <c r="DR4" s="1099"/>
      <c r="DS4" s="1099"/>
      <c r="DT4" s="1099"/>
      <c r="DU4" s="1099"/>
      <c r="DV4" s="1099"/>
      <c r="DW4" s="1099"/>
      <c r="DX4" s="1099"/>
      <c r="DY4" s="1099"/>
      <c r="DZ4" s="1099"/>
      <c r="EA4" s="1099"/>
      <c r="EB4" s="1099"/>
      <c r="EC4" s="1099"/>
      <c r="ED4" s="1099"/>
      <c r="EE4" s="1099"/>
      <c r="EF4" s="1099"/>
      <c r="EG4" s="1099"/>
      <c r="EH4" s="1100"/>
      <c r="EI4" s="1100"/>
      <c r="EJ4" s="1100"/>
      <c r="EK4" s="1100"/>
      <c r="EL4" s="1100"/>
      <c r="EM4" s="1100"/>
    </row>
    <row r="5" spans="1:143" ht="22.35" customHeight="1">
      <c r="A5" s="153"/>
      <c r="B5" s="140"/>
      <c r="C5" s="727" t="s">
        <v>417</v>
      </c>
      <c r="D5" s="156"/>
      <c r="E5" s="1276">
        <f>'Data Sheet'!D7</f>
        <v>43136</v>
      </c>
      <c r="F5" s="1276"/>
      <c r="G5" s="1277"/>
      <c r="H5" s="140"/>
      <c r="I5" s="140"/>
      <c r="J5" s="140"/>
      <c r="K5" s="141"/>
    </row>
    <row r="6" spans="1:143" ht="22.35" customHeight="1">
      <c r="A6" s="153"/>
      <c r="B6" s="140"/>
      <c r="C6" s="727" t="s">
        <v>313</v>
      </c>
      <c r="D6" s="156"/>
      <c r="E6" s="1276" t="str">
        <f>'Deal Sheet'!C5</f>
        <v>MAN Bloemfontein</v>
      </c>
      <c r="F6" s="1276"/>
      <c r="G6" s="1277"/>
      <c r="H6" s="140"/>
      <c r="I6" s="140"/>
      <c r="J6" s="140"/>
      <c r="K6" s="141"/>
    </row>
    <row r="7" spans="1:143" ht="22.35" customHeight="1">
      <c r="A7" s="153"/>
      <c r="B7" s="140"/>
      <c r="C7" s="727" t="s">
        <v>214</v>
      </c>
      <c r="D7" s="156"/>
      <c r="E7" s="1278" t="str">
        <f>'Deal Sheet'!C4</f>
        <v>HARM VAN HEERDEN</v>
      </c>
      <c r="F7" s="1278"/>
      <c r="G7" s="1279"/>
      <c r="H7" s="140"/>
      <c r="I7" s="140"/>
      <c r="J7" s="140"/>
      <c r="K7" s="141"/>
    </row>
    <row r="8" spans="1:143" ht="22.35" customHeight="1">
      <c r="A8" s="153"/>
      <c r="B8" s="140"/>
      <c r="C8" s="727" t="s">
        <v>407</v>
      </c>
      <c r="D8" s="156"/>
      <c r="E8" s="1261" t="str">
        <f>'Deal Sheet'!C3</f>
        <v>ABCD Transport</v>
      </c>
      <c r="F8" s="1261"/>
      <c r="G8" s="1262"/>
      <c r="H8" s="140"/>
      <c r="I8" s="140"/>
      <c r="J8" s="140"/>
      <c r="K8" s="141"/>
    </row>
    <row r="9" spans="1:143" ht="15" customHeight="1">
      <c r="A9" s="138"/>
      <c r="B9" s="79"/>
      <c r="C9" s="339"/>
      <c r="D9" s="340"/>
      <c r="E9" s="1263"/>
      <c r="F9" s="1263"/>
      <c r="G9" s="1264"/>
      <c r="H9" s="140"/>
      <c r="I9" s="140"/>
      <c r="J9" s="140"/>
      <c r="K9" s="141"/>
      <c r="P9" s="1035"/>
    </row>
    <row r="10" spans="1:143" ht="18.75" customHeight="1">
      <c r="A10" s="138"/>
      <c r="B10" s="79"/>
      <c r="C10" s="729"/>
      <c r="D10" s="729"/>
      <c r="E10" s="729"/>
      <c r="F10" s="729"/>
      <c r="G10" s="729"/>
      <c r="I10" s="140"/>
      <c r="J10" s="140"/>
      <c r="K10" s="141"/>
      <c r="P10" s="1035"/>
    </row>
    <row r="11" spans="1:143" ht="19.8">
      <c r="A11" s="138"/>
      <c r="B11" s="1305" t="s">
        <v>1144</v>
      </c>
      <c r="C11" s="1305"/>
      <c r="D11" s="1305"/>
      <c r="E11" s="1305"/>
      <c r="F11" s="1305"/>
      <c r="G11" s="753"/>
      <c r="H11" s="728"/>
      <c r="I11" s="140"/>
      <c r="J11" s="140"/>
      <c r="K11" s="141"/>
      <c r="N11" s="1036"/>
    </row>
    <row r="12" spans="1:143" ht="24" customHeight="1" thickBot="1">
      <c r="A12" s="139"/>
      <c r="B12" s="142"/>
      <c r="C12" s="143"/>
      <c r="D12" s="143"/>
      <c r="E12" s="143"/>
      <c r="F12" s="143"/>
      <c r="G12" s="143"/>
      <c r="H12" s="143"/>
      <c r="I12" s="143"/>
      <c r="J12" s="143"/>
      <c r="K12" s="144"/>
      <c r="O12" s="1037"/>
    </row>
    <row r="13" spans="1:143" ht="15" customHeight="1" thickBot="1">
      <c r="A13" s="145"/>
      <c r="B13" s="145"/>
      <c r="C13" s="145"/>
      <c r="D13" s="145"/>
      <c r="E13" s="145"/>
      <c r="F13" s="145"/>
      <c r="G13" s="145"/>
      <c r="H13" s="145"/>
      <c r="I13" s="145"/>
      <c r="J13" s="145"/>
    </row>
    <row r="14" spans="1:143" ht="32.25" customHeight="1">
      <c r="A14" s="1291" t="s">
        <v>419</v>
      </c>
      <c r="B14" s="1293" t="s">
        <v>0</v>
      </c>
      <c r="C14" s="1294"/>
      <c r="D14" s="1295"/>
      <c r="E14" s="1299" t="s">
        <v>415</v>
      </c>
      <c r="F14" s="1300"/>
      <c r="G14" s="1301"/>
      <c r="H14" s="1293" t="s">
        <v>418</v>
      </c>
      <c r="I14" s="1294"/>
      <c r="J14" s="1294"/>
      <c r="K14" s="1265" t="s">
        <v>663</v>
      </c>
      <c r="O14" s="1035"/>
    </row>
    <row r="15" spans="1:143" ht="32.25" customHeight="1" thickBot="1">
      <c r="A15" s="1292"/>
      <c r="B15" s="1296"/>
      <c r="C15" s="1297"/>
      <c r="D15" s="1298"/>
      <c r="E15" s="1302"/>
      <c r="F15" s="1303"/>
      <c r="G15" s="1304"/>
      <c r="H15" s="1296"/>
      <c r="I15" s="1297"/>
      <c r="J15" s="1297"/>
      <c r="K15" s="1266"/>
      <c r="P15" s="1031" t="s">
        <v>946</v>
      </c>
      <c r="AV15" s="1031" t="s">
        <v>947</v>
      </c>
      <c r="AX15" s="1031" t="s">
        <v>948</v>
      </c>
      <c r="AY15" s="1031" t="s">
        <v>948</v>
      </c>
      <c r="BA15" s="1031" t="s">
        <v>949</v>
      </c>
      <c r="BC15" s="1038"/>
    </row>
    <row r="16" spans="1:143" ht="28" customHeight="1">
      <c r="A16" s="150">
        <f>'Deal Sheet'!Q9</f>
        <v>1</v>
      </c>
      <c r="B16" s="1306" t="str">
        <f>IF(A16&lt;&gt;"",BT17,"")</f>
        <v>TBATG0X1</v>
      </c>
      <c r="C16" s="1306"/>
      <c r="D16" s="1306"/>
      <c r="E16" s="1306" t="str">
        <f>BU17</f>
        <v>2018-06-3</v>
      </c>
      <c r="F16" s="1306"/>
      <c r="G16" s="1306"/>
      <c r="H16" s="1284">
        <v>43101</v>
      </c>
      <c r="I16" s="1285"/>
      <c r="J16" s="1286"/>
      <c r="K16" s="344" t="str">
        <f ca="1">IF(E16="","",IF(AND(AW16="",E16&gt;=180,S16&gt;31),"Longstayers should be invoiced within 31 Days",IF(AND(AV16&gt;BA16,AW16&lt;&gt;""),"Check Offline Date",IF(AND(AW16&lt;&gt;"",AV16=BA16),"Confirm possibility with Distribution",IF(AND(OR(BC16&lt;0,BC16&gt;4),OR(R16&lt;0,R16&gt;61),AW16&lt;&gt;""),"Delivery should be within 2 months from Offline Date",IF(AND(AW16="",BD16=1,BH16&lt;&gt;1,S16&gt;61),"Delivery should be within 2 months for CBUunits",""))))))</f>
        <v>Check Offline Date</v>
      </c>
      <c r="O16" s="1031" t="str">
        <f>YEAR(E16)&amp;"-"&amp;IF(MONTH(E16)&lt;10,0&amp;MONTH(E16),MONTH(E16))&amp;"-"&amp;DAY(E16)</f>
        <v>2018-06-3</v>
      </c>
      <c r="P16" s="1039">
        <f ca="1">TODAY()</f>
        <v>43222</v>
      </c>
      <c r="Q16" s="1037">
        <f ca="1">H16+DAY($P$16)-1</f>
        <v>43102</v>
      </c>
      <c r="R16" s="1040">
        <f ca="1">Q16-E16</f>
        <v>-152</v>
      </c>
      <c r="S16" s="1031">
        <f ca="1">Q16-$P$16</f>
        <v>-120</v>
      </c>
      <c r="AV16" s="1031" t="str">
        <f>IF(AW16="","",YEAR(E16)&amp;"-"&amp;IF(MONTH(E16)&lt;10,0&amp;MONTH(E16),MONTH(E16))&amp;"-"&amp;DAY(E16))</f>
        <v>2018-06-3</v>
      </c>
      <c r="AW16" s="1041" t="str">
        <f>T(E16)</f>
        <v>2018-06-3</v>
      </c>
      <c r="AX16" s="1041">
        <f>IFERROR(AW16+61,"")</f>
        <v>43315</v>
      </c>
      <c r="AY16" s="1041" t="str">
        <f>IFERROR(YEAR(AX16)&amp;"-"&amp;IF(MONTH(AX16)&lt;10,0&amp;MONTH(AX16),MONTH(AX16))&amp;"-"&amp;DAY(AX16),"")</f>
        <v>2018-08-3</v>
      </c>
      <c r="AZ16" s="1041">
        <f>IF(AY16="","",H16+DAY(E16)-1)</f>
        <v>43103</v>
      </c>
      <c r="BA16" s="1031" t="str">
        <f>IFERROR(YEAR(AZ16)&amp;"-"&amp;IF(MONTH(AZ16)&lt;10,0&amp;MONTH(AZ16),MONTH(AZ16))&amp;"-"&amp;DAY(AZ16),"")</f>
        <v>2018-01-3</v>
      </c>
      <c r="BB16" s="1040">
        <f>IF(BA16&lt;AY16,1,0)</f>
        <v>1</v>
      </c>
      <c r="BC16" s="1042">
        <f>IFERROR(BA16-AY16,"")</f>
        <v>-212</v>
      </c>
      <c r="BD16" s="1038">
        <f>IF(E16&lt;180,1,0)</f>
        <v>0</v>
      </c>
      <c r="BR16" s="1043"/>
      <c r="BT16" s="1038" t="s">
        <v>291</v>
      </c>
      <c r="BU16" s="1038" t="s">
        <v>994</v>
      </c>
      <c r="BV16" s="1038" t="s">
        <v>995</v>
      </c>
      <c r="BW16" s="1038" t="s">
        <v>996</v>
      </c>
      <c r="BX16" s="1038" t="s">
        <v>997</v>
      </c>
      <c r="BY16" s="1038"/>
    </row>
    <row r="17" spans="1:143" s="130" customFormat="1" ht="28" customHeight="1">
      <c r="A17" s="200" t="str">
        <f>'Deal Sheet'!Q10</f>
        <v/>
      </c>
      <c r="B17" s="1287" t="str">
        <f t="shared" ref="B17:B45" si="0">IF(A17&lt;&gt;"",BT18,"")</f>
        <v/>
      </c>
      <c r="C17" s="1288"/>
      <c r="D17" s="1289"/>
      <c r="E17" s="1290" t="str">
        <f t="shared" ref="E17:E45" si="1">BU18</f>
        <v/>
      </c>
      <c r="F17" s="1290"/>
      <c r="G17" s="1290"/>
      <c r="H17" s="1284"/>
      <c r="I17" s="1285"/>
      <c r="J17" s="1286"/>
      <c r="K17" s="345" t="str">
        <f t="shared" ref="K17:K45" si="2">IF(E17="","",IF(AND(AW17="",E17&gt;=180,S17&gt;31),"Longstayers should be invoiced within 31 Days",IF(AND(AV17&gt;BA17,AW17&lt;&gt;""),"Check Offline Date",IF(AND(AW17&lt;&gt;"",AV17=BA17),"Confirm possibility with Distribution",IF(AND(OR(BC17&lt;0,BC17&gt;4),OR(R17&lt;0,R17&gt;61),AW17&lt;&gt;""),"Delivery should be within 2 months from Offline Date",IF(AND(AW17="",BD17=1,BH17&lt;&gt;1,S17&gt;61),"Delivery should be within 2 months for CBUunits",""))))))</f>
        <v/>
      </c>
      <c r="L17" s="1044"/>
      <c r="M17" s="1044"/>
      <c r="N17" s="1044"/>
      <c r="O17" s="1031" t="e">
        <f t="shared" ref="O17:O45" si="3">YEAR(E17)&amp;"-"&amp;IF(MONTH(E17)&lt;10,0&amp;MONTH(E17),MONTH(E17))&amp;"-"&amp;DAY(E17)</f>
        <v>#VALUE!</v>
      </c>
      <c r="P17" s="1044"/>
      <c r="Q17" s="1037">
        <f t="shared" ref="Q17:Q45" ca="1" si="4">H17+DAY($P$16)-1</f>
        <v>1</v>
      </c>
      <c r="R17" s="1040" t="e">
        <f t="shared" ref="R17:R45" ca="1" si="5">Q17-E17</f>
        <v>#VALUE!</v>
      </c>
      <c r="S17" s="1031">
        <f t="shared" ref="S17:S45" ca="1" si="6">Q17-$P$16</f>
        <v>-43221</v>
      </c>
      <c r="T17" s="1044"/>
      <c r="U17" s="1044"/>
      <c r="V17" s="1044"/>
      <c r="W17" s="1044"/>
      <c r="X17" s="1044"/>
      <c r="Y17" s="1044"/>
      <c r="Z17" s="1044"/>
      <c r="AA17" s="1044"/>
      <c r="AB17" s="1044"/>
      <c r="AC17" s="1044"/>
      <c r="AD17" s="1044"/>
      <c r="AE17" s="1044"/>
      <c r="AF17" s="1044"/>
      <c r="AG17" s="1044"/>
      <c r="AH17" s="1044"/>
      <c r="AI17" s="1044"/>
      <c r="AJ17" s="1044"/>
      <c r="AK17" s="1044"/>
      <c r="AL17" s="1044"/>
      <c r="AM17" s="1044"/>
      <c r="AN17" s="1044"/>
      <c r="AO17" s="1044"/>
      <c r="AP17" s="1044"/>
      <c r="AQ17" s="1044"/>
      <c r="AR17" s="1044"/>
      <c r="AS17" s="1044"/>
      <c r="AT17" s="1044"/>
      <c r="AU17" s="1044"/>
      <c r="AV17" s="1031" t="str">
        <f t="shared" ref="AV17:AV45" si="7">IF(AW17="","",YEAR(E17)&amp;"-"&amp;IF(MONTH(E17)&lt;10,0&amp;MONTH(E17),MONTH(E17))&amp;"-"&amp;DAY(E17))</f>
        <v/>
      </c>
      <c r="AW17" s="1041" t="str">
        <f t="shared" ref="AW17:AW45" si="8">T(E17)</f>
        <v/>
      </c>
      <c r="AX17" s="1041" t="str">
        <f t="shared" ref="AX17:AX45" si="9">IFERROR(AW17+61,"")</f>
        <v/>
      </c>
      <c r="AY17" s="1041" t="str">
        <f t="shared" ref="AY17:AY45" si="10">IFERROR(YEAR(AX17)&amp;"-"&amp;IF(MONTH(AX17)&lt;10,0&amp;MONTH(AX17),MONTH(AX17))&amp;"-"&amp;DAY(AX17),"")</f>
        <v/>
      </c>
      <c r="AZ17" s="1041" t="str">
        <f t="shared" ref="AZ17:AZ45" si="11">IF(AY17="","",H17+DAY(E17)-1)</f>
        <v/>
      </c>
      <c r="BA17" s="1031" t="str">
        <f t="shared" ref="BA17:BA45" si="12">IFERROR(YEAR(AZ17)&amp;"-"&amp;IF(MONTH(AZ17)&lt;10,0&amp;MONTH(AZ17),MONTH(AZ17))&amp;"-"&amp;DAY(AZ17),"")</f>
        <v/>
      </c>
      <c r="BB17" s="1040">
        <f t="shared" ref="BB17:BB45" si="13">IF(BA17&lt;AY17,1,0)</f>
        <v>0</v>
      </c>
      <c r="BC17" s="1042" t="str">
        <f t="shared" ref="BC17:BC45" si="14">IFERROR(BA17-AY17,"")</f>
        <v/>
      </c>
      <c r="BD17" s="1038">
        <f t="shared" ref="BD17:BD45" si="15">IF(E17&lt;180,1,0)</f>
        <v>0</v>
      </c>
      <c r="BE17" s="1044"/>
      <c r="BF17" s="1044"/>
      <c r="BG17" s="1044"/>
      <c r="BH17" s="1044"/>
      <c r="BI17" s="1044"/>
      <c r="BJ17" s="1044"/>
      <c r="BK17" s="1044"/>
      <c r="BL17" s="1044"/>
      <c r="BM17" s="1044"/>
      <c r="BN17" s="1044"/>
      <c r="BO17" s="1044"/>
      <c r="BP17" s="1044"/>
      <c r="BQ17" s="1044"/>
      <c r="BR17" s="1045">
        <v>42979</v>
      </c>
      <c r="BS17" s="1046" t="str">
        <f>A16&amp;H16</f>
        <v>143101</v>
      </c>
      <c r="BT17" s="1038" t="s">
        <v>1213</v>
      </c>
      <c r="BU17" s="1038" t="s">
        <v>1285</v>
      </c>
      <c r="BV17" s="1047">
        <v>0</v>
      </c>
      <c r="BW17" s="1048" t="s">
        <v>1286</v>
      </c>
      <c r="BX17" s="1047" t="s">
        <v>200</v>
      </c>
      <c r="BY17" s="1047"/>
      <c r="BZ17" s="1047" t="str">
        <f>'Deal Sheet'!C9</f>
        <v>TBATG0X1</v>
      </c>
      <c r="CA17" s="1049" t="str">
        <f>IFERROR(VLOOKUP(BZ17,'Deal Sheet'!$C$9:$G$43,5,FALSE),"")</f>
        <v>2018-06-18</v>
      </c>
      <c r="CB17" s="1044">
        <f>IF(CA17&lt;1000,1,0)</f>
        <v>0</v>
      </c>
      <c r="CC17" s="1044" t="str">
        <f>IF(CB17=0,RIGHT((LEFT(CA17,4)),2)&amp;MID(CA17,6,2),CA17)</f>
        <v>1806</v>
      </c>
      <c r="CD17" s="1044"/>
      <c r="CE17" s="1044"/>
      <c r="CF17" s="1044"/>
      <c r="CG17" s="1044"/>
      <c r="CH17" s="1047" t="s">
        <v>52</v>
      </c>
      <c r="CI17" s="1044"/>
      <c r="CJ17" s="1044"/>
      <c r="CK17" s="1044"/>
      <c r="CL17" s="1044"/>
      <c r="CM17" s="1044"/>
      <c r="CN17" s="1044"/>
      <c r="CO17" s="1044"/>
      <c r="CP17" s="1044"/>
      <c r="CQ17" s="1044"/>
      <c r="CR17" s="1044"/>
      <c r="CS17" s="1044"/>
      <c r="CT17" s="1044"/>
      <c r="CU17" s="1044"/>
      <c r="CV17" s="1044"/>
      <c r="CW17" s="1044"/>
      <c r="CX17" s="1044"/>
      <c r="CY17" s="1044"/>
      <c r="CZ17" s="1044"/>
      <c r="DA17" s="1044"/>
      <c r="DB17" s="1044"/>
      <c r="DC17" s="1044"/>
      <c r="DD17" s="1044"/>
      <c r="DE17" s="1044"/>
      <c r="DF17" s="1044"/>
      <c r="DG17" s="1044"/>
      <c r="DH17" s="1044"/>
      <c r="DI17" s="1044"/>
      <c r="DJ17" s="1044"/>
      <c r="DK17" s="1044"/>
      <c r="DL17" s="1103"/>
      <c r="DM17" s="1103"/>
      <c r="DN17" s="1103"/>
      <c r="DO17" s="1103"/>
      <c r="DP17" s="1103"/>
      <c r="DQ17" s="1103"/>
      <c r="DR17" s="1103"/>
      <c r="DS17" s="1103"/>
      <c r="DT17" s="1103"/>
      <c r="DU17" s="1103"/>
      <c r="DV17" s="1103"/>
      <c r="DW17" s="1103"/>
      <c r="DX17" s="1103"/>
      <c r="DY17" s="1103"/>
      <c r="DZ17" s="1103"/>
      <c r="EA17" s="1103"/>
      <c r="EB17" s="1103"/>
      <c r="EC17" s="1103"/>
      <c r="ED17" s="1103"/>
      <c r="EE17" s="1103"/>
      <c r="EF17" s="1103"/>
      <c r="EG17" s="1103"/>
      <c r="EH17" s="1104"/>
      <c r="EI17" s="1104"/>
      <c r="EJ17" s="1104"/>
      <c r="EK17" s="1104"/>
      <c r="EL17" s="1104"/>
      <c r="EM17" s="1104"/>
    </row>
    <row r="18" spans="1:143" s="131" customFormat="1" ht="28" customHeight="1">
      <c r="A18" s="200" t="str">
        <f>'Deal Sheet'!Q11</f>
        <v/>
      </c>
      <c r="B18" s="1287" t="str">
        <f t="shared" si="0"/>
        <v/>
      </c>
      <c r="C18" s="1288"/>
      <c r="D18" s="1289"/>
      <c r="E18" s="1290" t="str">
        <f t="shared" si="1"/>
        <v/>
      </c>
      <c r="F18" s="1290"/>
      <c r="G18" s="1290"/>
      <c r="H18" s="1284"/>
      <c r="I18" s="1285"/>
      <c r="J18" s="1286"/>
      <c r="K18" s="345" t="str">
        <f t="shared" si="2"/>
        <v/>
      </c>
      <c r="L18" s="1047"/>
      <c r="M18" s="1047"/>
      <c r="N18" s="1047"/>
      <c r="O18" s="1031" t="e">
        <f t="shared" si="3"/>
        <v>#VALUE!</v>
      </c>
      <c r="P18" s="1047"/>
      <c r="Q18" s="1037">
        <f t="shared" ca="1" si="4"/>
        <v>1</v>
      </c>
      <c r="R18" s="1040" t="e">
        <f t="shared" ca="1" si="5"/>
        <v>#VALUE!</v>
      </c>
      <c r="S18" s="1031">
        <f t="shared" ca="1" si="6"/>
        <v>-43221</v>
      </c>
      <c r="T18" s="1047"/>
      <c r="U18" s="1047"/>
      <c r="V18" s="1047"/>
      <c r="W18" s="1047"/>
      <c r="X18" s="1047"/>
      <c r="Y18" s="1047"/>
      <c r="Z18" s="1047"/>
      <c r="AA18" s="1047"/>
      <c r="AB18" s="1047"/>
      <c r="AC18" s="1047"/>
      <c r="AD18" s="1047"/>
      <c r="AE18" s="1047"/>
      <c r="AF18" s="1047"/>
      <c r="AG18" s="1047"/>
      <c r="AH18" s="1047"/>
      <c r="AI18" s="1047"/>
      <c r="AJ18" s="1047"/>
      <c r="AK18" s="1047"/>
      <c r="AL18" s="1047"/>
      <c r="AM18" s="1047"/>
      <c r="AN18" s="1047"/>
      <c r="AO18" s="1047"/>
      <c r="AP18" s="1047"/>
      <c r="AQ18" s="1047"/>
      <c r="AR18" s="1047"/>
      <c r="AS18" s="1047"/>
      <c r="AT18" s="1047"/>
      <c r="AU18" s="1047"/>
      <c r="AV18" s="1031" t="str">
        <f t="shared" si="7"/>
        <v/>
      </c>
      <c r="AW18" s="1041" t="str">
        <f t="shared" si="8"/>
        <v/>
      </c>
      <c r="AX18" s="1041" t="str">
        <f t="shared" si="9"/>
        <v/>
      </c>
      <c r="AY18" s="1041" t="str">
        <f t="shared" si="10"/>
        <v/>
      </c>
      <c r="AZ18" s="1041" t="str">
        <f t="shared" si="11"/>
        <v/>
      </c>
      <c r="BA18" s="1031" t="str">
        <f t="shared" si="12"/>
        <v/>
      </c>
      <c r="BB18" s="1040">
        <f t="shared" si="13"/>
        <v>0</v>
      </c>
      <c r="BC18" s="1042" t="str">
        <f t="shared" si="14"/>
        <v/>
      </c>
      <c r="BD18" s="1038">
        <f t="shared" si="15"/>
        <v>0</v>
      </c>
      <c r="BE18" s="1047"/>
      <c r="BF18" s="1047"/>
      <c r="BG18" s="1047"/>
      <c r="BH18" s="1047"/>
      <c r="BI18" s="1047"/>
      <c r="BJ18" s="1047"/>
      <c r="BK18" s="1047"/>
      <c r="BL18" s="1047"/>
      <c r="BM18" s="1047"/>
      <c r="BN18" s="1047"/>
      <c r="BO18" s="1047"/>
      <c r="BP18" s="1044"/>
      <c r="BQ18" s="1047"/>
      <c r="BR18" s="1045">
        <v>43009</v>
      </c>
      <c r="BS18" s="1046" t="str">
        <f t="shared" ref="BS18:BS46" si="16">A17&amp;H17</f>
        <v/>
      </c>
      <c r="BT18" s="1038">
        <v>0</v>
      </c>
      <c r="BU18" s="1038" t="s">
        <v>200</v>
      </c>
      <c r="BV18" s="1047">
        <v>0</v>
      </c>
      <c r="BW18" s="1048" t="s">
        <v>200</v>
      </c>
      <c r="BX18" s="1047" t="s">
        <v>200</v>
      </c>
      <c r="BY18" s="1047"/>
      <c r="BZ18" s="1047">
        <f>'Deal Sheet'!C10</f>
        <v>0</v>
      </c>
      <c r="CA18" s="1049" t="str">
        <f>IFERROR(VLOOKUP(BZ18,'Deal Sheet'!$C$9:$G$43,5,FALSE),"")</f>
        <v/>
      </c>
      <c r="CB18" s="1044">
        <f t="shared" ref="CB18:CB46" si="17">IF(CA18&lt;1000,1,0)</f>
        <v>0</v>
      </c>
      <c r="CC18" s="1044" t="str">
        <f t="shared" ref="CC18:CC46" si="18">IF(CB18=0,RIGHT((LEFT(CA18,4)),2)&amp;MID(CA18,6,2),CA18)</f>
        <v/>
      </c>
      <c r="CD18" s="1047"/>
      <c r="CE18" s="1047"/>
      <c r="CF18" s="1047"/>
      <c r="CG18" s="1047"/>
      <c r="CH18" s="1047" t="s">
        <v>51</v>
      </c>
      <c r="CI18" s="1047"/>
      <c r="CJ18" s="1047"/>
      <c r="CK18" s="1047"/>
      <c r="CL18" s="1047"/>
      <c r="CM18" s="1047"/>
      <c r="CN18" s="1047"/>
      <c r="CO18" s="1047"/>
      <c r="CP18" s="1047"/>
      <c r="CQ18" s="1047"/>
      <c r="CR18" s="1047"/>
      <c r="CS18" s="1047"/>
      <c r="CT18" s="1047"/>
      <c r="CU18" s="1047"/>
      <c r="CV18" s="1047"/>
      <c r="CW18" s="1047"/>
      <c r="CX18" s="1047"/>
      <c r="CY18" s="1047"/>
      <c r="CZ18" s="1047"/>
      <c r="DA18" s="1047"/>
      <c r="DB18" s="1047"/>
      <c r="DC18" s="1047"/>
      <c r="DD18" s="1047"/>
      <c r="DE18" s="1047"/>
      <c r="DF18" s="1047"/>
      <c r="DG18" s="1047"/>
      <c r="DH18" s="1047"/>
      <c r="DI18" s="1047"/>
      <c r="DJ18" s="1047"/>
      <c r="DK18" s="1047"/>
      <c r="DL18" s="1105"/>
      <c r="DM18" s="1105"/>
      <c r="DN18" s="1105"/>
      <c r="DO18" s="1105"/>
      <c r="DP18" s="1105"/>
      <c r="DQ18" s="1105"/>
      <c r="DR18" s="1105"/>
      <c r="DS18" s="1105"/>
      <c r="DT18" s="1105"/>
      <c r="DU18" s="1105"/>
      <c r="DV18" s="1105"/>
      <c r="DW18" s="1105"/>
      <c r="DX18" s="1105"/>
      <c r="DY18" s="1105"/>
      <c r="DZ18" s="1105"/>
      <c r="EA18" s="1105"/>
      <c r="EB18" s="1105"/>
      <c r="EC18" s="1105"/>
      <c r="ED18" s="1105"/>
      <c r="EE18" s="1105"/>
      <c r="EF18" s="1105"/>
      <c r="EG18" s="1105"/>
      <c r="EH18" s="1106"/>
      <c r="EI18" s="1106"/>
      <c r="EJ18" s="1106"/>
      <c r="EK18" s="1106"/>
      <c r="EL18" s="1106"/>
      <c r="EM18" s="1106"/>
    </row>
    <row r="19" spans="1:143" s="131" customFormat="1" ht="28" customHeight="1">
      <c r="A19" s="200" t="str">
        <f>'Deal Sheet'!Q12</f>
        <v/>
      </c>
      <c r="B19" s="1287" t="str">
        <f t="shared" si="0"/>
        <v/>
      </c>
      <c r="C19" s="1288"/>
      <c r="D19" s="1289"/>
      <c r="E19" s="1290" t="str">
        <f t="shared" si="1"/>
        <v/>
      </c>
      <c r="F19" s="1290"/>
      <c r="G19" s="1290"/>
      <c r="H19" s="1284"/>
      <c r="I19" s="1285"/>
      <c r="J19" s="1286"/>
      <c r="K19" s="345" t="str">
        <f t="shared" si="2"/>
        <v/>
      </c>
      <c r="L19" s="1047"/>
      <c r="M19" s="1047"/>
      <c r="N19" s="1047"/>
      <c r="O19" s="1031" t="e">
        <f t="shared" si="3"/>
        <v>#VALUE!</v>
      </c>
      <c r="P19" s="1047"/>
      <c r="Q19" s="1037">
        <f t="shared" ca="1" si="4"/>
        <v>1</v>
      </c>
      <c r="R19" s="1040" t="e">
        <f t="shared" ca="1" si="5"/>
        <v>#VALUE!</v>
      </c>
      <c r="S19" s="1031">
        <f t="shared" ca="1" si="6"/>
        <v>-43221</v>
      </c>
      <c r="T19" s="1047"/>
      <c r="U19" s="1047"/>
      <c r="V19" s="1047"/>
      <c r="W19" s="1047"/>
      <c r="X19" s="1047"/>
      <c r="Y19" s="1047"/>
      <c r="Z19" s="1047"/>
      <c r="AA19" s="1047"/>
      <c r="AB19" s="1047"/>
      <c r="AC19" s="1047"/>
      <c r="AD19" s="1047"/>
      <c r="AE19" s="1047"/>
      <c r="AF19" s="1047"/>
      <c r="AG19" s="1047"/>
      <c r="AH19" s="1047"/>
      <c r="AI19" s="1047"/>
      <c r="AJ19" s="1047"/>
      <c r="AK19" s="1047"/>
      <c r="AL19" s="1047"/>
      <c r="AM19" s="1047"/>
      <c r="AN19" s="1047"/>
      <c r="AO19" s="1047"/>
      <c r="AP19" s="1047"/>
      <c r="AQ19" s="1047"/>
      <c r="AR19" s="1047"/>
      <c r="AS19" s="1047"/>
      <c r="AT19" s="1047"/>
      <c r="AU19" s="1047"/>
      <c r="AV19" s="1031" t="str">
        <f t="shared" si="7"/>
        <v/>
      </c>
      <c r="AW19" s="1041" t="str">
        <f t="shared" si="8"/>
        <v/>
      </c>
      <c r="AX19" s="1041" t="str">
        <f t="shared" si="9"/>
        <v/>
      </c>
      <c r="AY19" s="1041" t="str">
        <f t="shared" si="10"/>
        <v/>
      </c>
      <c r="AZ19" s="1041" t="str">
        <f t="shared" si="11"/>
        <v/>
      </c>
      <c r="BA19" s="1031" t="str">
        <f t="shared" si="12"/>
        <v/>
      </c>
      <c r="BB19" s="1040">
        <f t="shared" si="13"/>
        <v>0</v>
      </c>
      <c r="BC19" s="1042" t="str">
        <f t="shared" si="14"/>
        <v/>
      </c>
      <c r="BD19" s="1038">
        <f t="shared" si="15"/>
        <v>0</v>
      </c>
      <c r="BE19" s="1047"/>
      <c r="BF19" s="1047"/>
      <c r="BG19" s="1047"/>
      <c r="BH19" s="1047"/>
      <c r="BI19" s="1047"/>
      <c r="BJ19" s="1047"/>
      <c r="BK19" s="1047"/>
      <c r="BL19" s="1047"/>
      <c r="BM19" s="1047"/>
      <c r="BN19" s="1047"/>
      <c r="BO19" s="1047"/>
      <c r="BP19" s="1044"/>
      <c r="BQ19" s="1047"/>
      <c r="BR19" s="1045">
        <v>43040</v>
      </c>
      <c r="BS19" s="1046" t="str">
        <f t="shared" si="16"/>
        <v/>
      </c>
      <c r="BT19" s="1038">
        <v>0</v>
      </c>
      <c r="BU19" s="1038" t="s">
        <v>200</v>
      </c>
      <c r="BV19" s="1047">
        <v>0</v>
      </c>
      <c r="BW19" s="1048" t="s">
        <v>200</v>
      </c>
      <c r="BX19" s="1047" t="s">
        <v>200</v>
      </c>
      <c r="BY19" s="1047"/>
      <c r="BZ19" s="1047">
        <f>'Deal Sheet'!C11</f>
        <v>0</v>
      </c>
      <c r="CA19" s="1049" t="str">
        <f>IFERROR(VLOOKUP(BZ19,'Deal Sheet'!$C$9:$G$43,5,FALSE),"")</f>
        <v/>
      </c>
      <c r="CB19" s="1044">
        <f t="shared" si="17"/>
        <v>0</v>
      </c>
      <c r="CC19" s="1044" t="str">
        <f t="shared" si="18"/>
        <v/>
      </c>
      <c r="CD19" s="1047"/>
      <c r="CE19" s="1047"/>
      <c r="CF19" s="1047"/>
      <c r="CG19" s="1047"/>
      <c r="CH19" s="1047"/>
      <c r="CI19" s="1047"/>
      <c r="CJ19" s="1047"/>
      <c r="CK19" s="1047"/>
      <c r="CL19" s="1047"/>
      <c r="CM19" s="1047"/>
      <c r="CN19" s="1047"/>
      <c r="CO19" s="1047"/>
      <c r="CP19" s="1047"/>
      <c r="CQ19" s="1047"/>
      <c r="CR19" s="1047"/>
      <c r="CS19" s="1047"/>
      <c r="CT19" s="1047"/>
      <c r="CU19" s="1047"/>
      <c r="CV19" s="1047"/>
      <c r="CW19" s="1047"/>
      <c r="CX19" s="1047"/>
      <c r="CY19" s="1047"/>
      <c r="CZ19" s="1047"/>
      <c r="DA19" s="1047"/>
      <c r="DB19" s="1047"/>
      <c r="DC19" s="1047"/>
      <c r="DD19" s="1047"/>
      <c r="DE19" s="1047"/>
      <c r="DF19" s="1047"/>
      <c r="DG19" s="1047"/>
      <c r="DH19" s="1047"/>
      <c r="DI19" s="1047"/>
      <c r="DJ19" s="1047"/>
      <c r="DK19" s="1047"/>
      <c r="DL19" s="1105"/>
      <c r="DM19" s="1105"/>
      <c r="DN19" s="1105"/>
      <c r="DO19" s="1105"/>
      <c r="DP19" s="1105"/>
      <c r="DQ19" s="1105"/>
      <c r="DR19" s="1105"/>
      <c r="DS19" s="1105"/>
      <c r="DT19" s="1105"/>
      <c r="DU19" s="1105"/>
      <c r="DV19" s="1105"/>
      <c r="DW19" s="1105"/>
      <c r="DX19" s="1105"/>
      <c r="DY19" s="1105"/>
      <c r="DZ19" s="1105"/>
      <c r="EA19" s="1105"/>
      <c r="EB19" s="1105"/>
      <c r="EC19" s="1105"/>
      <c r="ED19" s="1105"/>
      <c r="EE19" s="1105"/>
      <c r="EF19" s="1105"/>
      <c r="EG19" s="1105"/>
      <c r="EH19" s="1106"/>
      <c r="EI19" s="1106"/>
      <c r="EJ19" s="1106"/>
      <c r="EK19" s="1106"/>
      <c r="EL19" s="1106"/>
      <c r="EM19" s="1106"/>
    </row>
    <row r="20" spans="1:143" s="131" customFormat="1" ht="28" customHeight="1">
      <c r="A20" s="200" t="str">
        <f>'Deal Sheet'!Q13</f>
        <v/>
      </c>
      <c r="B20" s="1287" t="str">
        <f t="shared" si="0"/>
        <v/>
      </c>
      <c r="C20" s="1288"/>
      <c r="D20" s="1289"/>
      <c r="E20" s="1290" t="str">
        <f t="shared" si="1"/>
        <v/>
      </c>
      <c r="F20" s="1290"/>
      <c r="G20" s="1290"/>
      <c r="H20" s="1284"/>
      <c r="I20" s="1285"/>
      <c r="J20" s="1286"/>
      <c r="K20" s="345" t="str">
        <f t="shared" si="2"/>
        <v/>
      </c>
      <c r="L20" s="1047"/>
      <c r="M20" s="1047"/>
      <c r="N20" s="1047"/>
      <c r="O20" s="1031" t="e">
        <f t="shared" si="3"/>
        <v>#VALUE!</v>
      </c>
      <c r="P20" s="1047"/>
      <c r="Q20" s="1037">
        <f t="shared" ca="1" si="4"/>
        <v>1</v>
      </c>
      <c r="R20" s="1040" t="e">
        <f t="shared" ca="1" si="5"/>
        <v>#VALUE!</v>
      </c>
      <c r="S20" s="1031">
        <f t="shared" ca="1" si="6"/>
        <v>-43221</v>
      </c>
      <c r="T20" s="1047"/>
      <c r="U20" s="1047"/>
      <c r="V20" s="1047"/>
      <c r="W20" s="1047"/>
      <c r="X20" s="1047"/>
      <c r="Y20" s="1047"/>
      <c r="Z20" s="1047"/>
      <c r="AA20" s="1047"/>
      <c r="AB20" s="1047"/>
      <c r="AC20" s="1047"/>
      <c r="AD20" s="1047"/>
      <c r="AE20" s="1047"/>
      <c r="AF20" s="1047"/>
      <c r="AG20" s="1047"/>
      <c r="AH20" s="1047"/>
      <c r="AI20" s="1047"/>
      <c r="AJ20" s="1047"/>
      <c r="AK20" s="1047"/>
      <c r="AL20" s="1047"/>
      <c r="AM20" s="1047"/>
      <c r="AN20" s="1047"/>
      <c r="AO20" s="1047"/>
      <c r="AP20" s="1047"/>
      <c r="AQ20" s="1047"/>
      <c r="AR20" s="1047"/>
      <c r="AS20" s="1047"/>
      <c r="AT20" s="1047"/>
      <c r="AU20" s="1047"/>
      <c r="AV20" s="1031" t="str">
        <f t="shared" si="7"/>
        <v/>
      </c>
      <c r="AW20" s="1041" t="str">
        <f t="shared" si="8"/>
        <v/>
      </c>
      <c r="AX20" s="1041" t="str">
        <f t="shared" si="9"/>
        <v/>
      </c>
      <c r="AY20" s="1041" t="str">
        <f t="shared" si="10"/>
        <v/>
      </c>
      <c r="AZ20" s="1041" t="str">
        <f t="shared" si="11"/>
        <v/>
      </c>
      <c r="BA20" s="1031" t="str">
        <f t="shared" si="12"/>
        <v/>
      </c>
      <c r="BB20" s="1040">
        <f t="shared" si="13"/>
        <v>0</v>
      </c>
      <c r="BC20" s="1042" t="str">
        <f t="shared" si="14"/>
        <v/>
      </c>
      <c r="BD20" s="1038">
        <f t="shared" si="15"/>
        <v>0</v>
      </c>
      <c r="BE20" s="1047"/>
      <c r="BF20" s="1047"/>
      <c r="BG20" s="1047"/>
      <c r="BH20" s="1047"/>
      <c r="BI20" s="1047"/>
      <c r="BJ20" s="1047"/>
      <c r="BK20" s="1047"/>
      <c r="BL20" s="1047"/>
      <c r="BM20" s="1047"/>
      <c r="BN20" s="1047"/>
      <c r="BO20" s="1047"/>
      <c r="BP20" s="1044"/>
      <c r="BQ20" s="1047"/>
      <c r="BR20" s="1045">
        <v>43070</v>
      </c>
      <c r="BS20" s="1046" t="str">
        <f t="shared" si="16"/>
        <v/>
      </c>
      <c r="BT20" s="1038">
        <v>0</v>
      </c>
      <c r="BU20" s="1038" t="s">
        <v>200</v>
      </c>
      <c r="BV20" s="1047">
        <v>0</v>
      </c>
      <c r="BW20" s="1048" t="s">
        <v>200</v>
      </c>
      <c r="BX20" s="1047" t="s">
        <v>200</v>
      </c>
      <c r="BY20" s="1047"/>
      <c r="BZ20" s="1047">
        <f>'Deal Sheet'!C12</f>
        <v>0</v>
      </c>
      <c r="CA20" s="1049" t="str">
        <f>IFERROR(VLOOKUP(BZ20,'Deal Sheet'!$C$9:$G$43,5,FALSE),"")</f>
        <v/>
      </c>
      <c r="CB20" s="1044">
        <f t="shared" si="17"/>
        <v>0</v>
      </c>
      <c r="CC20" s="1044" t="str">
        <f t="shared" si="18"/>
        <v/>
      </c>
      <c r="CD20" s="1047"/>
      <c r="CE20" s="1047"/>
      <c r="CF20" s="1047"/>
      <c r="CG20" s="1047"/>
      <c r="CH20" s="1047"/>
      <c r="CI20" s="1047"/>
      <c r="CJ20" s="1047"/>
      <c r="CK20" s="1047"/>
      <c r="CL20" s="1047"/>
      <c r="CM20" s="1047"/>
      <c r="CN20" s="1047"/>
      <c r="CO20" s="1047"/>
      <c r="CP20" s="1047"/>
      <c r="CQ20" s="1047"/>
      <c r="CR20" s="1047"/>
      <c r="CS20" s="1047"/>
      <c r="CT20" s="1047"/>
      <c r="CU20" s="1047"/>
      <c r="CV20" s="1047"/>
      <c r="CW20" s="1047"/>
      <c r="CX20" s="1047"/>
      <c r="CY20" s="1047"/>
      <c r="CZ20" s="1047"/>
      <c r="DA20" s="1047"/>
      <c r="DB20" s="1047"/>
      <c r="DC20" s="1047"/>
      <c r="DD20" s="1047"/>
      <c r="DE20" s="1047"/>
      <c r="DF20" s="1047"/>
      <c r="DG20" s="1047"/>
      <c r="DH20" s="1047"/>
      <c r="DI20" s="1047"/>
      <c r="DJ20" s="1047"/>
      <c r="DK20" s="1047"/>
      <c r="DL20" s="1105"/>
      <c r="DM20" s="1105"/>
      <c r="DN20" s="1105"/>
      <c r="DO20" s="1105"/>
      <c r="DP20" s="1105"/>
      <c r="DQ20" s="1105"/>
      <c r="DR20" s="1105"/>
      <c r="DS20" s="1105"/>
      <c r="DT20" s="1105"/>
      <c r="DU20" s="1105"/>
      <c r="DV20" s="1105"/>
      <c r="DW20" s="1105"/>
      <c r="DX20" s="1105"/>
      <c r="DY20" s="1105"/>
      <c r="DZ20" s="1105"/>
      <c r="EA20" s="1105"/>
      <c r="EB20" s="1105"/>
      <c r="EC20" s="1105"/>
      <c r="ED20" s="1105"/>
      <c r="EE20" s="1105"/>
      <c r="EF20" s="1105"/>
      <c r="EG20" s="1105"/>
      <c r="EH20" s="1106"/>
      <c r="EI20" s="1106"/>
      <c r="EJ20" s="1106"/>
      <c r="EK20" s="1106"/>
      <c r="EL20" s="1106"/>
      <c r="EM20" s="1106"/>
    </row>
    <row r="21" spans="1:143" s="131" customFormat="1" ht="28" customHeight="1">
      <c r="A21" s="200" t="str">
        <f>'Deal Sheet'!Q14</f>
        <v/>
      </c>
      <c r="B21" s="1287" t="str">
        <f t="shared" si="0"/>
        <v/>
      </c>
      <c r="C21" s="1288"/>
      <c r="D21" s="1289"/>
      <c r="E21" s="1290" t="str">
        <f t="shared" si="1"/>
        <v/>
      </c>
      <c r="F21" s="1290"/>
      <c r="G21" s="1290"/>
      <c r="H21" s="1284"/>
      <c r="I21" s="1285"/>
      <c r="J21" s="1286"/>
      <c r="K21" s="345" t="str">
        <f t="shared" si="2"/>
        <v/>
      </c>
      <c r="L21" s="1047"/>
      <c r="M21" s="1047"/>
      <c r="N21" s="1047"/>
      <c r="O21" s="1031" t="e">
        <f t="shared" si="3"/>
        <v>#VALUE!</v>
      </c>
      <c r="P21" s="1047"/>
      <c r="Q21" s="1037">
        <f t="shared" ca="1" si="4"/>
        <v>1</v>
      </c>
      <c r="R21" s="1040" t="e">
        <f t="shared" ca="1" si="5"/>
        <v>#VALUE!</v>
      </c>
      <c r="S21" s="1031">
        <f t="shared" ca="1" si="6"/>
        <v>-43221</v>
      </c>
      <c r="T21" s="1047"/>
      <c r="U21" s="1047"/>
      <c r="V21" s="1047"/>
      <c r="W21" s="1047"/>
      <c r="X21" s="1047"/>
      <c r="Y21" s="1047"/>
      <c r="Z21" s="1047"/>
      <c r="AA21" s="1047"/>
      <c r="AB21" s="1047"/>
      <c r="AC21" s="1047"/>
      <c r="AD21" s="1047"/>
      <c r="AE21" s="1047"/>
      <c r="AF21" s="1047"/>
      <c r="AG21" s="1047"/>
      <c r="AH21" s="1047"/>
      <c r="AI21" s="1047"/>
      <c r="AJ21" s="1047"/>
      <c r="AK21" s="1047"/>
      <c r="AL21" s="1047"/>
      <c r="AM21" s="1047"/>
      <c r="AN21" s="1047"/>
      <c r="AO21" s="1047"/>
      <c r="AP21" s="1047"/>
      <c r="AQ21" s="1047"/>
      <c r="AR21" s="1047"/>
      <c r="AS21" s="1047"/>
      <c r="AT21" s="1047"/>
      <c r="AU21" s="1047"/>
      <c r="AV21" s="1031" t="str">
        <f t="shared" si="7"/>
        <v/>
      </c>
      <c r="AW21" s="1041" t="str">
        <f t="shared" si="8"/>
        <v/>
      </c>
      <c r="AX21" s="1041" t="str">
        <f t="shared" si="9"/>
        <v/>
      </c>
      <c r="AY21" s="1041" t="str">
        <f t="shared" si="10"/>
        <v/>
      </c>
      <c r="AZ21" s="1041" t="str">
        <f t="shared" si="11"/>
        <v/>
      </c>
      <c r="BA21" s="1031" t="str">
        <f t="shared" si="12"/>
        <v/>
      </c>
      <c r="BB21" s="1040">
        <f t="shared" si="13"/>
        <v>0</v>
      </c>
      <c r="BC21" s="1042" t="str">
        <f t="shared" si="14"/>
        <v/>
      </c>
      <c r="BD21" s="1038">
        <f t="shared" si="15"/>
        <v>0</v>
      </c>
      <c r="BE21" s="1047"/>
      <c r="BF21" s="1047"/>
      <c r="BG21" s="1047"/>
      <c r="BH21" s="1047"/>
      <c r="BI21" s="1047"/>
      <c r="BJ21" s="1047"/>
      <c r="BK21" s="1047"/>
      <c r="BL21" s="1047"/>
      <c r="BM21" s="1047"/>
      <c r="BN21" s="1047"/>
      <c r="BO21" s="1047"/>
      <c r="BP21" s="1044"/>
      <c r="BQ21" s="1047"/>
      <c r="BR21" s="1045">
        <v>43101</v>
      </c>
      <c r="BS21" s="1046" t="str">
        <f t="shared" si="16"/>
        <v/>
      </c>
      <c r="BT21" s="1038">
        <v>0</v>
      </c>
      <c r="BU21" s="1038" t="s">
        <v>200</v>
      </c>
      <c r="BV21" s="1047">
        <v>0</v>
      </c>
      <c r="BW21" s="1048" t="s">
        <v>200</v>
      </c>
      <c r="BX21" s="1047" t="s">
        <v>200</v>
      </c>
      <c r="BY21" s="1047"/>
      <c r="BZ21" s="1047">
        <f>'Deal Sheet'!C13</f>
        <v>0</v>
      </c>
      <c r="CA21" s="1049" t="str">
        <f>IFERROR(VLOOKUP(BZ21,'Deal Sheet'!$C$9:$G$43,5,FALSE),"")</f>
        <v/>
      </c>
      <c r="CB21" s="1044">
        <f t="shared" si="17"/>
        <v>0</v>
      </c>
      <c r="CC21" s="1044" t="str">
        <f t="shared" si="18"/>
        <v/>
      </c>
      <c r="CD21" s="1047"/>
      <c r="CE21" s="1047"/>
      <c r="CF21" s="1047"/>
      <c r="CG21" s="1047"/>
      <c r="CH21" s="1047"/>
      <c r="CI21" s="1047"/>
      <c r="CJ21" s="1047"/>
      <c r="CK21" s="1047"/>
      <c r="CL21" s="1047"/>
      <c r="CM21" s="1047"/>
      <c r="CN21" s="1047"/>
      <c r="CO21" s="1047"/>
      <c r="CP21" s="1047"/>
      <c r="CQ21" s="1047"/>
      <c r="CR21" s="1047"/>
      <c r="CS21" s="1047"/>
      <c r="CT21" s="1047"/>
      <c r="CU21" s="1047"/>
      <c r="CV21" s="1047"/>
      <c r="CW21" s="1047"/>
      <c r="CX21" s="1047"/>
      <c r="CY21" s="1047"/>
      <c r="CZ21" s="1047"/>
      <c r="DA21" s="1047"/>
      <c r="DB21" s="1047"/>
      <c r="DC21" s="1047"/>
      <c r="DD21" s="1047"/>
      <c r="DE21" s="1047"/>
      <c r="DF21" s="1047"/>
      <c r="DG21" s="1047"/>
      <c r="DH21" s="1047"/>
      <c r="DI21" s="1047"/>
      <c r="DJ21" s="1047"/>
      <c r="DK21" s="1047"/>
      <c r="DL21" s="1105"/>
      <c r="DM21" s="1105"/>
      <c r="DN21" s="1105"/>
      <c r="DO21" s="1105"/>
      <c r="DP21" s="1105"/>
      <c r="DQ21" s="1105"/>
      <c r="DR21" s="1105"/>
      <c r="DS21" s="1105"/>
      <c r="DT21" s="1105"/>
      <c r="DU21" s="1105"/>
      <c r="DV21" s="1105"/>
      <c r="DW21" s="1105"/>
      <c r="DX21" s="1105"/>
      <c r="DY21" s="1105"/>
      <c r="DZ21" s="1105"/>
      <c r="EA21" s="1105"/>
      <c r="EB21" s="1105"/>
      <c r="EC21" s="1105"/>
      <c r="ED21" s="1105"/>
      <c r="EE21" s="1105"/>
      <c r="EF21" s="1105"/>
      <c r="EG21" s="1105"/>
      <c r="EH21" s="1106"/>
      <c r="EI21" s="1106"/>
      <c r="EJ21" s="1106"/>
      <c r="EK21" s="1106"/>
      <c r="EL21" s="1106"/>
      <c r="EM21" s="1106"/>
    </row>
    <row r="22" spans="1:143" s="131" customFormat="1" ht="28" customHeight="1">
      <c r="A22" s="200" t="str">
        <f>'Deal Sheet'!Q15</f>
        <v/>
      </c>
      <c r="B22" s="1287" t="str">
        <f t="shared" si="0"/>
        <v/>
      </c>
      <c r="C22" s="1288"/>
      <c r="D22" s="1289"/>
      <c r="E22" s="1290" t="str">
        <f t="shared" si="1"/>
        <v/>
      </c>
      <c r="F22" s="1290"/>
      <c r="G22" s="1290"/>
      <c r="H22" s="1284"/>
      <c r="I22" s="1285"/>
      <c r="J22" s="1286"/>
      <c r="K22" s="345" t="str">
        <f t="shared" si="2"/>
        <v/>
      </c>
      <c r="L22" s="1047"/>
      <c r="M22" s="1047"/>
      <c r="N22" s="1047"/>
      <c r="O22" s="1031" t="e">
        <f t="shared" si="3"/>
        <v>#VALUE!</v>
      </c>
      <c r="P22" s="1047"/>
      <c r="Q22" s="1037">
        <f t="shared" ca="1" si="4"/>
        <v>1</v>
      </c>
      <c r="R22" s="1040" t="e">
        <f t="shared" ca="1" si="5"/>
        <v>#VALUE!</v>
      </c>
      <c r="S22" s="1031">
        <f t="shared" ca="1" si="6"/>
        <v>-43221</v>
      </c>
      <c r="T22" s="1047"/>
      <c r="U22" s="1047"/>
      <c r="V22" s="1047"/>
      <c r="W22" s="1047"/>
      <c r="X22" s="1047"/>
      <c r="Y22" s="1047"/>
      <c r="Z22" s="1047"/>
      <c r="AA22" s="1047"/>
      <c r="AB22" s="1047"/>
      <c r="AC22" s="1047"/>
      <c r="AD22" s="1047"/>
      <c r="AE22" s="1047"/>
      <c r="AF22" s="1047"/>
      <c r="AG22" s="1047"/>
      <c r="AH22" s="1047"/>
      <c r="AI22" s="1047"/>
      <c r="AJ22" s="1047"/>
      <c r="AK22" s="1047"/>
      <c r="AL22" s="1047"/>
      <c r="AM22" s="1047"/>
      <c r="AN22" s="1047"/>
      <c r="AO22" s="1047"/>
      <c r="AP22" s="1047"/>
      <c r="AQ22" s="1047"/>
      <c r="AR22" s="1047"/>
      <c r="AS22" s="1047"/>
      <c r="AT22" s="1047"/>
      <c r="AU22" s="1047"/>
      <c r="AV22" s="1031" t="str">
        <f t="shared" si="7"/>
        <v/>
      </c>
      <c r="AW22" s="1041" t="str">
        <f t="shared" si="8"/>
        <v/>
      </c>
      <c r="AX22" s="1041" t="str">
        <f t="shared" si="9"/>
        <v/>
      </c>
      <c r="AY22" s="1041" t="str">
        <f t="shared" si="10"/>
        <v/>
      </c>
      <c r="AZ22" s="1041" t="str">
        <f t="shared" si="11"/>
        <v/>
      </c>
      <c r="BA22" s="1031" t="str">
        <f t="shared" si="12"/>
        <v/>
      </c>
      <c r="BB22" s="1040">
        <f t="shared" si="13"/>
        <v>0</v>
      </c>
      <c r="BC22" s="1042" t="str">
        <f t="shared" si="14"/>
        <v/>
      </c>
      <c r="BD22" s="1038">
        <f t="shared" si="15"/>
        <v>0</v>
      </c>
      <c r="BE22" s="1047"/>
      <c r="BF22" s="1047"/>
      <c r="BG22" s="1047"/>
      <c r="BH22" s="1047"/>
      <c r="BI22" s="1047"/>
      <c r="BJ22" s="1047"/>
      <c r="BK22" s="1047"/>
      <c r="BL22" s="1047"/>
      <c r="BM22" s="1047"/>
      <c r="BN22" s="1047"/>
      <c r="BO22" s="1047"/>
      <c r="BP22" s="1044"/>
      <c r="BQ22" s="1047"/>
      <c r="BR22" s="1045">
        <v>43132</v>
      </c>
      <c r="BS22" s="1046" t="str">
        <f t="shared" si="16"/>
        <v/>
      </c>
      <c r="BT22" s="1038">
        <v>0</v>
      </c>
      <c r="BU22" s="1038" t="s">
        <v>200</v>
      </c>
      <c r="BV22" s="1047">
        <v>0</v>
      </c>
      <c r="BW22" s="1048" t="s">
        <v>200</v>
      </c>
      <c r="BX22" s="1047" t="s">
        <v>200</v>
      </c>
      <c r="BY22" s="1047"/>
      <c r="BZ22" s="1047">
        <f>'Deal Sheet'!C14</f>
        <v>0</v>
      </c>
      <c r="CA22" s="1049" t="str">
        <f>IFERROR(VLOOKUP(BZ22,'Deal Sheet'!$C$9:$G$43,5,FALSE),"")</f>
        <v/>
      </c>
      <c r="CB22" s="1044">
        <f t="shared" si="17"/>
        <v>0</v>
      </c>
      <c r="CC22" s="1044" t="str">
        <f t="shared" si="18"/>
        <v/>
      </c>
      <c r="CD22" s="1047"/>
      <c r="CE22" s="1047"/>
      <c r="CF22" s="1047"/>
      <c r="CG22" s="1047"/>
      <c r="CH22" s="1047"/>
      <c r="CI22" s="1047"/>
      <c r="CJ22" s="1047"/>
      <c r="CK22" s="1047"/>
      <c r="CL22" s="1047"/>
      <c r="CM22" s="1047"/>
      <c r="CN22" s="1047"/>
      <c r="CO22" s="1047"/>
      <c r="CP22" s="1047"/>
      <c r="CQ22" s="1047"/>
      <c r="CR22" s="1047"/>
      <c r="CS22" s="1047"/>
      <c r="CT22" s="1047"/>
      <c r="CU22" s="1047"/>
      <c r="CV22" s="1047"/>
      <c r="CW22" s="1047"/>
      <c r="CX22" s="1047"/>
      <c r="CY22" s="1047"/>
      <c r="CZ22" s="1047"/>
      <c r="DA22" s="1047"/>
      <c r="DB22" s="1047"/>
      <c r="DC22" s="1047"/>
      <c r="DD22" s="1047"/>
      <c r="DE22" s="1047"/>
      <c r="DF22" s="1047"/>
      <c r="DG22" s="1047"/>
      <c r="DH22" s="1047"/>
      <c r="DI22" s="1047"/>
      <c r="DJ22" s="1047"/>
      <c r="DK22" s="1047"/>
      <c r="DL22" s="1105"/>
      <c r="DM22" s="1105"/>
      <c r="DN22" s="1105"/>
      <c r="DO22" s="1105"/>
      <c r="DP22" s="1105"/>
      <c r="DQ22" s="1105"/>
      <c r="DR22" s="1105"/>
      <c r="DS22" s="1105"/>
      <c r="DT22" s="1105"/>
      <c r="DU22" s="1105"/>
      <c r="DV22" s="1105"/>
      <c r="DW22" s="1105"/>
      <c r="DX22" s="1105"/>
      <c r="DY22" s="1105"/>
      <c r="DZ22" s="1105"/>
      <c r="EA22" s="1105"/>
      <c r="EB22" s="1105"/>
      <c r="EC22" s="1105"/>
      <c r="ED22" s="1105"/>
      <c r="EE22" s="1105"/>
      <c r="EF22" s="1105"/>
      <c r="EG22" s="1105"/>
      <c r="EH22" s="1106"/>
      <c r="EI22" s="1106"/>
      <c r="EJ22" s="1106"/>
      <c r="EK22" s="1106"/>
      <c r="EL22" s="1106"/>
      <c r="EM22" s="1106"/>
    </row>
    <row r="23" spans="1:143" s="131" customFormat="1" ht="28" customHeight="1">
      <c r="A23" s="200" t="str">
        <f>'Deal Sheet'!Q16</f>
        <v/>
      </c>
      <c r="B23" s="1287" t="str">
        <f t="shared" si="0"/>
        <v/>
      </c>
      <c r="C23" s="1288"/>
      <c r="D23" s="1289"/>
      <c r="E23" s="1290" t="str">
        <f t="shared" si="1"/>
        <v/>
      </c>
      <c r="F23" s="1290"/>
      <c r="G23" s="1290"/>
      <c r="H23" s="1284"/>
      <c r="I23" s="1285"/>
      <c r="J23" s="1286"/>
      <c r="K23" s="345" t="str">
        <f t="shared" si="2"/>
        <v/>
      </c>
      <c r="L23" s="1047"/>
      <c r="M23" s="1047"/>
      <c r="N23" s="1047"/>
      <c r="O23" s="1031" t="e">
        <f t="shared" si="3"/>
        <v>#VALUE!</v>
      </c>
      <c r="P23" s="1047"/>
      <c r="Q23" s="1037">
        <f t="shared" ca="1" si="4"/>
        <v>1</v>
      </c>
      <c r="R23" s="1040" t="e">
        <f t="shared" ca="1" si="5"/>
        <v>#VALUE!</v>
      </c>
      <c r="S23" s="1031">
        <f t="shared" ca="1" si="6"/>
        <v>-43221</v>
      </c>
      <c r="T23" s="1047"/>
      <c r="U23" s="1047"/>
      <c r="V23" s="1047"/>
      <c r="W23" s="1047"/>
      <c r="X23" s="1047"/>
      <c r="Y23" s="1047"/>
      <c r="Z23" s="1047"/>
      <c r="AA23" s="1047"/>
      <c r="AB23" s="1047"/>
      <c r="AC23" s="1047"/>
      <c r="AD23" s="1047"/>
      <c r="AE23" s="1047"/>
      <c r="AF23" s="1047"/>
      <c r="AG23" s="1047"/>
      <c r="AH23" s="1047"/>
      <c r="AI23" s="1047"/>
      <c r="AJ23" s="1047"/>
      <c r="AK23" s="1047"/>
      <c r="AL23" s="1047"/>
      <c r="AM23" s="1047"/>
      <c r="AN23" s="1047"/>
      <c r="AO23" s="1047"/>
      <c r="AP23" s="1047"/>
      <c r="AQ23" s="1047"/>
      <c r="AR23" s="1047"/>
      <c r="AS23" s="1047"/>
      <c r="AT23" s="1047"/>
      <c r="AU23" s="1047"/>
      <c r="AV23" s="1031" t="str">
        <f t="shared" si="7"/>
        <v/>
      </c>
      <c r="AW23" s="1041" t="str">
        <f t="shared" si="8"/>
        <v/>
      </c>
      <c r="AX23" s="1041" t="str">
        <f t="shared" si="9"/>
        <v/>
      </c>
      <c r="AY23" s="1041" t="str">
        <f t="shared" si="10"/>
        <v/>
      </c>
      <c r="AZ23" s="1041" t="str">
        <f t="shared" si="11"/>
        <v/>
      </c>
      <c r="BA23" s="1031" t="str">
        <f t="shared" si="12"/>
        <v/>
      </c>
      <c r="BB23" s="1040">
        <f t="shared" si="13"/>
        <v>0</v>
      </c>
      <c r="BC23" s="1042" t="str">
        <f t="shared" si="14"/>
        <v/>
      </c>
      <c r="BD23" s="1038">
        <f t="shared" si="15"/>
        <v>0</v>
      </c>
      <c r="BE23" s="1047"/>
      <c r="BF23" s="1047"/>
      <c r="BG23" s="1047"/>
      <c r="BH23" s="1047"/>
      <c r="BI23" s="1047"/>
      <c r="BJ23" s="1047"/>
      <c r="BK23" s="1047"/>
      <c r="BL23" s="1047"/>
      <c r="BM23" s="1047"/>
      <c r="BN23" s="1047"/>
      <c r="BO23" s="1047"/>
      <c r="BP23" s="1044"/>
      <c r="BQ23" s="1047"/>
      <c r="BR23" s="1045">
        <v>43160</v>
      </c>
      <c r="BS23" s="1046" t="str">
        <f t="shared" si="16"/>
        <v/>
      </c>
      <c r="BT23" s="1038">
        <v>0</v>
      </c>
      <c r="BU23" s="1038" t="s">
        <v>200</v>
      </c>
      <c r="BV23" s="1047">
        <v>0</v>
      </c>
      <c r="BW23" s="1048" t="s">
        <v>200</v>
      </c>
      <c r="BX23" s="1047" t="s">
        <v>200</v>
      </c>
      <c r="BY23" s="1047"/>
      <c r="BZ23" s="1047">
        <f>'Deal Sheet'!C15</f>
        <v>0</v>
      </c>
      <c r="CA23" s="1049" t="str">
        <f>IFERROR(VLOOKUP(BZ23,'Deal Sheet'!$C$9:$G$43,5,FALSE),"")</f>
        <v/>
      </c>
      <c r="CB23" s="1044">
        <f t="shared" si="17"/>
        <v>0</v>
      </c>
      <c r="CC23" s="1044" t="str">
        <f t="shared" si="18"/>
        <v/>
      </c>
      <c r="CD23" s="1047"/>
      <c r="CE23" s="1047"/>
      <c r="CF23" s="1047"/>
      <c r="CG23" s="1047"/>
      <c r="CH23" s="1047"/>
      <c r="CI23" s="1047"/>
      <c r="CJ23" s="1047"/>
      <c r="CK23" s="1047"/>
      <c r="CL23" s="1047"/>
      <c r="CM23" s="1047"/>
      <c r="CN23" s="1047"/>
      <c r="CO23" s="1047"/>
      <c r="CP23" s="1047"/>
      <c r="CQ23" s="1047"/>
      <c r="CR23" s="1047"/>
      <c r="CS23" s="1047"/>
      <c r="CT23" s="1047"/>
      <c r="CU23" s="1047"/>
      <c r="CV23" s="1047"/>
      <c r="CW23" s="1047"/>
      <c r="CX23" s="1047"/>
      <c r="CY23" s="1047"/>
      <c r="CZ23" s="1047"/>
      <c r="DA23" s="1047"/>
      <c r="DB23" s="1047"/>
      <c r="DC23" s="1047"/>
      <c r="DD23" s="1047"/>
      <c r="DE23" s="1047"/>
      <c r="DF23" s="1047"/>
      <c r="DG23" s="1047"/>
      <c r="DH23" s="1047"/>
      <c r="DI23" s="1047"/>
      <c r="DJ23" s="1047"/>
      <c r="DK23" s="1047"/>
      <c r="DL23" s="1105"/>
      <c r="DM23" s="1105"/>
      <c r="DN23" s="1105"/>
      <c r="DO23" s="1105"/>
      <c r="DP23" s="1105"/>
      <c r="DQ23" s="1105"/>
      <c r="DR23" s="1105"/>
      <c r="DS23" s="1105"/>
      <c r="DT23" s="1105"/>
      <c r="DU23" s="1105"/>
      <c r="DV23" s="1105"/>
      <c r="DW23" s="1105"/>
      <c r="DX23" s="1105"/>
      <c r="DY23" s="1105"/>
      <c r="DZ23" s="1105"/>
      <c r="EA23" s="1105"/>
      <c r="EB23" s="1105"/>
      <c r="EC23" s="1105"/>
      <c r="ED23" s="1105"/>
      <c r="EE23" s="1105"/>
      <c r="EF23" s="1105"/>
      <c r="EG23" s="1105"/>
      <c r="EH23" s="1106"/>
      <c r="EI23" s="1106"/>
      <c r="EJ23" s="1106"/>
      <c r="EK23" s="1106"/>
      <c r="EL23" s="1106"/>
      <c r="EM23" s="1106"/>
    </row>
    <row r="24" spans="1:143" s="131" customFormat="1" ht="28" customHeight="1">
      <c r="A24" s="200" t="str">
        <f>'Deal Sheet'!Q17</f>
        <v/>
      </c>
      <c r="B24" s="1287" t="str">
        <f t="shared" si="0"/>
        <v/>
      </c>
      <c r="C24" s="1288"/>
      <c r="D24" s="1289"/>
      <c r="E24" s="1290" t="str">
        <f t="shared" si="1"/>
        <v/>
      </c>
      <c r="F24" s="1290"/>
      <c r="G24" s="1290"/>
      <c r="H24" s="1284"/>
      <c r="I24" s="1285"/>
      <c r="J24" s="1286"/>
      <c r="K24" s="345" t="str">
        <f t="shared" si="2"/>
        <v/>
      </c>
      <c r="L24" s="1047"/>
      <c r="M24" s="1047"/>
      <c r="N24" s="1047"/>
      <c r="O24" s="1031" t="e">
        <f t="shared" si="3"/>
        <v>#VALUE!</v>
      </c>
      <c r="P24" s="1047"/>
      <c r="Q24" s="1037">
        <f t="shared" ca="1" si="4"/>
        <v>1</v>
      </c>
      <c r="R24" s="1040" t="e">
        <f t="shared" ca="1" si="5"/>
        <v>#VALUE!</v>
      </c>
      <c r="S24" s="1031">
        <f t="shared" ca="1" si="6"/>
        <v>-43221</v>
      </c>
      <c r="T24" s="1047"/>
      <c r="U24" s="1047"/>
      <c r="V24" s="1047"/>
      <c r="W24" s="1047"/>
      <c r="X24" s="1047"/>
      <c r="Y24" s="1047"/>
      <c r="Z24" s="1047"/>
      <c r="AA24" s="1047"/>
      <c r="AB24" s="1047"/>
      <c r="AC24" s="1047"/>
      <c r="AD24" s="1047"/>
      <c r="AE24" s="1047"/>
      <c r="AF24" s="1047"/>
      <c r="AG24" s="1047"/>
      <c r="AH24" s="1047"/>
      <c r="AI24" s="1047"/>
      <c r="AJ24" s="1047"/>
      <c r="AK24" s="1047"/>
      <c r="AL24" s="1047"/>
      <c r="AM24" s="1047"/>
      <c r="AN24" s="1047"/>
      <c r="AO24" s="1047"/>
      <c r="AP24" s="1047"/>
      <c r="AQ24" s="1047"/>
      <c r="AR24" s="1047"/>
      <c r="AS24" s="1047"/>
      <c r="AT24" s="1047"/>
      <c r="AU24" s="1047"/>
      <c r="AV24" s="1031" t="str">
        <f t="shared" si="7"/>
        <v/>
      </c>
      <c r="AW24" s="1041" t="str">
        <f t="shared" si="8"/>
        <v/>
      </c>
      <c r="AX24" s="1041" t="str">
        <f t="shared" si="9"/>
        <v/>
      </c>
      <c r="AY24" s="1041" t="str">
        <f t="shared" si="10"/>
        <v/>
      </c>
      <c r="AZ24" s="1041" t="str">
        <f t="shared" si="11"/>
        <v/>
      </c>
      <c r="BA24" s="1031" t="str">
        <f t="shared" si="12"/>
        <v/>
      </c>
      <c r="BB24" s="1040">
        <f t="shared" si="13"/>
        <v>0</v>
      </c>
      <c r="BC24" s="1042" t="str">
        <f t="shared" si="14"/>
        <v/>
      </c>
      <c r="BD24" s="1038">
        <f t="shared" si="15"/>
        <v>0</v>
      </c>
      <c r="BE24" s="1047"/>
      <c r="BF24" s="1047"/>
      <c r="BG24" s="1047"/>
      <c r="BH24" s="1047"/>
      <c r="BI24" s="1047"/>
      <c r="BJ24" s="1047"/>
      <c r="BK24" s="1047"/>
      <c r="BL24" s="1047"/>
      <c r="BM24" s="1047"/>
      <c r="BN24" s="1047"/>
      <c r="BO24" s="1047"/>
      <c r="BP24" s="1044"/>
      <c r="BQ24" s="1047"/>
      <c r="BR24" s="1045">
        <v>43191</v>
      </c>
      <c r="BS24" s="1046" t="str">
        <f t="shared" si="16"/>
        <v/>
      </c>
      <c r="BT24" s="1038">
        <v>0</v>
      </c>
      <c r="BU24" s="1038" t="s">
        <v>200</v>
      </c>
      <c r="BV24" s="1047">
        <v>0</v>
      </c>
      <c r="BW24" s="1048" t="s">
        <v>200</v>
      </c>
      <c r="BX24" s="1047" t="s">
        <v>200</v>
      </c>
      <c r="BY24" s="1047"/>
      <c r="BZ24" s="1047">
        <f>'Deal Sheet'!C16</f>
        <v>0</v>
      </c>
      <c r="CA24" s="1049" t="str">
        <f>IFERROR(VLOOKUP(BZ24,'Deal Sheet'!$C$9:$G$43,5,FALSE),"")</f>
        <v/>
      </c>
      <c r="CB24" s="1044">
        <f t="shared" si="17"/>
        <v>0</v>
      </c>
      <c r="CC24" s="1044" t="str">
        <f t="shared" si="18"/>
        <v/>
      </c>
      <c r="CD24" s="1047"/>
      <c r="CE24" s="1047"/>
      <c r="CF24" s="1047"/>
      <c r="CG24" s="1047"/>
      <c r="CH24" s="1047"/>
      <c r="CI24" s="1047"/>
      <c r="CJ24" s="1047"/>
      <c r="CK24" s="1047"/>
      <c r="CL24" s="1047"/>
      <c r="CM24" s="1047"/>
      <c r="CN24" s="1047"/>
      <c r="CO24" s="1047"/>
      <c r="CP24" s="1047"/>
      <c r="CQ24" s="1047"/>
      <c r="CR24" s="1047"/>
      <c r="CS24" s="1047"/>
      <c r="CT24" s="1047"/>
      <c r="CU24" s="1047"/>
      <c r="CV24" s="1047"/>
      <c r="CW24" s="1047"/>
      <c r="CX24" s="1047"/>
      <c r="CY24" s="1047"/>
      <c r="CZ24" s="1047"/>
      <c r="DA24" s="1047"/>
      <c r="DB24" s="1047"/>
      <c r="DC24" s="1047"/>
      <c r="DD24" s="1047"/>
      <c r="DE24" s="1047"/>
      <c r="DF24" s="1047"/>
      <c r="DG24" s="1047"/>
      <c r="DH24" s="1047"/>
      <c r="DI24" s="1047"/>
      <c r="DJ24" s="1047"/>
      <c r="DK24" s="1047"/>
      <c r="DL24" s="1105"/>
      <c r="DM24" s="1105"/>
      <c r="DN24" s="1105"/>
      <c r="DO24" s="1105"/>
      <c r="DP24" s="1105"/>
      <c r="DQ24" s="1105"/>
      <c r="DR24" s="1105"/>
      <c r="DS24" s="1105"/>
      <c r="DT24" s="1105"/>
      <c r="DU24" s="1105"/>
      <c r="DV24" s="1105"/>
      <c r="DW24" s="1105"/>
      <c r="DX24" s="1105"/>
      <c r="DY24" s="1105"/>
      <c r="DZ24" s="1105"/>
      <c r="EA24" s="1105"/>
      <c r="EB24" s="1105"/>
      <c r="EC24" s="1105"/>
      <c r="ED24" s="1105"/>
      <c r="EE24" s="1105"/>
      <c r="EF24" s="1105"/>
      <c r="EG24" s="1105"/>
      <c r="EH24" s="1106"/>
      <c r="EI24" s="1106"/>
      <c r="EJ24" s="1106"/>
      <c r="EK24" s="1106"/>
      <c r="EL24" s="1106"/>
      <c r="EM24" s="1106"/>
    </row>
    <row r="25" spans="1:143" s="131" customFormat="1" ht="28" customHeight="1">
      <c r="A25" s="200" t="str">
        <f>'Deal Sheet'!Q18</f>
        <v/>
      </c>
      <c r="B25" s="1287" t="str">
        <f t="shared" si="0"/>
        <v/>
      </c>
      <c r="C25" s="1288"/>
      <c r="D25" s="1289"/>
      <c r="E25" s="1290" t="str">
        <f t="shared" si="1"/>
        <v/>
      </c>
      <c r="F25" s="1290"/>
      <c r="G25" s="1290"/>
      <c r="H25" s="1284"/>
      <c r="I25" s="1285"/>
      <c r="J25" s="1286"/>
      <c r="K25" s="345" t="str">
        <f t="shared" si="2"/>
        <v/>
      </c>
      <c r="L25" s="1047"/>
      <c r="M25" s="1047"/>
      <c r="N25" s="1047"/>
      <c r="O25" s="1031" t="e">
        <f t="shared" si="3"/>
        <v>#VALUE!</v>
      </c>
      <c r="P25" s="1047"/>
      <c r="Q25" s="1037">
        <f t="shared" ca="1" si="4"/>
        <v>1</v>
      </c>
      <c r="R25" s="1040" t="e">
        <f t="shared" ca="1" si="5"/>
        <v>#VALUE!</v>
      </c>
      <c r="S25" s="1031">
        <f t="shared" ca="1" si="6"/>
        <v>-43221</v>
      </c>
      <c r="T25" s="1047"/>
      <c r="U25" s="1047"/>
      <c r="V25" s="1047"/>
      <c r="W25" s="1047"/>
      <c r="X25" s="1047"/>
      <c r="Y25" s="1047"/>
      <c r="Z25" s="1047"/>
      <c r="AA25" s="1047"/>
      <c r="AB25" s="1047"/>
      <c r="AC25" s="1047"/>
      <c r="AD25" s="1047"/>
      <c r="AE25" s="1047"/>
      <c r="AF25" s="1047"/>
      <c r="AG25" s="1047"/>
      <c r="AH25" s="1047"/>
      <c r="AI25" s="1047"/>
      <c r="AJ25" s="1047"/>
      <c r="AK25" s="1047"/>
      <c r="AL25" s="1047"/>
      <c r="AM25" s="1047"/>
      <c r="AN25" s="1047"/>
      <c r="AO25" s="1047"/>
      <c r="AP25" s="1047"/>
      <c r="AQ25" s="1047"/>
      <c r="AR25" s="1047"/>
      <c r="AS25" s="1047"/>
      <c r="AT25" s="1047"/>
      <c r="AU25" s="1047"/>
      <c r="AV25" s="1031" t="str">
        <f t="shared" si="7"/>
        <v/>
      </c>
      <c r="AW25" s="1041" t="str">
        <f t="shared" si="8"/>
        <v/>
      </c>
      <c r="AX25" s="1041" t="str">
        <f t="shared" si="9"/>
        <v/>
      </c>
      <c r="AY25" s="1041" t="str">
        <f t="shared" si="10"/>
        <v/>
      </c>
      <c r="AZ25" s="1041" t="str">
        <f t="shared" si="11"/>
        <v/>
      </c>
      <c r="BA25" s="1031" t="str">
        <f t="shared" si="12"/>
        <v/>
      </c>
      <c r="BB25" s="1040">
        <f t="shared" si="13"/>
        <v>0</v>
      </c>
      <c r="BC25" s="1042" t="str">
        <f t="shared" si="14"/>
        <v/>
      </c>
      <c r="BD25" s="1038">
        <f t="shared" si="15"/>
        <v>0</v>
      </c>
      <c r="BE25" s="1047"/>
      <c r="BF25" s="1047"/>
      <c r="BG25" s="1047"/>
      <c r="BH25" s="1047"/>
      <c r="BI25" s="1047"/>
      <c r="BJ25" s="1047"/>
      <c r="BK25" s="1047"/>
      <c r="BL25" s="1047"/>
      <c r="BM25" s="1047"/>
      <c r="BN25" s="1047"/>
      <c r="BO25" s="1047"/>
      <c r="BP25" s="1044"/>
      <c r="BQ25" s="1047"/>
      <c r="BR25" s="1045">
        <v>43221</v>
      </c>
      <c r="BS25" s="1046" t="str">
        <f t="shared" si="16"/>
        <v/>
      </c>
      <c r="BT25" s="1038">
        <v>0</v>
      </c>
      <c r="BU25" s="1038" t="s">
        <v>200</v>
      </c>
      <c r="BV25" s="1047">
        <v>0</v>
      </c>
      <c r="BW25" s="1048" t="s">
        <v>200</v>
      </c>
      <c r="BX25" s="1047" t="s">
        <v>200</v>
      </c>
      <c r="BY25" s="1047"/>
      <c r="BZ25" s="1047">
        <f>'Deal Sheet'!C17</f>
        <v>0</v>
      </c>
      <c r="CA25" s="1049" t="str">
        <f>IFERROR(VLOOKUP(BZ25,'Deal Sheet'!$C$9:$G$43,5,FALSE),"")</f>
        <v/>
      </c>
      <c r="CB25" s="1044">
        <f t="shared" si="17"/>
        <v>0</v>
      </c>
      <c r="CC25" s="1044" t="str">
        <f t="shared" si="18"/>
        <v/>
      </c>
      <c r="CD25" s="1047"/>
      <c r="CE25" s="1047"/>
      <c r="CF25" s="1047"/>
      <c r="CG25" s="1047"/>
      <c r="CH25" s="1047"/>
      <c r="CI25" s="1047"/>
      <c r="CJ25" s="1047"/>
      <c r="CK25" s="1047"/>
      <c r="CL25" s="1047"/>
      <c r="CM25" s="1047"/>
      <c r="CN25" s="1047"/>
      <c r="CO25" s="1047"/>
      <c r="CP25" s="1047"/>
      <c r="CQ25" s="1047"/>
      <c r="CR25" s="1047"/>
      <c r="CS25" s="1047"/>
      <c r="CT25" s="1047"/>
      <c r="CU25" s="1047"/>
      <c r="CV25" s="1047"/>
      <c r="CW25" s="1047"/>
      <c r="CX25" s="1047"/>
      <c r="CY25" s="1047"/>
      <c r="CZ25" s="1047"/>
      <c r="DA25" s="1047"/>
      <c r="DB25" s="1047"/>
      <c r="DC25" s="1047"/>
      <c r="DD25" s="1047"/>
      <c r="DE25" s="1047"/>
      <c r="DF25" s="1047"/>
      <c r="DG25" s="1047"/>
      <c r="DH25" s="1047"/>
      <c r="DI25" s="1047"/>
      <c r="DJ25" s="1047"/>
      <c r="DK25" s="1047"/>
      <c r="DL25" s="1105"/>
      <c r="DM25" s="1105"/>
      <c r="DN25" s="1105"/>
      <c r="DO25" s="1105"/>
      <c r="DP25" s="1105"/>
      <c r="DQ25" s="1105"/>
      <c r="DR25" s="1105"/>
      <c r="DS25" s="1105"/>
      <c r="DT25" s="1105"/>
      <c r="DU25" s="1105"/>
      <c r="DV25" s="1105"/>
      <c r="DW25" s="1105"/>
      <c r="DX25" s="1105"/>
      <c r="DY25" s="1105"/>
      <c r="DZ25" s="1105"/>
      <c r="EA25" s="1105"/>
      <c r="EB25" s="1105"/>
      <c r="EC25" s="1105"/>
      <c r="ED25" s="1105"/>
      <c r="EE25" s="1105"/>
      <c r="EF25" s="1105"/>
      <c r="EG25" s="1105"/>
      <c r="EH25" s="1106"/>
      <c r="EI25" s="1106"/>
      <c r="EJ25" s="1106"/>
      <c r="EK25" s="1106"/>
      <c r="EL25" s="1106"/>
      <c r="EM25" s="1106"/>
    </row>
    <row r="26" spans="1:143" s="131" customFormat="1" ht="28" customHeight="1">
      <c r="A26" s="200" t="str">
        <f>'Deal Sheet'!Q19</f>
        <v/>
      </c>
      <c r="B26" s="1287" t="str">
        <f t="shared" si="0"/>
        <v/>
      </c>
      <c r="C26" s="1288"/>
      <c r="D26" s="1289"/>
      <c r="E26" s="1290" t="str">
        <f t="shared" si="1"/>
        <v/>
      </c>
      <c r="F26" s="1290"/>
      <c r="G26" s="1290"/>
      <c r="H26" s="1284"/>
      <c r="I26" s="1285"/>
      <c r="J26" s="1286"/>
      <c r="K26" s="345" t="str">
        <f t="shared" si="2"/>
        <v/>
      </c>
      <c r="L26" s="1047"/>
      <c r="M26" s="1047"/>
      <c r="N26" s="1047"/>
      <c r="O26" s="1031" t="e">
        <f t="shared" si="3"/>
        <v>#VALUE!</v>
      </c>
      <c r="P26" s="1047"/>
      <c r="Q26" s="1037">
        <f t="shared" ca="1" si="4"/>
        <v>1</v>
      </c>
      <c r="R26" s="1040" t="e">
        <f t="shared" ca="1" si="5"/>
        <v>#VALUE!</v>
      </c>
      <c r="S26" s="1031">
        <f t="shared" ca="1" si="6"/>
        <v>-43221</v>
      </c>
      <c r="T26" s="1047"/>
      <c r="U26" s="1047"/>
      <c r="V26" s="1047"/>
      <c r="W26" s="1047"/>
      <c r="X26" s="1047"/>
      <c r="Y26" s="1047"/>
      <c r="Z26" s="1047"/>
      <c r="AA26" s="1047"/>
      <c r="AB26" s="1047"/>
      <c r="AC26" s="1047"/>
      <c r="AD26" s="1047"/>
      <c r="AE26" s="1047"/>
      <c r="AF26" s="1047"/>
      <c r="AG26" s="1047"/>
      <c r="AH26" s="1047"/>
      <c r="AI26" s="1047"/>
      <c r="AJ26" s="1047"/>
      <c r="AK26" s="1047"/>
      <c r="AL26" s="1047"/>
      <c r="AM26" s="1047"/>
      <c r="AN26" s="1047"/>
      <c r="AO26" s="1047"/>
      <c r="AP26" s="1047"/>
      <c r="AQ26" s="1047"/>
      <c r="AR26" s="1047"/>
      <c r="AS26" s="1047"/>
      <c r="AT26" s="1047"/>
      <c r="AU26" s="1047"/>
      <c r="AV26" s="1031" t="str">
        <f t="shared" si="7"/>
        <v/>
      </c>
      <c r="AW26" s="1041" t="str">
        <f t="shared" si="8"/>
        <v/>
      </c>
      <c r="AX26" s="1041" t="str">
        <f t="shared" si="9"/>
        <v/>
      </c>
      <c r="AY26" s="1041" t="str">
        <f t="shared" si="10"/>
        <v/>
      </c>
      <c r="AZ26" s="1041" t="str">
        <f t="shared" si="11"/>
        <v/>
      </c>
      <c r="BA26" s="1031" t="str">
        <f t="shared" si="12"/>
        <v/>
      </c>
      <c r="BB26" s="1040">
        <f t="shared" si="13"/>
        <v>0</v>
      </c>
      <c r="BC26" s="1042" t="str">
        <f t="shared" si="14"/>
        <v/>
      </c>
      <c r="BD26" s="1038">
        <f t="shared" si="15"/>
        <v>0</v>
      </c>
      <c r="BE26" s="1047"/>
      <c r="BF26" s="1047"/>
      <c r="BG26" s="1047"/>
      <c r="BH26" s="1047"/>
      <c r="BI26" s="1047"/>
      <c r="BJ26" s="1047"/>
      <c r="BK26" s="1047"/>
      <c r="BL26" s="1047"/>
      <c r="BM26" s="1047"/>
      <c r="BN26" s="1047"/>
      <c r="BO26" s="1047"/>
      <c r="BP26" s="1044"/>
      <c r="BQ26" s="1047"/>
      <c r="BR26" s="1045">
        <v>43252</v>
      </c>
      <c r="BS26" s="1046" t="str">
        <f t="shared" si="16"/>
        <v/>
      </c>
      <c r="BT26" s="1038">
        <v>0</v>
      </c>
      <c r="BU26" s="1038" t="s">
        <v>200</v>
      </c>
      <c r="BV26" s="1047">
        <v>0</v>
      </c>
      <c r="BW26" s="1048" t="s">
        <v>200</v>
      </c>
      <c r="BX26" s="1047" t="s">
        <v>200</v>
      </c>
      <c r="BY26" s="1047"/>
      <c r="BZ26" s="1047">
        <f>'Deal Sheet'!C18</f>
        <v>0</v>
      </c>
      <c r="CA26" s="1049" t="str">
        <f>IFERROR(VLOOKUP(BZ26,'Deal Sheet'!$C$9:$G$43,5,FALSE),"")</f>
        <v/>
      </c>
      <c r="CB26" s="1044">
        <f t="shared" si="17"/>
        <v>0</v>
      </c>
      <c r="CC26" s="1044" t="str">
        <f t="shared" si="18"/>
        <v/>
      </c>
      <c r="CD26" s="1047"/>
      <c r="CE26" s="1047"/>
      <c r="CF26" s="1047"/>
      <c r="CG26" s="1047"/>
      <c r="CH26" s="1047"/>
      <c r="CI26" s="1047"/>
      <c r="CJ26" s="1047"/>
      <c r="CK26" s="1047"/>
      <c r="CL26" s="1047"/>
      <c r="CM26" s="1047"/>
      <c r="CN26" s="1047"/>
      <c r="CO26" s="1047"/>
      <c r="CP26" s="1047"/>
      <c r="CQ26" s="1047"/>
      <c r="CR26" s="1047"/>
      <c r="CS26" s="1047"/>
      <c r="CT26" s="1047"/>
      <c r="CU26" s="1047"/>
      <c r="CV26" s="1047"/>
      <c r="CW26" s="1047"/>
      <c r="CX26" s="1047"/>
      <c r="CY26" s="1047"/>
      <c r="CZ26" s="1047"/>
      <c r="DA26" s="1047"/>
      <c r="DB26" s="1047"/>
      <c r="DC26" s="1047"/>
      <c r="DD26" s="1047"/>
      <c r="DE26" s="1047"/>
      <c r="DF26" s="1047"/>
      <c r="DG26" s="1047"/>
      <c r="DH26" s="1047"/>
      <c r="DI26" s="1047"/>
      <c r="DJ26" s="1047"/>
      <c r="DK26" s="1047"/>
      <c r="DL26" s="1105"/>
      <c r="DM26" s="1105"/>
      <c r="DN26" s="1105"/>
      <c r="DO26" s="1105"/>
      <c r="DP26" s="1105"/>
      <c r="DQ26" s="1105"/>
      <c r="DR26" s="1105"/>
      <c r="DS26" s="1105"/>
      <c r="DT26" s="1105"/>
      <c r="DU26" s="1105"/>
      <c r="DV26" s="1105"/>
      <c r="DW26" s="1105"/>
      <c r="DX26" s="1105"/>
      <c r="DY26" s="1105"/>
      <c r="DZ26" s="1105"/>
      <c r="EA26" s="1105"/>
      <c r="EB26" s="1105"/>
      <c r="EC26" s="1105"/>
      <c r="ED26" s="1105"/>
      <c r="EE26" s="1105"/>
      <c r="EF26" s="1105"/>
      <c r="EG26" s="1105"/>
      <c r="EH26" s="1106"/>
      <c r="EI26" s="1106"/>
      <c r="EJ26" s="1106"/>
      <c r="EK26" s="1106"/>
      <c r="EL26" s="1106"/>
      <c r="EM26" s="1106"/>
    </row>
    <row r="27" spans="1:143" s="131" customFormat="1" ht="28" customHeight="1">
      <c r="A27" s="200" t="str">
        <f>'Deal Sheet'!Q20</f>
        <v/>
      </c>
      <c r="B27" s="1287" t="str">
        <f t="shared" si="0"/>
        <v/>
      </c>
      <c r="C27" s="1288"/>
      <c r="D27" s="1289"/>
      <c r="E27" s="1290" t="str">
        <f t="shared" si="1"/>
        <v/>
      </c>
      <c r="F27" s="1290"/>
      <c r="G27" s="1290"/>
      <c r="H27" s="1284"/>
      <c r="I27" s="1285"/>
      <c r="J27" s="1286"/>
      <c r="K27" s="345" t="str">
        <f t="shared" si="2"/>
        <v/>
      </c>
      <c r="L27" s="1047"/>
      <c r="M27" s="1047"/>
      <c r="N27" s="1047"/>
      <c r="O27" s="1031" t="e">
        <f t="shared" si="3"/>
        <v>#VALUE!</v>
      </c>
      <c r="P27" s="1047"/>
      <c r="Q27" s="1037">
        <f t="shared" ca="1" si="4"/>
        <v>1</v>
      </c>
      <c r="R27" s="1040" t="e">
        <f t="shared" ca="1" si="5"/>
        <v>#VALUE!</v>
      </c>
      <c r="S27" s="1031">
        <f t="shared" ca="1" si="6"/>
        <v>-43221</v>
      </c>
      <c r="T27" s="1047"/>
      <c r="U27" s="1047"/>
      <c r="V27" s="1047"/>
      <c r="W27" s="1047"/>
      <c r="X27" s="1047"/>
      <c r="Y27" s="1047"/>
      <c r="Z27" s="1047"/>
      <c r="AA27" s="1047"/>
      <c r="AB27" s="1047"/>
      <c r="AC27" s="1047"/>
      <c r="AD27" s="1047"/>
      <c r="AE27" s="1047"/>
      <c r="AF27" s="1047"/>
      <c r="AG27" s="1047"/>
      <c r="AH27" s="1047"/>
      <c r="AI27" s="1047"/>
      <c r="AJ27" s="1047"/>
      <c r="AK27" s="1047"/>
      <c r="AL27" s="1047"/>
      <c r="AM27" s="1047"/>
      <c r="AN27" s="1047"/>
      <c r="AO27" s="1047"/>
      <c r="AP27" s="1047"/>
      <c r="AQ27" s="1047"/>
      <c r="AR27" s="1047"/>
      <c r="AS27" s="1047"/>
      <c r="AT27" s="1047"/>
      <c r="AU27" s="1047"/>
      <c r="AV27" s="1031" t="str">
        <f t="shared" si="7"/>
        <v/>
      </c>
      <c r="AW27" s="1041" t="str">
        <f t="shared" si="8"/>
        <v/>
      </c>
      <c r="AX27" s="1041" t="str">
        <f t="shared" si="9"/>
        <v/>
      </c>
      <c r="AY27" s="1041" t="str">
        <f t="shared" si="10"/>
        <v/>
      </c>
      <c r="AZ27" s="1041" t="str">
        <f t="shared" si="11"/>
        <v/>
      </c>
      <c r="BA27" s="1031" t="str">
        <f t="shared" si="12"/>
        <v/>
      </c>
      <c r="BB27" s="1040">
        <f t="shared" si="13"/>
        <v>0</v>
      </c>
      <c r="BC27" s="1042" t="str">
        <f t="shared" si="14"/>
        <v/>
      </c>
      <c r="BD27" s="1038">
        <f t="shared" si="15"/>
        <v>0</v>
      </c>
      <c r="BE27" s="1047"/>
      <c r="BF27" s="1047"/>
      <c r="BG27" s="1047"/>
      <c r="BH27" s="1047"/>
      <c r="BI27" s="1047"/>
      <c r="BJ27" s="1047"/>
      <c r="BK27" s="1047"/>
      <c r="BL27" s="1047"/>
      <c r="BM27" s="1047"/>
      <c r="BN27" s="1047"/>
      <c r="BO27" s="1047"/>
      <c r="BP27" s="1044"/>
      <c r="BQ27" s="1047"/>
      <c r="BR27" s="1045">
        <v>43282</v>
      </c>
      <c r="BS27" s="1046" t="str">
        <f t="shared" si="16"/>
        <v/>
      </c>
      <c r="BT27" s="1038">
        <v>0</v>
      </c>
      <c r="BU27" s="1038" t="s">
        <v>200</v>
      </c>
      <c r="BV27" s="1047">
        <v>0</v>
      </c>
      <c r="BW27" s="1048" t="s">
        <v>200</v>
      </c>
      <c r="BX27" s="1047" t="s">
        <v>200</v>
      </c>
      <c r="BY27" s="1047"/>
      <c r="BZ27" s="1047">
        <f>'Deal Sheet'!C19</f>
        <v>0</v>
      </c>
      <c r="CA27" s="1049" t="str">
        <f>IFERROR(VLOOKUP(BZ27,'Deal Sheet'!$C$9:$G$43,5,FALSE),"")</f>
        <v/>
      </c>
      <c r="CB27" s="1044">
        <f t="shared" si="17"/>
        <v>0</v>
      </c>
      <c r="CC27" s="1044" t="str">
        <f t="shared" si="18"/>
        <v/>
      </c>
      <c r="CD27" s="1047"/>
      <c r="CE27" s="1047"/>
      <c r="CF27" s="1047"/>
      <c r="CG27" s="1047"/>
      <c r="CH27" s="1047"/>
      <c r="CI27" s="1047"/>
      <c r="CJ27" s="1047"/>
      <c r="CK27" s="1047"/>
      <c r="CL27" s="1047"/>
      <c r="CM27" s="1047"/>
      <c r="CN27" s="1047"/>
      <c r="CO27" s="1047"/>
      <c r="CP27" s="1047"/>
      <c r="CQ27" s="1047"/>
      <c r="CR27" s="1047"/>
      <c r="CS27" s="1047"/>
      <c r="CT27" s="1047"/>
      <c r="CU27" s="1047"/>
      <c r="CV27" s="1047"/>
      <c r="CW27" s="1047"/>
      <c r="CX27" s="1047"/>
      <c r="CY27" s="1047"/>
      <c r="CZ27" s="1047"/>
      <c r="DA27" s="1047"/>
      <c r="DB27" s="1047"/>
      <c r="DC27" s="1047"/>
      <c r="DD27" s="1047"/>
      <c r="DE27" s="1047"/>
      <c r="DF27" s="1047"/>
      <c r="DG27" s="1047"/>
      <c r="DH27" s="1047"/>
      <c r="DI27" s="1047"/>
      <c r="DJ27" s="1047"/>
      <c r="DK27" s="1047"/>
      <c r="DL27" s="1105"/>
      <c r="DM27" s="1105"/>
      <c r="DN27" s="1105"/>
      <c r="DO27" s="1105"/>
      <c r="DP27" s="1105"/>
      <c r="DQ27" s="1105"/>
      <c r="DR27" s="1105"/>
      <c r="DS27" s="1105"/>
      <c r="DT27" s="1105"/>
      <c r="DU27" s="1105"/>
      <c r="DV27" s="1105"/>
      <c r="DW27" s="1105"/>
      <c r="DX27" s="1105"/>
      <c r="DY27" s="1105"/>
      <c r="DZ27" s="1105"/>
      <c r="EA27" s="1105"/>
      <c r="EB27" s="1105"/>
      <c r="EC27" s="1105"/>
      <c r="ED27" s="1105"/>
      <c r="EE27" s="1105"/>
      <c r="EF27" s="1105"/>
      <c r="EG27" s="1105"/>
      <c r="EH27" s="1106"/>
      <c r="EI27" s="1106"/>
      <c r="EJ27" s="1106"/>
      <c r="EK27" s="1106"/>
      <c r="EL27" s="1106"/>
      <c r="EM27" s="1106"/>
    </row>
    <row r="28" spans="1:143" s="131" customFormat="1" ht="28" customHeight="1">
      <c r="A28" s="200" t="str">
        <f>'Deal Sheet'!Q21</f>
        <v/>
      </c>
      <c r="B28" s="1287" t="str">
        <f t="shared" si="0"/>
        <v/>
      </c>
      <c r="C28" s="1288"/>
      <c r="D28" s="1289"/>
      <c r="E28" s="1290" t="str">
        <f t="shared" si="1"/>
        <v/>
      </c>
      <c r="F28" s="1290"/>
      <c r="G28" s="1290"/>
      <c r="H28" s="1284"/>
      <c r="I28" s="1285"/>
      <c r="J28" s="1286"/>
      <c r="K28" s="345" t="str">
        <f t="shared" si="2"/>
        <v/>
      </c>
      <c r="L28" s="1047"/>
      <c r="M28" s="1047"/>
      <c r="N28" s="1047"/>
      <c r="O28" s="1031" t="e">
        <f t="shared" si="3"/>
        <v>#VALUE!</v>
      </c>
      <c r="P28" s="1047"/>
      <c r="Q28" s="1037">
        <f t="shared" ca="1" si="4"/>
        <v>1</v>
      </c>
      <c r="R28" s="1040" t="e">
        <f t="shared" ca="1" si="5"/>
        <v>#VALUE!</v>
      </c>
      <c r="S28" s="1031">
        <f t="shared" ca="1" si="6"/>
        <v>-43221</v>
      </c>
      <c r="T28" s="1047"/>
      <c r="U28" s="1047"/>
      <c r="V28" s="1047"/>
      <c r="W28" s="1047"/>
      <c r="X28" s="1047"/>
      <c r="Y28" s="1047"/>
      <c r="Z28" s="1047"/>
      <c r="AA28" s="1047"/>
      <c r="AB28" s="1047"/>
      <c r="AC28" s="1047"/>
      <c r="AD28" s="1047"/>
      <c r="AE28" s="1047"/>
      <c r="AF28" s="1047"/>
      <c r="AG28" s="1047"/>
      <c r="AH28" s="1047"/>
      <c r="AI28" s="1047"/>
      <c r="AJ28" s="1047"/>
      <c r="AK28" s="1047"/>
      <c r="AL28" s="1047"/>
      <c r="AM28" s="1047"/>
      <c r="AN28" s="1047"/>
      <c r="AO28" s="1047"/>
      <c r="AP28" s="1047"/>
      <c r="AQ28" s="1047"/>
      <c r="AR28" s="1047"/>
      <c r="AS28" s="1047"/>
      <c r="AT28" s="1047"/>
      <c r="AU28" s="1047"/>
      <c r="AV28" s="1031" t="str">
        <f t="shared" si="7"/>
        <v/>
      </c>
      <c r="AW28" s="1041" t="str">
        <f t="shared" si="8"/>
        <v/>
      </c>
      <c r="AX28" s="1041" t="str">
        <f t="shared" si="9"/>
        <v/>
      </c>
      <c r="AY28" s="1041" t="str">
        <f t="shared" si="10"/>
        <v/>
      </c>
      <c r="AZ28" s="1041" t="str">
        <f t="shared" si="11"/>
        <v/>
      </c>
      <c r="BA28" s="1031" t="str">
        <f t="shared" si="12"/>
        <v/>
      </c>
      <c r="BB28" s="1040">
        <f t="shared" si="13"/>
        <v>0</v>
      </c>
      <c r="BC28" s="1042" t="str">
        <f t="shared" si="14"/>
        <v/>
      </c>
      <c r="BD28" s="1038">
        <f t="shared" si="15"/>
        <v>0</v>
      </c>
      <c r="BE28" s="1047"/>
      <c r="BF28" s="1047"/>
      <c r="BG28" s="1047"/>
      <c r="BH28" s="1047"/>
      <c r="BI28" s="1047"/>
      <c r="BJ28" s="1047"/>
      <c r="BK28" s="1047"/>
      <c r="BL28" s="1047"/>
      <c r="BM28" s="1047"/>
      <c r="BN28" s="1047"/>
      <c r="BO28" s="1047"/>
      <c r="BP28" s="1044"/>
      <c r="BQ28" s="1047"/>
      <c r="BR28" s="1045">
        <v>43313</v>
      </c>
      <c r="BS28" s="1046" t="str">
        <f t="shared" si="16"/>
        <v/>
      </c>
      <c r="BT28" s="1038">
        <v>0</v>
      </c>
      <c r="BU28" s="1038" t="s">
        <v>200</v>
      </c>
      <c r="BV28" s="1047">
        <v>0</v>
      </c>
      <c r="BW28" s="1048" t="s">
        <v>200</v>
      </c>
      <c r="BX28" s="1047" t="s">
        <v>200</v>
      </c>
      <c r="BY28" s="1047"/>
      <c r="BZ28" s="1047">
        <f>'Deal Sheet'!C20</f>
        <v>0</v>
      </c>
      <c r="CA28" s="1049" t="str">
        <f>IFERROR(VLOOKUP(BZ28,'Deal Sheet'!$C$9:$G$43,5,FALSE),"")</f>
        <v/>
      </c>
      <c r="CB28" s="1044">
        <f t="shared" si="17"/>
        <v>0</v>
      </c>
      <c r="CC28" s="1044" t="str">
        <f t="shared" si="18"/>
        <v/>
      </c>
      <c r="CD28" s="1047"/>
      <c r="CE28" s="1047"/>
      <c r="CF28" s="1047"/>
      <c r="CG28" s="1047"/>
      <c r="CH28" s="1047"/>
      <c r="CI28" s="1047"/>
      <c r="CJ28" s="1047"/>
      <c r="CK28" s="1047"/>
      <c r="CL28" s="1047"/>
      <c r="CM28" s="1047"/>
      <c r="CN28" s="1047"/>
      <c r="CO28" s="1047"/>
      <c r="CP28" s="1047"/>
      <c r="CQ28" s="1047"/>
      <c r="CR28" s="1047"/>
      <c r="CS28" s="1047"/>
      <c r="CT28" s="1047"/>
      <c r="CU28" s="1047"/>
      <c r="CV28" s="1047"/>
      <c r="CW28" s="1047"/>
      <c r="CX28" s="1047"/>
      <c r="CY28" s="1047"/>
      <c r="CZ28" s="1047"/>
      <c r="DA28" s="1047"/>
      <c r="DB28" s="1047"/>
      <c r="DC28" s="1047"/>
      <c r="DD28" s="1047"/>
      <c r="DE28" s="1047"/>
      <c r="DF28" s="1047"/>
      <c r="DG28" s="1047"/>
      <c r="DH28" s="1047"/>
      <c r="DI28" s="1047"/>
      <c r="DJ28" s="1047"/>
      <c r="DK28" s="1047"/>
      <c r="DL28" s="1105"/>
      <c r="DM28" s="1105"/>
      <c r="DN28" s="1105"/>
      <c r="DO28" s="1105"/>
      <c r="DP28" s="1105"/>
      <c r="DQ28" s="1105"/>
      <c r="DR28" s="1105"/>
      <c r="DS28" s="1105"/>
      <c r="DT28" s="1105"/>
      <c r="DU28" s="1105"/>
      <c r="DV28" s="1105"/>
      <c r="DW28" s="1105"/>
      <c r="DX28" s="1105"/>
      <c r="DY28" s="1105"/>
      <c r="DZ28" s="1105"/>
      <c r="EA28" s="1105"/>
      <c r="EB28" s="1105"/>
      <c r="EC28" s="1105"/>
      <c r="ED28" s="1105"/>
      <c r="EE28" s="1105"/>
      <c r="EF28" s="1105"/>
      <c r="EG28" s="1105"/>
      <c r="EH28" s="1106"/>
      <c r="EI28" s="1106"/>
      <c r="EJ28" s="1106"/>
      <c r="EK28" s="1106"/>
      <c r="EL28" s="1106"/>
      <c r="EM28" s="1106"/>
    </row>
    <row r="29" spans="1:143" s="131" customFormat="1" ht="28" customHeight="1">
      <c r="A29" s="200" t="str">
        <f>'Deal Sheet'!Q22</f>
        <v/>
      </c>
      <c r="B29" s="1287" t="str">
        <f t="shared" si="0"/>
        <v/>
      </c>
      <c r="C29" s="1288"/>
      <c r="D29" s="1289"/>
      <c r="E29" s="1290" t="str">
        <f t="shared" si="1"/>
        <v/>
      </c>
      <c r="F29" s="1290"/>
      <c r="G29" s="1290"/>
      <c r="H29" s="1284"/>
      <c r="I29" s="1285"/>
      <c r="J29" s="1286"/>
      <c r="K29" s="345" t="str">
        <f t="shared" si="2"/>
        <v/>
      </c>
      <c r="L29" s="1047"/>
      <c r="M29" s="1047"/>
      <c r="N29" s="1047"/>
      <c r="O29" s="1031" t="e">
        <f t="shared" si="3"/>
        <v>#VALUE!</v>
      </c>
      <c r="P29" s="1047"/>
      <c r="Q29" s="1037">
        <f t="shared" ca="1" si="4"/>
        <v>1</v>
      </c>
      <c r="R29" s="1040" t="e">
        <f t="shared" ca="1" si="5"/>
        <v>#VALUE!</v>
      </c>
      <c r="S29" s="1031">
        <f t="shared" ca="1" si="6"/>
        <v>-43221</v>
      </c>
      <c r="T29" s="1047"/>
      <c r="U29" s="1047"/>
      <c r="V29" s="1047"/>
      <c r="W29" s="1047"/>
      <c r="X29" s="1047"/>
      <c r="Y29" s="1047"/>
      <c r="Z29" s="1047"/>
      <c r="AA29" s="1047"/>
      <c r="AB29" s="1047"/>
      <c r="AC29" s="1047"/>
      <c r="AD29" s="1047"/>
      <c r="AE29" s="1047"/>
      <c r="AF29" s="1047"/>
      <c r="AG29" s="1047"/>
      <c r="AH29" s="1047"/>
      <c r="AI29" s="1047"/>
      <c r="AJ29" s="1047"/>
      <c r="AK29" s="1047"/>
      <c r="AL29" s="1047"/>
      <c r="AM29" s="1047"/>
      <c r="AN29" s="1047"/>
      <c r="AO29" s="1047"/>
      <c r="AP29" s="1047"/>
      <c r="AQ29" s="1047"/>
      <c r="AR29" s="1047"/>
      <c r="AS29" s="1047"/>
      <c r="AT29" s="1047"/>
      <c r="AU29" s="1047"/>
      <c r="AV29" s="1031" t="str">
        <f t="shared" si="7"/>
        <v/>
      </c>
      <c r="AW29" s="1041" t="str">
        <f t="shared" si="8"/>
        <v/>
      </c>
      <c r="AX29" s="1041" t="str">
        <f t="shared" si="9"/>
        <v/>
      </c>
      <c r="AY29" s="1041" t="str">
        <f t="shared" si="10"/>
        <v/>
      </c>
      <c r="AZ29" s="1041" t="str">
        <f t="shared" si="11"/>
        <v/>
      </c>
      <c r="BA29" s="1031" t="str">
        <f t="shared" si="12"/>
        <v/>
      </c>
      <c r="BB29" s="1040">
        <f t="shared" si="13"/>
        <v>0</v>
      </c>
      <c r="BC29" s="1042" t="str">
        <f t="shared" si="14"/>
        <v/>
      </c>
      <c r="BD29" s="1038">
        <f t="shared" si="15"/>
        <v>0</v>
      </c>
      <c r="BE29" s="1047"/>
      <c r="BF29" s="1047"/>
      <c r="BG29" s="1047"/>
      <c r="BH29" s="1047"/>
      <c r="BI29" s="1047"/>
      <c r="BJ29" s="1047"/>
      <c r="BK29" s="1047"/>
      <c r="BL29" s="1047"/>
      <c r="BM29" s="1047"/>
      <c r="BN29" s="1047"/>
      <c r="BO29" s="1047"/>
      <c r="BP29" s="1047"/>
      <c r="BQ29" s="1047"/>
      <c r="BR29" s="1045">
        <v>43344</v>
      </c>
      <c r="BS29" s="1046" t="str">
        <f t="shared" si="16"/>
        <v/>
      </c>
      <c r="BT29" s="1038">
        <v>0</v>
      </c>
      <c r="BU29" s="1038" t="s">
        <v>200</v>
      </c>
      <c r="BV29" s="1047">
        <v>0</v>
      </c>
      <c r="BW29" s="1048" t="s">
        <v>200</v>
      </c>
      <c r="BX29" s="1047" t="s">
        <v>200</v>
      </c>
      <c r="BY29" s="1047"/>
      <c r="BZ29" s="1047">
        <f>'Deal Sheet'!C21</f>
        <v>0</v>
      </c>
      <c r="CA29" s="1049" t="str">
        <f>IFERROR(VLOOKUP(BZ29,'Deal Sheet'!$C$9:$G$43,5,FALSE),"")</f>
        <v/>
      </c>
      <c r="CB29" s="1044">
        <f t="shared" si="17"/>
        <v>0</v>
      </c>
      <c r="CC29" s="1044" t="str">
        <f t="shared" si="18"/>
        <v/>
      </c>
      <c r="CD29" s="1047"/>
      <c r="CE29" s="1047"/>
      <c r="CF29" s="1047"/>
      <c r="CG29" s="1047"/>
      <c r="CH29" s="1047"/>
      <c r="CI29" s="1047"/>
      <c r="CJ29" s="1047"/>
      <c r="CK29" s="1047"/>
      <c r="CL29" s="1047"/>
      <c r="CM29" s="1047"/>
      <c r="CN29" s="1047"/>
      <c r="CO29" s="1047"/>
      <c r="CP29" s="1047"/>
      <c r="CQ29" s="1047"/>
      <c r="CR29" s="1047"/>
      <c r="CS29" s="1047"/>
      <c r="CT29" s="1047"/>
      <c r="CU29" s="1047"/>
      <c r="CV29" s="1047"/>
      <c r="CW29" s="1047"/>
      <c r="CX29" s="1047"/>
      <c r="CY29" s="1047"/>
      <c r="CZ29" s="1047"/>
      <c r="DA29" s="1047"/>
      <c r="DB29" s="1047"/>
      <c r="DC29" s="1047"/>
      <c r="DD29" s="1047"/>
      <c r="DE29" s="1047"/>
      <c r="DF29" s="1047"/>
      <c r="DG29" s="1047"/>
      <c r="DH29" s="1047"/>
      <c r="DI29" s="1047"/>
      <c r="DJ29" s="1047"/>
      <c r="DK29" s="1047"/>
      <c r="DL29" s="1105"/>
      <c r="DM29" s="1105"/>
      <c r="DN29" s="1105"/>
      <c r="DO29" s="1105"/>
      <c r="DP29" s="1105"/>
      <c r="DQ29" s="1105"/>
      <c r="DR29" s="1105"/>
      <c r="DS29" s="1105"/>
      <c r="DT29" s="1105"/>
      <c r="DU29" s="1105"/>
      <c r="DV29" s="1105"/>
      <c r="DW29" s="1105"/>
      <c r="DX29" s="1105"/>
      <c r="DY29" s="1105"/>
      <c r="DZ29" s="1105"/>
      <c r="EA29" s="1105"/>
      <c r="EB29" s="1105"/>
      <c r="EC29" s="1105"/>
      <c r="ED29" s="1105"/>
      <c r="EE29" s="1105"/>
      <c r="EF29" s="1105"/>
      <c r="EG29" s="1105"/>
      <c r="EH29" s="1106"/>
      <c r="EI29" s="1106"/>
      <c r="EJ29" s="1106"/>
      <c r="EK29" s="1106"/>
      <c r="EL29" s="1106"/>
      <c r="EM29" s="1106"/>
    </row>
    <row r="30" spans="1:143" s="131" customFormat="1" ht="28" customHeight="1">
      <c r="A30" s="200" t="str">
        <f>'Deal Sheet'!Q23</f>
        <v/>
      </c>
      <c r="B30" s="1287" t="str">
        <f t="shared" si="0"/>
        <v/>
      </c>
      <c r="C30" s="1288"/>
      <c r="D30" s="1289"/>
      <c r="E30" s="1290" t="str">
        <f t="shared" si="1"/>
        <v/>
      </c>
      <c r="F30" s="1290"/>
      <c r="G30" s="1290"/>
      <c r="H30" s="1284"/>
      <c r="I30" s="1285"/>
      <c r="J30" s="1286"/>
      <c r="K30" s="345" t="str">
        <f t="shared" si="2"/>
        <v/>
      </c>
      <c r="L30" s="1047"/>
      <c r="M30" s="1047"/>
      <c r="N30" s="1047"/>
      <c r="O30" s="1031" t="e">
        <f t="shared" si="3"/>
        <v>#VALUE!</v>
      </c>
      <c r="P30" s="1047"/>
      <c r="Q30" s="1037">
        <f t="shared" ca="1" si="4"/>
        <v>1</v>
      </c>
      <c r="R30" s="1040" t="e">
        <f t="shared" ca="1" si="5"/>
        <v>#VALUE!</v>
      </c>
      <c r="S30" s="1031">
        <f t="shared" ca="1" si="6"/>
        <v>-43221</v>
      </c>
      <c r="T30" s="1047"/>
      <c r="U30" s="1047"/>
      <c r="V30" s="1047"/>
      <c r="W30" s="1047"/>
      <c r="X30" s="1047"/>
      <c r="Y30" s="1047"/>
      <c r="Z30" s="1047"/>
      <c r="AA30" s="1047"/>
      <c r="AB30" s="1047"/>
      <c r="AC30" s="1047"/>
      <c r="AD30" s="1047"/>
      <c r="AE30" s="1047"/>
      <c r="AF30" s="1047"/>
      <c r="AG30" s="1047"/>
      <c r="AH30" s="1047"/>
      <c r="AI30" s="1047"/>
      <c r="AJ30" s="1047"/>
      <c r="AK30" s="1047"/>
      <c r="AL30" s="1047"/>
      <c r="AM30" s="1047"/>
      <c r="AN30" s="1047"/>
      <c r="AO30" s="1047"/>
      <c r="AP30" s="1047"/>
      <c r="AQ30" s="1047"/>
      <c r="AR30" s="1047"/>
      <c r="AS30" s="1047"/>
      <c r="AT30" s="1047"/>
      <c r="AU30" s="1047"/>
      <c r="AV30" s="1031" t="str">
        <f t="shared" si="7"/>
        <v/>
      </c>
      <c r="AW30" s="1041" t="str">
        <f t="shared" si="8"/>
        <v/>
      </c>
      <c r="AX30" s="1041" t="str">
        <f t="shared" si="9"/>
        <v/>
      </c>
      <c r="AY30" s="1041" t="str">
        <f t="shared" si="10"/>
        <v/>
      </c>
      <c r="AZ30" s="1041" t="str">
        <f t="shared" si="11"/>
        <v/>
      </c>
      <c r="BA30" s="1031" t="str">
        <f t="shared" si="12"/>
        <v/>
      </c>
      <c r="BB30" s="1040">
        <f t="shared" si="13"/>
        <v>0</v>
      </c>
      <c r="BC30" s="1042" t="str">
        <f t="shared" si="14"/>
        <v/>
      </c>
      <c r="BD30" s="1038">
        <f t="shared" si="15"/>
        <v>0</v>
      </c>
      <c r="BE30" s="1047"/>
      <c r="BF30" s="1047"/>
      <c r="BG30" s="1047"/>
      <c r="BH30" s="1047"/>
      <c r="BI30" s="1047"/>
      <c r="BJ30" s="1047"/>
      <c r="BK30" s="1047"/>
      <c r="BL30" s="1047"/>
      <c r="BM30" s="1047"/>
      <c r="BN30" s="1047"/>
      <c r="BO30" s="1047"/>
      <c r="BP30" s="1047"/>
      <c r="BQ30" s="1047"/>
      <c r="BR30" s="1045">
        <v>43374</v>
      </c>
      <c r="BS30" s="1046" t="str">
        <f t="shared" si="16"/>
        <v/>
      </c>
      <c r="BT30" s="1038">
        <v>0</v>
      </c>
      <c r="BU30" s="1038" t="s">
        <v>200</v>
      </c>
      <c r="BV30" s="1047">
        <v>0</v>
      </c>
      <c r="BW30" s="1048" t="s">
        <v>200</v>
      </c>
      <c r="BX30" s="1047" t="s">
        <v>200</v>
      </c>
      <c r="BY30" s="1047"/>
      <c r="BZ30" s="1047">
        <f>'Deal Sheet'!C22</f>
        <v>0</v>
      </c>
      <c r="CA30" s="1049" t="str">
        <f>IFERROR(VLOOKUP(BZ30,'Deal Sheet'!$C$9:$G$43,5,FALSE),"")</f>
        <v/>
      </c>
      <c r="CB30" s="1044">
        <f t="shared" si="17"/>
        <v>0</v>
      </c>
      <c r="CC30" s="1044" t="str">
        <f t="shared" si="18"/>
        <v/>
      </c>
      <c r="CD30" s="1047"/>
      <c r="CE30" s="1047"/>
      <c r="CF30" s="1047"/>
      <c r="CG30" s="1047"/>
      <c r="CH30" s="1047"/>
      <c r="CI30" s="1047"/>
      <c r="CJ30" s="1047"/>
      <c r="CK30" s="1047"/>
      <c r="CL30" s="1047"/>
      <c r="CM30" s="1047"/>
      <c r="CN30" s="1047"/>
      <c r="CO30" s="1047"/>
      <c r="CP30" s="1047"/>
      <c r="CQ30" s="1047"/>
      <c r="CR30" s="1047"/>
      <c r="CS30" s="1047"/>
      <c r="CT30" s="1047"/>
      <c r="CU30" s="1047"/>
      <c r="CV30" s="1047"/>
      <c r="CW30" s="1047"/>
      <c r="CX30" s="1047"/>
      <c r="CY30" s="1047"/>
      <c r="CZ30" s="1047"/>
      <c r="DA30" s="1047"/>
      <c r="DB30" s="1047"/>
      <c r="DC30" s="1047"/>
      <c r="DD30" s="1047"/>
      <c r="DE30" s="1047"/>
      <c r="DF30" s="1047"/>
      <c r="DG30" s="1047"/>
      <c r="DH30" s="1047"/>
      <c r="DI30" s="1047"/>
      <c r="DJ30" s="1047"/>
      <c r="DK30" s="1047"/>
      <c r="DL30" s="1105"/>
      <c r="DM30" s="1105"/>
      <c r="DN30" s="1105"/>
      <c r="DO30" s="1105"/>
      <c r="DP30" s="1105"/>
      <c r="DQ30" s="1105"/>
      <c r="DR30" s="1105"/>
      <c r="DS30" s="1105"/>
      <c r="DT30" s="1105"/>
      <c r="DU30" s="1105"/>
      <c r="DV30" s="1105"/>
      <c r="DW30" s="1105"/>
      <c r="DX30" s="1105"/>
      <c r="DY30" s="1105"/>
      <c r="DZ30" s="1105"/>
      <c r="EA30" s="1105"/>
      <c r="EB30" s="1105"/>
      <c r="EC30" s="1105"/>
      <c r="ED30" s="1105"/>
      <c r="EE30" s="1105"/>
      <c r="EF30" s="1105"/>
      <c r="EG30" s="1105"/>
      <c r="EH30" s="1106"/>
      <c r="EI30" s="1106"/>
      <c r="EJ30" s="1106"/>
      <c r="EK30" s="1106"/>
      <c r="EL30" s="1106"/>
      <c r="EM30" s="1106"/>
    </row>
    <row r="31" spans="1:143" s="131" customFormat="1" ht="28" customHeight="1">
      <c r="A31" s="200" t="str">
        <f>'Deal Sheet'!Q24</f>
        <v/>
      </c>
      <c r="B31" s="1287" t="str">
        <f t="shared" si="0"/>
        <v/>
      </c>
      <c r="C31" s="1288"/>
      <c r="D31" s="1289"/>
      <c r="E31" s="1290" t="str">
        <f t="shared" si="1"/>
        <v/>
      </c>
      <c r="F31" s="1290"/>
      <c r="G31" s="1290"/>
      <c r="H31" s="1284"/>
      <c r="I31" s="1285"/>
      <c r="J31" s="1286"/>
      <c r="K31" s="345" t="str">
        <f t="shared" si="2"/>
        <v/>
      </c>
      <c r="L31" s="1047"/>
      <c r="M31" s="1047"/>
      <c r="N31" s="1047"/>
      <c r="O31" s="1031" t="e">
        <f t="shared" si="3"/>
        <v>#VALUE!</v>
      </c>
      <c r="P31" s="1047"/>
      <c r="Q31" s="1037">
        <f t="shared" ca="1" si="4"/>
        <v>1</v>
      </c>
      <c r="R31" s="1040" t="e">
        <f t="shared" ca="1" si="5"/>
        <v>#VALUE!</v>
      </c>
      <c r="S31" s="1031">
        <f t="shared" ca="1" si="6"/>
        <v>-43221</v>
      </c>
      <c r="T31" s="1047"/>
      <c r="U31" s="1047"/>
      <c r="V31" s="1047"/>
      <c r="W31" s="1047"/>
      <c r="X31" s="1047"/>
      <c r="Y31" s="1047"/>
      <c r="Z31" s="1047"/>
      <c r="AA31" s="1047"/>
      <c r="AB31" s="1047"/>
      <c r="AC31" s="1047"/>
      <c r="AD31" s="1047"/>
      <c r="AE31" s="1047"/>
      <c r="AF31" s="1047"/>
      <c r="AG31" s="1047"/>
      <c r="AH31" s="1047"/>
      <c r="AI31" s="1047"/>
      <c r="AJ31" s="1047"/>
      <c r="AK31" s="1047"/>
      <c r="AL31" s="1047"/>
      <c r="AM31" s="1047"/>
      <c r="AN31" s="1047"/>
      <c r="AO31" s="1047"/>
      <c r="AP31" s="1047"/>
      <c r="AQ31" s="1047"/>
      <c r="AR31" s="1047"/>
      <c r="AS31" s="1047"/>
      <c r="AT31" s="1047"/>
      <c r="AU31" s="1047"/>
      <c r="AV31" s="1031" t="str">
        <f t="shared" si="7"/>
        <v/>
      </c>
      <c r="AW31" s="1041" t="str">
        <f t="shared" si="8"/>
        <v/>
      </c>
      <c r="AX31" s="1041" t="str">
        <f t="shared" si="9"/>
        <v/>
      </c>
      <c r="AY31" s="1041" t="str">
        <f t="shared" si="10"/>
        <v/>
      </c>
      <c r="AZ31" s="1041" t="str">
        <f t="shared" si="11"/>
        <v/>
      </c>
      <c r="BA31" s="1031" t="str">
        <f t="shared" si="12"/>
        <v/>
      </c>
      <c r="BB31" s="1040">
        <f t="shared" si="13"/>
        <v>0</v>
      </c>
      <c r="BC31" s="1042" t="str">
        <f t="shared" si="14"/>
        <v/>
      </c>
      <c r="BD31" s="1038">
        <f t="shared" si="15"/>
        <v>0</v>
      </c>
      <c r="BE31" s="1047"/>
      <c r="BF31" s="1047"/>
      <c r="BG31" s="1047"/>
      <c r="BH31" s="1047"/>
      <c r="BI31" s="1047"/>
      <c r="BJ31" s="1047"/>
      <c r="BK31" s="1047"/>
      <c r="BL31" s="1047"/>
      <c r="BM31" s="1047"/>
      <c r="BN31" s="1047"/>
      <c r="BO31" s="1047"/>
      <c r="BP31" s="1047"/>
      <c r="BQ31" s="1047"/>
      <c r="BR31" s="1045">
        <v>43405</v>
      </c>
      <c r="BS31" s="1046" t="str">
        <f t="shared" si="16"/>
        <v/>
      </c>
      <c r="BT31" s="1038">
        <v>0</v>
      </c>
      <c r="BU31" s="1038" t="s">
        <v>200</v>
      </c>
      <c r="BV31" s="1047">
        <v>0</v>
      </c>
      <c r="BW31" s="1048" t="s">
        <v>200</v>
      </c>
      <c r="BX31" s="1047" t="s">
        <v>200</v>
      </c>
      <c r="BY31" s="1047"/>
      <c r="BZ31" s="1047">
        <f>'Deal Sheet'!C23</f>
        <v>0</v>
      </c>
      <c r="CA31" s="1050" t="str">
        <f>IFERROR(VLOOKUP(BZ31,'Deal Sheet'!$C$9:$G$43,5,FALSE),"")</f>
        <v/>
      </c>
      <c r="CB31" s="1044">
        <f t="shared" si="17"/>
        <v>0</v>
      </c>
      <c r="CC31" s="1044" t="str">
        <f t="shared" si="18"/>
        <v/>
      </c>
      <c r="CD31" s="1047"/>
      <c r="CE31" s="1047"/>
      <c r="CF31" s="1047"/>
      <c r="CG31" s="1047"/>
      <c r="CH31" s="1047"/>
      <c r="CI31" s="1047"/>
      <c r="CJ31" s="1047"/>
      <c r="CK31" s="1047"/>
      <c r="CL31" s="1047"/>
      <c r="CM31" s="1047"/>
      <c r="CN31" s="1047"/>
      <c r="CO31" s="1047"/>
      <c r="CP31" s="1047"/>
      <c r="CQ31" s="1047"/>
      <c r="CR31" s="1047"/>
      <c r="CS31" s="1047"/>
      <c r="CT31" s="1047"/>
      <c r="CU31" s="1047"/>
      <c r="CV31" s="1047"/>
      <c r="CW31" s="1047"/>
      <c r="CX31" s="1047"/>
      <c r="CY31" s="1047"/>
      <c r="CZ31" s="1047"/>
      <c r="DA31" s="1047"/>
      <c r="DB31" s="1047"/>
      <c r="DC31" s="1047"/>
      <c r="DD31" s="1047"/>
      <c r="DE31" s="1047"/>
      <c r="DF31" s="1047"/>
      <c r="DG31" s="1047"/>
      <c r="DH31" s="1047"/>
      <c r="DI31" s="1047"/>
      <c r="DJ31" s="1047"/>
      <c r="DK31" s="1047"/>
      <c r="DL31" s="1105"/>
      <c r="DM31" s="1105"/>
      <c r="DN31" s="1105"/>
      <c r="DO31" s="1105"/>
      <c r="DP31" s="1105"/>
      <c r="DQ31" s="1105"/>
      <c r="DR31" s="1105"/>
      <c r="DS31" s="1105"/>
      <c r="DT31" s="1105"/>
      <c r="DU31" s="1105"/>
      <c r="DV31" s="1105"/>
      <c r="DW31" s="1105"/>
      <c r="DX31" s="1105"/>
      <c r="DY31" s="1105"/>
      <c r="DZ31" s="1105"/>
      <c r="EA31" s="1105"/>
      <c r="EB31" s="1105"/>
      <c r="EC31" s="1105"/>
      <c r="ED31" s="1105"/>
      <c r="EE31" s="1105"/>
      <c r="EF31" s="1105"/>
      <c r="EG31" s="1105"/>
      <c r="EH31" s="1106"/>
      <c r="EI31" s="1106"/>
      <c r="EJ31" s="1106"/>
      <c r="EK31" s="1106"/>
      <c r="EL31" s="1106"/>
      <c r="EM31" s="1106"/>
    </row>
    <row r="32" spans="1:143" s="131" customFormat="1" ht="28" customHeight="1">
      <c r="A32" s="200" t="str">
        <f>'Deal Sheet'!Q25</f>
        <v/>
      </c>
      <c r="B32" s="1287" t="str">
        <f t="shared" si="0"/>
        <v/>
      </c>
      <c r="C32" s="1288"/>
      <c r="D32" s="1289"/>
      <c r="E32" s="1290" t="str">
        <f t="shared" si="1"/>
        <v/>
      </c>
      <c r="F32" s="1290"/>
      <c r="G32" s="1290"/>
      <c r="H32" s="1284"/>
      <c r="I32" s="1285"/>
      <c r="J32" s="1286"/>
      <c r="K32" s="345" t="str">
        <f t="shared" si="2"/>
        <v/>
      </c>
      <c r="L32" s="1047"/>
      <c r="M32" s="1047"/>
      <c r="N32" s="1047"/>
      <c r="O32" s="1031" t="e">
        <f t="shared" si="3"/>
        <v>#VALUE!</v>
      </c>
      <c r="P32" s="1047"/>
      <c r="Q32" s="1037">
        <f t="shared" ca="1" si="4"/>
        <v>1</v>
      </c>
      <c r="R32" s="1040" t="e">
        <f t="shared" ca="1" si="5"/>
        <v>#VALUE!</v>
      </c>
      <c r="S32" s="1031">
        <f t="shared" ca="1" si="6"/>
        <v>-43221</v>
      </c>
      <c r="T32" s="1047"/>
      <c r="U32" s="1047"/>
      <c r="V32" s="1047"/>
      <c r="W32" s="1047"/>
      <c r="X32" s="1047"/>
      <c r="Y32" s="1047"/>
      <c r="Z32" s="1047"/>
      <c r="AA32" s="1047"/>
      <c r="AB32" s="1047"/>
      <c r="AC32" s="1047"/>
      <c r="AD32" s="1047"/>
      <c r="AE32" s="1047"/>
      <c r="AF32" s="1047"/>
      <c r="AG32" s="1047"/>
      <c r="AH32" s="1047"/>
      <c r="AI32" s="1047"/>
      <c r="AJ32" s="1047"/>
      <c r="AK32" s="1047"/>
      <c r="AL32" s="1047"/>
      <c r="AM32" s="1047"/>
      <c r="AN32" s="1047"/>
      <c r="AO32" s="1047"/>
      <c r="AP32" s="1047"/>
      <c r="AQ32" s="1047"/>
      <c r="AR32" s="1047"/>
      <c r="AS32" s="1047"/>
      <c r="AT32" s="1047"/>
      <c r="AU32" s="1047"/>
      <c r="AV32" s="1031" t="str">
        <f t="shared" si="7"/>
        <v/>
      </c>
      <c r="AW32" s="1041" t="str">
        <f t="shared" si="8"/>
        <v/>
      </c>
      <c r="AX32" s="1041" t="str">
        <f t="shared" si="9"/>
        <v/>
      </c>
      <c r="AY32" s="1041" t="str">
        <f t="shared" si="10"/>
        <v/>
      </c>
      <c r="AZ32" s="1041" t="str">
        <f t="shared" si="11"/>
        <v/>
      </c>
      <c r="BA32" s="1031" t="str">
        <f t="shared" si="12"/>
        <v/>
      </c>
      <c r="BB32" s="1040">
        <f t="shared" si="13"/>
        <v>0</v>
      </c>
      <c r="BC32" s="1042" t="str">
        <f t="shared" si="14"/>
        <v/>
      </c>
      <c r="BD32" s="1038">
        <f t="shared" si="15"/>
        <v>0</v>
      </c>
      <c r="BE32" s="1047"/>
      <c r="BF32" s="1047"/>
      <c r="BG32" s="1047"/>
      <c r="BH32" s="1047"/>
      <c r="BI32" s="1047"/>
      <c r="BJ32" s="1047"/>
      <c r="BK32" s="1047"/>
      <c r="BL32" s="1047"/>
      <c r="BM32" s="1047"/>
      <c r="BN32" s="1047"/>
      <c r="BO32" s="1047"/>
      <c r="BP32" s="1047"/>
      <c r="BQ32" s="1047"/>
      <c r="BR32" s="1045">
        <v>43435</v>
      </c>
      <c r="BS32" s="1046" t="str">
        <f t="shared" si="16"/>
        <v/>
      </c>
      <c r="BT32" s="1038">
        <v>0</v>
      </c>
      <c r="BU32" s="1038" t="s">
        <v>200</v>
      </c>
      <c r="BV32" s="1047">
        <v>0</v>
      </c>
      <c r="BW32" s="1048" t="s">
        <v>200</v>
      </c>
      <c r="BX32" s="1047" t="s">
        <v>200</v>
      </c>
      <c r="BY32" s="1047"/>
      <c r="BZ32" s="1047">
        <f>'Deal Sheet'!C24</f>
        <v>0</v>
      </c>
      <c r="CA32" s="1050" t="str">
        <f>IFERROR(VLOOKUP(BZ32,'Deal Sheet'!$C$9:$G$43,5,FALSE),"")</f>
        <v/>
      </c>
      <c r="CB32" s="1044">
        <f t="shared" si="17"/>
        <v>0</v>
      </c>
      <c r="CC32" s="1044" t="str">
        <f t="shared" si="18"/>
        <v/>
      </c>
      <c r="CD32" s="1047"/>
      <c r="CE32" s="1047"/>
      <c r="CF32" s="1047"/>
      <c r="CG32" s="1047"/>
      <c r="CH32" s="1047"/>
      <c r="CI32" s="1047"/>
      <c r="CJ32" s="1047"/>
      <c r="CK32" s="1047"/>
      <c r="CL32" s="1047"/>
      <c r="CM32" s="1047"/>
      <c r="CN32" s="1047"/>
      <c r="CO32" s="1047"/>
      <c r="CP32" s="1047"/>
      <c r="CQ32" s="1047"/>
      <c r="CR32" s="1047"/>
      <c r="CS32" s="1047"/>
      <c r="CT32" s="1047"/>
      <c r="CU32" s="1047"/>
      <c r="CV32" s="1047"/>
      <c r="CW32" s="1047"/>
      <c r="CX32" s="1047"/>
      <c r="CY32" s="1047"/>
      <c r="CZ32" s="1047"/>
      <c r="DA32" s="1047"/>
      <c r="DB32" s="1047"/>
      <c r="DC32" s="1047"/>
      <c r="DD32" s="1047"/>
      <c r="DE32" s="1047"/>
      <c r="DF32" s="1047"/>
      <c r="DG32" s="1047"/>
      <c r="DH32" s="1047"/>
      <c r="DI32" s="1047"/>
      <c r="DJ32" s="1047"/>
      <c r="DK32" s="1047"/>
      <c r="DL32" s="1105"/>
      <c r="DM32" s="1105"/>
      <c r="DN32" s="1105"/>
      <c r="DO32" s="1105"/>
      <c r="DP32" s="1105"/>
      <c r="DQ32" s="1105"/>
      <c r="DR32" s="1105"/>
      <c r="DS32" s="1105"/>
      <c r="DT32" s="1105"/>
      <c r="DU32" s="1105"/>
      <c r="DV32" s="1105"/>
      <c r="DW32" s="1105"/>
      <c r="DX32" s="1105"/>
      <c r="DY32" s="1105"/>
      <c r="DZ32" s="1105"/>
      <c r="EA32" s="1105"/>
      <c r="EB32" s="1105"/>
      <c r="EC32" s="1105"/>
      <c r="ED32" s="1105"/>
      <c r="EE32" s="1105"/>
      <c r="EF32" s="1105"/>
      <c r="EG32" s="1105"/>
      <c r="EH32" s="1106"/>
      <c r="EI32" s="1106"/>
      <c r="EJ32" s="1106"/>
      <c r="EK32" s="1106"/>
      <c r="EL32" s="1106"/>
      <c r="EM32" s="1106"/>
    </row>
    <row r="33" spans="1:143" s="131" customFormat="1" ht="28" customHeight="1">
      <c r="A33" s="200" t="str">
        <f>'Deal Sheet'!Q26</f>
        <v/>
      </c>
      <c r="B33" s="1287" t="str">
        <f t="shared" si="0"/>
        <v/>
      </c>
      <c r="C33" s="1288"/>
      <c r="D33" s="1289"/>
      <c r="E33" s="1290" t="str">
        <f t="shared" si="1"/>
        <v/>
      </c>
      <c r="F33" s="1290"/>
      <c r="G33" s="1290"/>
      <c r="H33" s="1284"/>
      <c r="I33" s="1285"/>
      <c r="J33" s="1286"/>
      <c r="K33" s="345" t="str">
        <f t="shared" si="2"/>
        <v/>
      </c>
      <c r="L33" s="1047"/>
      <c r="M33" s="1047"/>
      <c r="N33" s="1047"/>
      <c r="O33" s="1031" t="e">
        <f t="shared" si="3"/>
        <v>#VALUE!</v>
      </c>
      <c r="P33" s="1047"/>
      <c r="Q33" s="1037">
        <f t="shared" ca="1" si="4"/>
        <v>1</v>
      </c>
      <c r="R33" s="1040" t="e">
        <f t="shared" ca="1" si="5"/>
        <v>#VALUE!</v>
      </c>
      <c r="S33" s="1031">
        <f t="shared" ca="1" si="6"/>
        <v>-43221</v>
      </c>
      <c r="T33" s="1047"/>
      <c r="U33" s="1047"/>
      <c r="V33" s="1047"/>
      <c r="W33" s="1047"/>
      <c r="X33" s="1047"/>
      <c r="Y33" s="1047"/>
      <c r="Z33" s="1047"/>
      <c r="AA33" s="1047"/>
      <c r="AB33" s="1047"/>
      <c r="AC33" s="1047"/>
      <c r="AD33" s="1047"/>
      <c r="AE33" s="1047"/>
      <c r="AF33" s="1047"/>
      <c r="AG33" s="1047"/>
      <c r="AH33" s="1047"/>
      <c r="AI33" s="1047"/>
      <c r="AJ33" s="1047"/>
      <c r="AK33" s="1047"/>
      <c r="AL33" s="1047"/>
      <c r="AM33" s="1047"/>
      <c r="AN33" s="1047"/>
      <c r="AO33" s="1047"/>
      <c r="AP33" s="1047"/>
      <c r="AQ33" s="1047"/>
      <c r="AR33" s="1047"/>
      <c r="AS33" s="1047"/>
      <c r="AT33" s="1047"/>
      <c r="AU33" s="1047"/>
      <c r="AV33" s="1031" t="str">
        <f t="shared" si="7"/>
        <v/>
      </c>
      <c r="AW33" s="1041" t="str">
        <f t="shared" si="8"/>
        <v/>
      </c>
      <c r="AX33" s="1041" t="str">
        <f t="shared" si="9"/>
        <v/>
      </c>
      <c r="AY33" s="1041" t="str">
        <f t="shared" si="10"/>
        <v/>
      </c>
      <c r="AZ33" s="1041" t="str">
        <f t="shared" si="11"/>
        <v/>
      </c>
      <c r="BA33" s="1031" t="str">
        <f t="shared" si="12"/>
        <v/>
      </c>
      <c r="BB33" s="1040">
        <f t="shared" si="13"/>
        <v>0</v>
      </c>
      <c r="BC33" s="1042" t="str">
        <f t="shared" si="14"/>
        <v/>
      </c>
      <c r="BD33" s="1038">
        <f t="shared" si="15"/>
        <v>0</v>
      </c>
      <c r="BE33" s="1047"/>
      <c r="BF33" s="1047"/>
      <c r="BG33" s="1047"/>
      <c r="BH33" s="1047"/>
      <c r="BI33" s="1047"/>
      <c r="BJ33" s="1047"/>
      <c r="BK33" s="1047"/>
      <c r="BL33" s="1047"/>
      <c r="BM33" s="1047"/>
      <c r="BN33" s="1047"/>
      <c r="BO33" s="1047"/>
      <c r="BP33" s="1047"/>
      <c r="BQ33" s="1047"/>
      <c r="BR33" s="1045">
        <v>43466</v>
      </c>
      <c r="BS33" s="1046" t="str">
        <f t="shared" si="16"/>
        <v/>
      </c>
      <c r="BT33" s="1038">
        <v>0</v>
      </c>
      <c r="BU33" s="1038" t="s">
        <v>200</v>
      </c>
      <c r="BV33" s="1047">
        <v>0</v>
      </c>
      <c r="BW33" s="1048" t="s">
        <v>200</v>
      </c>
      <c r="BX33" s="1047" t="s">
        <v>200</v>
      </c>
      <c r="BY33" s="1047"/>
      <c r="BZ33" s="1047">
        <f>'Deal Sheet'!C25</f>
        <v>0</v>
      </c>
      <c r="CA33" s="1050" t="str">
        <f>IFERROR(VLOOKUP(BZ33,'Deal Sheet'!$C$9:$G$43,5,FALSE),"")</f>
        <v/>
      </c>
      <c r="CB33" s="1044">
        <f t="shared" si="17"/>
        <v>0</v>
      </c>
      <c r="CC33" s="1044" t="str">
        <f t="shared" si="18"/>
        <v/>
      </c>
      <c r="CD33" s="1047"/>
      <c r="CE33" s="1047"/>
      <c r="CF33" s="1047"/>
      <c r="CG33" s="1047"/>
      <c r="CH33" s="1047"/>
      <c r="CI33" s="1047"/>
      <c r="CJ33" s="1047"/>
      <c r="CK33" s="1047"/>
      <c r="CL33" s="1047"/>
      <c r="CM33" s="1047"/>
      <c r="CN33" s="1047"/>
      <c r="CO33" s="1047"/>
      <c r="CP33" s="1047"/>
      <c r="CQ33" s="1047"/>
      <c r="CR33" s="1047"/>
      <c r="CS33" s="1047"/>
      <c r="CT33" s="1047"/>
      <c r="CU33" s="1047"/>
      <c r="CV33" s="1047"/>
      <c r="CW33" s="1047"/>
      <c r="CX33" s="1047"/>
      <c r="CY33" s="1047"/>
      <c r="CZ33" s="1047"/>
      <c r="DA33" s="1047"/>
      <c r="DB33" s="1047"/>
      <c r="DC33" s="1047"/>
      <c r="DD33" s="1047"/>
      <c r="DE33" s="1047"/>
      <c r="DF33" s="1047"/>
      <c r="DG33" s="1047"/>
      <c r="DH33" s="1047"/>
      <c r="DI33" s="1047"/>
      <c r="DJ33" s="1047"/>
      <c r="DK33" s="1047"/>
      <c r="DL33" s="1105"/>
      <c r="DM33" s="1105"/>
      <c r="DN33" s="1105"/>
      <c r="DO33" s="1105"/>
      <c r="DP33" s="1105"/>
      <c r="DQ33" s="1105"/>
      <c r="DR33" s="1105"/>
      <c r="DS33" s="1105"/>
      <c r="DT33" s="1105"/>
      <c r="DU33" s="1105"/>
      <c r="DV33" s="1105"/>
      <c r="DW33" s="1105"/>
      <c r="DX33" s="1105"/>
      <c r="DY33" s="1105"/>
      <c r="DZ33" s="1105"/>
      <c r="EA33" s="1105"/>
      <c r="EB33" s="1105"/>
      <c r="EC33" s="1105"/>
      <c r="ED33" s="1105"/>
      <c r="EE33" s="1105"/>
      <c r="EF33" s="1105"/>
      <c r="EG33" s="1105"/>
      <c r="EH33" s="1106"/>
      <c r="EI33" s="1106"/>
      <c r="EJ33" s="1106"/>
      <c r="EK33" s="1106"/>
      <c r="EL33" s="1106"/>
      <c r="EM33" s="1106"/>
    </row>
    <row r="34" spans="1:143" s="131" customFormat="1" ht="28" customHeight="1">
      <c r="A34" s="200" t="str">
        <f>'Deal Sheet'!Q27</f>
        <v/>
      </c>
      <c r="B34" s="1287" t="str">
        <f t="shared" si="0"/>
        <v/>
      </c>
      <c r="C34" s="1288"/>
      <c r="D34" s="1289"/>
      <c r="E34" s="1290" t="str">
        <f t="shared" si="1"/>
        <v/>
      </c>
      <c r="F34" s="1290"/>
      <c r="G34" s="1290"/>
      <c r="H34" s="1284"/>
      <c r="I34" s="1285"/>
      <c r="J34" s="1286"/>
      <c r="K34" s="345" t="str">
        <f t="shared" si="2"/>
        <v/>
      </c>
      <c r="L34" s="1047"/>
      <c r="M34" s="1047"/>
      <c r="N34" s="1047"/>
      <c r="O34" s="1031" t="e">
        <f t="shared" si="3"/>
        <v>#VALUE!</v>
      </c>
      <c r="P34" s="1047"/>
      <c r="Q34" s="1037">
        <f t="shared" ca="1" si="4"/>
        <v>1</v>
      </c>
      <c r="R34" s="1040" t="e">
        <f t="shared" ca="1" si="5"/>
        <v>#VALUE!</v>
      </c>
      <c r="S34" s="1031">
        <f t="shared" ca="1" si="6"/>
        <v>-43221</v>
      </c>
      <c r="T34" s="1047"/>
      <c r="U34" s="1047"/>
      <c r="V34" s="1047"/>
      <c r="W34" s="1047"/>
      <c r="X34" s="1047"/>
      <c r="Y34" s="1047"/>
      <c r="Z34" s="1047"/>
      <c r="AA34" s="1047"/>
      <c r="AB34" s="1047"/>
      <c r="AC34" s="1047"/>
      <c r="AD34" s="1047"/>
      <c r="AE34" s="1047"/>
      <c r="AF34" s="1047"/>
      <c r="AG34" s="1047"/>
      <c r="AH34" s="1047"/>
      <c r="AI34" s="1047"/>
      <c r="AJ34" s="1047"/>
      <c r="AK34" s="1047"/>
      <c r="AL34" s="1047"/>
      <c r="AM34" s="1047"/>
      <c r="AN34" s="1047"/>
      <c r="AO34" s="1047"/>
      <c r="AP34" s="1047"/>
      <c r="AQ34" s="1047"/>
      <c r="AR34" s="1047"/>
      <c r="AS34" s="1047"/>
      <c r="AT34" s="1047"/>
      <c r="AU34" s="1047"/>
      <c r="AV34" s="1031" t="str">
        <f t="shared" si="7"/>
        <v/>
      </c>
      <c r="AW34" s="1041" t="str">
        <f t="shared" si="8"/>
        <v/>
      </c>
      <c r="AX34" s="1041" t="str">
        <f t="shared" si="9"/>
        <v/>
      </c>
      <c r="AY34" s="1041" t="str">
        <f t="shared" si="10"/>
        <v/>
      </c>
      <c r="AZ34" s="1041" t="str">
        <f t="shared" si="11"/>
        <v/>
      </c>
      <c r="BA34" s="1031" t="str">
        <f t="shared" si="12"/>
        <v/>
      </c>
      <c r="BB34" s="1040">
        <f t="shared" si="13"/>
        <v>0</v>
      </c>
      <c r="BC34" s="1042" t="str">
        <f t="shared" si="14"/>
        <v/>
      </c>
      <c r="BD34" s="1038">
        <f t="shared" si="15"/>
        <v>0</v>
      </c>
      <c r="BE34" s="1047"/>
      <c r="BF34" s="1047"/>
      <c r="BG34" s="1047"/>
      <c r="BH34" s="1047"/>
      <c r="BI34" s="1047"/>
      <c r="BJ34" s="1047"/>
      <c r="BK34" s="1047"/>
      <c r="BL34" s="1047"/>
      <c r="BM34" s="1047"/>
      <c r="BN34" s="1047"/>
      <c r="BO34" s="1047"/>
      <c r="BP34" s="1047"/>
      <c r="BQ34" s="1047"/>
      <c r="BR34" s="1045">
        <v>43497</v>
      </c>
      <c r="BS34" s="1046" t="str">
        <f t="shared" si="16"/>
        <v/>
      </c>
      <c r="BT34" s="1038">
        <v>0</v>
      </c>
      <c r="BU34" s="1038" t="s">
        <v>200</v>
      </c>
      <c r="BV34" s="1047">
        <v>0</v>
      </c>
      <c r="BW34" s="1048" t="s">
        <v>200</v>
      </c>
      <c r="BX34" s="1047" t="s">
        <v>200</v>
      </c>
      <c r="BY34" s="1047"/>
      <c r="BZ34" s="1047">
        <f>'Deal Sheet'!C26</f>
        <v>0</v>
      </c>
      <c r="CA34" s="1050" t="str">
        <f>IFERROR(VLOOKUP(BZ34,'Deal Sheet'!$C$9:$G$43,5,FALSE),"")</f>
        <v/>
      </c>
      <c r="CB34" s="1044">
        <f t="shared" si="17"/>
        <v>0</v>
      </c>
      <c r="CC34" s="1044" t="str">
        <f t="shared" si="18"/>
        <v/>
      </c>
      <c r="CD34" s="1047"/>
      <c r="CE34" s="1047"/>
      <c r="CF34" s="1047"/>
      <c r="CG34" s="1047"/>
      <c r="CH34" s="1047"/>
      <c r="CI34" s="1047"/>
      <c r="CJ34" s="1047"/>
      <c r="CK34" s="1047"/>
      <c r="CL34" s="1047"/>
      <c r="CM34" s="1047"/>
      <c r="CN34" s="1047"/>
      <c r="CO34" s="1047"/>
      <c r="CP34" s="1047"/>
      <c r="CQ34" s="1047"/>
      <c r="CR34" s="1047"/>
      <c r="CS34" s="1047"/>
      <c r="CT34" s="1047"/>
      <c r="CU34" s="1047"/>
      <c r="CV34" s="1047"/>
      <c r="CW34" s="1047"/>
      <c r="CX34" s="1047"/>
      <c r="CY34" s="1047"/>
      <c r="CZ34" s="1047"/>
      <c r="DA34" s="1047"/>
      <c r="DB34" s="1047"/>
      <c r="DC34" s="1047"/>
      <c r="DD34" s="1047"/>
      <c r="DE34" s="1047"/>
      <c r="DF34" s="1047"/>
      <c r="DG34" s="1047"/>
      <c r="DH34" s="1047"/>
      <c r="DI34" s="1047"/>
      <c r="DJ34" s="1047"/>
      <c r="DK34" s="1047"/>
      <c r="DL34" s="1105"/>
      <c r="DM34" s="1105"/>
      <c r="DN34" s="1105"/>
      <c r="DO34" s="1105"/>
      <c r="DP34" s="1105"/>
      <c r="DQ34" s="1105"/>
      <c r="DR34" s="1105"/>
      <c r="DS34" s="1105"/>
      <c r="DT34" s="1105"/>
      <c r="DU34" s="1105"/>
      <c r="DV34" s="1105"/>
      <c r="DW34" s="1105"/>
      <c r="DX34" s="1105"/>
      <c r="DY34" s="1105"/>
      <c r="DZ34" s="1105"/>
      <c r="EA34" s="1105"/>
      <c r="EB34" s="1105"/>
      <c r="EC34" s="1105"/>
      <c r="ED34" s="1105"/>
      <c r="EE34" s="1105"/>
      <c r="EF34" s="1105"/>
      <c r="EG34" s="1105"/>
      <c r="EH34" s="1106"/>
      <c r="EI34" s="1106"/>
      <c r="EJ34" s="1106"/>
      <c r="EK34" s="1106"/>
      <c r="EL34" s="1106"/>
      <c r="EM34" s="1106"/>
    </row>
    <row r="35" spans="1:143" s="131" customFormat="1" ht="28" customHeight="1">
      <c r="A35" s="200" t="str">
        <f>'Deal Sheet'!Q28</f>
        <v/>
      </c>
      <c r="B35" s="1287" t="str">
        <f t="shared" si="0"/>
        <v/>
      </c>
      <c r="C35" s="1288"/>
      <c r="D35" s="1289"/>
      <c r="E35" s="1290" t="str">
        <f t="shared" si="1"/>
        <v/>
      </c>
      <c r="F35" s="1290"/>
      <c r="G35" s="1290"/>
      <c r="H35" s="1284"/>
      <c r="I35" s="1285"/>
      <c r="J35" s="1286"/>
      <c r="K35" s="345" t="str">
        <f t="shared" si="2"/>
        <v/>
      </c>
      <c r="L35" s="1047"/>
      <c r="M35" s="1047"/>
      <c r="N35" s="1047"/>
      <c r="O35" s="1031" t="e">
        <f t="shared" si="3"/>
        <v>#VALUE!</v>
      </c>
      <c r="P35" s="1047"/>
      <c r="Q35" s="1037">
        <f t="shared" ca="1" si="4"/>
        <v>1</v>
      </c>
      <c r="R35" s="1040" t="e">
        <f t="shared" ca="1" si="5"/>
        <v>#VALUE!</v>
      </c>
      <c r="S35" s="1031">
        <f t="shared" ca="1" si="6"/>
        <v>-43221</v>
      </c>
      <c r="T35" s="1047"/>
      <c r="U35" s="1047"/>
      <c r="V35" s="1047"/>
      <c r="W35" s="1047"/>
      <c r="X35" s="1047"/>
      <c r="Y35" s="1047"/>
      <c r="Z35" s="1047"/>
      <c r="AA35" s="1047"/>
      <c r="AB35" s="1047"/>
      <c r="AC35" s="1047"/>
      <c r="AD35" s="1047"/>
      <c r="AE35" s="1047"/>
      <c r="AF35" s="1047"/>
      <c r="AG35" s="1047"/>
      <c r="AH35" s="1047"/>
      <c r="AI35" s="1047"/>
      <c r="AJ35" s="1047"/>
      <c r="AK35" s="1047"/>
      <c r="AL35" s="1047"/>
      <c r="AM35" s="1047"/>
      <c r="AN35" s="1047"/>
      <c r="AO35" s="1047"/>
      <c r="AP35" s="1047"/>
      <c r="AQ35" s="1047"/>
      <c r="AR35" s="1047"/>
      <c r="AS35" s="1047"/>
      <c r="AT35" s="1047"/>
      <c r="AU35" s="1047"/>
      <c r="AV35" s="1031" t="str">
        <f t="shared" si="7"/>
        <v/>
      </c>
      <c r="AW35" s="1041" t="str">
        <f t="shared" si="8"/>
        <v/>
      </c>
      <c r="AX35" s="1041" t="str">
        <f t="shared" si="9"/>
        <v/>
      </c>
      <c r="AY35" s="1041" t="str">
        <f t="shared" si="10"/>
        <v/>
      </c>
      <c r="AZ35" s="1041" t="str">
        <f t="shared" si="11"/>
        <v/>
      </c>
      <c r="BA35" s="1031" t="str">
        <f t="shared" si="12"/>
        <v/>
      </c>
      <c r="BB35" s="1040">
        <f t="shared" si="13"/>
        <v>0</v>
      </c>
      <c r="BC35" s="1042" t="str">
        <f t="shared" si="14"/>
        <v/>
      </c>
      <c r="BD35" s="1038">
        <f t="shared" si="15"/>
        <v>0</v>
      </c>
      <c r="BE35" s="1047"/>
      <c r="BF35" s="1047"/>
      <c r="BG35" s="1047"/>
      <c r="BH35" s="1047"/>
      <c r="BI35" s="1047"/>
      <c r="BJ35" s="1047"/>
      <c r="BK35" s="1047"/>
      <c r="BL35" s="1047"/>
      <c r="BM35" s="1047"/>
      <c r="BN35" s="1047"/>
      <c r="BO35" s="1047"/>
      <c r="BP35" s="1047"/>
      <c r="BQ35" s="1047"/>
      <c r="BR35" s="1045">
        <v>43525</v>
      </c>
      <c r="BS35" s="1046" t="str">
        <f t="shared" si="16"/>
        <v/>
      </c>
      <c r="BT35" s="1038">
        <v>0</v>
      </c>
      <c r="BU35" s="1038" t="s">
        <v>200</v>
      </c>
      <c r="BV35" s="1047">
        <v>0</v>
      </c>
      <c r="BW35" s="1048" t="s">
        <v>200</v>
      </c>
      <c r="BX35" s="1047" t="s">
        <v>200</v>
      </c>
      <c r="BY35" s="1047"/>
      <c r="BZ35" s="1047">
        <f>'Deal Sheet'!C27</f>
        <v>0</v>
      </c>
      <c r="CA35" s="1050" t="str">
        <f>IFERROR(VLOOKUP(BZ35,'Deal Sheet'!$C$9:$G$43,5,FALSE),"")</f>
        <v/>
      </c>
      <c r="CB35" s="1044">
        <f t="shared" si="17"/>
        <v>0</v>
      </c>
      <c r="CC35" s="1044" t="str">
        <f t="shared" si="18"/>
        <v/>
      </c>
      <c r="CD35" s="1047"/>
      <c r="CE35" s="1047"/>
      <c r="CF35" s="1047"/>
      <c r="CG35" s="1047"/>
      <c r="CH35" s="1047"/>
      <c r="CI35" s="1047"/>
      <c r="CJ35" s="1047"/>
      <c r="CK35" s="1047"/>
      <c r="CL35" s="1047"/>
      <c r="CM35" s="1047"/>
      <c r="CN35" s="1047"/>
      <c r="CO35" s="1047"/>
      <c r="CP35" s="1047"/>
      <c r="CQ35" s="1047"/>
      <c r="CR35" s="1047"/>
      <c r="CS35" s="1047"/>
      <c r="CT35" s="1047"/>
      <c r="CU35" s="1047"/>
      <c r="CV35" s="1047"/>
      <c r="CW35" s="1047"/>
      <c r="CX35" s="1047"/>
      <c r="CY35" s="1047"/>
      <c r="CZ35" s="1047"/>
      <c r="DA35" s="1047"/>
      <c r="DB35" s="1047"/>
      <c r="DC35" s="1047"/>
      <c r="DD35" s="1047"/>
      <c r="DE35" s="1047"/>
      <c r="DF35" s="1047"/>
      <c r="DG35" s="1047"/>
      <c r="DH35" s="1047"/>
      <c r="DI35" s="1047"/>
      <c r="DJ35" s="1047"/>
      <c r="DK35" s="1047"/>
      <c r="DL35" s="1105"/>
      <c r="DM35" s="1105"/>
      <c r="DN35" s="1105"/>
      <c r="DO35" s="1105"/>
      <c r="DP35" s="1105"/>
      <c r="DQ35" s="1105"/>
      <c r="DR35" s="1105"/>
      <c r="DS35" s="1105"/>
      <c r="DT35" s="1105"/>
      <c r="DU35" s="1105"/>
      <c r="DV35" s="1105"/>
      <c r="DW35" s="1105"/>
      <c r="DX35" s="1105"/>
      <c r="DY35" s="1105"/>
      <c r="DZ35" s="1105"/>
      <c r="EA35" s="1105"/>
      <c r="EB35" s="1105"/>
      <c r="EC35" s="1105"/>
      <c r="ED35" s="1105"/>
      <c r="EE35" s="1105"/>
      <c r="EF35" s="1105"/>
      <c r="EG35" s="1105"/>
      <c r="EH35" s="1106"/>
      <c r="EI35" s="1106"/>
      <c r="EJ35" s="1106"/>
      <c r="EK35" s="1106"/>
      <c r="EL35" s="1106"/>
      <c r="EM35" s="1106"/>
    </row>
    <row r="36" spans="1:143" s="131" customFormat="1" ht="28" customHeight="1">
      <c r="A36" s="200" t="str">
        <f>'Deal Sheet'!Q29</f>
        <v/>
      </c>
      <c r="B36" s="1287" t="str">
        <f t="shared" si="0"/>
        <v/>
      </c>
      <c r="C36" s="1288"/>
      <c r="D36" s="1289"/>
      <c r="E36" s="1290" t="str">
        <f t="shared" si="1"/>
        <v/>
      </c>
      <c r="F36" s="1290"/>
      <c r="G36" s="1290"/>
      <c r="H36" s="1284"/>
      <c r="I36" s="1285"/>
      <c r="J36" s="1286"/>
      <c r="K36" s="345" t="str">
        <f t="shared" si="2"/>
        <v/>
      </c>
      <c r="L36" s="1047"/>
      <c r="M36" s="1047"/>
      <c r="N36" s="1047"/>
      <c r="O36" s="1031" t="e">
        <f t="shared" si="3"/>
        <v>#VALUE!</v>
      </c>
      <c r="P36" s="1047"/>
      <c r="Q36" s="1037">
        <f t="shared" ca="1" si="4"/>
        <v>1</v>
      </c>
      <c r="R36" s="1040" t="e">
        <f t="shared" ca="1" si="5"/>
        <v>#VALUE!</v>
      </c>
      <c r="S36" s="1031">
        <f t="shared" ca="1" si="6"/>
        <v>-43221</v>
      </c>
      <c r="T36" s="1047"/>
      <c r="U36" s="1047"/>
      <c r="V36" s="1047"/>
      <c r="W36" s="1047"/>
      <c r="X36" s="1047"/>
      <c r="Y36" s="1047"/>
      <c r="Z36" s="1047"/>
      <c r="AA36" s="1047"/>
      <c r="AB36" s="1047"/>
      <c r="AC36" s="1047"/>
      <c r="AD36" s="1047"/>
      <c r="AE36" s="1047"/>
      <c r="AF36" s="1047"/>
      <c r="AG36" s="1047"/>
      <c r="AH36" s="1047"/>
      <c r="AI36" s="1047"/>
      <c r="AJ36" s="1047"/>
      <c r="AK36" s="1047"/>
      <c r="AL36" s="1047"/>
      <c r="AM36" s="1047"/>
      <c r="AN36" s="1047"/>
      <c r="AO36" s="1047"/>
      <c r="AP36" s="1047"/>
      <c r="AQ36" s="1047"/>
      <c r="AR36" s="1047"/>
      <c r="AS36" s="1047"/>
      <c r="AT36" s="1047"/>
      <c r="AU36" s="1047"/>
      <c r="AV36" s="1031" t="str">
        <f t="shared" si="7"/>
        <v/>
      </c>
      <c r="AW36" s="1041" t="str">
        <f t="shared" si="8"/>
        <v/>
      </c>
      <c r="AX36" s="1041" t="str">
        <f t="shared" si="9"/>
        <v/>
      </c>
      <c r="AY36" s="1041" t="str">
        <f t="shared" si="10"/>
        <v/>
      </c>
      <c r="AZ36" s="1041" t="str">
        <f t="shared" si="11"/>
        <v/>
      </c>
      <c r="BA36" s="1031" t="str">
        <f t="shared" si="12"/>
        <v/>
      </c>
      <c r="BB36" s="1040">
        <f t="shared" si="13"/>
        <v>0</v>
      </c>
      <c r="BC36" s="1042" t="str">
        <f t="shared" si="14"/>
        <v/>
      </c>
      <c r="BD36" s="1038">
        <f t="shared" si="15"/>
        <v>0</v>
      </c>
      <c r="BE36" s="1047"/>
      <c r="BF36" s="1047"/>
      <c r="BG36" s="1047"/>
      <c r="BH36" s="1047"/>
      <c r="BI36" s="1047"/>
      <c r="BJ36" s="1047"/>
      <c r="BK36" s="1047"/>
      <c r="BL36" s="1047"/>
      <c r="BM36" s="1047"/>
      <c r="BN36" s="1047"/>
      <c r="BO36" s="1047"/>
      <c r="BP36" s="1047"/>
      <c r="BQ36" s="1047"/>
      <c r="BR36" s="1045"/>
      <c r="BS36" s="1046" t="str">
        <f t="shared" si="16"/>
        <v/>
      </c>
      <c r="BT36" s="1038">
        <v>0</v>
      </c>
      <c r="BU36" s="1038" t="s">
        <v>200</v>
      </c>
      <c r="BV36" s="1047">
        <v>0</v>
      </c>
      <c r="BW36" s="1048" t="s">
        <v>200</v>
      </c>
      <c r="BX36" s="1047" t="s">
        <v>200</v>
      </c>
      <c r="BY36" s="1047"/>
      <c r="BZ36" s="1047">
        <f>'Deal Sheet'!C28</f>
        <v>0</v>
      </c>
      <c r="CA36" s="1050" t="str">
        <f>IFERROR(VLOOKUP(BZ36,'Deal Sheet'!$C$9:$G$43,5,FALSE),"")</f>
        <v/>
      </c>
      <c r="CB36" s="1044">
        <f t="shared" si="17"/>
        <v>0</v>
      </c>
      <c r="CC36" s="1044" t="str">
        <f t="shared" si="18"/>
        <v/>
      </c>
      <c r="CD36" s="1047"/>
      <c r="CE36" s="1047"/>
      <c r="CF36" s="1047"/>
      <c r="CG36" s="1047"/>
      <c r="CH36" s="1047"/>
      <c r="CI36" s="1047"/>
      <c r="CJ36" s="1047"/>
      <c r="CK36" s="1047"/>
      <c r="CL36" s="1047"/>
      <c r="CM36" s="1047"/>
      <c r="CN36" s="1047"/>
      <c r="CO36" s="1047"/>
      <c r="CP36" s="1047"/>
      <c r="CQ36" s="1047"/>
      <c r="CR36" s="1047"/>
      <c r="CS36" s="1047"/>
      <c r="CT36" s="1047"/>
      <c r="CU36" s="1047"/>
      <c r="CV36" s="1047"/>
      <c r="CW36" s="1047"/>
      <c r="CX36" s="1047"/>
      <c r="CY36" s="1047"/>
      <c r="CZ36" s="1047"/>
      <c r="DA36" s="1047"/>
      <c r="DB36" s="1047"/>
      <c r="DC36" s="1047"/>
      <c r="DD36" s="1047"/>
      <c r="DE36" s="1047"/>
      <c r="DF36" s="1047"/>
      <c r="DG36" s="1047"/>
      <c r="DH36" s="1047"/>
      <c r="DI36" s="1047"/>
      <c r="DJ36" s="1047"/>
      <c r="DK36" s="1047"/>
      <c r="DL36" s="1105"/>
      <c r="DM36" s="1105"/>
      <c r="DN36" s="1105"/>
      <c r="DO36" s="1105"/>
      <c r="DP36" s="1105"/>
      <c r="DQ36" s="1105"/>
      <c r="DR36" s="1105"/>
      <c r="DS36" s="1105"/>
      <c r="DT36" s="1105"/>
      <c r="DU36" s="1105"/>
      <c r="DV36" s="1105"/>
      <c r="DW36" s="1105"/>
      <c r="DX36" s="1105"/>
      <c r="DY36" s="1105"/>
      <c r="DZ36" s="1105"/>
      <c r="EA36" s="1105"/>
      <c r="EB36" s="1105"/>
      <c r="EC36" s="1105"/>
      <c r="ED36" s="1105"/>
      <c r="EE36" s="1105"/>
      <c r="EF36" s="1105"/>
      <c r="EG36" s="1105"/>
      <c r="EH36" s="1106"/>
      <c r="EI36" s="1106"/>
      <c r="EJ36" s="1106"/>
      <c r="EK36" s="1106"/>
      <c r="EL36" s="1106"/>
      <c r="EM36" s="1106"/>
    </row>
    <row r="37" spans="1:143" s="131" customFormat="1" ht="28" customHeight="1">
      <c r="A37" s="200" t="str">
        <f>'Deal Sheet'!Q30</f>
        <v/>
      </c>
      <c r="B37" s="1287" t="str">
        <f t="shared" si="0"/>
        <v/>
      </c>
      <c r="C37" s="1288"/>
      <c r="D37" s="1289"/>
      <c r="E37" s="1290" t="str">
        <f t="shared" si="1"/>
        <v/>
      </c>
      <c r="F37" s="1290"/>
      <c r="G37" s="1290"/>
      <c r="H37" s="1284"/>
      <c r="I37" s="1285"/>
      <c r="J37" s="1286"/>
      <c r="K37" s="345" t="str">
        <f t="shared" si="2"/>
        <v/>
      </c>
      <c r="L37" s="1047"/>
      <c r="M37" s="1047"/>
      <c r="N37" s="1047"/>
      <c r="O37" s="1031" t="e">
        <f t="shared" si="3"/>
        <v>#VALUE!</v>
      </c>
      <c r="P37" s="1047"/>
      <c r="Q37" s="1037">
        <f t="shared" ca="1" si="4"/>
        <v>1</v>
      </c>
      <c r="R37" s="1040" t="e">
        <f t="shared" ca="1" si="5"/>
        <v>#VALUE!</v>
      </c>
      <c r="S37" s="1031">
        <f t="shared" ca="1" si="6"/>
        <v>-43221</v>
      </c>
      <c r="T37" s="1047"/>
      <c r="U37" s="1047"/>
      <c r="V37" s="1047"/>
      <c r="W37" s="1047"/>
      <c r="X37" s="1047"/>
      <c r="Y37" s="1047"/>
      <c r="Z37" s="1047"/>
      <c r="AA37" s="1047"/>
      <c r="AB37" s="1047"/>
      <c r="AC37" s="1047"/>
      <c r="AD37" s="1047"/>
      <c r="AE37" s="1047"/>
      <c r="AF37" s="1047"/>
      <c r="AG37" s="1047"/>
      <c r="AH37" s="1047"/>
      <c r="AI37" s="1047"/>
      <c r="AJ37" s="1047"/>
      <c r="AK37" s="1047"/>
      <c r="AL37" s="1047"/>
      <c r="AM37" s="1047"/>
      <c r="AN37" s="1047"/>
      <c r="AO37" s="1047"/>
      <c r="AP37" s="1047"/>
      <c r="AQ37" s="1047"/>
      <c r="AR37" s="1047"/>
      <c r="AS37" s="1047"/>
      <c r="AT37" s="1047"/>
      <c r="AU37" s="1047"/>
      <c r="AV37" s="1031" t="str">
        <f t="shared" si="7"/>
        <v/>
      </c>
      <c r="AW37" s="1041" t="str">
        <f t="shared" si="8"/>
        <v/>
      </c>
      <c r="AX37" s="1041" t="str">
        <f t="shared" si="9"/>
        <v/>
      </c>
      <c r="AY37" s="1041" t="str">
        <f t="shared" si="10"/>
        <v/>
      </c>
      <c r="AZ37" s="1041" t="str">
        <f t="shared" si="11"/>
        <v/>
      </c>
      <c r="BA37" s="1031" t="str">
        <f t="shared" si="12"/>
        <v/>
      </c>
      <c r="BB37" s="1040">
        <f t="shared" si="13"/>
        <v>0</v>
      </c>
      <c r="BC37" s="1042" t="str">
        <f t="shared" si="14"/>
        <v/>
      </c>
      <c r="BD37" s="1038">
        <f t="shared" si="15"/>
        <v>0</v>
      </c>
      <c r="BE37" s="1047"/>
      <c r="BF37" s="1047"/>
      <c r="BG37" s="1047"/>
      <c r="BH37" s="1047"/>
      <c r="BI37" s="1047"/>
      <c r="BJ37" s="1047"/>
      <c r="BK37" s="1047"/>
      <c r="BL37" s="1047"/>
      <c r="BM37" s="1047"/>
      <c r="BN37" s="1047"/>
      <c r="BO37" s="1047"/>
      <c r="BP37" s="1047"/>
      <c r="BQ37" s="1047"/>
      <c r="BR37" s="1051"/>
      <c r="BS37" s="1046" t="str">
        <f t="shared" si="16"/>
        <v/>
      </c>
      <c r="BT37" s="1038">
        <v>0</v>
      </c>
      <c r="BU37" s="1038" t="s">
        <v>200</v>
      </c>
      <c r="BV37" s="1047">
        <v>0</v>
      </c>
      <c r="BW37" s="1048" t="s">
        <v>200</v>
      </c>
      <c r="BX37" s="1047" t="s">
        <v>200</v>
      </c>
      <c r="BY37" s="1047"/>
      <c r="BZ37" s="1047">
        <f>'Deal Sheet'!C29</f>
        <v>0</v>
      </c>
      <c r="CA37" s="1050" t="str">
        <f>IFERROR(VLOOKUP(BZ37,'Deal Sheet'!$C$9:$G$43,5,FALSE),"")</f>
        <v/>
      </c>
      <c r="CB37" s="1044">
        <f t="shared" si="17"/>
        <v>0</v>
      </c>
      <c r="CC37" s="1044" t="str">
        <f t="shared" si="18"/>
        <v/>
      </c>
      <c r="CD37" s="1047"/>
      <c r="CE37" s="1047"/>
      <c r="CF37" s="1047"/>
      <c r="CG37" s="1047"/>
      <c r="CH37" s="1047"/>
      <c r="CI37" s="1047"/>
      <c r="CJ37" s="1047"/>
      <c r="CK37" s="1047"/>
      <c r="CL37" s="1047"/>
      <c r="CM37" s="1047"/>
      <c r="CN37" s="1047"/>
      <c r="CO37" s="1047"/>
      <c r="CP37" s="1047"/>
      <c r="CQ37" s="1047"/>
      <c r="CR37" s="1047"/>
      <c r="CS37" s="1047"/>
      <c r="CT37" s="1047"/>
      <c r="CU37" s="1047"/>
      <c r="CV37" s="1047"/>
      <c r="CW37" s="1047"/>
      <c r="CX37" s="1047"/>
      <c r="CY37" s="1047"/>
      <c r="CZ37" s="1047"/>
      <c r="DA37" s="1047"/>
      <c r="DB37" s="1047"/>
      <c r="DC37" s="1047"/>
      <c r="DD37" s="1047"/>
      <c r="DE37" s="1047"/>
      <c r="DF37" s="1047"/>
      <c r="DG37" s="1047"/>
      <c r="DH37" s="1047"/>
      <c r="DI37" s="1047"/>
      <c r="DJ37" s="1047"/>
      <c r="DK37" s="1047"/>
      <c r="DL37" s="1105"/>
      <c r="DM37" s="1105"/>
      <c r="DN37" s="1105"/>
      <c r="DO37" s="1105"/>
      <c r="DP37" s="1105"/>
      <c r="DQ37" s="1105"/>
      <c r="DR37" s="1105"/>
      <c r="DS37" s="1105"/>
      <c r="DT37" s="1105"/>
      <c r="DU37" s="1105"/>
      <c r="DV37" s="1105"/>
      <c r="DW37" s="1105"/>
      <c r="DX37" s="1105"/>
      <c r="DY37" s="1105"/>
      <c r="DZ37" s="1105"/>
      <c r="EA37" s="1105"/>
      <c r="EB37" s="1105"/>
      <c r="EC37" s="1105"/>
      <c r="ED37" s="1105"/>
      <c r="EE37" s="1105"/>
      <c r="EF37" s="1105"/>
      <c r="EG37" s="1105"/>
      <c r="EH37" s="1106"/>
      <c r="EI37" s="1106"/>
      <c r="EJ37" s="1106"/>
      <c r="EK37" s="1106"/>
      <c r="EL37" s="1106"/>
      <c r="EM37" s="1106"/>
    </row>
    <row r="38" spans="1:143" s="131" customFormat="1" ht="28" customHeight="1">
      <c r="A38" s="200" t="str">
        <f>'Deal Sheet'!Q31</f>
        <v/>
      </c>
      <c r="B38" s="1287" t="str">
        <f t="shared" si="0"/>
        <v/>
      </c>
      <c r="C38" s="1288"/>
      <c r="D38" s="1289"/>
      <c r="E38" s="1290" t="str">
        <f t="shared" si="1"/>
        <v/>
      </c>
      <c r="F38" s="1290"/>
      <c r="G38" s="1290"/>
      <c r="H38" s="1284"/>
      <c r="I38" s="1285"/>
      <c r="J38" s="1286"/>
      <c r="K38" s="345" t="str">
        <f t="shared" si="2"/>
        <v/>
      </c>
      <c r="L38" s="1047"/>
      <c r="M38" s="1047"/>
      <c r="N38" s="1047"/>
      <c r="O38" s="1031" t="e">
        <f t="shared" si="3"/>
        <v>#VALUE!</v>
      </c>
      <c r="P38" s="1047"/>
      <c r="Q38" s="1037">
        <f t="shared" ca="1" si="4"/>
        <v>1</v>
      </c>
      <c r="R38" s="1040" t="e">
        <f t="shared" ca="1" si="5"/>
        <v>#VALUE!</v>
      </c>
      <c r="S38" s="1031">
        <f t="shared" ca="1" si="6"/>
        <v>-43221</v>
      </c>
      <c r="T38" s="1047"/>
      <c r="U38" s="1047"/>
      <c r="V38" s="1047"/>
      <c r="W38" s="1047"/>
      <c r="X38" s="1047"/>
      <c r="Y38" s="1047"/>
      <c r="Z38" s="1047"/>
      <c r="AA38" s="1047"/>
      <c r="AB38" s="1047"/>
      <c r="AC38" s="1047"/>
      <c r="AD38" s="1047"/>
      <c r="AE38" s="1047"/>
      <c r="AF38" s="1047"/>
      <c r="AG38" s="1047"/>
      <c r="AH38" s="1047"/>
      <c r="AI38" s="1047"/>
      <c r="AJ38" s="1047"/>
      <c r="AK38" s="1047"/>
      <c r="AL38" s="1047"/>
      <c r="AM38" s="1047"/>
      <c r="AN38" s="1047"/>
      <c r="AO38" s="1047"/>
      <c r="AP38" s="1047"/>
      <c r="AQ38" s="1047"/>
      <c r="AR38" s="1047"/>
      <c r="AS38" s="1047"/>
      <c r="AT38" s="1047"/>
      <c r="AU38" s="1047"/>
      <c r="AV38" s="1031" t="str">
        <f t="shared" si="7"/>
        <v/>
      </c>
      <c r="AW38" s="1041" t="str">
        <f t="shared" si="8"/>
        <v/>
      </c>
      <c r="AX38" s="1041" t="str">
        <f t="shared" si="9"/>
        <v/>
      </c>
      <c r="AY38" s="1041" t="str">
        <f t="shared" si="10"/>
        <v/>
      </c>
      <c r="AZ38" s="1041" t="str">
        <f t="shared" si="11"/>
        <v/>
      </c>
      <c r="BA38" s="1031" t="str">
        <f t="shared" si="12"/>
        <v/>
      </c>
      <c r="BB38" s="1040">
        <f t="shared" si="13"/>
        <v>0</v>
      </c>
      <c r="BC38" s="1042" t="str">
        <f t="shared" si="14"/>
        <v/>
      </c>
      <c r="BD38" s="1038">
        <f t="shared" si="15"/>
        <v>0</v>
      </c>
      <c r="BE38" s="1047"/>
      <c r="BF38" s="1047"/>
      <c r="BG38" s="1047"/>
      <c r="BH38" s="1047"/>
      <c r="BI38" s="1047"/>
      <c r="BJ38" s="1047"/>
      <c r="BK38" s="1047"/>
      <c r="BL38" s="1047"/>
      <c r="BM38" s="1047"/>
      <c r="BN38" s="1047"/>
      <c r="BO38" s="1047"/>
      <c r="BP38" s="1047"/>
      <c r="BQ38" s="1047"/>
      <c r="BR38" s="1051"/>
      <c r="BS38" s="1046" t="str">
        <f t="shared" si="16"/>
        <v/>
      </c>
      <c r="BT38" s="1038">
        <v>0</v>
      </c>
      <c r="BU38" s="1038" t="s">
        <v>200</v>
      </c>
      <c r="BV38" s="1047">
        <v>0</v>
      </c>
      <c r="BW38" s="1048" t="s">
        <v>200</v>
      </c>
      <c r="BX38" s="1047" t="s">
        <v>200</v>
      </c>
      <c r="BY38" s="1047"/>
      <c r="BZ38" s="1047">
        <f>'Deal Sheet'!C30</f>
        <v>0</v>
      </c>
      <c r="CA38" s="1050" t="str">
        <f>IFERROR(VLOOKUP(BZ38,'Deal Sheet'!$C$9:$G$43,5,FALSE),"")</f>
        <v/>
      </c>
      <c r="CB38" s="1044">
        <f t="shared" si="17"/>
        <v>0</v>
      </c>
      <c r="CC38" s="1044" t="str">
        <f t="shared" si="18"/>
        <v/>
      </c>
      <c r="CD38" s="1047"/>
      <c r="CE38" s="1047"/>
      <c r="CF38" s="1047"/>
      <c r="CG38" s="1047"/>
      <c r="CH38" s="1047"/>
      <c r="CI38" s="1047"/>
      <c r="CJ38" s="1047"/>
      <c r="CK38" s="1047"/>
      <c r="CL38" s="1047"/>
      <c r="CM38" s="1047"/>
      <c r="CN38" s="1047"/>
      <c r="CO38" s="1047"/>
      <c r="CP38" s="1047"/>
      <c r="CQ38" s="1047"/>
      <c r="CR38" s="1047"/>
      <c r="CS38" s="1047"/>
      <c r="CT38" s="1047"/>
      <c r="CU38" s="1047"/>
      <c r="CV38" s="1047"/>
      <c r="CW38" s="1047"/>
      <c r="CX38" s="1047"/>
      <c r="CY38" s="1047"/>
      <c r="CZ38" s="1047"/>
      <c r="DA38" s="1047"/>
      <c r="DB38" s="1047"/>
      <c r="DC38" s="1047"/>
      <c r="DD38" s="1047"/>
      <c r="DE38" s="1047"/>
      <c r="DF38" s="1047"/>
      <c r="DG38" s="1047"/>
      <c r="DH38" s="1047"/>
      <c r="DI38" s="1047"/>
      <c r="DJ38" s="1047"/>
      <c r="DK38" s="1047"/>
      <c r="DL38" s="1105"/>
      <c r="DM38" s="1105"/>
      <c r="DN38" s="1105"/>
      <c r="DO38" s="1105"/>
      <c r="DP38" s="1105"/>
      <c r="DQ38" s="1105"/>
      <c r="DR38" s="1105"/>
      <c r="DS38" s="1105"/>
      <c r="DT38" s="1105"/>
      <c r="DU38" s="1105"/>
      <c r="DV38" s="1105"/>
      <c r="DW38" s="1105"/>
      <c r="DX38" s="1105"/>
      <c r="DY38" s="1105"/>
      <c r="DZ38" s="1105"/>
      <c r="EA38" s="1105"/>
      <c r="EB38" s="1105"/>
      <c r="EC38" s="1105"/>
      <c r="ED38" s="1105"/>
      <c r="EE38" s="1105"/>
      <c r="EF38" s="1105"/>
      <c r="EG38" s="1105"/>
      <c r="EH38" s="1106"/>
      <c r="EI38" s="1106"/>
      <c r="EJ38" s="1106"/>
      <c r="EK38" s="1106"/>
      <c r="EL38" s="1106"/>
      <c r="EM38" s="1106"/>
    </row>
    <row r="39" spans="1:143" s="131" customFormat="1" ht="28" customHeight="1">
      <c r="A39" s="200" t="str">
        <f>'Deal Sheet'!Q32</f>
        <v/>
      </c>
      <c r="B39" s="1287" t="str">
        <f t="shared" si="0"/>
        <v/>
      </c>
      <c r="C39" s="1288"/>
      <c r="D39" s="1289"/>
      <c r="E39" s="1290" t="str">
        <f t="shared" si="1"/>
        <v/>
      </c>
      <c r="F39" s="1290"/>
      <c r="G39" s="1290"/>
      <c r="H39" s="1284"/>
      <c r="I39" s="1285"/>
      <c r="J39" s="1286"/>
      <c r="K39" s="345" t="str">
        <f t="shared" si="2"/>
        <v/>
      </c>
      <c r="L39" s="1047"/>
      <c r="M39" s="1047"/>
      <c r="N39" s="1047"/>
      <c r="O39" s="1031" t="e">
        <f t="shared" si="3"/>
        <v>#VALUE!</v>
      </c>
      <c r="P39" s="1047"/>
      <c r="Q39" s="1037">
        <f t="shared" ca="1" si="4"/>
        <v>1</v>
      </c>
      <c r="R39" s="1040" t="e">
        <f t="shared" ca="1" si="5"/>
        <v>#VALUE!</v>
      </c>
      <c r="S39" s="1031">
        <f t="shared" ca="1" si="6"/>
        <v>-43221</v>
      </c>
      <c r="T39" s="1047"/>
      <c r="U39" s="1047"/>
      <c r="V39" s="1047"/>
      <c r="W39" s="1047"/>
      <c r="X39" s="1047"/>
      <c r="Y39" s="1047"/>
      <c r="Z39" s="1047"/>
      <c r="AA39" s="1047"/>
      <c r="AB39" s="1047"/>
      <c r="AC39" s="1047"/>
      <c r="AD39" s="1047"/>
      <c r="AE39" s="1047"/>
      <c r="AF39" s="1047"/>
      <c r="AG39" s="1047"/>
      <c r="AH39" s="1047"/>
      <c r="AI39" s="1047"/>
      <c r="AJ39" s="1047"/>
      <c r="AK39" s="1047"/>
      <c r="AL39" s="1047"/>
      <c r="AM39" s="1047"/>
      <c r="AN39" s="1047"/>
      <c r="AO39" s="1047"/>
      <c r="AP39" s="1047"/>
      <c r="AQ39" s="1047"/>
      <c r="AR39" s="1047"/>
      <c r="AS39" s="1047"/>
      <c r="AT39" s="1047"/>
      <c r="AU39" s="1047"/>
      <c r="AV39" s="1031" t="str">
        <f t="shared" si="7"/>
        <v/>
      </c>
      <c r="AW39" s="1041" t="str">
        <f t="shared" si="8"/>
        <v/>
      </c>
      <c r="AX39" s="1041" t="str">
        <f t="shared" si="9"/>
        <v/>
      </c>
      <c r="AY39" s="1041" t="str">
        <f t="shared" si="10"/>
        <v/>
      </c>
      <c r="AZ39" s="1041" t="str">
        <f t="shared" si="11"/>
        <v/>
      </c>
      <c r="BA39" s="1031" t="str">
        <f t="shared" si="12"/>
        <v/>
      </c>
      <c r="BB39" s="1040">
        <f t="shared" si="13"/>
        <v>0</v>
      </c>
      <c r="BC39" s="1042" t="str">
        <f t="shared" si="14"/>
        <v/>
      </c>
      <c r="BD39" s="1038">
        <f t="shared" si="15"/>
        <v>0</v>
      </c>
      <c r="BE39" s="1047"/>
      <c r="BF39" s="1047"/>
      <c r="BG39" s="1047"/>
      <c r="BH39" s="1047"/>
      <c r="BI39" s="1047"/>
      <c r="BJ39" s="1047"/>
      <c r="BK39" s="1047"/>
      <c r="BL39" s="1047"/>
      <c r="BM39" s="1047"/>
      <c r="BN39" s="1047"/>
      <c r="BO39" s="1047"/>
      <c r="BP39" s="1047"/>
      <c r="BQ39" s="1047"/>
      <c r="BR39" s="1051"/>
      <c r="BS39" s="1046" t="str">
        <f t="shared" si="16"/>
        <v/>
      </c>
      <c r="BT39" s="1038">
        <v>0</v>
      </c>
      <c r="BU39" s="1038" t="s">
        <v>200</v>
      </c>
      <c r="BV39" s="1047">
        <v>0</v>
      </c>
      <c r="BW39" s="1048" t="s">
        <v>200</v>
      </c>
      <c r="BX39" s="1047" t="s">
        <v>200</v>
      </c>
      <c r="BY39" s="1047"/>
      <c r="BZ39" s="1047">
        <f>'Deal Sheet'!C31</f>
        <v>0</v>
      </c>
      <c r="CA39" s="1050" t="str">
        <f>IFERROR(VLOOKUP(BZ39,'Deal Sheet'!$C$9:$G$43,5,FALSE),"")</f>
        <v/>
      </c>
      <c r="CB39" s="1044">
        <f t="shared" si="17"/>
        <v>0</v>
      </c>
      <c r="CC39" s="1044" t="str">
        <f t="shared" si="18"/>
        <v/>
      </c>
      <c r="CD39" s="1047"/>
      <c r="CE39" s="1047"/>
      <c r="CF39" s="1047"/>
      <c r="CG39" s="1047"/>
      <c r="CH39" s="1047"/>
      <c r="CI39" s="1047"/>
      <c r="CJ39" s="1047"/>
      <c r="CK39" s="1047"/>
      <c r="CL39" s="1047"/>
      <c r="CM39" s="1047"/>
      <c r="CN39" s="1047"/>
      <c r="CO39" s="1047"/>
      <c r="CP39" s="1047"/>
      <c r="CQ39" s="1047"/>
      <c r="CR39" s="1047"/>
      <c r="CS39" s="1047"/>
      <c r="CT39" s="1047"/>
      <c r="CU39" s="1047"/>
      <c r="CV39" s="1047"/>
      <c r="CW39" s="1047"/>
      <c r="CX39" s="1047"/>
      <c r="CY39" s="1047"/>
      <c r="CZ39" s="1047"/>
      <c r="DA39" s="1047"/>
      <c r="DB39" s="1047"/>
      <c r="DC39" s="1047"/>
      <c r="DD39" s="1047"/>
      <c r="DE39" s="1047"/>
      <c r="DF39" s="1047"/>
      <c r="DG39" s="1047"/>
      <c r="DH39" s="1047"/>
      <c r="DI39" s="1047"/>
      <c r="DJ39" s="1047"/>
      <c r="DK39" s="1047"/>
      <c r="DL39" s="1105"/>
      <c r="DM39" s="1105"/>
      <c r="DN39" s="1105"/>
      <c r="DO39" s="1105"/>
      <c r="DP39" s="1105"/>
      <c r="DQ39" s="1105"/>
      <c r="DR39" s="1105"/>
      <c r="DS39" s="1105"/>
      <c r="DT39" s="1105"/>
      <c r="DU39" s="1105"/>
      <c r="DV39" s="1105"/>
      <c r="DW39" s="1105"/>
      <c r="DX39" s="1105"/>
      <c r="DY39" s="1105"/>
      <c r="DZ39" s="1105"/>
      <c r="EA39" s="1105"/>
      <c r="EB39" s="1105"/>
      <c r="EC39" s="1105"/>
      <c r="ED39" s="1105"/>
      <c r="EE39" s="1105"/>
      <c r="EF39" s="1105"/>
      <c r="EG39" s="1105"/>
      <c r="EH39" s="1106"/>
      <c r="EI39" s="1106"/>
      <c r="EJ39" s="1106"/>
      <c r="EK39" s="1106"/>
      <c r="EL39" s="1106"/>
      <c r="EM39" s="1106"/>
    </row>
    <row r="40" spans="1:143" s="131" customFormat="1" ht="28" customHeight="1">
      <c r="A40" s="200" t="str">
        <f>'Deal Sheet'!Q33</f>
        <v/>
      </c>
      <c r="B40" s="1287" t="str">
        <f t="shared" si="0"/>
        <v/>
      </c>
      <c r="C40" s="1288"/>
      <c r="D40" s="1289"/>
      <c r="E40" s="1290" t="str">
        <f t="shared" si="1"/>
        <v/>
      </c>
      <c r="F40" s="1290"/>
      <c r="G40" s="1290"/>
      <c r="H40" s="1284"/>
      <c r="I40" s="1285"/>
      <c r="J40" s="1286"/>
      <c r="K40" s="345" t="str">
        <f t="shared" si="2"/>
        <v/>
      </c>
      <c r="L40" s="1047"/>
      <c r="M40" s="1047"/>
      <c r="N40" s="1047"/>
      <c r="O40" s="1031" t="e">
        <f t="shared" si="3"/>
        <v>#VALUE!</v>
      </c>
      <c r="P40" s="1047"/>
      <c r="Q40" s="1037">
        <f t="shared" ca="1" si="4"/>
        <v>1</v>
      </c>
      <c r="R40" s="1040" t="e">
        <f t="shared" ca="1" si="5"/>
        <v>#VALUE!</v>
      </c>
      <c r="S40" s="1031">
        <f t="shared" ca="1" si="6"/>
        <v>-43221</v>
      </c>
      <c r="T40" s="1047"/>
      <c r="U40" s="1047"/>
      <c r="V40" s="1047"/>
      <c r="W40" s="1047"/>
      <c r="X40" s="1047"/>
      <c r="Y40" s="1047"/>
      <c r="Z40" s="1047"/>
      <c r="AA40" s="1047"/>
      <c r="AB40" s="1047"/>
      <c r="AC40" s="1047"/>
      <c r="AD40" s="1047"/>
      <c r="AE40" s="1047"/>
      <c r="AF40" s="1047"/>
      <c r="AG40" s="1047"/>
      <c r="AH40" s="1047"/>
      <c r="AI40" s="1047"/>
      <c r="AJ40" s="1047"/>
      <c r="AK40" s="1047"/>
      <c r="AL40" s="1047"/>
      <c r="AM40" s="1047"/>
      <c r="AN40" s="1047"/>
      <c r="AO40" s="1047"/>
      <c r="AP40" s="1047"/>
      <c r="AQ40" s="1047"/>
      <c r="AR40" s="1047"/>
      <c r="AS40" s="1047"/>
      <c r="AT40" s="1047"/>
      <c r="AU40" s="1047"/>
      <c r="AV40" s="1031" t="str">
        <f t="shared" si="7"/>
        <v/>
      </c>
      <c r="AW40" s="1041" t="str">
        <f t="shared" si="8"/>
        <v/>
      </c>
      <c r="AX40" s="1041" t="str">
        <f t="shared" si="9"/>
        <v/>
      </c>
      <c r="AY40" s="1041" t="str">
        <f t="shared" si="10"/>
        <v/>
      </c>
      <c r="AZ40" s="1041" t="str">
        <f t="shared" si="11"/>
        <v/>
      </c>
      <c r="BA40" s="1031" t="str">
        <f t="shared" si="12"/>
        <v/>
      </c>
      <c r="BB40" s="1040">
        <f t="shared" si="13"/>
        <v>0</v>
      </c>
      <c r="BC40" s="1042" t="str">
        <f t="shared" si="14"/>
        <v/>
      </c>
      <c r="BD40" s="1038">
        <f t="shared" si="15"/>
        <v>0</v>
      </c>
      <c r="BE40" s="1047"/>
      <c r="BF40" s="1047"/>
      <c r="BG40" s="1047"/>
      <c r="BH40" s="1047"/>
      <c r="BI40" s="1047"/>
      <c r="BJ40" s="1047"/>
      <c r="BK40" s="1047"/>
      <c r="BL40" s="1047"/>
      <c r="BM40" s="1047"/>
      <c r="BN40" s="1047"/>
      <c r="BO40" s="1047"/>
      <c r="BP40" s="1047"/>
      <c r="BQ40" s="1047"/>
      <c r="BR40" s="1051"/>
      <c r="BS40" s="1046" t="str">
        <f t="shared" si="16"/>
        <v/>
      </c>
      <c r="BT40" s="1038">
        <v>0</v>
      </c>
      <c r="BU40" s="1038" t="s">
        <v>200</v>
      </c>
      <c r="BV40" s="1047">
        <v>0</v>
      </c>
      <c r="BW40" s="1048" t="s">
        <v>200</v>
      </c>
      <c r="BX40" s="1047" t="s">
        <v>200</v>
      </c>
      <c r="BY40" s="1047"/>
      <c r="BZ40" s="1047">
        <f>'Deal Sheet'!C32</f>
        <v>0</v>
      </c>
      <c r="CA40" s="1050" t="str">
        <f>IFERROR(VLOOKUP(BZ40,'Deal Sheet'!$C$9:$G$43,5,FALSE),"")</f>
        <v/>
      </c>
      <c r="CB40" s="1044">
        <f t="shared" si="17"/>
        <v>0</v>
      </c>
      <c r="CC40" s="1044" t="str">
        <f t="shared" si="18"/>
        <v/>
      </c>
      <c r="CD40" s="1047"/>
      <c r="CE40" s="1047"/>
      <c r="CF40" s="1047"/>
      <c r="CG40" s="1047"/>
      <c r="CH40" s="1047"/>
      <c r="CI40" s="1047"/>
      <c r="CJ40" s="1047"/>
      <c r="CK40" s="1047"/>
      <c r="CL40" s="1047"/>
      <c r="CM40" s="1047"/>
      <c r="CN40" s="1047"/>
      <c r="CO40" s="1047"/>
      <c r="CP40" s="1047"/>
      <c r="CQ40" s="1047"/>
      <c r="CR40" s="1047"/>
      <c r="CS40" s="1047"/>
      <c r="CT40" s="1047"/>
      <c r="CU40" s="1047"/>
      <c r="CV40" s="1047"/>
      <c r="CW40" s="1047"/>
      <c r="CX40" s="1047"/>
      <c r="CY40" s="1047"/>
      <c r="CZ40" s="1047"/>
      <c r="DA40" s="1047"/>
      <c r="DB40" s="1047"/>
      <c r="DC40" s="1047"/>
      <c r="DD40" s="1047"/>
      <c r="DE40" s="1047"/>
      <c r="DF40" s="1047"/>
      <c r="DG40" s="1047"/>
      <c r="DH40" s="1047"/>
      <c r="DI40" s="1047"/>
      <c r="DJ40" s="1047"/>
      <c r="DK40" s="1047"/>
      <c r="DL40" s="1105"/>
      <c r="DM40" s="1105"/>
      <c r="DN40" s="1105"/>
      <c r="DO40" s="1105"/>
      <c r="DP40" s="1105"/>
      <c r="DQ40" s="1105"/>
      <c r="DR40" s="1105"/>
      <c r="DS40" s="1105"/>
      <c r="DT40" s="1105"/>
      <c r="DU40" s="1105"/>
      <c r="DV40" s="1105"/>
      <c r="DW40" s="1105"/>
      <c r="DX40" s="1105"/>
      <c r="DY40" s="1105"/>
      <c r="DZ40" s="1105"/>
      <c r="EA40" s="1105"/>
      <c r="EB40" s="1105"/>
      <c r="EC40" s="1105"/>
      <c r="ED40" s="1105"/>
      <c r="EE40" s="1105"/>
      <c r="EF40" s="1105"/>
      <c r="EG40" s="1105"/>
      <c r="EH40" s="1106"/>
      <c r="EI40" s="1106"/>
      <c r="EJ40" s="1106"/>
      <c r="EK40" s="1106"/>
      <c r="EL40" s="1106"/>
      <c r="EM40" s="1106"/>
    </row>
    <row r="41" spans="1:143" s="131" customFormat="1" ht="28" customHeight="1">
      <c r="A41" s="200" t="str">
        <f>'Deal Sheet'!Q34</f>
        <v/>
      </c>
      <c r="B41" s="1287" t="str">
        <f t="shared" si="0"/>
        <v/>
      </c>
      <c r="C41" s="1288"/>
      <c r="D41" s="1289"/>
      <c r="E41" s="1290" t="str">
        <f t="shared" si="1"/>
        <v/>
      </c>
      <c r="F41" s="1290"/>
      <c r="G41" s="1290"/>
      <c r="H41" s="1284"/>
      <c r="I41" s="1285"/>
      <c r="J41" s="1286"/>
      <c r="K41" s="345" t="str">
        <f t="shared" si="2"/>
        <v/>
      </c>
      <c r="L41" s="1047"/>
      <c r="M41" s="1047"/>
      <c r="N41" s="1047"/>
      <c r="O41" s="1031" t="e">
        <f t="shared" si="3"/>
        <v>#VALUE!</v>
      </c>
      <c r="P41" s="1047"/>
      <c r="Q41" s="1037">
        <f t="shared" ca="1" si="4"/>
        <v>1</v>
      </c>
      <c r="R41" s="1040" t="e">
        <f t="shared" ca="1" si="5"/>
        <v>#VALUE!</v>
      </c>
      <c r="S41" s="1031">
        <f t="shared" ca="1" si="6"/>
        <v>-43221</v>
      </c>
      <c r="T41" s="1047"/>
      <c r="U41" s="1047"/>
      <c r="V41" s="1047"/>
      <c r="W41" s="1047"/>
      <c r="X41" s="1047"/>
      <c r="Y41" s="1047"/>
      <c r="Z41" s="1047"/>
      <c r="AA41" s="1047"/>
      <c r="AB41" s="1047"/>
      <c r="AC41" s="1047"/>
      <c r="AD41" s="1047"/>
      <c r="AE41" s="1047"/>
      <c r="AF41" s="1047"/>
      <c r="AG41" s="1047"/>
      <c r="AH41" s="1047"/>
      <c r="AI41" s="1047"/>
      <c r="AJ41" s="1047"/>
      <c r="AK41" s="1047"/>
      <c r="AL41" s="1047"/>
      <c r="AM41" s="1047"/>
      <c r="AN41" s="1047"/>
      <c r="AO41" s="1047"/>
      <c r="AP41" s="1047"/>
      <c r="AQ41" s="1047"/>
      <c r="AR41" s="1047"/>
      <c r="AS41" s="1047"/>
      <c r="AT41" s="1047"/>
      <c r="AU41" s="1047"/>
      <c r="AV41" s="1031" t="str">
        <f t="shared" si="7"/>
        <v/>
      </c>
      <c r="AW41" s="1041" t="str">
        <f t="shared" si="8"/>
        <v/>
      </c>
      <c r="AX41" s="1041" t="str">
        <f t="shared" si="9"/>
        <v/>
      </c>
      <c r="AY41" s="1041" t="str">
        <f t="shared" si="10"/>
        <v/>
      </c>
      <c r="AZ41" s="1041" t="str">
        <f t="shared" si="11"/>
        <v/>
      </c>
      <c r="BA41" s="1031" t="str">
        <f t="shared" si="12"/>
        <v/>
      </c>
      <c r="BB41" s="1040">
        <f t="shared" si="13"/>
        <v>0</v>
      </c>
      <c r="BC41" s="1042" t="str">
        <f t="shared" si="14"/>
        <v/>
      </c>
      <c r="BD41" s="1038">
        <f t="shared" si="15"/>
        <v>0</v>
      </c>
      <c r="BE41" s="1047"/>
      <c r="BF41" s="1047"/>
      <c r="BG41" s="1047"/>
      <c r="BH41" s="1047"/>
      <c r="BI41" s="1047"/>
      <c r="BJ41" s="1047"/>
      <c r="BK41" s="1047"/>
      <c r="BL41" s="1047"/>
      <c r="BM41" s="1047"/>
      <c r="BN41" s="1047"/>
      <c r="BO41" s="1047"/>
      <c r="BP41" s="1047"/>
      <c r="BQ41" s="1047"/>
      <c r="BR41" s="1051"/>
      <c r="BS41" s="1046" t="str">
        <f t="shared" si="16"/>
        <v/>
      </c>
      <c r="BT41" s="1038">
        <v>0</v>
      </c>
      <c r="BU41" s="1038" t="s">
        <v>200</v>
      </c>
      <c r="BV41" s="1047">
        <v>0</v>
      </c>
      <c r="BW41" s="1048" t="s">
        <v>200</v>
      </c>
      <c r="BX41" s="1047" t="s">
        <v>200</v>
      </c>
      <c r="BY41" s="1047"/>
      <c r="BZ41" s="1047">
        <f>'Deal Sheet'!C33</f>
        <v>0</v>
      </c>
      <c r="CA41" s="1050" t="str">
        <f>IFERROR(VLOOKUP(BZ41,'Deal Sheet'!$C$9:$G$43,5,FALSE),"")</f>
        <v/>
      </c>
      <c r="CB41" s="1044">
        <f t="shared" si="17"/>
        <v>0</v>
      </c>
      <c r="CC41" s="1044" t="str">
        <f t="shared" si="18"/>
        <v/>
      </c>
      <c r="CD41" s="1047"/>
      <c r="CE41" s="1047"/>
      <c r="CF41" s="1047"/>
      <c r="CG41" s="1047"/>
      <c r="CH41" s="1047"/>
      <c r="CI41" s="1047"/>
      <c r="CJ41" s="1047"/>
      <c r="CK41" s="1047"/>
      <c r="CL41" s="1047"/>
      <c r="CM41" s="1047"/>
      <c r="CN41" s="1047"/>
      <c r="CO41" s="1047"/>
      <c r="CP41" s="1047"/>
      <c r="CQ41" s="1047"/>
      <c r="CR41" s="1047"/>
      <c r="CS41" s="1047"/>
      <c r="CT41" s="1047"/>
      <c r="CU41" s="1047"/>
      <c r="CV41" s="1047"/>
      <c r="CW41" s="1047"/>
      <c r="CX41" s="1047"/>
      <c r="CY41" s="1047"/>
      <c r="CZ41" s="1047"/>
      <c r="DA41" s="1047"/>
      <c r="DB41" s="1047"/>
      <c r="DC41" s="1047"/>
      <c r="DD41" s="1047"/>
      <c r="DE41" s="1047"/>
      <c r="DF41" s="1047"/>
      <c r="DG41" s="1047"/>
      <c r="DH41" s="1047"/>
      <c r="DI41" s="1047"/>
      <c r="DJ41" s="1047"/>
      <c r="DK41" s="1047"/>
      <c r="DL41" s="1105"/>
      <c r="DM41" s="1105"/>
      <c r="DN41" s="1105"/>
      <c r="DO41" s="1105"/>
      <c r="DP41" s="1105"/>
      <c r="DQ41" s="1105"/>
      <c r="DR41" s="1105"/>
      <c r="DS41" s="1105"/>
      <c r="DT41" s="1105"/>
      <c r="DU41" s="1105"/>
      <c r="DV41" s="1105"/>
      <c r="DW41" s="1105"/>
      <c r="DX41" s="1105"/>
      <c r="DY41" s="1105"/>
      <c r="DZ41" s="1105"/>
      <c r="EA41" s="1105"/>
      <c r="EB41" s="1105"/>
      <c r="EC41" s="1105"/>
      <c r="ED41" s="1105"/>
      <c r="EE41" s="1105"/>
      <c r="EF41" s="1105"/>
      <c r="EG41" s="1105"/>
      <c r="EH41" s="1106"/>
      <c r="EI41" s="1106"/>
      <c r="EJ41" s="1106"/>
      <c r="EK41" s="1106"/>
      <c r="EL41" s="1106"/>
      <c r="EM41" s="1106"/>
    </row>
    <row r="42" spans="1:143" s="131" customFormat="1" ht="28" customHeight="1">
      <c r="A42" s="200" t="str">
        <f>'Deal Sheet'!Q35</f>
        <v/>
      </c>
      <c r="B42" s="1287" t="str">
        <f t="shared" si="0"/>
        <v/>
      </c>
      <c r="C42" s="1288"/>
      <c r="D42" s="1289"/>
      <c r="E42" s="1290" t="str">
        <f t="shared" si="1"/>
        <v/>
      </c>
      <c r="F42" s="1290"/>
      <c r="G42" s="1290"/>
      <c r="H42" s="1284"/>
      <c r="I42" s="1285"/>
      <c r="J42" s="1286"/>
      <c r="K42" s="345" t="str">
        <f t="shared" si="2"/>
        <v/>
      </c>
      <c r="L42" s="1047"/>
      <c r="M42" s="1047"/>
      <c r="N42" s="1047"/>
      <c r="O42" s="1031" t="e">
        <f t="shared" si="3"/>
        <v>#VALUE!</v>
      </c>
      <c r="P42" s="1047"/>
      <c r="Q42" s="1037">
        <f t="shared" ca="1" si="4"/>
        <v>1</v>
      </c>
      <c r="R42" s="1040" t="e">
        <f t="shared" ca="1" si="5"/>
        <v>#VALUE!</v>
      </c>
      <c r="S42" s="1031">
        <f t="shared" ca="1" si="6"/>
        <v>-43221</v>
      </c>
      <c r="T42" s="1047"/>
      <c r="U42" s="1047"/>
      <c r="V42" s="1047"/>
      <c r="W42" s="1047"/>
      <c r="X42" s="1047"/>
      <c r="Y42" s="1047"/>
      <c r="Z42" s="1047"/>
      <c r="AA42" s="1047"/>
      <c r="AB42" s="1047"/>
      <c r="AC42" s="1047"/>
      <c r="AD42" s="1047"/>
      <c r="AE42" s="1047"/>
      <c r="AF42" s="1047"/>
      <c r="AG42" s="1047"/>
      <c r="AH42" s="1047"/>
      <c r="AI42" s="1047"/>
      <c r="AJ42" s="1047"/>
      <c r="AK42" s="1047"/>
      <c r="AL42" s="1047"/>
      <c r="AM42" s="1047"/>
      <c r="AN42" s="1047"/>
      <c r="AO42" s="1047"/>
      <c r="AP42" s="1047"/>
      <c r="AQ42" s="1047"/>
      <c r="AR42" s="1047"/>
      <c r="AS42" s="1047"/>
      <c r="AT42" s="1047"/>
      <c r="AU42" s="1047"/>
      <c r="AV42" s="1031" t="str">
        <f t="shared" si="7"/>
        <v/>
      </c>
      <c r="AW42" s="1041" t="str">
        <f t="shared" si="8"/>
        <v/>
      </c>
      <c r="AX42" s="1041" t="str">
        <f t="shared" si="9"/>
        <v/>
      </c>
      <c r="AY42" s="1041" t="str">
        <f t="shared" si="10"/>
        <v/>
      </c>
      <c r="AZ42" s="1041" t="str">
        <f t="shared" si="11"/>
        <v/>
      </c>
      <c r="BA42" s="1031" t="str">
        <f t="shared" si="12"/>
        <v/>
      </c>
      <c r="BB42" s="1040">
        <f t="shared" si="13"/>
        <v>0</v>
      </c>
      <c r="BC42" s="1042" t="str">
        <f t="shared" si="14"/>
        <v/>
      </c>
      <c r="BD42" s="1038">
        <f t="shared" si="15"/>
        <v>0</v>
      </c>
      <c r="BE42" s="1047"/>
      <c r="BF42" s="1047"/>
      <c r="BG42" s="1047"/>
      <c r="BH42" s="1047"/>
      <c r="BI42" s="1047"/>
      <c r="BJ42" s="1047"/>
      <c r="BK42" s="1047"/>
      <c r="BL42" s="1047"/>
      <c r="BM42" s="1047"/>
      <c r="BN42" s="1047"/>
      <c r="BO42" s="1047"/>
      <c r="BP42" s="1047"/>
      <c r="BQ42" s="1047"/>
      <c r="BR42" s="1051"/>
      <c r="BS42" s="1046" t="str">
        <f t="shared" si="16"/>
        <v/>
      </c>
      <c r="BT42" s="1038">
        <v>0</v>
      </c>
      <c r="BU42" s="1038" t="s">
        <v>200</v>
      </c>
      <c r="BV42" s="1047">
        <v>0</v>
      </c>
      <c r="BW42" s="1048" t="s">
        <v>200</v>
      </c>
      <c r="BX42" s="1047" t="s">
        <v>200</v>
      </c>
      <c r="BY42" s="1047"/>
      <c r="BZ42" s="1047">
        <f>'Deal Sheet'!C34</f>
        <v>0</v>
      </c>
      <c r="CA42" s="1050" t="str">
        <f>IFERROR(VLOOKUP(BZ42,'Deal Sheet'!$C$9:$G$43,5,FALSE),"")</f>
        <v/>
      </c>
      <c r="CB42" s="1044">
        <f t="shared" si="17"/>
        <v>0</v>
      </c>
      <c r="CC42" s="1044" t="str">
        <f t="shared" si="18"/>
        <v/>
      </c>
      <c r="CD42" s="1047"/>
      <c r="CE42" s="1047"/>
      <c r="CF42" s="1047"/>
      <c r="CG42" s="1047"/>
      <c r="CH42" s="1047"/>
      <c r="CI42" s="1047"/>
      <c r="CJ42" s="1047"/>
      <c r="CK42" s="1047"/>
      <c r="CL42" s="1047"/>
      <c r="CM42" s="1047"/>
      <c r="CN42" s="1047"/>
      <c r="CO42" s="1047"/>
      <c r="CP42" s="1047"/>
      <c r="CQ42" s="1047"/>
      <c r="CR42" s="1047"/>
      <c r="CS42" s="1047"/>
      <c r="CT42" s="1047"/>
      <c r="CU42" s="1047"/>
      <c r="CV42" s="1047"/>
      <c r="CW42" s="1047"/>
      <c r="CX42" s="1047"/>
      <c r="CY42" s="1047"/>
      <c r="CZ42" s="1047"/>
      <c r="DA42" s="1047"/>
      <c r="DB42" s="1047"/>
      <c r="DC42" s="1047"/>
      <c r="DD42" s="1047"/>
      <c r="DE42" s="1047"/>
      <c r="DF42" s="1047"/>
      <c r="DG42" s="1047"/>
      <c r="DH42" s="1047"/>
      <c r="DI42" s="1047"/>
      <c r="DJ42" s="1047"/>
      <c r="DK42" s="1047"/>
      <c r="DL42" s="1105"/>
      <c r="DM42" s="1105"/>
      <c r="DN42" s="1105"/>
      <c r="DO42" s="1105"/>
      <c r="DP42" s="1105"/>
      <c r="DQ42" s="1105"/>
      <c r="DR42" s="1105"/>
      <c r="DS42" s="1105"/>
      <c r="DT42" s="1105"/>
      <c r="DU42" s="1105"/>
      <c r="DV42" s="1105"/>
      <c r="DW42" s="1105"/>
      <c r="DX42" s="1105"/>
      <c r="DY42" s="1105"/>
      <c r="DZ42" s="1105"/>
      <c r="EA42" s="1105"/>
      <c r="EB42" s="1105"/>
      <c r="EC42" s="1105"/>
      <c r="ED42" s="1105"/>
      <c r="EE42" s="1105"/>
      <c r="EF42" s="1105"/>
      <c r="EG42" s="1105"/>
      <c r="EH42" s="1106"/>
      <c r="EI42" s="1106"/>
      <c r="EJ42" s="1106"/>
      <c r="EK42" s="1106"/>
      <c r="EL42" s="1106"/>
      <c r="EM42" s="1106"/>
    </row>
    <row r="43" spans="1:143" s="131" customFormat="1" ht="28" customHeight="1">
      <c r="A43" s="200" t="str">
        <f>'Deal Sheet'!Q36</f>
        <v/>
      </c>
      <c r="B43" s="1287" t="str">
        <f t="shared" si="0"/>
        <v/>
      </c>
      <c r="C43" s="1288"/>
      <c r="D43" s="1289"/>
      <c r="E43" s="1290" t="str">
        <f t="shared" si="1"/>
        <v/>
      </c>
      <c r="F43" s="1290"/>
      <c r="G43" s="1290"/>
      <c r="H43" s="1284"/>
      <c r="I43" s="1285"/>
      <c r="J43" s="1286"/>
      <c r="K43" s="345" t="str">
        <f t="shared" si="2"/>
        <v/>
      </c>
      <c r="L43" s="1047"/>
      <c r="M43" s="1047"/>
      <c r="N43" s="1047"/>
      <c r="O43" s="1031" t="e">
        <f t="shared" si="3"/>
        <v>#VALUE!</v>
      </c>
      <c r="P43" s="1047"/>
      <c r="Q43" s="1037">
        <f t="shared" ca="1" si="4"/>
        <v>1</v>
      </c>
      <c r="R43" s="1040" t="e">
        <f t="shared" ca="1" si="5"/>
        <v>#VALUE!</v>
      </c>
      <c r="S43" s="1031">
        <f t="shared" ca="1" si="6"/>
        <v>-43221</v>
      </c>
      <c r="T43" s="1047"/>
      <c r="U43" s="1047"/>
      <c r="V43" s="1047"/>
      <c r="W43" s="1047"/>
      <c r="X43" s="1047"/>
      <c r="Y43" s="1047"/>
      <c r="Z43" s="1047"/>
      <c r="AA43" s="1047"/>
      <c r="AB43" s="1047"/>
      <c r="AC43" s="1047"/>
      <c r="AD43" s="1047"/>
      <c r="AE43" s="1047"/>
      <c r="AF43" s="1047"/>
      <c r="AG43" s="1047"/>
      <c r="AH43" s="1047"/>
      <c r="AI43" s="1047"/>
      <c r="AJ43" s="1047"/>
      <c r="AK43" s="1047"/>
      <c r="AL43" s="1047"/>
      <c r="AM43" s="1047"/>
      <c r="AN43" s="1047"/>
      <c r="AO43" s="1047"/>
      <c r="AP43" s="1047"/>
      <c r="AQ43" s="1047"/>
      <c r="AR43" s="1047"/>
      <c r="AS43" s="1047"/>
      <c r="AT43" s="1047"/>
      <c r="AU43" s="1047"/>
      <c r="AV43" s="1031" t="str">
        <f t="shared" si="7"/>
        <v/>
      </c>
      <c r="AW43" s="1041" t="str">
        <f t="shared" si="8"/>
        <v/>
      </c>
      <c r="AX43" s="1041" t="str">
        <f t="shared" si="9"/>
        <v/>
      </c>
      <c r="AY43" s="1041" t="str">
        <f t="shared" si="10"/>
        <v/>
      </c>
      <c r="AZ43" s="1041" t="str">
        <f t="shared" si="11"/>
        <v/>
      </c>
      <c r="BA43" s="1031" t="str">
        <f t="shared" si="12"/>
        <v/>
      </c>
      <c r="BB43" s="1040">
        <f t="shared" si="13"/>
        <v>0</v>
      </c>
      <c r="BC43" s="1042" t="str">
        <f t="shared" si="14"/>
        <v/>
      </c>
      <c r="BD43" s="1038">
        <f t="shared" si="15"/>
        <v>0</v>
      </c>
      <c r="BE43" s="1047"/>
      <c r="BF43" s="1047"/>
      <c r="BG43" s="1047"/>
      <c r="BH43" s="1047"/>
      <c r="BI43" s="1047"/>
      <c r="BJ43" s="1047"/>
      <c r="BK43" s="1047"/>
      <c r="BL43" s="1047"/>
      <c r="BM43" s="1047"/>
      <c r="BN43" s="1047"/>
      <c r="BO43" s="1047"/>
      <c r="BP43" s="1047"/>
      <c r="BQ43" s="1047"/>
      <c r="BR43" s="1051"/>
      <c r="BS43" s="1046" t="str">
        <f t="shared" si="16"/>
        <v/>
      </c>
      <c r="BT43" s="1038">
        <v>0</v>
      </c>
      <c r="BU43" s="1038" t="s">
        <v>200</v>
      </c>
      <c r="BV43" s="1047">
        <v>0</v>
      </c>
      <c r="BW43" s="1048" t="s">
        <v>200</v>
      </c>
      <c r="BX43" s="1047" t="s">
        <v>200</v>
      </c>
      <c r="BY43" s="1047"/>
      <c r="BZ43" s="1047">
        <f>'Deal Sheet'!C35</f>
        <v>0</v>
      </c>
      <c r="CA43" s="1050" t="str">
        <f>IFERROR(VLOOKUP(BZ43,'Deal Sheet'!$C$9:$G$43,5,FALSE),"")</f>
        <v/>
      </c>
      <c r="CB43" s="1044">
        <f t="shared" si="17"/>
        <v>0</v>
      </c>
      <c r="CC43" s="1044" t="str">
        <f t="shared" si="18"/>
        <v/>
      </c>
      <c r="CD43" s="1047"/>
      <c r="CE43" s="1047"/>
      <c r="CF43" s="1047"/>
      <c r="CG43" s="1047"/>
      <c r="CH43" s="1047"/>
      <c r="CI43" s="1047"/>
      <c r="CJ43" s="1047"/>
      <c r="CK43" s="1047"/>
      <c r="CL43" s="1047"/>
      <c r="CM43" s="1047"/>
      <c r="CN43" s="1047"/>
      <c r="CO43" s="1047"/>
      <c r="CP43" s="1047"/>
      <c r="CQ43" s="1047"/>
      <c r="CR43" s="1047"/>
      <c r="CS43" s="1047"/>
      <c r="CT43" s="1047"/>
      <c r="CU43" s="1047"/>
      <c r="CV43" s="1047"/>
      <c r="CW43" s="1047"/>
      <c r="CX43" s="1047"/>
      <c r="CY43" s="1047"/>
      <c r="CZ43" s="1047"/>
      <c r="DA43" s="1047"/>
      <c r="DB43" s="1047"/>
      <c r="DC43" s="1047"/>
      <c r="DD43" s="1047"/>
      <c r="DE43" s="1047"/>
      <c r="DF43" s="1047"/>
      <c r="DG43" s="1047"/>
      <c r="DH43" s="1047"/>
      <c r="DI43" s="1047"/>
      <c r="DJ43" s="1047"/>
      <c r="DK43" s="1047"/>
      <c r="DL43" s="1105"/>
      <c r="DM43" s="1105"/>
      <c r="DN43" s="1105"/>
      <c r="DO43" s="1105"/>
      <c r="DP43" s="1105"/>
      <c r="DQ43" s="1105"/>
      <c r="DR43" s="1105"/>
      <c r="DS43" s="1105"/>
      <c r="DT43" s="1105"/>
      <c r="DU43" s="1105"/>
      <c r="DV43" s="1105"/>
      <c r="DW43" s="1105"/>
      <c r="DX43" s="1105"/>
      <c r="DY43" s="1105"/>
      <c r="DZ43" s="1105"/>
      <c r="EA43" s="1105"/>
      <c r="EB43" s="1105"/>
      <c r="EC43" s="1105"/>
      <c r="ED43" s="1105"/>
      <c r="EE43" s="1105"/>
      <c r="EF43" s="1105"/>
      <c r="EG43" s="1105"/>
      <c r="EH43" s="1106"/>
      <c r="EI43" s="1106"/>
      <c r="EJ43" s="1106"/>
      <c r="EK43" s="1106"/>
      <c r="EL43" s="1106"/>
      <c r="EM43" s="1106"/>
    </row>
    <row r="44" spans="1:143" s="131" customFormat="1" ht="28" customHeight="1">
      <c r="A44" s="200" t="str">
        <f>'Deal Sheet'!Q37</f>
        <v/>
      </c>
      <c r="B44" s="1287" t="str">
        <f t="shared" si="0"/>
        <v/>
      </c>
      <c r="C44" s="1288"/>
      <c r="D44" s="1289"/>
      <c r="E44" s="1290" t="str">
        <f t="shared" si="1"/>
        <v/>
      </c>
      <c r="F44" s="1290"/>
      <c r="G44" s="1290"/>
      <c r="H44" s="1284"/>
      <c r="I44" s="1285"/>
      <c r="J44" s="1286"/>
      <c r="K44" s="345" t="str">
        <f t="shared" si="2"/>
        <v/>
      </c>
      <c r="L44" s="1047"/>
      <c r="M44" s="1047"/>
      <c r="N44" s="1047"/>
      <c r="O44" s="1031" t="e">
        <f t="shared" si="3"/>
        <v>#VALUE!</v>
      </c>
      <c r="P44" s="1047"/>
      <c r="Q44" s="1037">
        <f t="shared" ca="1" si="4"/>
        <v>1</v>
      </c>
      <c r="R44" s="1040" t="e">
        <f t="shared" ca="1" si="5"/>
        <v>#VALUE!</v>
      </c>
      <c r="S44" s="1031">
        <f t="shared" ca="1" si="6"/>
        <v>-43221</v>
      </c>
      <c r="T44" s="1047"/>
      <c r="U44" s="1047"/>
      <c r="V44" s="1047"/>
      <c r="W44" s="1047"/>
      <c r="X44" s="1047"/>
      <c r="Y44" s="1047"/>
      <c r="Z44" s="1047"/>
      <c r="AA44" s="1047"/>
      <c r="AB44" s="1047"/>
      <c r="AC44" s="1047"/>
      <c r="AD44" s="1047"/>
      <c r="AE44" s="1047"/>
      <c r="AF44" s="1047"/>
      <c r="AG44" s="1047"/>
      <c r="AH44" s="1047"/>
      <c r="AI44" s="1047"/>
      <c r="AJ44" s="1047"/>
      <c r="AK44" s="1047"/>
      <c r="AL44" s="1047"/>
      <c r="AM44" s="1047"/>
      <c r="AN44" s="1047"/>
      <c r="AO44" s="1047"/>
      <c r="AP44" s="1047"/>
      <c r="AQ44" s="1047"/>
      <c r="AR44" s="1047"/>
      <c r="AS44" s="1047"/>
      <c r="AT44" s="1047"/>
      <c r="AU44" s="1047"/>
      <c r="AV44" s="1031" t="str">
        <f t="shared" si="7"/>
        <v/>
      </c>
      <c r="AW44" s="1041" t="str">
        <f t="shared" si="8"/>
        <v/>
      </c>
      <c r="AX44" s="1041" t="str">
        <f t="shared" si="9"/>
        <v/>
      </c>
      <c r="AY44" s="1041" t="str">
        <f t="shared" si="10"/>
        <v/>
      </c>
      <c r="AZ44" s="1041" t="str">
        <f t="shared" si="11"/>
        <v/>
      </c>
      <c r="BA44" s="1031" t="str">
        <f t="shared" si="12"/>
        <v/>
      </c>
      <c r="BB44" s="1040">
        <f t="shared" si="13"/>
        <v>0</v>
      </c>
      <c r="BC44" s="1042" t="str">
        <f t="shared" si="14"/>
        <v/>
      </c>
      <c r="BD44" s="1038">
        <f t="shared" si="15"/>
        <v>0</v>
      </c>
      <c r="BE44" s="1047"/>
      <c r="BF44" s="1047"/>
      <c r="BG44" s="1047"/>
      <c r="BH44" s="1047"/>
      <c r="BI44" s="1047"/>
      <c r="BJ44" s="1047"/>
      <c r="BK44" s="1047"/>
      <c r="BL44" s="1047"/>
      <c r="BM44" s="1047"/>
      <c r="BN44" s="1047"/>
      <c r="BO44" s="1047"/>
      <c r="BP44" s="1047"/>
      <c r="BQ44" s="1047"/>
      <c r="BR44" s="1051"/>
      <c r="BS44" s="1046" t="str">
        <f t="shared" si="16"/>
        <v/>
      </c>
      <c r="BT44" s="1038">
        <v>0</v>
      </c>
      <c r="BU44" s="1038" t="s">
        <v>200</v>
      </c>
      <c r="BV44" s="1047">
        <v>0</v>
      </c>
      <c r="BW44" s="1048" t="s">
        <v>200</v>
      </c>
      <c r="BX44" s="1047" t="s">
        <v>200</v>
      </c>
      <c r="BY44" s="1047"/>
      <c r="BZ44" s="1047">
        <f>'Deal Sheet'!C36</f>
        <v>0</v>
      </c>
      <c r="CA44" s="1050" t="str">
        <f>IFERROR(VLOOKUP(BZ44,'Deal Sheet'!$C$9:$G$43,5,FALSE),"")</f>
        <v/>
      </c>
      <c r="CB44" s="1044">
        <f t="shared" si="17"/>
        <v>0</v>
      </c>
      <c r="CC44" s="1044" t="str">
        <f t="shared" si="18"/>
        <v/>
      </c>
      <c r="CD44" s="1047"/>
      <c r="CE44" s="1047"/>
      <c r="CF44" s="1047"/>
      <c r="CG44" s="1047"/>
      <c r="CH44" s="1047"/>
      <c r="CI44" s="1047"/>
      <c r="CJ44" s="1047"/>
      <c r="CK44" s="1047"/>
      <c r="CL44" s="1047"/>
      <c r="CM44" s="1047"/>
      <c r="CN44" s="1047"/>
      <c r="CO44" s="1047"/>
      <c r="CP44" s="1047"/>
      <c r="CQ44" s="1047"/>
      <c r="CR44" s="1047"/>
      <c r="CS44" s="1047"/>
      <c r="CT44" s="1047"/>
      <c r="CU44" s="1047"/>
      <c r="CV44" s="1047"/>
      <c r="CW44" s="1047"/>
      <c r="CX44" s="1047"/>
      <c r="CY44" s="1047"/>
      <c r="CZ44" s="1047"/>
      <c r="DA44" s="1047"/>
      <c r="DB44" s="1047"/>
      <c r="DC44" s="1047"/>
      <c r="DD44" s="1047"/>
      <c r="DE44" s="1047"/>
      <c r="DF44" s="1047"/>
      <c r="DG44" s="1047"/>
      <c r="DH44" s="1047"/>
      <c r="DI44" s="1047"/>
      <c r="DJ44" s="1047"/>
      <c r="DK44" s="1047"/>
      <c r="DL44" s="1105"/>
      <c r="DM44" s="1105"/>
      <c r="DN44" s="1105"/>
      <c r="DO44" s="1105"/>
      <c r="DP44" s="1105"/>
      <c r="DQ44" s="1105"/>
      <c r="DR44" s="1105"/>
      <c r="DS44" s="1105"/>
      <c r="DT44" s="1105"/>
      <c r="DU44" s="1105"/>
      <c r="DV44" s="1105"/>
      <c r="DW44" s="1105"/>
      <c r="DX44" s="1105"/>
      <c r="DY44" s="1105"/>
      <c r="DZ44" s="1105"/>
      <c r="EA44" s="1105"/>
      <c r="EB44" s="1105"/>
      <c r="EC44" s="1105"/>
      <c r="ED44" s="1105"/>
      <c r="EE44" s="1105"/>
      <c r="EF44" s="1105"/>
      <c r="EG44" s="1105"/>
      <c r="EH44" s="1106"/>
      <c r="EI44" s="1106"/>
      <c r="EJ44" s="1106"/>
      <c r="EK44" s="1106"/>
      <c r="EL44" s="1106"/>
      <c r="EM44" s="1106"/>
    </row>
    <row r="45" spans="1:143" s="131" customFormat="1" ht="28" customHeight="1" thickBot="1">
      <c r="A45" s="342" t="str">
        <f>'Deal Sheet'!Q38</f>
        <v/>
      </c>
      <c r="B45" s="1280" t="str">
        <f t="shared" si="0"/>
        <v/>
      </c>
      <c r="C45" s="1281"/>
      <c r="D45" s="1282"/>
      <c r="E45" s="1283" t="str">
        <f t="shared" si="1"/>
        <v/>
      </c>
      <c r="F45" s="1283"/>
      <c r="G45" s="1283"/>
      <c r="H45" s="1284"/>
      <c r="I45" s="1285"/>
      <c r="J45" s="1286"/>
      <c r="K45" s="346" t="str">
        <f t="shared" si="2"/>
        <v/>
      </c>
      <c r="L45" s="1047"/>
      <c r="M45" s="1047"/>
      <c r="N45" s="1047"/>
      <c r="O45" s="1031" t="e">
        <f t="shared" si="3"/>
        <v>#VALUE!</v>
      </c>
      <c r="P45" s="1047"/>
      <c r="Q45" s="1037">
        <f t="shared" ca="1" si="4"/>
        <v>1</v>
      </c>
      <c r="R45" s="1040" t="e">
        <f t="shared" ca="1" si="5"/>
        <v>#VALUE!</v>
      </c>
      <c r="S45" s="1031">
        <f t="shared" ca="1" si="6"/>
        <v>-43221</v>
      </c>
      <c r="T45" s="1047"/>
      <c r="U45" s="1047"/>
      <c r="V45" s="1047"/>
      <c r="W45" s="1047"/>
      <c r="X45" s="1047"/>
      <c r="Y45" s="1047"/>
      <c r="Z45" s="1047"/>
      <c r="AA45" s="1047"/>
      <c r="AB45" s="1047"/>
      <c r="AC45" s="1047"/>
      <c r="AD45" s="1047"/>
      <c r="AE45" s="1047"/>
      <c r="AF45" s="1047"/>
      <c r="AG45" s="1047"/>
      <c r="AH45" s="1047"/>
      <c r="AI45" s="1047"/>
      <c r="AJ45" s="1047"/>
      <c r="AK45" s="1047"/>
      <c r="AL45" s="1047"/>
      <c r="AM45" s="1047"/>
      <c r="AN45" s="1047"/>
      <c r="AO45" s="1047"/>
      <c r="AP45" s="1047"/>
      <c r="AQ45" s="1047"/>
      <c r="AR45" s="1047"/>
      <c r="AS45" s="1047"/>
      <c r="AT45" s="1047"/>
      <c r="AU45" s="1047"/>
      <c r="AV45" s="1031" t="str">
        <f t="shared" si="7"/>
        <v/>
      </c>
      <c r="AW45" s="1041" t="str">
        <f t="shared" si="8"/>
        <v/>
      </c>
      <c r="AX45" s="1041" t="str">
        <f t="shared" si="9"/>
        <v/>
      </c>
      <c r="AY45" s="1041" t="str">
        <f t="shared" si="10"/>
        <v/>
      </c>
      <c r="AZ45" s="1041" t="str">
        <f t="shared" si="11"/>
        <v/>
      </c>
      <c r="BA45" s="1031" t="str">
        <f t="shared" si="12"/>
        <v/>
      </c>
      <c r="BB45" s="1040">
        <f t="shared" si="13"/>
        <v>0</v>
      </c>
      <c r="BC45" s="1042" t="str">
        <f t="shared" si="14"/>
        <v/>
      </c>
      <c r="BD45" s="1038">
        <f t="shared" si="15"/>
        <v>0</v>
      </c>
      <c r="BE45" s="1047"/>
      <c r="BF45" s="1047"/>
      <c r="BG45" s="1047"/>
      <c r="BH45" s="1047"/>
      <c r="BI45" s="1047"/>
      <c r="BJ45" s="1047"/>
      <c r="BK45" s="1047"/>
      <c r="BL45" s="1047"/>
      <c r="BM45" s="1047"/>
      <c r="BN45" s="1047"/>
      <c r="BO45" s="1047"/>
      <c r="BP45" s="1047"/>
      <c r="BQ45" s="1047"/>
      <c r="BR45" s="1051"/>
      <c r="BS45" s="1046" t="str">
        <f t="shared" si="16"/>
        <v/>
      </c>
      <c r="BT45" s="1038">
        <v>0</v>
      </c>
      <c r="BU45" s="1038" t="s">
        <v>200</v>
      </c>
      <c r="BV45" s="1047">
        <v>0</v>
      </c>
      <c r="BW45" s="1048" t="s">
        <v>200</v>
      </c>
      <c r="BX45" s="1047" t="s">
        <v>200</v>
      </c>
      <c r="BY45" s="1047"/>
      <c r="BZ45" s="1047">
        <f>'Deal Sheet'!C37</f>
        <v>0</v>
      </c>
      <c r="CA45" s="1050" t="str">
        <f>IFERROR(VLOOKUP(BZ45,'Deal Sheet'!$C$9:$G$43,5,FALSE),"")</f>
        <v/>
      </c>
      <c r="CB45" s="1044">
        <f t="shared" si="17"/>
        <v>0</v>
      </c>
      <c r="CC45" s="1044" t="str">
        <f t="shared" si="18"/>
        <v/>
      </c>
      <c r="CD45" s="1047"/>
      <c r="CE45" s="1047"/>
      <c r="CF45" s="1047"/>
      <c r="CG45" s="1047"/>
      <c r="CH45" s="1047"/>
      <c r="CI45" s="1047"/>
      <c r="CJ45" s="1047"/>
      <c r="CK45" s="1047"/>
      <c r="CL45" s="1047"/>
      <c r="CM45" s="1047"/>
      <c r="CN45" s="1047"/>
      <c r="CO45" s="1047"/>
      <c r="CP45" s="1047"/>
      <c r="CQ45" s="1047"/>
      <c r="CR45" s="1047"/>
      <c r="CS45" s="1047"/>
      <c r="CT45" s="1047"/>
      <c r="CU45" s="1047"/>
      <c r="CV45" s="1047"/>
      <c r="CW45" s="1047"/>
      <c r="CX45" s="1047"/>
      <c r="CY45" s="1047"/>
      <c r="CZ45" s="1047"/>
      <c r="DA45" s="1047"/>
      <c r="DB45" s="1047"/>
      <c r="DC45" s="1047"/>
      <c r="DD45" s="1047"/>
      <c r="DE45" s="1047"/>
      <c r="DF45" s="1047"/>
      <c r="DG45" s="1047"/>
      <c r="DH45" s="1047"/>
      <c r="DI45" s="1047"/>
      <c r="DJ45" s="1047"/>
      <c r="DK45" s="1047"/>
      <c r="DL45" s="1105"/>
      <c r="DM45" s="1105"/>
      <c r="DN45" s="1105"/>
      <c r="DO45" s="1105"/>
      <c r="DP45" s="1105"/>
      <c r="DQ45" s="1105"/>
      <c r="DR45" s="1105"/>
      <c r="DS45" s="1105"/>
      <c r="DT45" s="1105"/>
      <c r="DU45" s="1105"/>
      <c r="DV45" s="1105"/>
      <c r="DW45" s="1105"/>
      <c r="DX45" s="1105"/>
      <c r="DY45" s="1105"/>
      <c r="DZ45" s="1105"/>
      <c r="EA45" s="1105"/>
      <c r="EB45" s="1105"/>
      <c r="EC45" s="1105"/>
      <c r="ED45" s="1105"/>
      <c r="EE45" s="1105"/>
      <c r="EF45" s="1105"/>
      <c r="EG45" s="1105"/>
      <c r="EH45" s="1106"/>
      <c r="EI45" s="1106"/>
      <c r="EJ45" s="1106"/>
      <c r="EK45" s="1106"/>
      <c r="EL45" s="1106"/>
      <c r="EM45" s="1106"/>
    </row>
    <row r="46" spans="1:143" s="131" customFormat="1" ht="31.5" customHeight="1">
      <c r="A46" s="1267" t="s">
        <v>414</v>
      </c>
      <c r="B46" s="1268"/>
      <c r="C46" s="1268"/>
      <c r="D46" s="1268"/>
      <c r="E46" s="1268"/>
      <c r="F46" s="1268"/>
      <c r="G46" s="1268"/>
      <c r="H46" s="1268"/>
      <c r="I46" s="1268"/>
      <c r="J46" s="1268"/>
      <c r="K46" s="1269"/>
      <c r="L46" s="1047"/>
      <c r="M46" s="1047"/>
      <c r="N46" s="1047"/>
      <c r="O46" s="1047"/>
      <c r="P46" s="1047"/>
      <c r="Q46" s="1047"/>
      <c r="R46" s="1047"/>
      <c r="S46" s="1047"/>
      <c r="T46" s="1047"/>
      <c r="U46" s="1047"/>
      <c r="V46" s="1047"/>
      <c r="W46" s="1047"/>
      <c r="X46" s="1047"/>
      <c r="Y46" s="1047"/>
      <c r="Z46" s="1047"/>
      <c r="AA46" s="1047"/>
      <c r="AB46" s="1047"/>
      <c r="AC46" s="1047"/>
      <c r="AD46" s="1047"/>
      <c r="AE46" s="1047"/>
      <c r="AF46" s="1047"/>
      <c r="AG46" s="1047"/>
      <c r="AH46" s="1047"/>
      <c r="AI46" s="1047"/>
      <c r="AJ46" s="1047"/>
      <c r="AK46" s="1047"/>
      <c r="AL46" s="1047"/>
      <c r="AM46" s="1047"/>
      <c r="AN46" s="1047"/>
      <c r="AO46" s="1047"/>
      <c r="AP46" s="1047"/>
      <c r="AQ46" s="1047"/>
      <c r="AR46" s="1047"/>
      <c r="AS46" s="1047"/>
      <c r="AT46" s="1047"/>
      <c r="AU46" s="1047"/>
      <c r="AV46" s="1047"/>
      <c r="AW46" s="1031"/>
      <c r="AX46" s="1047"/>
      <c r="AY46" s="1047"/>
      <c r="AZ46" s="1047"/>
      <c r="BA46" s="1047"/>
      <c r="BB46" s="1047"/>
      <c r="BC46" s="1047"/>
      <c r="BD46" s="1047"/>
      <c r="BE46" s="1047"/>
      <c r="BF46" s="1047"/>
      <c r="BG46" s="1047"/>
      <c r="BH46" s="1047"/>
      <c r="BI46" s="1047"/>
      <c r="BJ46" s="1047"/>
      <c r="BK46" s="1047"/>
      <c r="BL46" s="1047"/>
      <c r="BM46" s="1047"/>
      <c r="BN46" s="1047"/>
      <c r="BO46" s="1047"/>
      <c r="BP46" s="1047"/>
      <c r="BQ46" s="1047"/>
      <c r="BR46" s="1051"/>
      <c r="BS46" s="1046" t="str">
        <f t="shared" si="16"/>
        <v/>
      </c>
      <c r="BT46" s="1038">
        <v>0</v>
      </c>
      <c r="BU46" s="1038" t="s">
        <v>200</v>
      </c>
      <c r="BV46" s="1047">
        <v>0</v>
      </c>
      <c r="BW46" s="1048" t="s">
        <v>200</v>
      </c>
      <c r="BX46" s="1047" t="s">
        <v>200</v>
      </c>
      <c r="BY46" s="1047"/>
      <c r="BZ46" s="1047">
        <f>'Deal Sheet'!C38</f>
        <v>0</v>
      </c>
      <c r="CA46" s="1050" t="str">
        <f>IFERROR(VLOOKUP(BZ46,'Deal Sheet'!$C$9:$G$43,5,FALSE),"")</f>
        <v/>
      </c>
      <c r="CB46" s="1044">
        <f t="shared" si="17"/>
        <v>0</v>
      </c>
      <c r="CC46" s="1044" t="str">
        <f t="shared" si="18"/>
        <v/>
      </c>
      <c r="CD46" s="1047"/>
      <c r="CE46" s="1047"/>
      <c r="CF46" s="1047"/>
      <c r="CG46" s="1047"/>
      <c r="CH46" s="1047"/>
      <c r="CI46" s="1047"/>
      <c r="CJ46" s="1047"/>
      <c r="CK46" s="1047"/>
      <c r="CL46" s="1047"/>
      <c r="CM46" s="1047"/>
      <c r="CN46" s="1047"/>
      <c r="CO46" s="1047"/>
      <c r="CP46" s="1047"/>
      <c r="CQ46" s="1047"/>
      <c r="CR46" s="1047"/>
      <c r="CS46" s="1047"/>
      <c r="CT46" s="1047"/>
      <c r="CU46" s="1047"/>
      <c r="CV46" s="1047"/>
      <c r="CW46" s="1047"/>
      <c r="CX46" s="1047"/>
      <c r="CY46" s="1047"/>
      <c r="CZ46" s="1047"/>
      <c r="DA46" s="1047"/>
      <c r="DB46" s="1047"/>
      <c r="DC46" s="1047"/>
      <c r="DD46" s="1047"/>
      <c r="DE46" s="1047"/>
      <c r="DF46" s="1047"/>
      <c r="DG46" s="1047"/>
      <c r="DH46" s="1047"/>
      <c r="DI46" s="1047"/>
      <c r="DJ46" s="1047"/>
      <c r="DK46" s="1047"/>
      <c r="DL46" s="1105"/>
      <c r="DM46" s="1105"/>
      <c r="DN46" s="1105"/>
      <c r="DO46" s="1105"/>
      <c r="DP46" s="1105"/>
      <c r="DQ46" s="1105"/>
      <c r="DR46" s="1105"/>
      <c r="DS46" s="1105"/>
      <c r="DT46" s="1105"/>
      <c r="DU46" s="1105"/>
      <c r="DV46" s="1105"/>
      <c r="DW46" s="1105"/>
      <c r="DX46" s="1105"/>
      <c r="DY46" s="1105"/>
      <c r="DZ46" s="1105"/>
      <c r="EA46" s="1105"/>
      <c r="EB46" s="1105"/>
      <c r="EC46" s="1105"/>
      <c r="ED46" s="1105"/>
      <c r="EE46" s="1105"/>
      <c r="EF46" s="1105"/>
      <c r="EG46" s="1105"/>
      <c r="EH46" s="1106"/>
      <c r="EI46" s="1106"/>
      <c r="EJ46" s="1106"/>
      <c r="EK46" s="1106"/>
      <c r="EL46" s="1106"/>
      <c r="EM46" s="1106"/>
    </row>
    <row r="47" spans="1:143" s="131" customFormat="1" ht="31.5" customHeight="1" thickBot="1">
      <c r="A47" s="1270"/>
      <c r="B47" s="1271"/>
      <c r="C47" s="1271"/>
      <c r="D47" s="1271"/>
      <c r="E47" s="1271"/>
      <c r="F47" s="1271"/>
      <c r="G47" s="1271"/>
      <c r="H47" s="1271"/>
      <c r="I47" s="1271"/>
      <c r="J47" s="1271"/>
      <c r="K47" s="1272"/>
      <c r="L47" s="1047"/>
      <c r="M47" s="1047"/>
      <c r="N47" s="1047"/>
      <c r="O47" s="1047"/>
      <c r="P47" s="1047"/>
      <c r="Q47" s="1047"/>
      <c r="R47" s="1047"/>
      <c r="S47" s="1047"/>
      <c r="T47" s="1047"/>
      <c r="U47" s="1047"/>
      <c r="V47" s="1047"/>
      <c r="W47" s="1047"/>
      <c r="X47" s="1047"/>
      <c r="Y47" s="1047"/>
      <c r="Z47" s="1047"/>
      <c r="AA47" s="1047"/>
      <c r="AB47" s="1047"/>
      <c r="AC47" s="1047"/>
      <c r="AD47" s="1047"/>
      <c r="AE47" s="1047"/>
      <c r="AF47" s="1047"/>
      <c r="AG47" s="1047"/>
      <c r="AH47" s="1047"/>
      <c r="AI47" s="1047"/>
      <c r="AJ47" s="1047"/>
      <c r="AK47" s="1047"/>
      <c r="AL47" s="1047"/>
      <c r="AM47" s="1047"/>
      <c r="AN47" s="1047"/>
      <c r="AO47" s="1047"/>
      <c r="AP47" s="1047"/>
      <c r="AQ47" s="1047"/>
      <c r="AR47" s="1047"/>
      <c r="AS47" s="1047"/>
      <c r="AT47" s="1047"/>
      <c r="AU47" s="1047"/>
      <c r="AV47" s="1047"/>
      <c r="AW47" s="1031"/>
      <c r="AX47" s="1047"/>
      <c r="AY47" s="1047"/>
      <c r="AZ47" s="1047"/>
      <c r="BA47" s="1047"/>
      <c r="BB47" s="1047"/>
      <c r="BC47" s="1047"/>
      <c r="BD47" s="1047"/>
      <c r="BE47" s="1047"/>
      <c r="BF47" s="1047"/>
      <c r="BG47" s="1047"/>
      <c r="BH47" s="1047"/>
      <c r="BI47" s="1047"/>
      <c r="BJ47" s="1047"/>
      <c r="BK47" s="1047"/>
      <c r="BL47" s="1047"/>
      <c r="BM47" s="1047"/>
      <c r="BN47" s="1047"/>
      <c r="BO47" s="1047"/>
      <c r="BP47" s="1047"/>
      <c r="BQ47" s="1047"/>
      <c r="BR47" s="1051"/>
      <c r="BS47" s="1038"/>
      <c r="BT47" s="1052">
        <f>'Deal Sheet'!C39</f>
        <v>1</v>
      </c>
      <c r="BU47" s="1047"/>
      <c r="BV47" s="1047"/>
      <c r="BW47" s="1047"/>
      <c r="BX47" s="1047"/>
      <c r="BY47" s="1047"/>
      <c r="BZ47" s="1047">
        <f>'Deal Sheet'!C39</f>
        <v>1</v>
      </c>
      <c r="CA47" s="1047"/>
      <c r="CB47" s="1047"/>
      <c r="CC47" s="1047"/>
      <c r="CD47" s="1047"/>
      <c r="CE47" s="1047"/>
      <c r="CF47" s="1047"/>
      <c r="CG47" s="1047"/>
      <c r="CH47" s="1047"/>
      <c r="CI47" s="1047"/>
      <c r="CJ47" s="1047"/>
      <c r="CK47" s="1047"/>
      <c r="CL47" s="1047"/>
      <c r="CM47" s="1047"/>
      <c r="CN47" s="1047"/>
      <c r="CO47" s="1047"/>
      <c r="CP47" s="1047"/>
      <c r="CQ47" s="1047"/>
      <c r="CR47" s="1047"/>
      <c r="CS47" s="1047"/>
      <c r="CT47" s="1047"/>
      <c r="CU47" s="1047"/>
      <c r="CV47" s="1047"/>
      <c r="CW47" s="1047"/>
      <c r="CX47" s="1047"/>
      <c r="CY47" s="1047"/>
      <c r="CZ47" s="1047"/>
      <c r="DA47" s="1047"/>
      <c r="DB47" s="1047"/>
      <c r="DC47" s="1047"/>
      <c r="DD47" s="1047"/>
      <c r="DE47" s="1047"/>
      <c r="DF47" s="1047"/>
      <c r="DG47" s="1047"/>
      <c r="DH47" s="1047"/>
      <c r="DI47" s="1047"/>
      <c r="DJ47" s="1047"/>
      <c r="DK47" s="1047"/>
      <c r="DL47" s="1105"/>
      <c r="DM47" s="1105"/>
      <c r="DN47" s="1105"/>
      <c r="DO47" s="1105"/>
      <c r="DP47" s="1105"/>
      <c r="DQ47" s="1105"/>
      <c r="DR47" s="1105"/>
      <c r="DS47" s="1105"/>
      <c r="DT47" s="1105"/>
      <c r="DU47" s="1105"/>
      <c r="DV47" s="1105"/>
      <c r="DW47" s="1105"/>
      <c r="DX47" s="1105"/>
      <c r="DY47" s="1105"/>
      <c r="DZ47" s="1105"/>
      <c r="EA47" s="1105"/>
      <c r="EB47" s="1105"/>
      <c r="EC47" s="1105"/>
      <c r="ED47" s="1105"/>
      <c r="EE47" s="1105"/>
      <c r="EF47" s="1105"/>
      <c r="EG47" s="1105"/>
      <c r="EH47" s="1106"/>
      <c r="EI47" s="1106"/>
      <c r="EJ47" s="1106"/>
      <c r="EK47" s="1106"/>
      <c r="EL47" s="1106"/>
      <c r="EM47" s="1106"/>
    </row>
    <row r="48" spans="1:143" s="132" customFormat="1" ht="31.5" customHeight="1">
      <c r="A48" s="133"/>
      <c r="B48" s="134"/>
      <c r="C48" s="135"/>
      <c r="D48" s="135"/>
      <c r="E48" s="135"/>
      <c r="F48" s="135"/>
      <c r="G48" s="135"/>
      <c r="H48" s="135"/>
      <c r="I48" s="135"/>
      <c r="J48" s="135"/>
      <c r="K48" s="336"/>
      <c r="L48" s="1053"/>
      <c r="M48" s="1053"/>
      <c r="N48" s="1053"/>
      <c r="O48" s="1053"/>
      <c r="P48" s="1053"/>
      <c r="Q48" s="1053"/>
      <c r="R48" s="1053"/>
      <c r="S48" s="1053"/>
      <c r="T48" s="1053"/>
      <c r="U48" s="1053"/>
      <c r="V48" s="1053"/>
      <c r="W48" s="1053"/>
      <c r="X48" s="1053"/>
      <c r="Y48" s="1053"/>
      <c r="Z48" s="1053"/>
      <c r="AA48" s="1053"/>
      <c r="AB48" s="1053"/>
      <c r="AC48" s="1053"/>
      <c r="AD48" s="1053"/>
      <c r="AE48" s="1053"/>
      <c r="AF48" s="1053"/>
      <c r="AG48" s="1053"/>
      <c r="AH48" s="1053"/>
      <c r="AI48" s="1053"/>
      <c r="AJ48" s="1053"/>
      <c r="AK48" s="1053"/>
      <c r="AL48" s="1053"/>
      <c r="AM48" s="1053"/>
      <c r="AN48" s="1053"/>
      <c r="AO48" s="1053"/>
      <c r="AP48" s="1053"/>
      <c r="AQ48" s="1053"/>
      <c r="AR48" s="1053"/>
      <c r="AS48" s="1053"/>
      <c r="AT48" s="1053"/>
      <c r="AU48" s="1053"/>
      <c r="AV48" s="1053"/>
      <c r="AW48" s="1031"/>
      <c r="AX48" s="1053"/>
      <c r="AY48" s="1053"/>
      <c r="AZ48" s="1053"/>
      <c r="BA48" s="1053"/>
      <c r="BB48" s="1053"/>
      <c r="BC48" s="1053"/>
      <c r="BD48" s="1053"/>
      <c r="BE48" s="1053"/>
      <c r="BF48" s="1053"/>
      <c r="BG48" s="1053"/>
      <c r="BH48" s="1053"/>
      <c r="BI48" s="1053"/>
      <c r="BJ48" s="1053"/>
      <c r="BK48" s="1053"/>
      <c r="BL48" s="1053"/>
      <c r="BM48" s="1053"/>
      <c r="BN48" s="1053"/>
      <c r="BO48" s="1053"/>
      <c r="BP48" s="1053"/>
      <c r="BQ48" s="1053"/>
      <c r="BR48" s="1051"/>
      <c r="BS48" s="1038"/>
      <c r="BT48" s="1052"/>
      <c r="BU48" s="1053"/>
      <c r="BV48" s="1053"/>
      <c r="BW48" s="1053"/>
      <c r="BX48" s="1053"/>
      <c r="BY48" s="1053"/>
      <c r="BZ48" s="1053"/>
      <c r="CA48" s="1053"/>
      <c r="CB48" s="1053"/>
      <c r="CC48" s="1053"/>
      <c r="CD48" s="1053"/>
      <c r="CE48" s="1053"/>
      <c r="CF48" s="1053"/>
      <c r="CG48" s="1053"/>
      <c r="CH48" s="1053"/>
      <c r="CI48" s="1053"/>
      <c r="CJ48" s="1053"/>
      <c r="CK48" s="1053"/>
      <c r="CL48" s="1053"/>
      <c r="CM48" s="1053"/>
      <c r="CN48" s="1053"/>
      <c r="CO48" s="1053"/>
      <c r="CP48" s="1053"/>
      <c r="CQ48" s="1053"/>
      <c r="CR48" s="1053"/>
      <c r="CS48" s="1053"/>
      <c r="CT48" s="1053"/>
      <c r="CU48" s="1053"/>
      <c r="CV48" s="1053"/>
      <c r="CW48" s="1053"/>
      <c r="CX48" s="1053"/>
      <c r="CY48" s="1053"/>
      <c r="CZ48" s="1053"/>
      <c r="DA48" s="1053"/>
      <c r="DB48" s="1053"/>
      <c r="DC48" s="1053"/>
      <c r="DD48" s="1053"/>
      <c r="DE48" s="1053"/>
      <c r="DF48" s="1053"/>
      <c r="DG48" s="1053"/>
      <c r="DH48" s="1053"/>
      <c r="DI48" s="1053"/>
      <c r="DJ48" s="1053"/>
      <c r="DK48" s="1053"/>
      <c r="DL48" s="1107"/>
      <c r="DM48" s="1107"/>
      <c r="DN48" s="1107"/>
      <c r="DO48" s="1107"/>
      <c r="DP48" s="1107"/>
      <c r="DQ48" s="1107"/>
      <c r="DR48" s="1107"/>
      <c r="DS48" s="1107"/>
      <c r="DT48" s="1107"/>
      <c r="DU48" s="1107"/>
      <c r="DV48" s="1107"/>
      <c r="DW48" s="1107"/>
      <c r="DX48" s="1107"/>
      <c r="DY48" s="1107"/>
      <c r="DZ48" s="1107"/>
      <c r="EA48" s="1107"/>
      <c r="EB48" s="1107"/>
      <c r="EC48" s="1107"/>
      <c r="ED48" s="1107"/>
      <c r="EE48" s="1107"/>
      <c r="EF48" s="1107"/>
      <c r="EG48" s="1107"/>
      <c r="EH48" s="1108"/>
      <c r="EI48" s="1108"/>
      <c r="EJ48" s="1108"/>
      <c r="EK48" s="1108"/>
      <c r="EL48" s="1108"/>
      <c r="EM48" s="1108"/>
    </row>
    <row r="49" spans="1:143" s="135" customFormat="1" ht="31.5" customHeight="1">
      <c r="A49" s="133"/>
      <c r="B49" s="134"/>
      <c r="K49" s="337"/>
      <c r="L49" s="1054"/>
      <c r="M49" s="1054"/>
      <c r="N49" s="1054"/>
      <c r="O49" s="1054"/>
      <c r="P49" s="1054"/>
      <c r="Q49" s="1054"/>
      <c r="R49" s="1054"/>
      <c r="S49" s="1054"/>
      <c r="T49" s="1054"/>
      <c r="U49" s="1054"/>
      <c r="V49" s="1054"/>
      <c r="W49" s="1054"/>
      <c r="X49" s="1054"/>
      <c r="Y49" s="1054"/>
      <c r="Z49" s="1054"/>
      <c r="AA49" s="1054"/>
      <c r="AB49" s="1054"/>
      <c r="AC49" s="1054"/>
      <c r="AD49" s="1054"/>
      <c r="AE49" s="1054"/>
      <c r="AF49" s="1054"/>
      <c r="AG49" s="1054"/>
      <c r="AH49" s="1054"/>
      <c r="AI49" s="1054"/>
      <c r="AJ49" s="1054"/>
      <c r="AK49" s="1054"/>
      <c r="AL49" s="1054"/>
      <c r="AM49" s="1054"/>
      <c r="AN49" s="1054"/>
      <c r="AO49" s="1054"/>
      <c r="AP49" s="1054"/>
      <c r="AQ49" s="1054"/>
      <c r="AR49" s="1054"/>
      <c r="AS49" s="1054"/>
      <c r="AT49" s="1054"/>
      <c r="AU49" s="1054"/>
      <c r="AV49" s="1054"/>
      <c r="AW49" s="1031"/>
      <c r="AX49" s="1054"/>
      <c r="AY49" s="1054"/>
      <c r="AZ49" s="1054"/>
      <c r="BA49" s="1054"/>
      <c r="BB49" s="1054"/>
      <c r="BC49" s="1054"/>
      <c r="BD49" s="1054"/>
      <c r="BE49" s="1054"/>
      <c r="BF49" s="1054"/>
      <c r="BG49" s="1054"/>
      <c r="BH49" s="1054"/>
      <c r="BI49" s="1054"/>
      <c r="BJ49" s="1054"/>
      <c r="BK49" s="1054"/>
      <c r="BL49" s="1054"/>
      <c r="BM49" s="1054"/>
      <c r="BN49" s="1054"/>
      <c r="BO49" s="1054"/>
      <c r="BP49" s="1054"/>
      <c r="BQ49" s="1054"/>
      <c r="BR49" s="1051"/>
      <c r="BS49" s="1031"/>
      <c r="BT49" s="1052"/>
      <c r="BU49" s="1054"/>
      <c r="BV49" s="1054"/>
      <c r="BW49" s="1054"/>
      <c r="BX49" s="1054"/>
      <c r="BY49" s="1054"/>
      <c r="BZ49" s="1055"/>
      <c r="CA49" s="1054"/>
      <c r="CB49" s="1054"/>
      <c r="CC49" s="1054"/>
      <c r="CD49" s="1054"/>
      <c r="CE49" s="1054"/>
      <c r="CF49" s="1054"/>
      <c r="CG49" s="1054"/>
      <c r="CH49" s="1054"/>
      <c r="CI49" s="1054"/>
      <c r="CJ49" s="1054"/>
      <c r="CK49" s="1054"/>
      <c r="CL49" s="1054"/>
      <c r="CM49" s="1054"/>
      <c r="CN49" s="1054"/>
      <c r="CO49" s="1054"/>
      <c r="CP49" s="1054"/>
      <c r="CQ49" s="1054"/>
      <c r="CR49" s="1054"/>
      <c r="CS49" s="1054"/>
      <c r="CT49" s="1054"/>
      <c r="CU49" s="1054"/>
      <c r="CV49" s="1054"/>
      <c r="CW49" s="1054"/>
      <c r="CX49" s="1054"/>
      <c r="CY49" s="1054"/>
      <c r="CZ49" s="1054"/>
      <c r="DA49" s="1054"/>
      <c r="DB49" s="1054"/>
      <c r="DC49" s="1054"/>
      <c r="DD49" s="1054"/>
      <c r="DE49" s="1054"/>
      <c r="DF49" s="1054"/>
      <c r="DG49" s="1054"/>
      <c r="DH49" s="1054"/>
      <c r="DI49" s="1054"/>
      <c r="DJ49" s="1054"/>
      <c r="DK49" s="1054"/>
      <c r="DL49" s="1109"/>
      <c r="DM49" s="1109"/>
      <c r="DN49" s="1109"/>
      <c r="DO49" s="1109"/>
      <c r="DP49" s="1109"/>
      <c r="DQ49" s="1109"/>
      <c r="DR49" s="1109"/>
      <c r="DS49" s="1109"/>
      <c r="DT49" s="1109"/>
      <c r="DU49" s="1109"/>
      <c r="DV49" s="1109"/>
      <c r="DW49" s="1109"/>
      <c r="DX49" s="1109"/>
      <c r="DY49" s="1109"/>
      <c r="DZ49" s="1109"/>
      <c r="EA49" s="1109"/>
      <c r="EB49" s="1109"/>
      <c r="EC49" s="1109"/>
      <c r="ED49" s="1109"/>
      <c r="EE49" s="1109"/>
      <c r="EF49" s="1109"/>
      <c r="EG49" s="1109"/>
      <c r="EH49" s="1110"/>
      <c r="EI49" s="1110"/>
      <c r="EJ49" s="1110"/>
      <c r="EK49" s="1110"/>
      <c r="EL49" s="1110"/>
      <c r="EM49" s="1110"/>
    </row>
    <row r="50" spans="1:143" s="135" customFormat="1" ht="31.5" customHeight="1">
      <c r="A50" s="136"/>
      <c r="B50" s="129"/>
      <c r="C50" s="28"/>
      <c r="D50" s="28"/>
      <c r="E50" s="28"/>
      <c r="F50" s="28"/>
      <c r="G50" s="28"/>
      <c r="H50" s="28"/>
      <c r="I50" s="28"/>
      <c r="J50" s="28"/>
      <c r="K50" s="337"/>
      <c r="L50" s="1054"/>
      <c r="M50" s="1054"/>
      <c r="N50" s="1054"/>
      <c r="O50" s="1054"/>
      <c r="P50" s="1054"/>
      <c r="Q50" s="1054"/>
      <c r="R50" s="1054"/>
      <c r="S50" s="1054"/>
      <c r="T50" s="1054"/>
      <c r="U50" s="1054"/>
      <c r="V50" s="1054"/>
      <c r="W50" s="1054"/>
      <c r="X50" s="1054"/>
      <c r="Y50" s="1054"/>
      <c r="Z50" s="1054"/>
      <c r="AA50" s="1054"/>
      <c r="AB50" s="1054"/>
      <c r="AC50" s="1054"/>
      <c r="AD50" s="1054"/>
      <c r="AE50" s="1054"/>
      <c r="AF50" s="1054"/>
      <c r="AG50" s="1054"/>
      <c r="AH50" s="1054"/>
      <c r="AI50" s="1054"/>
      <c r="AJ50" s="1054"/>
      <c r="AK50" s="1054"/>
      <c r="AL50" s="1054"/>
      <c r="AM50" s="1054"/>
      <c r="AN50" s="1054"/>
      <c r="AO50" s="1054"/>
      <c r="AP50" s="1054"/>
      <c r="AQ50" s="1054"/>
      <c r="AR50" s="1054"/>
      <c r="AS50" s="1054"/>
      <c r="AT50" s="1054"/>
      <c r="AU50" s="1054"/>
      <c r="AV50" s="1054"/>
      <c r="AW50" s="1031"/>
      <c r="AX50" s="1054"/>
      <c r="AY50" s="1054"/>
      <c r="AZ50" s="1054"/>
      <c r="BA50" s="1054"/>
      <c r="BB50" s="1054"/>
      <c r="BC50" s="1054"/>
      <c r="BD50" s="1054"/>
      <c r="BE50" s="1054"/>
      <c r="BF50" s="1054"/>
      <c r="BG50" s="1054"/>
      <c r="BH50" s="1054"/>
      <c r="BI50" s="1054"/>
      <c r="BJ50" s="1054"/>
      <c r="BK50" s="1054"/>
      <c r="BL50" s="1054"/>
      <c r="BM50" s="1054"/>
      <c r="BN50" s="1054"/>
      <c r="BO50" s="1054"/>
      <c r="BP50" s="1054"/>
      <c r="BQ50" s="1054"/>
      <c r="BR50" s="1051"/>
      <c r="BS50" s="1031"/>
      <c r="BT50" s="1052"/>
      <c r="BU50" s="1054"/>
      <c r="BV50" s="1054"/>
      <c r="BW50" s="1054"/>
      <c r="BX50" s="1054"/>
      <c r="BY50" s="1054"/>
      <c r="BZ50" s="1055"/>
      <c r="CA50" s="1054"/>
      <c r="CB50" s="1054"/>
      <c r="CC50" s="1054"/>
      <c r="CD50" s="1054"/>
      <c r="CE50" s="1054"/>
      <c r="CF50" s="1054"/>
      <c r="CG50" s="1054"/>
      <c r="CH50" s="1054"/>
      <c r="CI50" s="1054"/>
      <c r="CJ50" s="1054"/>
      <c r="CK50" s="1054"/>
      <c r="CL50" s="1054"/>
      <c r="CM50" s="1054"/>
      <c r="CN50" s="1054"/>
      <c r="CO50" s="1054"/>
      <c r="CP50" s="1054"/>
      <c r="CQ50" s="1054"/>
      <c r="CR50" s="1054"/>
      <c r="CS50" s="1054"/>
      <c r="CT50" s="1054"/>
      <c r="CU50" s="1054"/>
      <c r="CV50" s="1054"/>
      <c r="CW50" s="1054"/>
      <c r="CX50" s="1054"/>
      <c r="CY50" s="1054"/>
      <c r="CZ50" s="1054"/>
      <c r="DA50" s="1054"/>
      <c r="DB50" s="1054"/>
      <c r="DC50" s="1054"/>
      <c r="DD50" s="1054"/>
      <c r="DE50" s="1054"/>
      <c r="DF50" s="1054"/>
      <c r="DG50" s="1054"/>
      <c r="DH50" s="1054"/>
      <c r="DI50" s="1054"/>
      <c r="DJ50" s="1054"/>
      <c r="DK50" s="1054"/>
      <c r="DL50" s="1109"/>
      <c r="DM50" s="1109"/>
      <c r="DN50" s="1109"/>
      <c r="DO50" s="1109"/>
      <c r="DP50" s="1109"/>
      <c r="DQ50" s="1109"/>
      <c r="DR50" s="1109"/>
      <c r="DS50" s="1109"/>
      <c r="DT50" s="1109"/>
      <c r="DU50" s="1109"/>
      <c r="DV50" s="1109"/>
      <c r="DW50" s="1109"/>
      <c r="DX50" s="1109"/>
      <c r="DY50" s="1109"/>
      <c r="DZ50" s="1109"/>
      <c r="EA50" s="1109"/>
      <c r="EB50" s="1109"/>
      <c r="EC50" s="1109"/>
      <c r="ED50" s="1109"/>
      <c r="EE50" s="1109"/>
      <c r="EF50" s="1109"/>
      <c r="EG50" s="1109"/>
      <c r="EH50" s="1110"/>
      <c r="EI50" s="1110"/>
      <c r="EJ50" s="1110"/>
      <c r="EK50" s="1110"/>
      <c r="EL50" s="1110"/>
      <c r="EM50" s="1110"/>
    </row>
    <row r="51" spans="1:143" s="135" customFormat="1" ht="31.5" customHeight="1">
      <c r="A51" s="136"/>
      <c r="B51" s="129"/>
      <c r="C51" s="28"/>
      <c r="D51" s="28"/>
      <c r="E51" s="28"/>
      <c r="F51" s="28"/>
      <c r="G51" s="28"/>
      <c r="H51" s="28"/>
      <c r="I51" s="28"/>
      <c r="J51" s="28"/>
      <c r="K51" s="337"/>
      <c r="L51" s="1054"/>
      <c r="M51" s="1054"/>
      <c r="N51" s="1054"/>
      <c r="O51" s="1054"/>
      <c r="P51" s="1054"/>
      <c r="Q51" s="1054"/>
      <c r="R51" s="1054"/>
      <c r="S51" s="1054"/>
      <c r="T51" s="1054"/>
      <c r="U51" s="1054"/>
      <c r="V51" s="1054"/>
      <c r="W51" s="1054"/>
      <c r="X51" s="1054"/>
      <c r="Y51" s="1054"/>
      <c r="Z51" s="1054"/>
      <c r="AA51" s="1054"/>
      <c r="AB51" s="1054"/>
      <c r="AC51" s="1054"/>
      <c r="AD51" s="1054"/>
      <c r="AE51" s="1054"/>
      <c r="AF51" s="1054"/>
      <c r="AG51" s="1054"/>
      <c r="AH51" s="1054"/>
      <c r="AI51" s="1054"/>
      <c r="AJ51" s="1054"/>
      <c r="AK51" s="1054"/>
      <c r="AL51" s="1054"/>
      <c r="AM51" s="1054"/>
      <c r="AN51" s="1054"/>
      <c r="AO51" s="1054"/>
      <c r="AP51" s="1054"/>
      <c r="AQ51" s="1054"/>
      <c r="AR51" s="1054"/>
      <c r="AS51" s="1054"/>
      <c r="AT51" s="1054"/>
      <c r="AU51" s="1054"/>
      <c r="AV51" s="1054"/>
      <c r="AW51" s="1031"/>
      <c r="AX51" s="1054"/>
      <c r="AY51" s="1054"/>
      <c r="AZ51" s="1054"/>
      <c r="BA51" s="1054"/>
      <c r="BB51" s="1054"/>
      <c r="BC51" s="1054"/>
      <c r="BD51" s="1054"/>
      <c r="BE51" s="1054"/>
      <c r="BF51" s="1054"/>
      <c r="BG51" s="1054"/>
      <c r="BH51" s="1054"/>
      <c r="BI51" s="1054"/>
      <c r="BJ51" s="1054"/>
      <c r="BK51" s="1054"/>
      <c r="BL51" s="1054"/>
      <c r="BM51" s="1054"/>
      <c r="BN51" s="1054"/>
      <c r="BO51" s="1054"/>
      <c r="BP51" s="1054"/>
      <c r="BQ51" s="1054"/>
      <c r="BR51" s="1051"/>
      <c r="BS51" s="1031"/>
      <c r="BT51" s="1052"/>
      <c r="BU51" s="1054"/>
      <c r="BV51" s="1054"/>
      <c r="BW51" s="1054"/>
      <c r="BX51" s="1054"/>
      <c r="BY51" s="1054"/>
      <c r="BZ51" s="1055"/>
      <c r="CA51" s="1054"/>
      <c r="CB51" s="1054"/>
      <c r="CC51" s="1054"/>
      <c r="CD51" s="1054"/>
      <c r="CE51" s="1054"/>
      <c r="CF51" s="1054"/>
      <c r="CG51" s="1054"/>
      <c r="CH51" s="1054"/>
      <c r="CI51" s="1054"/>
      <c r="CJ51" s="1054"/>
      <c r="CK51" s="1054"/>
      <c r="CL51" s="1054"/>
      <c r="CM51" s="1054"/>
      <c r="CN51" s="1054"/>
      <c r="CO51" s="1054"/>
      <c r="CP51" s="1054"/>
      <c r="CQ51" s="1054"/>
      <c r="CR51" s="1054"/>
      <c r="CS51" s="1054"/>
      <c r="CT51" s="1054"/>
      <c r="CU51" s="1054"/>
      <c r="CV51" s="1054"/>
      <c r="CW51" s="1054"/>
      <c r="CX51" s="1054"/>
      <c r="CY51" s="1054"/>
      <c r="CZ51" s="1054"/>
      <c r="DA51" s="1054"/>
      <c r="DB51" s="1054"/>
      <c r="DC51" s="1054"/>
      <c r="DD51" s="1054"/>
      <c r="DE51" s="1054"/>
      <c r="DF51" s="1054"/>
      <c r="DG51" s="1054"/>
      <c r="DH51" s="1054"/>
      <c r="DI51" s="1054"/>
      <c r="DJ51" s="1054"/>
      <c r="DK51" s="1054"/>
      <c r="DL51" s="1109"/>
      <c r="DM51" s="1109"/>
      <c r="DN51" s="1109"/>
      <c r="DO51" s="1109"/>
      <c r="DP51" s="1109"/>
      <c r="DQ51" s="1109"/>
      <c r="DR51" s="1109"/>
      <c r="DS51" s="1109"/>
      <c r="DT51" s="1109"/>
      <c r="DU51" s="1109"/>
      <c r="DV51" s="1109"/>
      <c r="DW51" s="1109"/>
      <c r="DX51" s="1109"/>
      <c r="DY51" s="1109"/>
      <c r="DZ51" s="1109"/>
      <c r="EA51" s="1109"/>
      <c r="EB51" s="1109"/>
      <c r="EC51" s="1109"/>
      <c r="ED51" s="1109"/>
      <c r="EE51" s="1109"/>
      <c r="EF51" s="1109"/>
      <c r="EG51" s="1109"/>
      <c r="EH51" s="1110"/>
      <c r="EI51" s="1110"/>
      <c r="EJ51" s="1110"/>
      <c r="EK51" s="1110"/>
      <c r="EL51" s="1110"/>
      <c r="EM51" s="1110"/>
    </row>
    <row r="52" spans="1:143" s="135" customFormat="1" ht="31.5" customHeight="1">
      <c r="A52" s="136"/>
      <c r="B52" s="129"/>
      <c r="C52" s="28"/>
      <c r="D52" s="28"/>
      <c r="E52" s="28"/>
      <c r="F52" s="28"/>
      <c r="G52" s="28"/>
      <c r="H52" s="28"/>
      <c r="I52" s="28"/>
      <c r="J52" s="28"/>
      <c r="K52" s="337"/>
      <c r="L52" s="1054"/>
      <c r="M52" s="1054"/>
      <c r="N52" s="1054"/>
      <c r="O52" s="1054"/>
      <c r="P52" s="1054"/>
      <c r="Q52" s="1054"/>
      <c r="R52" s="1054"/>
      <c r="S52" s="1054"/>
      <c r="T52" s="1054"/>
      <c r="U52" s="1054"/>
      <c r="V52" s="1054"/>
      <c r="W52" s="1054"/>
      <c r="X52" s="1054"/>
      <c r="Y52" s="1054"/>
      <c r="Z52" s="1054"/>
      <c r="AA52" s="1054"/>
      <c r="AB52" s="1054"/>
      <c r="AC52" s="1054"/>
      <c r="AD52" s="1054"/>
      <c r="AE52" s="1054"/>
      <c r="AF52" s="1054"/>
      <c r="AG52" s="1054"/>
      <c r="AH52" s="1054"/>
      <c r="AI52" s="1054"/>
      <c r="AJ52" s="1054"/>
      <c r="AK52" s="1054"/>
      <c r="AL52" s="1054"/>
      <c r="AM52" s="1054"/>
      <c r="AN52" s="1054"/>
      <c r="AO52" s="1054"/>
      <c r="AP52" s="1054"/>
      <c r="AQ52" s="1054"/>
      <c r="AR52" s="1054"/>
      <c r="AS52" s="1054"/>
      <c r="AT52" s="1054"/>
      <c r="AU52" s="1054"/>
      <c r="AV52" s="1054"/>
      <c r="AW52" s="1031"/>
      <c r="AX52" s="1054"/>
      <c r="AY52" s="1054"/>
      <c r="AZ52" s="1054"/>
      <c r="BA52" s="1054"/>
      <c r="BB52" s="1054"/>
      <c r="BC52" s="1054"/>
      <c r="BD52" s="1054"/>
      <c r="BE52" s="1054"/>
      <c r="BF52" s="1054"/>
      <c r="BG52" s="1054"/>
      <c r="BH52" s="1054"/>
      <c r="BI52" s="1054"/>
      <c r="BJ52" s="1054"/>
      <c r="BK52" s="1054"/>
      <c r="BL52" s="1054"/>
      <c r="BM52" s="1054"/>
      <c r="BN52" s="1054"/>
      <c r="BO52" s="1054"/>
      <c r="BP52" s="1054"/>
      <c r="BQ52" s="1054"/>
      <c r="BR52" s="1051"/>
      <c r="BS52" s="1031"/>
      <c r="BT52" s="1052"/>
      <c r="BU52" s="1054"/>
      <c r="BV52" s="1054"/>
      <c r="BW52" s="1054"/>
      <c r="BX52" s="1054"/>
      <c r="BY52" s="1054"/>
      <c r="BZ52" s="1055"/>
      <c r="CA52" s="1054"/>
      <c r="CB52" s="1054"/>
      <c r="CC52" s="1054"/>
      <c r="CD52" s="1054"/>
      <c r="CE52" s="1054"/>
      <c r="CF52" s="1054"/>
      <c r="CG52" s="1054"/>
      <c r="CH52" s="1054"/>
      <c r="CI52" s="1054"/>
      <c r="CJ52" s="1054"/>
      <c r="CK52" s="1054"/>
      <c r="CL52" s="1054"/>
      <c r="CM52" s="1054"/>
      <c r="CN52" s="1054"/>
      <c r="CO52" s="1054"/>
      <c r="CP52" s="1054"/>
      <c r="CQ52" s="1054"/>
      <c r="CR52" s="1054"/>
      <c r="CS52" s="1054"/>
      <c r="CT52" s="1054"/>
      <c r="CU52" s="1054"/>
      <c r="CV52" s="1054"/>
      <c r="CW52" s="1054"/>
      <c r="CX52" s="1054"/>
      <c r="CY52" s="1054"/>
      <c r="CZ52" s="1054"/>
      <c r="DA52" s="1054"/>
      <c r="DB52" s="1054"/>
      <c r="DC52" s="1054"/>
      <c r="DD52" s="1054"/>
      <c r="DE52" s="1054"/>
      <c r="DF52" s="1054"/>
      <c r="DG52" s="1054"/>
      <c r="DH52" s="1054"/>
      <c r="DI52" s="1054"/>
      <c r="DJ52" s="1054"/>
      <c r="DK52" s="1054"/>
      <c r="DL52" s="1109"/>
      <c r="DM52" s="1109"/>
      <c r="DN52" s="1109"/>
      <c r="DO52" s="1109"/>
      <c r="DP52" s="1109"/>
      <c r="DQ52" s="1109"/>
      <c r="DR52" s="1109"/>
      <c r="DS52" s="1109"/>
      <c r="DT52" s="1109"/>
      <c r="DU52" s="1109"/>
      <c r="DV52" s="1109"/>
      <c r="DW52" s="1109"/>
      <c r="DX52" s="1109"/>
      <c r="DY52" s="1109"/>
      <c r="DZ52" s="1109"/>
      <c r="EA52" s="1109"/>
      <c r="EB52" s="1109"/>
      <c r="EC52" s="1109"/>
      <c r="ED52" s="1109"/>
      <c r="EE52" s="1109"/>
      <c r="EF52" s="1109"/>
      <c r="EG52" s="1109"/>
      <c r="EH52" s="1110"/>
      <c r="EI52" s="1110"/>
      <c r="EJ52" s="1110"/>
      <c r="EK52" s="1110"/>
      <c r="EL52" s="1110"/>
      <c r="EM52" s="1110"/>
    </row>
    <row r="53" spans="1:143" ht="31.5" customHeight="1">
      <c r="BR53" s="1051"/>
    </row>
    <row r="54" spans="1:143" ht="21.6" customHeight="1">
      <c r="BR54" s="1051"/>
    </row>
    <row r="55" spans="1:143">
      <c r="BR55" s="1051"/>
    </row>
    <row r="56" spans="1:143">
      <c r="BR56" s="1051"/>
    </row>
    <row r="57" spans="1:143">
      <c r="BR57" s="1051"/>
    </row>
    <row r="58" spans="1:143">
      <c r="BR58" s="1051"/>
    </row>
    <row r="59" spans="1:143">
      <c r="BR59" s="1051"/>
    </row>
    <row r="60" spans="1:143">
      <c r="BR60" s="1051"/>
    </row>
    <row r="61" spans="1:143">
      <c r="BR61" s="1051"/>
    </row>
    <row r="62" spans="1:143">
      <c r="BR62" s="1051"/>
    </row>
    <row r="63" spans="1:143">
      <c r="BR63" s="1051"/>
    </row>
  </sheetData>
  <sheetProtection algorithmName="SHA-512" hashValue="KZnQ4Tm+LV6Z5S/3tmrsy7zI46woBq1I8WgdXbEiuCX767eiFTd8p9u/FPQkxdBQWXqYk5m6K8JXq4udW+CeHA==" saltValue="Ja1AV6+0TXu5Y0e5cL6Qbw==" spinCount="100000" sheet="1" objects="1" scenarios="1"/>
  <sortState ref="BT17:BX46">
    <sortCondition ref="BW17:BW46"/>
  </sortState>
  <mergeCells count="102">
    <mergeCell ref="B11:F11"/>
    <mergeCell ref="B20:D20"/>
    <mergeCell ref="E20:G20"/>
    <mergeCell ref="H20:J20"/>
    <mergeCell ref="B21:D21"/>
    <mergeCell ref="E21:G21"/>
    <mergeCell ref="H16:J16"/>
    <mergeCell ref="B17:D17"/>
    <mergeCell ref="E17:G17"/>
    <mergeCell ref="B18:D18"/>
    <mergeCell ref="E18:G18"/>
    <mergeCell ref="B16:D16"/>
    <mergeCell ref="E16:G16"/>
    <mergeCell ref="B19:D19"/>
    <mergeCell ref="E19:G19"/>
    <mergeCell ref="H19:J19"/>
    <mergeCell ref="H18:J18"/>
    <mergeCell ref="H17:J17"/>
    <mergeCell ref="B24:D24"/>
    <mergeCell ref="E24:G24"/>
    <mergeCell ref="H24:J24"/>
    <mergeCell ref="B25:D25"/>
    <mergeCell ref="E25:G25"/>
    <mergeCell ref="H25:J25"/>
    <mergeCell ref="H21:J21"/>
    <mergeCell ref="B22:D22"/>
    <mergeCell ref="E22:G22"/>
    <mergeCell ref="H22:J22"/>
    <mergeCell ref="B23:D23"/>
    <mergeCell ref="E23:G23"/>
    <mergeCell ref="H23:J23"/>
    <mergeCell ref="B28:D28"/>
    <mergeCell ref="E28:G28"/>
    <mergeCell ref="H28:J28"/>
    <mergeCell ref="B29:D29"/>
    <mergeCell ref="E29:G29"/>
    <mergeCell ref="H29:J29"/>
    <mergeCell ref="B26:D26"/>
    <mergeCell ref="E26:G26"/>
    <mergeCell ref="H26:J26"/>
    <mergeCell ref="B27:D27"/>
    <mergeCell ref="E27:G27"/>
    <mergeCell ref="H27:J27"/>
    <mergeCell ref="B40:D40"/>
    <mergeCell ref="E40:G40"/>
    <mergeCell ref="H40:J40"/>
    <mergeCell ref="B41:D41"/>
    <mergeCell ref="E41:G41"/>
    <mergeCell ref="H41:J41"/>
    <mergeCell ref="B38:D38"/>
    <mergeCell ref="E38:G38"/>
    <mergeCell ref="H38:J38"/>
    <mergeCell ref="B39:D39"/>
    <mergeCell ref="E39:G39"/>
    <mergeCell ref="H39:J39"/>
    <mergeCell ref="B36:D36"/>
    <mergeCell ref="E36:G36"/>
    <mergeCell ref="H36:J36"/>
    <mergeCell ref="B37:D37"/>
    <mergeCell ref="E37:G37"/>
    <mergeCell ref="H37:J37"/>
    <mergeCell ref="B34:D34"/>
    <mergeCell ref="E34:G34"/>
    <mergeCell ref="H34:J34"/>
    <mergeCell ref="B35:D35"/>
    <mergeCell ref="E35:G35"/>
    <mergeCell ref="H35:J35"/>
    <mergeCell ref="E32:G32"/>
    <mergeCell ref="H32:J32"/>
    <mergeCell ref="B33:D33"/>
    <mergeCell ref="E33:G33"/>
    <mergeCell ref="H33:J33"/>
    <mergeCell ref="B30:D30"/>
    <mergeCell ref="E30:G30"/>
    <mergeCell ref="H30:J30"/>
    <mergeCell ref="B31:D31"/>
    <mergeCell ref="E31:G31"/>
    <mergeCell ref="H31:J31"/>
    <mergeCell ref="E8:G9"/>
    <mergeCell ref="K14:K15"/>
    <mergeCell ref="A46:K47"/>
    <mergeCell ref="A1:K1"/>
    <mergeCell ref="E6:G6"/>
    <mergeCell ref="E7:G7"/>
    <mergeCell ref="E5:G5"/>
    <mergeCell ref="B45:D45"/>
    <mergeCell ref="E45:G45"/>
    <mergeCell ref="H45:J45"/>
    <mergeCell ref="B43:D43"/>
    <mergeCell ref="E43:G43"/>
    <mergeCell ref="H43:J43"/>
    <mergeCell ref="B44:D44"/>
    <mergeCell ref="E44:G44"/>
    <mergeCell ref="H44:J44"/>
    <mergeCell ref="B42:D42"/>
    <mergeCell ref="E42:G42"/>
    <mergeCell ref="H42:J42"/>
    <mergeCell ref="A14:A15"/>
    <mergeCell ref="B14:D15"/>
    <mergeCell ref="E14:G15"/>
    <mergeCell ref="H14:J15"/>
    <mergeCell ref="B32:D32"/>
  </mergeCells>
  <conditionalFormatting sqref="K16:K45">
    <cfRule type="notContainsBlanks" dxfId="4" priority="1">
      <formula>LEN(TRIM(K16))&gt;0</formula>
    </cfRule>
  </conditionalFormatting>
  <dataValidations count="1">
    <dataValidation type="list" allowBlank="1" showInputMessage="1" showErrorMessage="1" sqref="H16:J45" xr:uid="{00000000-0002-0000-0300-000000000000}">
      <formula1>$BR$16:$BR$35</formula1>
    </dataValidation>
  </dataValidations>
  <printOptions horizontalCentered="1" verticalCentered="1"/>
  <pageMargins left="0" right="0" top="0" bottom="0" header="0" footer="0"/>
  <pageSetup paperSize="9" scale="61" orientation="portrait" r:id="rId1"/>
  <headerFooter alignWithMargins="0"/>
  <drawing r:id="rId2"/>
  <legacyDrawing r:id="rId3"/>
  <controls>
    <mc:AlternateContent xmlns:mc="http://schemas.openxmlformats.org/markup-compatibility/2006">
      <mc:Choice Requires="x14">
        <control shapeId="17410" r:id="rId4" name="CommandButton1">
          <controlPr defaultSize="0" autoLine="0" r:id="rId5">
            <anchor moveWithCells="1">
              <from>
                <xdr:col>5</xdr:col>
                <xdr:colOff>400050</xdr:colOff>
                <xdr:row>9</xdr:row>
                <xdr:rowOff>171450</xdr:rowOff>
              </from>
              <to>
                <xdr:col>6</xdr:col>
                <xdr:colOff>655320</xdr:colOff>
                <xdr:row>11</xdr:row>
                <xdr:rowOff>26670</xdr:rowOff>
              </to>
            </anchor>
          </controlPr>
        </control>
      </mc:Choice>
      <mc:Fallback>
        <control shapeId="17410"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B1:CN60"/>
  <sheetViews>
    <sheetView topLeftCell="A19" zoomScaleNormal="100" workbookViewId="0">
      <selection activeCell="I43" sqref="I43"/>
    </sheetView>
  </sheetViews>
  <sheetFormatPr defaultColWidth="8.83984375" defaultRowHeight="12.3"/>
  <cols>
    <col min="1" max="2" width="8.83984375" style="278"/>
    <col min="3" max="3" width="37" style="278" bestFit="1" customWidth="1"/>
    <col min="4" max="4" width="36.26171875" style="278" customWidth="1"/>
    <col min="5" max="5" width="4.578125" style="278" customWidth="1"/>
    <col min="6" max="6" width="3.83984375" style="278" customWidth="1"/>
    <col min="7" max="7" width="7.26171875" style="297" customWidth="1"/>
    <col min="8" max="8" width="16.41796875" style="278" customWidth="1"/>
    <col min="9" max="9" width="31.68359375" style="278" customWidth="1"/>
    <col min="10" max="10" width="15.68359375" style="278" customWidth="1"/>
    <col min="11" max="11" width="14.15625" style="278" customWidth="1"/>
    <col min="12" max="12" width="2.15625" style="278" customWidth="1"/>
    <col min="13" max="15" width="8.83984375" style="278"/>
    <col min="16" max="38" width="8.83984375" style="325"/>
    <col min="39" max="39" width="22.68359375" style="325" customWidth="1"/>
    <col min="40" max="40" width="8.83984375" style="325"/>
    <col min="41" max="41" width="10.26171875" style="325" customWidth="1"/>
    <col min="42" max="42" width="9.68359375" style="325" customWidth="1"/>
    <col min="43" max="45" width="8.83984375" style="325"/>
    <col min="46" max="46" width="2" style="325" customWidth="1"/>
    <col min="47" max="47" width="25.26171875" style="326" customWidth="1"/>
    <col min="48" max="48" width="8.83984375" style="325"/>
    <col min="49" max="49" width="18.41796875" style="325" customWidth="1"/>
    <col min="50" max="51" width="8.83984375" style="325"/>
    <col min="52" max="52" width="18.83984375" style="325" customWidth="1"/>
    <col min="53" max="56" width="8.83984375" style="325"/>
    <col min="57" max="57" width="12.26171875" style="325" customWidth="1"/>
    <col min="58" max="58" width="13.15625" style="325" customWidth="1"/>
    <col min="59" max="59" width="10.15625" style="325" customWidth="1"/>
    <col min="60" max="76" width="8.83984375" style="325"/>
    <col min="77" max="88" width="8.83984375" style="278"/>
    <col min="89" max="92" width="8.83984375" style="325"/>
    <col min="93" max="16384" width="8.83984375" style="278"/>
  </cols>
  <sheetData>
    <row r="1" spans="2:66" ht="12.6" thickBot="1"/>
    <row r="2" spans="2:66">
      <c r="B2" s="284"/>
      <c r="C2" s="266"/>
      <c r="D2" s="266"/>
      <c r="E2" s="266"/>
      <c r="F2" s="266"/>
      <c r="G2" s="295"/>
      <c r="H2" s="266"/>
      <c r="I2" s="266"/>
      <c r="J2" s="266"/>
      <c r="K2" s="266"/>
      <c r="L2" s="266"/>
      <c r="M2" s="267"/>
    </row>
    <row r="3" spans="2:66" ht="22.5">
      <c r="B3" s="270"/>
      <c r="C3" s="1314" t="s">
        <v>646</v>
      </c>
      <c r="D3" s="1314"/>
      <c r="E3" s="1314"/>
      <c r="F3" s="1314"/>
      <c r="G3" s="1314"/>
      <c r="H3" s="1314"/>
      <c r="I3" s="1314"/>
      <c r="J3" s="353"/>
      <c r="K3" s="353"/>
      <c r="L3" s="268"/>
      <c r="M3" s="269"/>
    </row>
    <row r="4" spans="2:66" ht="22.5">
      <c r="B4" s="270"/>
      <c r="C4" s="747" t="s">
        <v>1145</v>
      </c>
      <c r="D4" s="353"/>
      <c r="E4" s="353"/>
      <c r="F4" s="353"/>
      <c r="G4" s="353"/>
      <c r="H4" s="746"/>
      <c r="I4" s="353"/>
      <c r="J4" s="353"/>
      <c r="K4" s="353"/>
      <c r="L4" s="268"/>
      <c r="M4" s="269"/>
    </row>
    <row r="5" spans="2:66">
      <c r="B5" s="270"/>
      <c r="C5" s="268"/>
      <c r="D5" s="268"/>
      <c r="E5" s="268"/>
      <c r="F5" s="268"/>
      <c r="G5" s="352"/>
      <c r="H5" s="268"/>
      <c r="I5" s="268"/>
      <c r="J5" s="271" t="s">
        <v>429</v>
      </c>
      <c r="K5" s="268"/>
      <c r="L5" s="268"/>
      <c r="M5" s="269"/>
    </row>
    <row r="6" spans="2:66">
      <c r="B6" s="270"/>
      <c r="C6" s="332" t="s">
        <v>657</v>
      </c>
      <c r="D6" s="318"/>
      <c r="E6" s="268"/>
      <c r="F6" s="1311" t="s">
        <v>604</v>
      </c>
      <c r="G6" s="1312"/>
      <c r="H6" s="1312"/>
      <c r="I6" s="1312"/>
      <c r="J6" s="1312"/>
      <c r="K6" s="1312"/>
      <c r="L6" s="1313"/>
      <c r="M6" s="269"/>
    </row>
    <row r="7" spans="2:66">
      <c r="B7" s="270"/>
      <c r="C7" s="315" t="s">
        <v>609</v>
      </c>
      <c r="D7" s="493">
        <v>43136</v>
      </c>
      <c r="E7" s="268"/>
      <c r="F7" s="1307" t="s">
        <v>642</v>
      </c>
      <c r="G7" s="1308"/>
      <c r="H7" s="321" t="s">
        <v>291</v>
      </c>
      <c r="I7" s="321" t="s">
        <v>17</v>
      </c>
      <c r="J7" s="314" t="s">
        <v>680</v>
      </c>
      <c r="K7" s="1317" t="s">
        <v>624</v>
      </c>
      <c r="L7" s="1308"/>
      <c r="M7" s="269"/>
    </row>
    <row r="8" spans="2:66">
      <c r="B8" s="270"/>
      <c r="C8" s="315" t="s">
        <v>678</v>
      </c>
      <c r="D8" s="423" t="s">
        <v>1287</v>
      </c>
      <c r="E8" s="265"/>
      <c r="F8" s="309">
        <v>0</v>
      </c>
      <c r="G8" s="307"/>
      <c r="H8" s="329"/>
      <c r="I8" s="268"/>
      <c r="J8" s="322"/>
      <c r="K8" s="268"/>
      <c r="L8" s="308"/>
      <c r="M8" s="269"/>
    </row>
    <row r="9" spans="2:66">
      <c r="B9" s="270"/>
      <c r="C9" s="315" t="s">
        <v>215</v>
      </c>
      <c r="D9" s="424" t="str">
        <f>'Deal Sheet'!C5</f>
        <v>MAN Bloemfontein</v>
      </c>
      <c r="E9" s="271"/>
      <c r="F9" s="310" t="str">
        <f>IF('Deal Sheet'!C9&lt;&gt;"",F8+1&amp;".","")</f>
        <v>1.</v>
      </c>
      <c r="G9" s="355"/>
      <c r="H9" s="330" t="str">
        <f>IF('Month of Invoicing'!B16&lt;&gt;"",'Month of Invoicing'!B16,"")</f>
        <v>TBATG0X1</v>
      </c>
      <c r="I9" s="268" t="str">
        <f>IFERROR(VLOOKUP(H9,'price list MAN'!$B$5:$C$2002,2,FALSE),"")</f>
        <v>TGX-26-5406X4BLS-XLX</v>
      </c>
      <c r="J9" s="323" t="str">
        <f>IF(F9="","",IF(ISNUMBER('Month of Invoicing'!E16),"In Stock","CKD"))</f>
        <v>CKD</v>
      </c>
      <c r="K9" s="1309">
        <f>IF('Month of Invoicing'!H16=0,"",'Month of Invoicing'!H16)</f>
        <v>43101</v>
      </c>
      <c r="L9" s="1310"/>
      <c r="M9" s="269"/>
    </row>
    <row r="10" spans="2:66">
      <c r="B10" s="270"/>
      <c r="C10" s="315" t="s">
        <v>214</v>
      </c>
      <c r="D10" s="424" t="str">
        <f>'Deal Sheet'!C4</f>
        <v>HARM VAN HEERDEN</v>
      </c>
      <c r="E10" s="268"/>
      <c r="F10" s="310" t="str">
        <f>IF('Deal Sheet'!C10&lt;&gt;"",F9+1&amp;".","")</f>
        <v/>
      </c>
      <c r="G10" s="355"/>
      <c r="H10" s="330" t="str">
        <f>IF('Month of Invoicing'!B17&lt;&gt;"",'Month of Invoicing'!B17,"")</f>
        <v/>
      </c>
      <c r="I10" s="268" t="str">
        <f>IFERROR(VLOOKUP(H10,'price list MAN'!$B$5:$C$2002,2,FALSE),"")</f>
        <v/>
      </c>
      <c r="J10" s="323" t="str">
        <f>IF(F10="","",IF(ISNUMBER('Month of Invoicing'!E17),"In Stock","CKD"))</f>
        <v/>
      </c>
      <c r="K10" s="1309" t="str">
        <f>IF('Month of Invoicing'!H17=0,"",'Month of Invoicing'!H17)</f>
        <v/>
      </c>
      <c r="L10" s="1310"/>
      <c r="M10" s="269"/>
      <c r="AM10" s="325" t="s">
        <v>606</v>
      </c>
    </row>
    <row r="11" spans="2:66" ht="13.5">
      <c r="B11" s="270"/>
      <c r="C11" s="315" t="s">
        <v>613</v>
      </c>
      <c r="D11" s="308" t="str">
        <f>IFERROR(VLOOKUP('Deal Sheet'!$C$4,'Deal Sheet'!$BM$5:$BP$88,4,FALSE),"")</f>
        <v>060 850 8448</v>
      </c>
      <c r="E11" s="268"/>
      <c r="F11" s="310" t="str">
        <f>IF('Deal Sheet'!C11&lt;&gt;"",F10+1&amp;".","")</f>
        <v/>
      </c>
      <c r="G11" s="355"/>
      <c r="H11" s="330" t="str">
        <f>IF('Month of Invoicing'!B18&lt;&gt;"",'Month of Invoicing'!B18,"")</f>
        <v/>
      </c>
      <c r="I11" s="268" t="str">
        <f>IFERROR(VLOOKUP(H11,'price list MAN'!$B$5:$C$2002,2,FALSE),"")</f>
        <v/>
      </c>
      <c r="J11" s="323" t="str">
        <f>IF(F11="","",IF(ISNUMBER('Month of Invoicing'!E18),"In Stock","CKD"))</f>
        <v/>
      </c>
      <c r="K11" s="1309" t="str">
        <f>IF('Month of Invoicing'!H18=0,"",'Month of Invoicing'!H18)</f>
        <v/>
      </c>
      <c r="L11" s="1310"/>
      <c r="M11" s="306"/>
      <c r="AM11" s="325" t="s">
        <v>607</v>
      </c>
      <c r="AO11" s="325" t="str">
        <f t="shared" ref="AO11:AO40" si="0">IF(H9="","",H9)</f>
        <v>TBATG0X1</v>
      </c>
      <c r="AP11" s="343">
        <f t="shared" ref="AP11:AP40" si="1">IF(K9&lt;&gt;"",K9,"")</f>
        <v>43101</v>
      </c>
      <c r="AQ11" s="343">
        <f>AP11</f>
        <v>43101</v>
      </c>
      <c r="AR11" s="325">
        <f>IF(AQ11&lt;&gt;"",COUNTIF(AP11:AP40,AQ11),"")</f>
        <v>1</v>
      </c>
      <c r="AS11" s="325" t="str">
        <f>IFERROR(YEAR(AQ11)&amp;"-"&amp;IF(MONTH(AQ11)&lt;10,(0&amp;MONTH(AQ11)),MONTH(AQ11)),"")</f>
        <v>2018-01</v>
      </c>
      <c r="AU11" s="327" t="str">
        <f>IF(AS11="","","Deliver "&amp;" X "&amp;AR11&amp;" Unit(s) "&amp;" : "&amp;AS11)</f>
        <v>Deliver  X 1 Unit(s)  : 2018-01</v>
      </c>
      <c r="AW11" s="325" t="str">
        <f>BN11</f>
        <v>Deliver  X1 Unit(s)  : 2018-01</v>
      </c>
      <c r="AZ11" s="490">
        <f ca="1">TODAY()</f>
        <v>43222</v>
      </c>
      <c r="BA11" s="491" t="str">
        <f ca="1">DAY(AZ11)&amp;IF(MONTH(AZ11)&lt;10,0&amp;MONTH(AZ11),MONTH(AZ11))</f>
        <v>205</v>
      </c>
      <c r="BB11" s="492">
        <f ca="1">RANDBETWEEN(0,9)</f>
        <v>2</v>
      </c>
      <c r="BC11" s="325" t="str">
        <f>VLOOKUP('Deal Sheet'!C5,'Deal Sheet'!DL4:DM16,2,FALSE)</f>
        <v>BFN</v>
      </c>
      <c r="BD11" s="325" t="str">
        <f>LEFT('Deal Sheet'!C4,2)</f>
        <v>HA</v>
      </c>
      <c r="BE11" s="325" t="s">
        <v>1287</v>
      </c>
      <c r="BF11" s="325" t="str">
        <f ca="1">BC11&amp;LEFT(BA11,2)&amp;LEFT(BD11,1)&amp;RIGHT(BA11,2)&amp;RIGHT(BD11,1)&amp;BB11</f>
        <v>BFN20H05A2</v>
      </c>
      <c r="BI11" s="325">
        <v>1</v>
      </c>
      <c r="BJ11" s="327">
        <f>AP11</f>
        <v>43101</v>
      </c>
      <c r="BK11" s="327">
        <f>IFERROR(VLOOKUP(ROW()-10,$BI$11:$BJ$40,2,FALSE),"")</f>
        <v>43101</v>
      </c>
      <c r="BL11" s="325">
        <f>IF(BK11&lt;&gt;"",COUNTIF(BJ11:BJ40,BK11),"")</f>
        <v>1</v>
      </c>
      <c r="BM11" s="325" t="str">
        <f>IFERROR(YEAR(BK11)&amp;"-"&amp;IF(MONTH(BK11)&lt;10,(0&amp;MONTH(BK11)),MONTH(BK11)),"")</f>
        <v>2018-01</v>
      </c>
      <c r="BN11" s="325" t="str">
        <f>IF(BM11="","","Deliver "&amp;" X"&amp;BL11&amp;" Unit(s) "&amp;" : "&amp;BM11)</f>
        <v>Deliver  X1 Unit(s)  : 2018-01</v>
      </c>
    </row>
    <row r="12" spans="2:66">
      <c r="B12" s="270"/>
      <c r="C12" s="315" t="s">
        <v>616</v>
      </c>
      <c r="D12" s="408" t="str">
        <f>VLOOKUP('Deal Sheet'!$C$4,'Deal Sheet'!$BM$5:$BQ$88,5,FALSE)</f>
        <v>Harm.vanHeerden@za.man-mn.com</v>
      </c>
      <c r="E12" s="268"/>
      <c r="F12" s="310" t="str">
        <f>IF('Deal Sheet'!C12&lt;&gt;"",F11+1&amp;".","")</f>
        <v/>
      </c>
      <c r="G12" s="355"/>
      <c r="H12" s="330" t="str">
        <f>IF('Month of Invoicing'!B19&lt;&gt;"",'Month of Invoicing'!B19,"")</f>
        <v/>
      </c>
      <c r="I12" s="268" t="str">
        <f>IFERROR(VLOOKUP(H12,'price list MAN'!$B$5:$C$2002,2,FALSE),"")</f>
        <v/>
      </c>
      <c r="J12" s="323" t="str">
        <f>IF(F12="","",IF(ISNUMBER('Month of Invoicing'!E19),"In Stock","CKD"))</f>
        <v/>
      </c>
      <c r="K12" s="1309" t="str">
        <f>IF('Month of Invoicing'!H19=0,"",'Month of Invoicing'!H19)</f>
        <v/>
      </c>
      <c r="L12" s="1310"/>
      <c r="M12" s="269"/>
      <c r="AM12" s="325" t="s">
        <v>608</v>
      </c>
      <c r="AO12" s="325" t="str">
        <f t="shared" si="0"/>
        <v/>
      </c>
      <c r="AP12" s="343" t="str">
        <f t="shared" si="1"/>
        <v/>
      </c>
      <c r="AQ12" s="343" t="str">
        <f>IF(AP12=AP11,"",AP12)</f>
        <v/>
      </c>
      <c r="AR12" s="325" t="str">
        <f t="shared" ref="AR12:AR25" si="2">IF(AQ12&lt;&gt;"",COUNTIF(AP12:AP41,AQ12),"")</f>
        <v/>
      </c>
      <c r="AS12" s="325" t="str">
        <f t="shared" ref="AS12:AS40" si="3">IFERROR(YEAR(AQ12)&amp;"-"&amp;IF(MONTH(AQ12)&lt;10,(0&amp;MONTH(AQ12)),MONTH(AQ12)),"")</f>
        <v/>
      </c>
      <c r="AU12" s="327" t="str">
        <f t="shared" ref="AU12:AU41" si="4">IF(AS12="","","Deliver "&amp;" X "&amp;AR12&amp;" Unit(s) "&amp;" : "&amp;AS12)</f>
        <v/>
      </c>
      <c r="AW12" s="325" t="str">
        <f t="shared" ref="AW12:AW40" si="5">BN12</f>
        <v/>
      </c>
      <c r="BI12" s="325" t="str">
        <f>IF(BJ12="","",IF(COUNTIF($BJ$11:BJ12,BJ12)=1,BI11+1,BI11))</f>
        <v/>
      </c>
      <c r="BJ12" s="327" t="str">
        <f>AP12</f>
        <v/>
      </c>
      <c r="BK12" s="327" t="str">
        <f t="shared" ref="BK12:BK40" si="6">IFERROR(VLOOKUP(ROW()-10,$BI$11:$BJ$40,2,FALSE),"")</f>
        <v/>
      </c>
      <c r="BL12" s="325" t="str">
        <f t="shared" ref="BL12" si="7">IF(BK12&lt;&gt;"",COUNTIF(BJ12:BJ41,BK12),"")</f>
        <v/>
      </c>
      <c r="BM12" s="325" t="str">
        <f t="shared" ref="BM12" si="8">IFERROR(YEAR(BK12)&amp;"-"&amp;IF(MONTH(BK12)&lt;10,(0&amp;MONTH(BK12)),MONTH(BK12)),"")</f>
        <v/>
      </c>
      <c r="BN12" s="325" t="str">
        <f t="shared" ref="BN12" si="9">IF(BM12="","","Deliver "&amp;" X"&amp;BL12&amp;" Unit(s) "&amp;" : "&amp;BM12)</f>
        <v/>
      </c>
    </row>
    <row r="13" spans="2:66">
      <c r="B13" s="270"/>
      <c r="C13" s="315" t="s">
        <v>605</v>
      </c>
      <c r="D13" s="472" t="s">
        <v>606</v>
      </c>
      <c r="E13" s="268"/>
      <c r="F13" s="310" t="str">
        <f>IF('Deal Sheet'!C13&lt;&gt;"",F12+1&amp;".","")</f>
        <v/>
      </c>
      <c r="G13" s="355"/>
      <c r="H13" s="330" t="str">
        <f>IF('Month of Invoicing'!B20&lt;&gt;"",'Month of Invoicing'!B20,"")</f>
        <v/>
      </c>
      <c r="I13" s="268" t="str">
        <f>IFERROR(VLOOKUP(H13,'price list MAN'!$B$5:$C$2002,2,FALSE),"")</f>
        <v/>
      </c>
      <c r="J13" s="323" t="str">
        <f>IF(F13="","",IF(ISNUMBER('Month of Invoicing'!E20),"In Stock","CKD"))</f>
        <v/>
      </c>
      <c r="K13" s="1309" t="str">
        <f>IF('Month of Invoicing'!H20=0,"",'Month of Invoicing'!H20)</f>
        <v/>
      </c>
      <c r="L13" s="1310"/>
      <c r="M13" s="269"/>
      <c r="AO13" s="325" t="str">
        <f t="shared" si="0"/>
        <v/>
      </c>
      <c r="AP13" s="343" t="str">
        <f t="shared" si="1"/>
        <v/>
      </c>
      <c r="AQ13" s="343" t="str">
        <f>IF(AP13=AP12,"",AP13)</f>
        <v/>
      </c>
      <c r="AR13" s="325" t="str">
        <f t="shared" si="2"/>
        <v/>
      </c>
      <c r="AS13" s="325" t="str">
        <f t="shared" si="3"/>
        <v/>
      </c>
      <c r="AU13" s="327" t="str">
        <f t="shared" si="4"/>
        <v/>
      </c>
      <c r="AW13" s="325" t="str">
        <f t="shared" si="5"/>
        <v/>
      </c>
      <c r="BI13" s="325" t="str">
        <f>IF(BJ13="","",IF(COUNTIF($BJ$11:BJ13,BJ13)=1,BI12+1,BI12))</f>
        <v/>
      </c>
      <c r="BJ13" s="327" t="str">
        <f t="shared" ref="BJ13:BJ40" si="10">AP13</f>
        <v/>
      </c>
      <c r="BK13" s="327" t="str">
        <f t="shared" si="6"/>
        <v/>
      </c>
      <c r="BL13" s="325" t="str">
        <f t="shared" ref="BL13:BL40" si="11">IF(BK13&lt;&gt;"",COUNTIF(BJ13:BJ42,BK13),"")</f>
        <v/>
      </c>
      <c r="BM13" s="325" t="str">
        <f t="shared" ref="BM13:BM40" si="12">IFERROR(YEAR(BK13)&amp;"-"&amp;IF(MONTH(BK13)&lt;10,(0&amp;MONTH(BK13)),MONTH(BK13)),"")</f>
        <v/>
      </c>
      <c r="BN13" s="325" t="str">
        <f t="shared" ref="BN13:BN40" si="13">IF(BM13="","","Deliver "&amp;" X"&amp;BL13&amp;" Unit(s) "&amp;" : "&amp;BM13)</f>
        <v/>
      </c>
    </row>
    <row r="14" spans="2:66">
      <c r="B14" s="270"/>
      <c r="C14" s="315" t="s">
        <v>679</v>
      </c>
      <c r="D14" s="471" t="s">
        <v>51</v>
      </c>
      <c r="E14" s="268"/>
      <c r="F14" s="310" t="str">
        <f>IF('Deal Sheet'!C14&lt;&gt;"",F13+1&amp;".","")</f>
        <v/>
      </c>
      <c r="G14" s="355"/>
      <c r="H14" s="330" t="str">
        <f>IF('Month of Invoicing'!B21&lt;&gt;"",'Month of Invoicing'!B21,"")</f>
        <v/>
      </c>
      <c r="I14" s="268" t="str">
        <f>IFERROR(VLOOKUP(H14,'price list MAN'!$B$5:$C$2002,2,FALSE),"")</f>
        <v/>
      </c>
      <c r="J14" s="323" t="str">
        <f>IF(F14="","",IF(ISNUMBER('Month of Invoicing'!E21),"In Stock","CKD"))</f>
        <v/>
      </c>
      <c r="K14" s="1309" t="str">
        <f>IF('Month of Invoicing'!H21=0,"",'Month of Invoicing'!H21)</f>
        <v/>
      </c>
      <c r="L14" s="1310"/>
      <c r="M14" s="269"/>
      <c r="AM14" s="325" t="s">
        <v>52</v>
      </c>
      <c r="AO14" s="325" t="str">
        <f t="shared" si="0"/>
        <v/>
      </c>
      <c r="AP14" s="343" t="str">
        <f t="shared" si="1"/>
        <v/>
      </c>
      <c r="AQ14" s="343" t="str">
        <f t="shared" ref="AQ14:AQ40" si="14">IF(AP14=AP13,"",AP14)</f>
        <v/>
      </c>
      <c r="AR14" s="325" t="str">
        <f t="shared" si="2"/>
        <v/>
      </c>
      <c r="AS14" s="325" t="str">
        <f t="shared" si="3"/>
        <v/>
      </c>
      <c r="AU14" s="327" t="str">
        <f t="shared" si="4"/>
        <v/>
      </c>
      <c r="AW14" s="325" t="str">
        <f t="shared" si="5"/>
        <v/>
      </c>
      <c r="BI14" s="325" t="str">
        <f>IF(BJ14="","",IF(COUNTIF($BJ$11:BJ14,BJ14)=1,BI13+1,BI13))</f>
        <v/>
      </c>
      <c r="BJ14" s="327" t="str">
        <f t="shared" si="10"/>
        <v/>
      </c>
      <c r="BK14" s="327" t="str">
        <f t="shared" si="6"/>
        <v/>
      </c>
      <c r="BL14" s="325" t="str">
        <f t="shared" si="11"/>
        <v/>
      </c>
      <c r="BM14" s="325" t="str">
        <f t="shared" si="12"/>
        <v/>
      </c>
      <c r="BN14" s="325" t="str">
        <f t="shared" si="13"/>
        <v/>
      </c>
    </row>
    <row r="15" spans="2:66">
      <c r="B15" s="270"/>
      <c r="C15" s="316"/>
      <c r="D15" s="317"/>
      <c r="E15" s="268"/>
      <c r="F15" s="310" t="str">
        <f>IF('Deal Sheet'!C15&lt;&gt;"",F14+1&amp;".","")</f>
        <v/>
      </c>
      <c r="G15" s="355"/>
      <c r="H15" s="330" t="str">
        <f>IF('Month of Invoicing'!B22&lt;&gt;"",'Month of Invoicing'!B22,"")</f>
        <v/>
      </c>
      <c r="I15" s="268" t="str">
        <f>IFERROR(VLOOKUP(H15,'price list MAN'!$B$5:$C$2002,2,FALSE),"")</f>
        <v/>
      </c>
      <c r="J15" s="323" t="str">
        <f>IF(F15="","",IF(ISNUMBER('Month of Invoicing'!E22),"In Stock","CKD"))</f>
        <v/>
      </c>
      <c r="K15" s="1309" t="str">
        <f>IF('Month of Invoicing'!H22=0,"",'Month of Invoicing'!H22)</f>
        <v/>
      </c>
      <c r="L15" s="1310"/>
      <c r="M15" s="269"/>
      <c r="AM15" s="325" t="s">
        <v>51</v>
      </c>
      <c r="AO15" s="325" t="str">
        <f t="shared" si="0"/>
        <v/>
      </c>
      <c r="AP15" s="343" t="str">
        <f t="shared" si="1"/>
        <v/>
      </c>
      <c r="AQ15" s="343" t="str">
        <f t="shared" si="14"/>
        <v/>
      </c>
      <c r="AR15" s="325" t="str">
        <f t="shared" si="2"/>
        <v/>
      </c>
      <c r="AS15" s="325" t="str">
        <f t="shared" si="3"/>
        <v/>
      </c>
      <c r="AU15" s="327" t="str">
        <f t="shared" si="4"/>
        <v/>
      </c>
      <c r="AW15" s="325" t="str">
        <f t="shared" si="5"/>
        <v/>
      </c>
      <c r="BI15" s="325" t="str">
        <f>IF(BJ15="","",IF(COUNTIF($BJ$11:BJ15,BJ15)=1,BI14+1,BI14))</f>
        <v/>
      </c>
      <c r="BJ15" s="327" t="str">
        <f t="shared" si="10"/>
        <v/>
      </c>
      <c r="BK15" s="327" t="str">
        <f t="shared" si="6"/>
        <v/>
      </c>
      <c r="BL15" s="325" t="str">
        <f t="shared" si="11"/>
        <v/>
      </c>
      <c r="BM15" s="325" t="str">
        <f t="shared" si="12"/>
        <v/>
      </c>
      <c r="BN15" s="325" t="str">
        <f t="shared" si="13"/>
        <v/>
      </c>
    </row>
    <row r="16" spans="2:66">
      <c r="B16" s="270"/>
      <c r="C16" s="268"/>
      <c r="D16" s="268"/>
      <c r="E16" s="268"/>
      <c r="F16" s="310" t="str">
        <f>IF('Deal Sheet'!C16&lt;&gt;"",F15+1&amp;".","")</f>
        <v/>
      </c>
      <c r="G16" s="355"/>
      <c r="H16" s="330" t="str">
        <f>IF('Month of Invoicing'!B23&lt;&gt;"",'Month of Invoicing'!B23,"")</f>
        <v/>
      </c>
      <c r="I16" s="268" t="str">
        <f>IFERROR(VLOOKUP(H16,'price list MAN'!$B$5:$C$2002,2,FALSE),"")</f>
        <v/>
      </c>
      <c r="J16" s="323" t="str">
        <f>IF(F16="","",IF(ISNUMBER('Month of Invoicing'!E23),"In Stock","CKD"))</f>
        <v/>
      </c>
      <c r="K16" s="1309" t="str">
        <f>IF('Month of Invoicing'!H23=0,"",'Month of Invoicing'!H23)</f>
        <v/>
      </c>
      <c r="L16" s="1310"/>
      <c r="M16" s="269"/>
      <c r="AM16" s="325" t="s">
        <v>625</v>
      </c>
      <c r="AO16" s="325" t="str">
        <f t="shared" si="0"/>
        <v/>
      </c>
      <c r="AP16" s="343" t="str">
        <f t="shared" si="1"/>
        <v/>
      </c>
      <c r="AQ16" s="343" t="str">
        <f t="shared" si="14"/>
        <v/>
      </c>
      <c r="AR16" s="325" t="str">
        <f t="shared" si="2"/>
        <v/>
      </c>
      <c r="AS16" s="325" t="str">
        <f t="shared" si="3"/>
        <v/>
      </c>
      <c r="AU16" s="327" t="str">
        <f t="shared" si="4"/>
        <v/>
      </c>
      <c r="AW16" s="325" t="str">
        <f t="shared" si="5"/>
        <v/>
      </c>
      <c r="BI16" s="325" t="str">
        <f>IF(BJ16="","",IF(COUNTIF($BJ$11:BJ16,BJ16)=1,BI15+1,BI15))</f>
        <v/>
      </c>
      <c r="BJ16" s="327" t="str">
        <f t="shared" si="10"/>
        <v/>
      </c>
      <c r="BK16" s="327" t="str">
        <f t="shared" si="6"/>
        <v/>
      </c>
      <c r="BL16" s="325" t="str">
        <f t="shared" si="11"/>
        <v/>
      </c>
      <c r="BM16" s="325" t="str">
        <f t="shared" si="12"/>
        <v/>
      </c>
      <c r="BN16" s="325" t="str">
        <f t="shared" si="13"/>
        <v/>
      </c>
    </row>
    <row r="17" spans="2:66">
      <c r="B17" s="270"/>
      <c r="C17" s="332" t="s">
        <v>651</v>
      </c>
      <c r="D17" s="318"/>
      <c r="E17" s="268"/>
      <c r="F17" s="310" t="str">
        <f>IF('Deal Sheet'!C17&lt;&gt;"",F16+1&amp;".","")</f>
        <v/>
      </c>
      <c r="G17" s="355"/>
      <c r="H17" s="330" t="str">
        <f>IF('Month of Invoicing'!B24&lt;&gt;"",'Month of Invoicing'!B24,"")</f>
        <v/>
      </c>
      <c r="I17" s="268" t="str">
        <f>IFERROR(VLOOKUP(H17,'price list MAN'!$B$5:$C$2002,2,FALSE),"")</f>
        <v/>
      </c>
      <c r="J17" s="323" t="str">
        <f>IF(F17="","",IF(ISNUMBER('Month of Invoicing'!E24),"In Stock","CKD"))</f>
        <v/>
      </c>
      <c r="K17" s="1309" t="str">
        <f>IF('Month of Invoicing'!H24=0,"",'Month of Invoicing'!H24)</f>
        <v/>
      </c>
      <c r="L17" s="1310"/>
      <c r="M17" s="269"/>
      <c r="AM17" s="325" t="s">
        <v>626</v>
      </c>
      <c r="AO17" s="325" t="str">
        <f t="shared" si="0"/>
        <v/>
      </c>
      <c r="AP17" s="343" t="str">
        <f t="shared" si="1"/>
        <v/>
      </c>
      <c r="AQ17" s="343" t="str">
        <f t="shared" si="14"/>
        <v/>
      </c>
      <c r="AR17" s="325" t="str">
        <f t="shared" si="2"/>
        <v/>
      </c>
      <c r="AS17" s="325" t="str">
        <f t="shared" si="3"/>
        <v/>
      </c>
      <c r="AU17" s="327" t="str">
        <f t="shared" si="4"/>
        <v/>
      </c>
      <c r="AW17" s="325" t="str">
        <f t="shared" si="5"/>
        <v/>
      </c>
      <c r="BI17" s="325" t="str">
        <f>IF(BJ17="","",IF(COUNTIF($BJ$11:BJ17,BJ17)=1,BI16+1,BI16))</f>
        <v/>
      </c>
      <c r="BJ17" s="327" t="str">
        <f t="shared" si="10"/>
        <v/>
      </c>
      <c r="BK17" s="327" t="str">
        <f t="shared" si="6"/>
        <v/>
      </c>
      <c r="BL17" s="325" t="str">
        <f t="shared" si="11"/>
        <v/>
      </c>
      <c r="BM17" s="325" t="str">
        <f t="shared" si="12"/>
        <v/>
      </c>
      <c r="BN17" s="325" t="str">
        <f t="shared" si="13"/>
        <v/>
      </c>
    </row>
    <row r="18" spans="2:66">
      <c r="B18" s="270"/>
      <c r="C18" s="315"/>
      <c r="D18" s="308"/>
      <c r="E18" s="268"/>
      <c r="F18" s="310" t="str">
        <f>IF('Deal Sheet'!C18&lt;&gt;"",F17+1&amp;".","")</f>
        <v/>
      </c>
      <c r="G18" s="355"/>
      <c r="H18" s="330" t="str">
        <f>IF('Month of Invoicing'!B25&lt;&gt;"",'Month of Invoicing'!B25,"")</f>
        <v/>
      </c>
      <c r="I18" s="268" t="str">
        <f>IFERROR(VLOOKUP(H18,'price list MAN'!$B$5:$C$2002,2,FALSE),"")</f>
        <v/>
      </c>
      <c r="J18" s="323" t="str">
        <f>IF(F18="","",IF(ISNUMBER('Month of Invoicing'!E25),"In Stock","CKD"))</f>
        <v/>
      </c>
      <c r="K18" s="1309" t="str">
        <f>IF('Month of Invoicing'!H25=0,"",'Month of Invoicing'!H25)</f>
        <v/>
      </c>
      <c r="L18" s="1310"/>
      <c r="M18" s="269"/>
      <c r="AO18" s="325" t="str">
        <f t="shared" si="0"/>
        <v/>
      </c>
      <c r="AP18" s="343" t="str">
        <f t="shared" si="1"/>
        <v/>
      </c>
      <c r="AQ18" s="343" t="str">
        <f t="shared" si="14"/>
        <v/>
      </c>
      <c r="AR18" s="325" t="str">
        <f t="shared" si="2"/>
        <v/>
      </c>
      <c r="AS18" s="325" t="str">
        <f t="shared" si="3"/>
        <v/>
      </c>
      <c r="AU18" s="327" t="str">
        <f t="shared" si="4"/>
        <v/>
      </c>
      <c r="AW18" s="325" t="str">
        <f t="shared" si="5"/>
        <v/>
      </c>
      <c r="BI18" s="325" t="str">
        <f>IF(BJ18="","",IF(COUNTIF($BJ$11:BJ18,BJ18)=1,BI17+1,BI17))</f>
        <v/>
      </c>
      <c r="BJ18" s="327" t="str">
        <f t="shared" si="10"/>
        <v/>
      </c>
      <c r="BK18" s="327" t="str">
        <f t="shared" si="6"/>
        <v/>
      </c>
      <c r="BL18" s="325" t="str">
        <f t="shared" si="11"/>
        <v/>
      </c>
      <c r="BM18" s="325" t="str">
        <f t="shared" si="12"/>
        <v/>
      </c>
      <c r="BN18" s="325" t="str">
        <f t="shared" si="13"/>
        <v/>
      </c>
    </row>
    <row r="19" spans="2:66">
      <c r="B19" s="270"/>
      <c r="C19" s="315" t="s">
        <v>118</v>
      </c>
      <c r="D19" s="320" t="str">
        <f>'Deal Sheet'!C3</f>
        <v>ABCD Transport</v>
      </c>
      <c r="E19" s="268"/>
      <c r="F19" s="310" t="str">
        <f>IF('Deal Sheet'!C19&lt;&gt;"",F18+1&amp;".","")</f>
        <v/>
      </c>
      <c r="G19" s="355"/>
      <c r="H19" s="330" t="str">
        <f>IF('Month of Invoicing'!B26&lt;&gt;"",'Month of Invoicing'!B26,"")</f>
        <v/>
      </c>
      <c r="I19" s="268" t="str">
        <f>IFERROR(VLOOKUP(H19,'price list MAN'!$B$5:$C$2002,2,FALSE),"")</f>
        <v/>
      </c>
      <c r="J19" s="323" t="str">
        <f>IF(F19="","",IF(ISNUMBER('Month of Invoicing'!E26),"In Stock","CKD"))</f>
        <v/>
      </c>
      <c r="K19" s="1309" t="str">
        <f>IF('Month of Invoicing'!H26=0,"",'Month of Invoicing'!H26)</f>
        <v/>
      </c>
      <c r="L19" s="1310"/>
      <c r="M19" s="269"/>
      <c r="AM19" s="325" t="s">
        <v>640</v>
      </c>
      <c r="AO19" s="325" t="str">
        <f t="shared" si="0"/>
        <v/>
      </c>
      <c r="AP19" s="343" t="str">
        <f t="shared" si="1"/>
        <v/>
      </c>
      <c r="AQ19" s="343" t="str">
        <f t="shared" si="14"/>
        <v/>
      </c>
      <c r="AR19" s="325" t="str">
        <f t="shared" si="2"/>
        <v/>
      </c>
      <c r="AS19" s="325" t="str">
        <f t="shared" si="3"/>
        <v/>
      </c>
      <c r="AU19" s="327" t="str">
        <f t="shared" si="4"/>
        <v/>
      </c>
      <c r="AW19" s="325" t="str">
        <f t="shared" si="5"/>
        <v/>
      </c>
      <c r="BI19" s="325" t="str">
        <f>IF(BJ19="","",IF(COUNTIF($BJ$11:BJ19,BJ19)=1,BI18+1,BI18))</f>
        <v/>
      </c>
      <c r="BJ19" s="327" t="str">
        <f t="shared" si="10"/>
        <v/>
      </c>
      <c r="BK19" s="327" t="str">
        <f t="shared" si="6"/>
        <v/>
      </c>
      <c r="BL19" s="325" t="str">
        <f t="shared" si="11"/>
        <v/>
      </c>
      <c r="BM19" s="325" t="str">
        <f t="shared" si="12"/>
        <v/>
      </c>
      <c r="BN19" s="325" t="str">
        <f t="shared" si="13"/>
        <v/>
      </c>
    </row>
    <row r="20" spans="2:66">
      <c r="B20" s="270"/>
      <c r="C20" s="315" t="s">
        <v>619</v>
      </c>
      <c r="D20" s="483" t="s">
        <v>649</v>
      </c>
      <c r="E20" s="268"/>
      <c r="F20" s="310" t="str">
        <f>IF('Deal Sheet'!C20&lt;&gt;"",F19+1&amp;".","")</f>
        <v/>
      </c>
      <c r="G20" s="355"/>
      <c r="H20" s="330" t="str">
        <f>IF('Month of Invoicing'!B27&lt;&gt;"",'Month of Invoicing'!B27,"")</f>
        <v/>
      </c>
      <c r="I20" s="268" t="str">
        <f>IFERROR(VLOOKUP(H20,'price list MAN'!$B$5:$C$2002,2,FALSE),"")</f>
        <v/>
      </c>
      <c r="J20" s="323" t="str">
        <f>IF(F20="","",IF(ISNUMBER('Month of Invoicing'!E27),"In Stock","CKD"))</f>
        <v/>
      </c>
      <c r="K20" s="1309" t="str">
        <f>IF('Month of Invoicing'!H27=0,"",'Month of Invoicing'!H27)</f>
        <v/>
      </c>
      <c r="L20" s="1310"/>
      <c r="M20" s="269"/>
      <c r="AM20" s="325" t="s">
        <v>641</v>
      </c>
      <c r="AO20" s="325" t="str">
        <f t="shared" si="0"/>
        <v/>
      </c>
      <c r="AP20" s="343" t="str">
        <f t="shared" si="1"/>
        <v/>
      </c>
      <c r="AQ20" s="343" t="str">
        <f t="shared" si="14"/>
        <v/>
      </c>
      <c r="AR20" s="325" t="str">
        <f t="shared" si="2"/>
        <v/>
      </c>
      <c r="AS20" s="325" t="str">
        <f t="shared" si="3"/>
        <v/>
      </c>
      <c r="AU20" s="327" t="str">
        <f t="shared" si="4"/>
        <v/>
      </c>
      <c r="AW20" s="325" t="str">
        <f t="shared" si="5"/>
        <v/>
      </c>
      <c r="BI20" s="325" t="str">
        <f>IF(BJ20="","",IF(COUNTIF($BJ$11:BJ20,BJ20)=1,BI19+1,BI19))</f>
        <v/>
      </c>
      <c r="BJ20" s="327" t="str">
        <f t="shared" si="10"/>
        <v/>
      </c>
      <c r="BK20" s="327" t="str">
        <f t="shared" si="6"/>
        <v/>
      </c>
      <c r="BL20" s="325" t="str">
        <f t="shared" si="11"/>
        <v/>
      </c>
      <c r="BM20" s="325" t="str">
        <f t="shared" si="12"/>
        <v/>
      </c>
      <c r="BN20" s="325" t="str">
        <f t="shared" si="13"/>
        <v/>
      </c>
    </row>
    <row r="21" spans="2:66">
      <c r="B21" s="270"/>
      <c r="C21" s="315" t="s">
        <v>620</v>
      </c>
      <c r="D21" s="482" t="s">
        <v>813</v>
      </c>
      <c r="E21" s="268"/>
      <c r="F21" s="310" t="str">
        <f>IF('Deal Sheet'!C21&lt;&gt;"",F20+1&amp;".","")</f>
        <v/>
      </c>
      <c r="G21" s="355"/>
      <c r="H21" s="330" t="str">
        <f>IF('Month of Invoicing'!B28&lt;&gt;"",'Month of Invoicing'!B28,"")</f>
        <v/>
      </c>
      <c r="I21" s="268" t="str">
        <f>IFERROR(VLOOKUP(H21,'price list MAN'!$B$5:$C$2002,2,FALSE),"")</f>
        <v/>
      </c>
      <c r="J21" s="323" t="str">
        <f>IF(F21="","",IF(ISNUMBER('Month of Invoicing'!E28),"In Stock","CKD"))</f>
        <v/>
      </c>
      <c r="K21" s="1309" t="str">
        <f>IF('Month of Invoicing'!H28=0,"",'Month of Invoicing'!H28)</f>
        <v/>
      </c>
      <c r="L21" s="1310"/>
      <c r="M21" s="269"/>
      <c r="AO21" s="325" t="str">
        <f t="shared" si="0"/>
        <v/>
      </c>
      <c r="AP21" s="343" t="str">
        <f t="shared" si="1"/>
        <v/>
      </c>
      <c r="AQ21" s="343" t="str">
        <f t="shared" si="14"/>
        <v/>
      </c>
      <c r="AR21" s="325" t="str">
        <f t="shared" si="2"/>
        <v/>
      </c>
      <c r="AS21" s="325" t="str">
        <f t="shared" si="3"/>
        <v/>
      </c>
      <c r="AU21" s="327" t="str">
        <f t="shared" si="4"/>
        <v/>
      </c>
      <c r="AW21" s="325" t="str">
        <f t="shared" si="5"/>
        <v/>
      </c>
      <c r="BI21" s="325" t="str">
        <f>IF(BJ21="","",IF(COUNTIF($BJ$11:BJ21,BJ21)=1,BI20+1,BI20))</f>
        <v/>
      </c>
      <c r="BJ21" s="327" t="str">
        <f t="shared" si="10"/>
        <v/>
      </c>
      <c r="BK21" s="327" t="str">
        <f t="shared" si="6"/>
        <v/>
      </c>
      <c r="BL21" s="325" t="str">
        <f t="shared" si="11"/>
        <v/>
      </c>
      <c r="BM21" s="325" t="str">
        <f t="shared" si="12"/>
        <v/>
      </c>
      <c r="BN21" s="325" t="str">
        <f t="shared" si="13"/>
        <v/>
      </c>
    </row>
    <row r="22" spans="2:66">
      <c r="B22" s="270"/>
      <c r="C22" s="315"/>
      <c r="D22" s="308"/>
      <c r="E22" s="268"/>
      <c r="F22" s="310" t="str">
        <f>IF('Deal Sheet'!C22&lt;&gt;"",F21+1&amp;".","")</f>
        <v/>
      </c>
      <c r="G22" s="355"/>
      <c r="H22" s="330" t="str">
        <f>IF('Month of Invoicing'!B29&lt;&gt;"",'Month of Invoicing'!B29,"")</f>
        <v/>
      </c>
      <c r="I22" s="268" t="str">
        <f>IFERROR(VLOOKUP(H22,'price list MAN'!$B$5:$C$2002,2,FALSE),"")</f>
        <v/>
      </c>
      <c r="J22" s="323" t="str">
        <f>IF(F22="","",IF(ISNUMBER('Month of Invoicing'!E29),"In Stock","CKD"))</f>
        <v/>
      </c>
      <c r="K22" s="1309" t="str">
        <f>IF('Month of Invoicing'!H29=0,"",'Month of Invoicing'!H29)</f>
        <v/>
      </c>
      <c r="L22" s="1310"/>
      <c r="M22" s="269"/>
      <c r="AO22" s="325" t="str">
        <f t="shared" si="0"/>
        <v/>
      </c>
      <c r="AP22" s="343" t="str">
        <f t="shared" si="1"/>
        <v/>
      </c>
      <c r="AQ22" s="343" t="str">
        <f t="shared" si="14"/>
        <v/>
      </c>
      <c r="AR22" s="325" t="str">
        <f t="shared" si="2"/>
        <v/>
      </c>
      <c r="AS22" s="325" t="str">
        <f t="shared" si="3"/>
        <v/>
      </c>
      <c r="AU22" s="327" t="str">
        <f t="shared" si="4"/>
        <v/>
      </c>
      <c r="AW22" s="325" t="str">
        <f t="shared" si="5"/>
        <v/>
      </c>
      <c r="BI22" s="325" t="str">
        <f>IF(BJ22="","",IF(COUNTIF($BJ$11:BJ22,BJ22)=1,BI21+1,BI21))</f>
        <v/>
      </c>
      <c r="BJ22" s="327" t="str">
        <f t="shared" si="10"/>
        <v/>
      </c>
      <c r="BK22" s="327" t="str">
        <f t="shared" si="6"/>
        <v/>
      </c>
      <c r="BL22" s="325" t="str">
        <f t="shared" si="11"/>
        <v/>
      </c>
      <c r="BM22" s="325" t="str">
        <f t="shared" si="12"/>
        <v/>
      </c>
      <c r="BN22" s="325" t="str">
        <f t="shared" si="13"/>
        <v/>
      </c>
    </row>
    <row r="23" spans="2:66">
      <c r="B23" s="270"/>
      <c r="C23" s="315" t="s">
        <v>611</v>
      </c>
      <c r="D23" s="477" t="s">
        <v>882</v>
      </c>
      <c r="E23" s="268"/>
      <c r="F23" s="310" t="str">
        <f>IF('Deal Sheet'!C23&lt;&gt;"",F22+1&amp;".","")</f>
        <v/>
      </c>
      <c r="G23" s="355"/>
      <c r="H23" s="330" t="str">
        <f>IF('Month of Invoicing'!B30&lt;&gt;"",'Month of Invoicing'!B30,"")</f>
        <v/>
      </c>
      <c r="I23" s="268" t="str">
        <f>IFERROR(VLOOKUP(H23,'price list MAN'!$B$5:$C$2002,2,FALSE),"")</f>
        <v/>
      </c>
      <c r="J23" s="323" t="str">
        <f>IF(F23="","",IF(ISNUMBER('Month of Invoicing'!E30),"In Stock","CKD"))</f>
        <v/>
      </c>
      <c r="K23" s="1309" t="str">
        <f>IF('Month of Invoicing'!H30=0,"",'Month of Invoicing'!H30)</f>
        <v/>
      </c>
      <c r="L23" s="1310"/>
      <c r="M23" s="269"/>
      <c r="AO23" s="325" t="str">
        <f t="shared" si="0"/>
        <v/>
      </c>
      <c r="AP23" s="343" t="str">
        <f t="shared" si="1"/>
        <v/>
      </c>
      <c r="AQ23" s="343" t="str">
        <f t="shared" si="14"/>
        <v/>
      </c>
      <c r="AR23" s="325" t="str">
        <f t="shared" si="2"/>
        <v/>
      </c>
      <c r="AS23" s="325" t="str">
        <f t="shared" si="3"/>
        <v/>
      </c>
      <c r="AU23" s="327" t="str">
        <f t="shared" si="4"/>
        <v/>
      </c>
      <c r="AW23" s="325" t="str">
        <f t="shared" si="5"/>
        <v/>
      </c>
      <c r="BI23" s="325" t="str">
        <f>IF(BJ23="","",IF(COUNTIF($BJ$11:BJ23,BJ23)=1,BI22+1,BI22))</f>
        <v/>
      </c>
      <c r="BJ23" s="327" t="str">
        <f t="shared" si="10"/>
        <v/>
      </c>
      <c r="BK23" s="327" t="str">
        <f t="shared" si="6"/>
        <v/>
      </c>
      <c r="BL23" s="325" t="str">
        <f t="shared" si="11"/>
        <v/>
      </c>
      <c r="BM23" s="325" t="str">
        <f t="shared" si="12"/>
        <v/>
      </c>
      <c r="BN23" s="325" t="str">
        <f t="shared" si="13"/>
        <v/>
      </c>
    </row>
    <row r="24" spans="2:66">
      <c r="B24" s="270"/>
      <c r="C24" s="315" t="s">
        <v>610</v>
      </c>
      <c r="D24" s="320" t="str">
        <f>'Deal Sheet'!C3</f>
        <v>ABCD Transport</v>
      </c>
      <c r="E24" s="268"/>
      <c r="F24" s="310" t="str">
        <f>IF('Deal Sheet'!C24&lt;&gt;"",F23+1&amp;".","")</f>
        <v/>
      </c>
      <c r="G24" s="355"/>
      <c r="H24" s="330" t="str">
        <f>IF('Month of Invoicing'!B31&lt;&gt;"",'Month of Invoicing'!B31,"")</f>
        <v/>
      </c>
      <c r="I24" s="268" t="str">
        <f>IFERROR(VLOOKUP(H24,'price list MAN'!$B$5:$C$2002,2,FALSE),"")</f>
        <v/>
      </c>
      <c r="J24" s="323" t="str">
        <f>IF(F24="","",IF(ISNUMBER('Month of Invoicing'!E31),"In Stock","CKD"))</f>
        <v/>
      </c>
      <c r="K24" s="1309" t="str">
        <f>IF('Month of Invoicing'!H31=0,"",'Month of Invoicing'!H31)</f>
        <v/>
      </c>
      <c r="L24" s="1310"/>
      <c r="M24" s="269"/>
      <c r="AO24" s="325" t="str">
        <f t="shared" si="0"/>
        <v/>
      </c>
      <c r="AP24" s="343" t="str">
        <f t="shared" si="1"/>
        <v/>
      </c>
      <c r="AQ24" s="343" t="str">
        <f t="shared" si="14"/>
        <v/>
      </c>
      <c r="AR24" s="325" t="str">
        <f t="shared" si="2"/>
        <v/>
      </c>
      <c r="AS24" s="325" t="str">
        <f t="shared" si="3"/>
        <v/>
      </c>
      <c r="AU24" s="327" t="str">
        <f t="shared" si="4"/>
        <v/>
      </c>
      <c r="AW24" s="325" t="str">
        <f t="shared" si="5"/>
        <v/>
      </c>
      <c r="BI24" s="325" t="str">
        <f>IF(BJ24="","",IF(COUNTIF($BJ$11:BJ24,BJ24)=1,BI23+1,BI23))</f>
        <v/>
      </c>
      <c r="BJ24" s="327" t="str">
        <f t="shared" si="10"/>
        <v/>
      </c>
      <c r="BK24" s="327" t="str">
        <f t="shared" si="6"/>
        <v/>
      </c>
      <c r="BL24" s="325" t="str">
        <f t="shared" si="11"/>
        <v/>
      </c>
      <c r="BM24" s="325" t="str">
        <f t="shared" si="12"/>
        <v/>
      </c>
      <c r="BN24" s="325" t="str">
        <f t="shared" si="13"/>
        <v/>
      </c>
    </row>
    <row r="25" spans="2:66">
      <c r="B25" s="270"/>
      <c r="C25" s="315"/>
      <c r="D25" s="478" t="s">
        <v>621</v>
      </c>
      <c r="E25" s="268"/>
      <c r="F25" s="310" t="str">
        <f>IF('Deal Sheet'!C25&lt;&gt;"",F24+1&amp;".","")</f>
        <v/>
      </c>
      <c r="G25" s="355"/>
      <c r="H25" s="330" t="str">
        <f>IF('Month of Invoicing'!B32&lt;&gt;"",'Month of Invoicing'!B32,"")</f>
        <v/>
      </c>
      <c r="I25" s="268" t="str">
        <f>IFERROR(VLOOKUP(H25,'price list MAN'!$B$5:$C$2002,2,FALSE),"")</f>
        <v/>
      </c>
      <c r="J25" s="323" t="str">
        <f>IF(F25="","",IF(ISNUMBER('Month of Invoicing'!E32),"In Stock","CKD"))</f>
        <v/>
      </c>
      <c r="K25" s="1309" t="str">
        <f>IF('Month of Invoicing'!H32=0,"",'Month of Invoicing'!H32)</f>
        <v/>
      </c>
      <c r="L25" s="1310"/>
      <c r="M25" s="269"/>
      <c r="AO25" s="325" t="str">
        <f t="shared" si="0"/>
        <v/>
      </c>
      <c r="AP25" s="343" t="str">
        <f t="shared" si="1"/>
        <v/>
      </c>
      <c r="AQ25" s="343" t="str">
        <f t="shared" si="14"/>
        <v/>
      </c>
      <c r="AR25" s="325" t="str">
        <f t="shared" si="2"/>
        <v/>
      </c>
      <c r="AS25" s="325" t="str">
        <f t="shared" si="3"/>
        <v/>
      </c>
      <c r="AU25" s="327" t="str">
        <f t="shared" si="4"/>
        <v/>
      </c>
      <c r="AW25" s="325" t="str">
        <f t="shared" si="5"/>
        <v/>
      </c>
      <c r="BI25" s="325" t="str">
        <f>IF(BJ25="","",IF(COUNTIF($BJ$11:BJ25,BJ25)=1,BI24+1,BI24))</f>
        <v/>
      </c>
      <c r="BJ25" s="327" t="str">
        <f t="shared" si="10"/>
        <v/>
      </c>
      <c r="BK25" s="327" t="str">
        <f t="shared" si="6"/>
        <v/>
      </c>
      <c r="BL25" s="325" t="str">
        <f t="shared" si="11"/>
        <v/>
      </c>
      <c r="BM25" s="325" t="str">
        <f t="shared" si="12"/>
        <v/>
      </c>
      <c r="BN25" s="325" t="str">
        <f t="shared" si="13"/>
        <v/>
      </c>
    </row>
    <row r="26" spans="2:66">
      <c r="B26" s="270"/>
      <c r="C26" s="315"/>
      <c r="D26" s="471" t="s">
        <v>622</v>
      </c>
      <c r="E26" s="268"/>
      <c r="F26" s="310" t="str">
        <f>IF('Deal Sheet'!C26&lt;&gt;"",F25+1&amp;".","")</f>
        <v/>
      </c>
      <c r="G26" s="355"/>
      <c r="H26" s="330" t="str">
        <f>IF('Month of Invoicing'!B33&lt;&gt;"",'Month of Invoicing'!B33,"")</f>
        <v/>
      </c>
      <c r="I26" s="268" t="str">
        <f>IFERROR(VLOOKUP(H26,'price list MAN'!$B$5:$C$2002,2,FALSE),"")</f>
        <v/>
      </c>
      <c r="J26" s="323" t="str">
        <f>IF(F26="","",IF(ISNUMBER('Month of Invoicing'!E33),"In Stock","CKD"))</f>
        <v/>
      </c>
      <c r="K26" s="1309" t="str">
        <f>IF('Month of Invoicing'!H33=0,"",'Month of Invoicing'!H33)</f>
        <v/>
      </c>
      <c r="L26" s="1310"/>
      <c r="M26" s="269"/>
      <c r="AO26" s="325" t="str">
        <f t="shared" si="0"/>
        <v/>
      </c>
      <c r="AP26" s="343" t="str">
        <f t="shared" si="1"/>
        <v/>
      </c>
      <c r="AQ26" s="343" t="str">
        <f t="shared" si="14"/>
        <v/>
      </c>
      <c r="AR26" s="325" t="str">
        <f t="shared" ref="AR26:AR40" si="15">IF(AQ26&lt;&gt;"",COUNTIF(AP26:AP55,AQ26),"")</f>
        <v/>
      </c>
      <c r="AS26" s="325" t="str">
        <f t="shared" si="3"/>
        <v/>
      </c>
      <c r="AU26" s="327" t="str">
        <f t="shared" si="4"/>
        <v/>
      </c>
      <c r="AW26" s="325" t="str">
        <f t="shared" si="5"/>
        <v/>
      </c>
      <c r="AX26" s="325" t="str">
        <f t="shared" ref="AX26:AX40" si="16">IFERROR(INDEX(F:F,SMALL(INDEX(NOT(ISBLANK($F$5:$F$20))*ROW($F$5:$F$20),0),COUNTBLANK($F$5:$F$20)+ROW(F16))),"")</f>
        <v/>
      </c>
      <c r="BI26" s="325" t="str">
        <f>IF(BJ26="","",IF(COUNTIF($BJ$11:BJ26,BJ26)=1,BI25+1,BI25))</f>
        <v/>
      </c>
      <c r="BJ26" s="327" t="str">
        <f t="shared" si="10"/>
        <v/>
      </c>
      <c r="BK26" s="327" t="str">
        <f t="shared" si="6"/>
        <v/>
      </c>
      <c r="BL26" s="325" t="str">
        <f t="shared" si="11"/>
        <v/>
      </c>
      <c r="BM26" s="325" t="str">
        <f t="shared" si="12"/>
        <v/>
      </c>
      <c r="BN26" s="325" t="str">
        <f t="shared" si="13"/>
        <v/>
      </c>
    </row>
    <row r="27" spans="2:66">
      <c r="B27" s="270"/>
      <c r="C27" s="315"/>
      <c r="D27" s="471" t="s">
        <v>634</v>
      </c>
      <c r="E27" s="268"/>
      <c r="F27" s="310" t="str">
        <f>IF('Deal Sheet'!C27&lt;&gt;"",F26+1&amp;".","")</f>
        <v/>
      </c>
      <c r="G27" s="355"/>
      <c r="H27" s="330" t="str">
        <f>IF('Month of Invoicing'!B34&lt;&gt;"",'Month of Invoicing'!B34,"")</f>
        <v/>
      </c>
      <c r="I27" s="268" t="str">
        <f>IFERROR(VLOOKUP(H27,'price list MAN'!$B$5:$C$2002,2,FALSE),"")</f>
        <v/>
      </c>
      <c r="J27" s="323" t="str">
        <f>IF(F27="","",IF(ISNUMBER('Month of Invoicing'!E34),"In Stock","CKD"))</f>
        <v/>
      </c>
      <c r="K27" s="1309" t="str">
        <f>IF('Month of Invoicing'!H34=0,"",'Month of Invoicing'!H34)</f>
        <v/>
      </c>
      <c r="L27" s="1310"/>
      <c r="M27" s="269"/>
      <c r="AO27" s="325" t="str">
        <f t="shared" si="0"/>
        <v/>
      </c>
      <c r="AP27" s="343" t="str">
        <f t="shared" si="1"/>
        <v/>
      </c>
      <c r="AQ27" s="343" t="str">
        <f t="shared" si="14"/>
        <v/>
      </c>
      <c r="AR27" s="325" t="str">
        <f t="shared" si="15"/>
        <v/>
      </c>
      <c r="AS27" s="325" t="str">
        <f t="shared" si="3"/>
        <v/>
      </c>
      <c r="AU27" s="327" t="str">
        <f t="shared" si="4"/>
        <v/>
      </c>
      <c r="AW27" s="325" t="str">
        <f t="shared" si="5"/>
        <v/>
      </c>
      <c r="AX27" s="325" t="str">
        <f t="shared" si="16"/>
        <v/>
      </c>
      <c r="BI27" s="325" t="str">
        <f>IF(BJ27="","",IF(COUNTIF($BJ$11:BJ27,BJ27)=1,BI26+1,BI26))</f>
        <v/>
      </c>
      <c r="BJ27" s="327" t="str">
        <f t="shared" si="10"/>
        <v/>
      </c>
      <c r="BK27" s="327" t="str">
        <f t="shared" si="6"/>
        <v/>
      </c>
      <c r="BL27" s="325" t="str">
        <f t="shared" si="11"/>
        <v/>
      </c>
      <c r="BM27" s="325" t="str">
        <f t="shared" si="12"/>
        <v/>
      </c>
      <c r="BN27" s="325" t="str">
        <f t="shared" si="13"/>
        <v/>
      </c>
    </row>
    <row r="28" spans="2:66">
      <c r="B28" s="270"/>
      <c r="C28" s="315"/>
      <c r="D28" s="471" t="s">
        <v>220</v>
      </c>
      <c r="E28" s="268"/>
      <c r="F28" s="310" t="str">
        <f>IF('Deal Sheet'!C28&lt;&gt;"",F27+1&amp;".","")</f>
        <v/>
      </c>
      <c r="G28" s="355"/>
      <c r="H28" s="330" t="str">
        <f>IF('Month of Invoicing'!B35&lt;&gt;"",'Month of Invoicing'!B35,"")</f>
        <v/>
      </c>
      <c r="I28" s="268" t="str">
        <f>IFERROR(VLOOKUP(H28,'price list MAN'!$B$5:$C$2002,2,FALSE),"")</f>
        <v/>
      </c>
      <c r="J28" s="323" t="str">
        <f>IF(F28="","",IF(ISNUMBER('Month of Invoicing'!E35),"In Stock","CKD"))</f>
        <v/>
      </c>
      <c r="K28" s="1309" t="str">
        <f>IF('Month of Invoicing'!H35=0,"",'Month of Invoicing'!H35)</f>
        <v/>
      </c>
      <c r="L28" s="1310"/>
      <c r="M28" s="269"/>
      <c r="AO28" s="325" t="str">
        <f t="shared" si="0"/>
        <v/>
      </c>
      <c r="AP28" s="343" t="str">
        <f t="shared" si="1"/>
        <v/>
      </c>
      <c r="AQ28" s="343" t="str">
        <f t="shared" si="14"/>
        <v/>
      </c>
      <c r="AR28" s="325" t="str">
        <f t="shared" si="15"/>
        <v/>
      </c>
      <c r="AS28" s="325" t="str">
        <f t="shared" si="3"/>
        <v/>
      </c>
      <c r="AU28" s="327" t="str">
        <f t="shared" si="4"/>
        <v/>
      </c>
      <c r="AW28" s="325" t="str">
        <f t="shared" si="5"/>
        <v/>
      </c>
      <c r="AX28" s="325" t="str">
        <f t="shared" si="16"/>
        <v/>
      </c>
      <c r="BI28" s="325" t="str">
        <f>IF(BJ28="","",IF(COUNTIF($BJ$11:BJ28,BJ28)=1,BI27+1,BI27))</f>
        <v/>
      </c>
      <c r="BJ28" s="327" t="str">
        <f t="shared" si="10"/>
        <v/>
      </c>
      <c r="BK28" s="327" t="str">
        <f t="shared" si="6"/>
        <v/>
      </c>
      <c r="BL28" s="325" t="str">
        <f t="shared" si="11"/>
        <v/>
      </c>
      <c r="BM28" s="325" t="str">
        <f t="shared" si="12"/>
        <v/>
      </c>
      <c r="BN28" s="325" t="str">
        <f t="shared" si="13"/>
        <v/>
      </c>
    </row>
    <row r="29" spans="2:66">
      <c r="B29" s="270"/>
      <c r="C29" s="315"/>
      <c r="D29" s="471"/>
      <c r="E29" s="268"/>
      <c r="F29" s="310" t="str">
        <f>IF('Deal Sheet'!C29&lt;&gt;"",F28+1&amp;".","")</f>
        <v/>
      </c>
      <c r="G29" s="355"/>
      <c r="H29" s="330" t="str">
        <f>IF('Month of Invoicing'!B36&lt;&gt;"",'Month of Invoicing'!B36,"")</f>
        <v/>
      </c>
      <c r="I29" s="268" t="str">
        <f>IFERROR(VLOOKUP(H29,'price list MAN'!$B$5:$C$2002,2,FALSE),"")</f>
        <v/>
      </c>
      <c r="J29" s="323" t="str">
        <f>IF(F29="","",IF(ISNUMBER('Month of Invoicing'!E36),"In Stock","CKD"))</f>
        <v/>
      </c>
      <c r="K29" s="1309" t="str">
        <f>IF('Month of Invoicing'!H36=0,"",'Month of Invoicing'!H36)</f>
        <v/>
      </c>
      <c r="L29" s="1310"/>
      <c r="M29" s="269"/>
      <c r="AO29" s="325" t="str">
        <f t="shared" si="0"/>
        <v/>
      </c>
      <c r="AP29" s="343" t="str">
        <f t="shared" si="1"/>
        <v/>
      </c>
      <c r="AQ29" s="343" t="str">
        <f t="shared" si="14"/>
        <v/>
      </c>
      <c r="AR29" s="325" t="str">
        <f t="shared" si="15"/>
        <v/>
      </c>
      <c r="AS29" s="325" t="str">
        <f t="shared" si="3"/>
        <v/>
      </c>
      <c r="AU29" s="327" t="str">
        <f t="shared" si="4"/>
        <v/>
      </c>
      <c r="AW29" s="325" t="str">
        <f t="shared" si="5"/>
        <v/>
      </c>
      <c r="AX29" s="325" t="str">
        <f t="shared" si="16"/>
        <v/>
      </c>
      <c r="BI29" s="325" t="str">
        <f>IF(BJ29="","",IF(COUNTIF($BJ$11:BJ29,BJ29)=1,BI28+1,BI28))</f>
        <v/>
      </c>
      <c r="BJ29" s="327" t="str">
        <f t="shared" si="10"/>
        <v/>
      </c>
      <c r="BK29" s="327" t="str">
        <f t="shared" si="6"/>
        <v/>
      </c>
      <c r="BL29" s="325" t="str">
        <f t="shared" si="11"/>
        <v/>
      </c>
      <c r="BM29" s="325" t="str">
        <f t="shared" si="12"/>
        <v/>
      </c>
      <c r="BN29" s="325" t="str">
        <f t="shared" si="13"/>
        <v/>
      </c>
    </row>
    <row r="30" spans="2:66">
      <c r="B30" s="270"/>
      <c r="C30" s="315" t="s">
        <v>612</v>
      </c>
      <c r="D30" s="481" t="s">
        <v>623</v>
      </c>
      <c r="E30" s="288"/>
      <c r="F30" s="310" t="str">
        <f>IF('Deal Sheet'!C30&lt;&gt;"",F29+1&amp;".","")</f>
        <v/>
      </c>
      <c r="G30" s="355"/>
      <c r="H30" s="330" t="str">
        <f>IF('Month of Invoicing'!B37&lt;&gt;"",'Month of Invoicing'!B37,"")</f>
        <v/>
      </c>
      <c r="I30" s="268" t="str">
        <f>IFERROR(VLOOKUP(H30,'price list MAN'!$B$5:$C$2002,2,FALSE),"")</f>
        <v/>
      </c>
      <c r="J30" s="323" t="str">
        <f>IF(F30="","",IF(ISNUMBER('Month of Invoicing'!E37),"In Stock","CKD"))</f>
        <v/>
      </c>
      <c r="K30" s="1309" t="str">
        <f>IF('Month of Invoicing'!H37=0,"",'Month of Invoicing'!H37)</f>
        <v/>
      </c>
      <c r="L30" s="1310"/>
      <c r="M30" s="269"/>
      <c r="AO30" s="325" t="str">
        <f t="shared" si="0"/>
        <v/>
      </c>
      <c r="AP30" s="343" t="str">
        <f t="shared" si="1"/>
        <v/>
      </c>
      <c r="AQ30" s="343" t="str">
        <f>IF(AP30=AP29,"",AP30)</f>
        <v/>
      </c>
      <c r="AR30" s="325" t="str">
        <f t="shared" si="15"/>
        <v/>
      </c>
      <c r="AS30" s="325" t="str">
        <f t="shared" si="3"/>
        <v/>
      </c>
      <c r="AU30" s="327" t="str">
        <f t="shared" si="4"/>
        <v/>
      </c>
      <c r="AW30" s="325" t="str">
        <f t="shared" si="5"/>
        <v/>
      </c>
      <c r="AX30" s="325" t="str">
        <f t="shared" si="16"/>
        <v/>
      </c>
      <c r="BI30" s="325" t="str">
        <f>IF(BJ30="","",IF(COUNTIF($BJ$11:BJ30,BJ30)=1,BI29+1,BI29))</f>
        <v/>
      </c>
      <c r="BJ30" s="327" t="str">
        <f t="shared" si="10"/>
        <v/>
      </c>
      <c r="BK30" s="327" t="str">
        <f t="shared" si="6"/>
        <v/>
      </c>
      <c r="BL30" s="325" t="str">
        <f t="shared" si="11"/>
        <v/>
      </c>
      <c r="BM30" s="325" t="str">
        <f t="shared" si="12"/>
        <v/>
      </c>
      <c r="BN30" s="325" t="str">
        <f t="shared" si="13"/>
        <v/>
      </c>
    </row>
    <row r="31" spans="2:66">
      <c r="B31" s="270"/>
      <c r="C31" s="315"/>
      <c r="D31" s="348"/>
      <c r="E31" s="268"/>
      <c r="F31" s="310" t="str">
        <f>IF('Deal Sheet'!C31&lt;&gt;"",F30+1&amp;".","")</f>
        <v/>
      </c>
      <c r="G31" s="355"/>
      <c r="H31" s="330" t="str">
        <f>IF('Month of Invoicing'!B38&lt;&gt;"",'Month of Invoicing'!B38,"")</f>
        <v/>
      </c>
      <c r="I31" s="268" t="str">
        <f>IFERROR(VLOOKUP(H31,'price list MAN'!$B$5:$C$2002,2,FALSE),"")</f>
        <v/>
      </c>
      <c r="J31" s="323" t="str">
        <f>IF(F31="","",IF(ISNUMBER('Month of Invoicing'!E38),"In Stock","CKD"))</f>
        <v/>
      </c>
      <c r="K31" s="1309" t="str">
        <f>IF('Month of Invoicing'!H38=0,"",'Month of Invoicing'!H38)</f>
        <v/>
      </c>
      <c r="L31" s="1310"/>
      <c r="M31" s="269"/>
      <c r="AO31" s="325" t="str">
        <f t="shared" si="0"/>
        <v/>
      </c>
      <c r="AP31" s="343" t="str">
        <f t="shared" si="1"/>
        <v/>
      </c>
      <c r="AQ31" s="343" t="str">
        <f t="shared" si="14"/>
        <v/>
      </c>
      <c r="AR31" s="325" t="str">
        <f t="shared" si="15"/>
        <v/>
      </c>
      <c r="AS31" s="325" t="str">
        <f t="shared" si="3"/>
        <v/>
      </c>
      <c r="AU31" s="327" t="str">
        <f t="shared" si="4"/>
        <v/>
      </c>
      <c r="AW31" s="325" t="str">
        <f t="shared" si="5"/>
        <v/>
      </c>
      <c r="AX31" s="325" t="str">
        <f t="shared" si="16"/>
        <v/>
      </c>
      <c r="BI31" s="325" t="str">
        <f>IF(BJ31="","",IF(COUNTIF($BJ$11:BJ31,BJ31)=1,BI30+1,BI30))</f>
        <v/>
      </c>
      <c r="BJ31" s="327" t="str">
        <f t="shared" si="10"/>
        <v/>
      </c>
      <c r="BK31" s="327" t="str">
        <f t="shared" si="6"/>
        <v/>
      </c>
      <c r="BL31" s="325" t="str">
        <f t="shared" si="11"/>
        <v/>
      </c>
      <c r="BM31" s="325" t="str">
        <f t="shared" si="12"/>
        <v/>
      </c>
      <c r="BN31" s="325" t="str">
        <f t="shared" si="13"/>
        <v/>
      </c>
    </row>
    <row r="32" spans="2:66">
      <c r="B32" s="270"/>
      <c r="C32" s="315" t="s">
        <v>613</v>
      </c>
      <c r="D32" s="480" t="s">
        <v>817</v>
      </c>
      <c r="E32" s="288"/>
      <c r="F32" s="310" t="str">
        <f>IF('Deal Sheet'!C32&lt;&gt;"",F31+1&amp;".","")</f>
        <v/>
      </c>
      <c r="G32" s="355"/>
      <c r="H32" s="330" t="str">
        <f>IF('Month of Invoicing'!B39&lt;&gt;"",'Month of Invoicing'!B39,"")</f>
        <v/>
      </c>
      <c r="I32" s="268" t="str">
        <f>IFERROR(VLOOKUP(H32,'price list MAN'!$B$5:$C$2002,2,FALSE),"")</f>
        <v/>
      </c>
      <c r="J32" s="323" t="str">
        <f>IF(F32="","",IF(ISNUMBER('Month of Invoicing'!E39),"In Stock","CKD"))</f>
        <v/>
      </c>
      <c r="K32" s="1309" t="str">
        <f>IF('Month of Invoicing'!H39=0,"",'Month of Invoicing'!H39)</f>
        <v/>
      </c>
      <c r="L32" s="1310"/>
      <c r="M32" s="269"/>
      <c r="AM32" s="325" t="str">
        <f>SUBSTITUTE(SUBSTITUTE(D32," ",""),"-","")</f>
        <v>0120031234</v>
      </c>
      <c r="AO32" s="325" t="str">
        <f t="shared" si="0"/>
        <v/>
      </c>
      <c r="AP32" s="343" t="str">
        <f t="shared" si="1"/>
        <v/>
      </c>
      <c r="AQ32" s="343" t="str">
        <f t="shared" si="14"/>
        <v/>
      </c>
      <c r="AR32" s="325" t="str">
        <f t="shared" si="15"/>
        <v/>
      </c>
      <c r="AS32" s="325" t="str">
        <f t="shared" si="3"/>
        <v/>
      </c>
      <c r="AU32" s="327" t="str">
        <f t="shared" si="4"/>
        <v/>
      </c>
      <c r="AW32" s="325" t="str">
        <f t="shared" si="5"/>
        <v/>
      </c>
      <c r="AX32" s="325" t="str">
        <f t="shared" si="16"/>
        <v/>
      </c>
      <c r="BI32" s="325" t="str">
        <f>IF(BJ32="","",IF(COUNTIF($BJ$11:BJ32,BJ32)=1,BI31+1,BI31))</f>
        <v/>
      </c>
      <c r="BJ32" s="327" t="str">
        <f t="shared" si="10"/>
        <v/>
      </c>
      <c r="BK32" s="327" t="str">
        <f t="shared" si="6"/>
        <v/>
      </c>
      <c r="BL32" s="325" t="str">
        <f t="shared" si="11"/>
        <v/>
      </c>
      <c r="BM32" s="325" t="str">
        <f t="shared" si="12"/>
        <v/>
      </c>
      <c r="BN32" s="325" t="str">
        <f t="shared" si="13"/>
        <v/>
      </c>
    </row>
    <row r="33" spans="2:66">
      <c r="B33" s="270"/>
      <c r="C33" s="315" t="s">
        <v>614</v>
      </c>
      <c r="D33" s="480" t="s">
        <v>617</v>
      </c>
      <c r="E33" s="288"/>
      <c r="F33" s="310" t="str">
        <f>IF('Deal Sheet'!C33&lt;&gt;"",F32+1&amp;".","")</f>
        <v/>
      </c>
      <c r="G33" s="355"/>
      <c r="H33" s="330" t="str">
        <f>IF('Month of Invoicing'!B40&lt;&gt;"",'Month of Invoicing'!B40,"")</f>
        <v/>
      </c>
      <c r="I33" s="268" t="str">
        <f>IFERROR(VLOOKUP(H33,'price list MAN'!$B$5:$C$2002,2,FALSE),"")</f>
        <v/>
      </c>
      <c r="J33" s="323" t="str">
        <f>IF(F33="","",IF(ISNUMBER('Month of Invoicing'!E40),"In Stock","CKD"))</f>
        <v/>
      </c>
      <c r="K33" s="1309" t="str">
        <f>IF('Month of Invoicing'!H40=0,"",'Month of Invoicing'!H40)</f>
        <v/>
      </c>
      <c r="L33" s="1310"/>
      <c r="M33" s="269"/>
      <c r="AM33" s="325" t="str">
        <f>SUBSTITUTE(SUBSTITUTE(D33," ",""),"-","")</f>
        <v>0731234567</v>
      </c>
      <c r="AO33" s="325" t="str">
        <f t="shared" si="0"/>
        <v/>
      </c>
      <c r="AP33" s="343" t="str">
        <f t="shared" si="1"/>
        <v/>
      </c>
      <c r="AQ33" s="343" t="str">
        <f t="shared" si="14"/>
        <v/>
      </c>
      <c r="AR33" s="325" t="str">
        <f t="shared" si="15"/>
        <v/>
      </c>
      <c r="AS33" s="325" t="str">
        <f t="shared" si="3"/>
        <v/>
      </c>
      <c r="AU33" s="327" t="str">
        <f t="shared" si="4"/>
        <v/>
      </c>
      <c r="AW33" s="325" t="str">
        <f t="shared" si="5"/>
        <v/>
      </c>
      <c r="AX33" s="325" t="str">
        <f t="shared" si="16"/>
        <v/>
      </c>
      <c r="BI33" s="325" t="str">
        <f>IF(BJ33="","",IF(COUNTIF($BJ$11:BJ33,BJ33)=1,BI32+1,BI32))</f>
        <v/>
      </c>
      <c r="BJ33" s="327" t="str">
        <f t="shared" si="10"/>
        <v/>
      </c>
      <c r="BK33" s="327" t="str">
        <f t="shared" si="6"/>
        <v/>
      </c>
      <c r="BL33" s="325" t="str">
        <f t="shared" si="11"/>
        <v/>
      </c>
      <c r="BM33" s="325" t="str">
        <f t="shared" si="12"/>
        <v/>
      </c>
      <c r="BN33" s="325" t="str">
        <f t="shared" si="13"/>
        <v/>
      </c>
    </row>
    <row r="34" spans="2:66">
      <c r="B34" s="270"/>
      <c r="C34" s="315" t="s">
        <v>615</v>
      </c>
      <c r="D34" s="480" t="s">
        <v>618</v>
      </c>
      <c r="E34" s="319"/>
      <c r="F34" s="310" t="str">
        <f>IF('Deal Sheet'!C34&lt;&gt;"",F33+1&amp;".","")</f>
        <v/>
      </c>
      <c r="G34" s="355"/>
      <c r="H34" s="330" t="str">
        <f>IF('Month of Invoicing'!B41&lt;&gt;"",'Month of Invoicing'!B41,"")</f>
        <v/>
      </c>
      <c r="I34" s="268" t="str">
        <f>IFERROR(VLOOKUP(H34,'price list MAN'!$B$5:$C$2002,2,FALSE),"")</f>
        <v/>
      </c>
      <c r="J34" s="323" t="str">
        <f>IF(F34="","",IF(ISNUMBER('Month of Invoicing'!E41),"In Stock","CKD"))</f>
        <v/>
      </c>
      <c r="K34" s="1309" t="str">
        <f>IF('Month of Invoicing'!H41=0,"",'Month of Invoicing'!H41)</f>
        <v/>
      </c>
      <c r="L34" s="1310"/>
      <c r="M34" s="269"/>
      <c r="AM34" s="325" t="str">
        <f>SUBSTITUTE(SUBSTITUTE(D34," ",""),"-","")</f>
        <v>0866692700</v>
      </c>
      <c r="AO34" s="325" t="str">
        <f t="shared" si="0"/>
        <v/>
      </c>
      <c r="AP34" s="343" t="str">
        <f t="shared" si="1"/>
        <v/>
      </c>
      <c r="AQ34" s="343" t="str">
        <f>IF(AP34=AP33,"",AP34)</f>
        <v/>
      </c>
      <c r="AR34" s="325" t="str">
        <f t="shared" si="15"/>
        <v/>
      </c>
      <c r="AS34" s="325" t="str">
        <f t="shared" si="3"/>
        <v/>
      </c>
      <c r="AU34" s="327" t="str">
        <f t="shared" si="4"/>
        <v/>
      </c>
      <c r="AW34" s="325" t="str">
        <f t="shared" si="5"/>
        <v/>
      </c>
      <c r="AX34" s="325" t="str">
        <f t="shared" si="16"/>
        <v/>
      </c>
      <c r="BI34" s="325" t="str">
        <f>IF(BJ34="","",IF(COUNTIF($BJ$11:BJ34,BJ34)=1,BI33+1,BI33))</f>
        <v/>
      </c>
      <c r="BJ34" s="327" t="str">
        <f t="shared" si="10"/>
        <v/>
      </c>
      <c r="BK34" s="327" t="str">
        <f t="shared" si="6"/>
        <v/>
      </c>
      <c r="BL34" s="325" t="str">
        <f t="shared" si="11"/>
        <v/>
      </c>
      <c r="BM34" s="325" t="str">
        <f t="shared" si="12"/>
        <v/>
      </c>
      <c r="BN34" s="325" t="str">
        <f t="shared" si="13"/>
        <v/>
      </c>
    </row>
    <row r="35" spans="2:66">
      <c r="B35" s="270"/>
      <c r="C35" s="316" t="s">
        <v>616</v>
      </c>
      <c r="D35" s="479" t="s">
        <v>595</v>
      </c>
      <c r="E35" s="268"/>
      <c r="F35" s="310" t="str">
        <f>IF('Deal Sheet'!C35&lt;&gt;"",F34+1&amp;".","")</f>
        <v/>
      </c>
      <c r="G35" s="355"/>
      <c r="H35" s="330" t="str">
        <f>IF('Month of Invoicing'!B42&lt;&gt;"",'Month of Invoicing'!B42,"")</f>
        <v/>
      </c>
      <c r="I35" s="268" t="str">
        <f>IFERROR(VLOOKUP(H35,'price list MAN'!$B$5:$C$2002,2,FALSE),"")</f>
        <v/>
      </c>
      <c r="J35" s="323" t="str">
        <f>IF(F35="","",IF(ISNUMBER('Month of Invoicing'!E42),"In Stock","CKD"))</f>
        <v/>
      </c>
      <c r="K35" s="1309" t="str">
        <f>IF('Month of Invoicing'!H42=0,"",'Month of Invoicing'!H42)</f>
        <v/>
      </c>
      <c r="L35" s="1310"/>
      <c r="M35" s="269"/>
      <c r="AO35" s="325" t="str">
        <f t="shared" si="0"/>
        <v/>
      </c>
      <c r="AP35" s="343" t="str">
        <f t="shared" si="1"/>
        <v/>
      </c>
      <c r="AQ35" s="343" t="str">
        <f t="shared" si="14"/>
        <v/>
      </c>
      <c r="AR35" s="325" t="str">
        <f t="shared" si="15"/>
        <v/>
      </c>
      <c r="AS35" s="325" t="str">
        <f t="shared" si="3"/>
        <v/>
      </c>
      <c r="AU35" s="327" t="str">
        <f t="shared" si="4"/>
        <v/>
      </c>
      <c r="AW35" s="325" t="str">
        <f t="shared" si="5"/>
        <v/>
      </c>
      <c r="AX35" s="325" t="str">
        <f t="shared" si="16"/>
        <v/>
      </c>
      <c r="BI35" s="325" t="str">
        <f>IF(BJ35="","",IF(COUNTIF($BJ$11:BJ35,BJ35)=1,BI34+1,BI34))</f>
        <v/>
      </c>
      <c r="BJ35" s="327" t="str">
        <f t="shared" si="10"/>
        <v/>
      </c>
      <c r="BK35" s="327" t="str">
        <f t="shared" si="6"/>
        <v/>
      </c>
      <c r="BL35" s="325" t="str">
        <f t="shared" si="11"/>
        <v/>
      </c>
      <c r="BM35" s="325" t="str">
        <f t="shared" si="12"/>
        <v/>
      </c>
      <c r="BN35" s="325" t="str">
        <f t="shared" si="13"/>
        <v/>
      </c>
    </row>
    <row r="36" spans="2:66">
      <c r="B36" s="270"/>
      <c r="C36" s="268"/>
      <c r="D36" s="268"/>
      <c r="E36" s="268"/>
      <c r="F36" s="310" t="str">
        <f>IF('Deal Sheet'!C36&lt;&gt;"",F35+1&amp;".","")</f>
        <v/>
      </c>
      <c r="G36" s="355"/>
      <c r="H36" s="330" t="str">
        <f>IF('Month of Invoicing'!B43&lt;&gt;"",'Month of Invoicing'!B43,"")</f>
        <v/>
      </c>
      <c r="I36" s="268" t="str">
        <f>IFERROR(VLOOKUP(H36,'price list MAN'!$B$5:$C$2002,2,FALSE),"")</f>
        <v/>
      </c>
      <c r="J36" s="323" t="str">
        <f>IF(F36="","",IF(ISNUMBER('Month of Invoicing'!E43),"In Stock","CKD"))</f>
        <v/>
      </c>
      <c r="K36" s="1309" t="str">
        <f>IF('Month of Invoicing'!H43=0,"",'Month of Invoicing'!H43)</f>
        <v/>
      </c>
      <c r="L36" s="1310"/>
      <c r="M36" s="269"/>
      <c r="AO36" s="325" t="str">
        <f t="shared" si="0"/>
        <v/>
      </c>
      <c r="AP36" s="343" t="str">
        <f t="shared" si="1"/>
        <v/>
      </c>
      <c r="AQ36" s="343" t="str">
        <f t="shared" si="14"/>
        <v/>
      </c>
      <c r="AR36" s="325" t="str">
        <f t="shared" si="15"/>
        <v/>
      </c>
      <c r="AS36" s="325" t="str">
        <f t="shared" si="3"/>
        <v/>
      </c>
      <c r="AU36" s="327" t="str">
        <f t="shared" si="4"/>
        <v/>
      </c>
      <c r="AW36" s="325" t="str">
        <f t="shared" si="5"/>
        <v/>
      </c>
      <c r="AX36" s="325" t="str">
        <f t="shared" si="16"/>
        <v/>
      </c>
      <c r="BI36" s="325" t="str">
        <f>IF(BJ36="","",IF(COUNTIF($BJ$11:BJ36,BJ36)=1,BI35+1,BI35))</f>
        <v/>
      </c>
      <c r="BJ36" s="327" t="str">
        <f t="shared" si="10"/>
        <v/>
      </c>
      <c r="BK36" s="327" t="str">
        <f t="shared" si="6"/>
        <v/>
      </c>
      <c r="BL36" s="325" t="str">
        <f t="shared" si="11"/>
        <v/>
      </c>
      <c r="BM36" s="325" t="str">
        <f t="shared" si="12"/>
        <v/>
      </c>
      <c r="BN36" s="325" t="str">
        <f t="shared" si="13"/>
        <v/>
      </c>
    </row>
    <row r="37" spans="2:66">
      <c r="B37" s="270"/>
      <c r="C37" s="332" t="s">
        <v>652</v>
      </c>
      <c r="D37" s="318"/>
      <c r="E37" s="268"/>
      <c r="F37" s="310" t="str">
        <f>IF('Deal Sheet'!C37&lt;&gt;"",F36+1&amp;".","")</f>
        <v/>
      </c>
      <c r="G37" s="355"/>
      <c r="H37" s="330" t="str">
        <f>IF('Month of Invoicing'!B44&lt;&gt;"",'Month of Invoicing'!B44,"")</f>
        <v/>
      </c>
      <c r="I37" s="268" t="str">
        <f>IFERROR(VLOOKUP(H37,'price list MAN'!$B$5:$C$2002,2,FALSE),"")</f>
        <v/>
      </c>
      <c r="J37" s="323" t="str">
        <f>IF(F37="","",IF(ISNUMBER('Month of Invoicing'!E44),"In Stock","CKD"))</f>
        <v/>
      </c>
      <c r="K37" s="1309" t="str">
        <f>IF('Month of Invoicing'!H44=0,"",'Month of Invoicing'!H44)</f>
        <v/>
      </c>
      <c r="L37" s="1310"/>
      <c r="M37" s="269"/>
      <c r="AO37" s="325" t="str">
        <f t="shared" si="0"/>
        <v/>
      </c>
      <c r="AP37" s="343" t="str">
        <f t="shared" si="1"/>
        <v/>
      </c>
      <c r="AQ37" s="343" t="str">
        <f t="shared" si="14"/>
        <v/>
      </c>
      <c r="AR37" s="325" t="str">
        <f t="shared" si="15"/>
        <v/>
      </c>
      <c r="AS37" s="325" t="str">
        <f t="shared" si="3"/>
        <v/>
      </c>
      <c r="AU37" s="327" t="str">
        <f t="shared" si="4"/>
        <v/>
      </c>
      <c r="AW37" s="325" t="str">
        <f t="shared" si="5"/>
        <v/>
      </c>
      <c r="AX37" s="325" t="str">
        <f t="shared" si="16"/>
        <v/>
      </c>
      <c r="BI37" s="325" t="str">
        <f>IF(BJ37="","",IF(COUNTIF($BJ$11:BJ37,BJ37)=1,BI36+1,BI36))</f>
        <v/>
      </c>
      <c r="BJ37" s="327" t="str">
        <f t="shared" si="10"/>
        <v/>
      </c>
      <c r="BK37" s="327" t="str">
        <f t="shared" si="6"/>
        <v/>
      </c>
      <c r="BL37" s="325" t="str">
        <f t="shared" si="11"/>
        <v/>
      </c>
      <c r="BM37" s="325" t="str">
        <f t="shared" si="12"/>
        <v/>
      </c>
      <c r="BN37" s="325" t="str">
        <f t="shared" si="13"/>
        <v/>
      </c>
    </row>
    <row r="38" spans="2:66">
      <c r="B38" s="270"/>
      <c r="C38" s="315"/>
      <c r="D38" s="308"/>
      <c r="E38" s="268"/>
      <c r="F38" s="310" t="str">
        <f>IF('Deal Sheet'!C38&lt;&gt;"",F37+1&amp;".","")</f>
        <v/>
      </c>
      <c r="G38" s="355"/>
      <c r="H38" s="330" t="str">
        <f>IF('Month of Invoicing'!B45&lt;&gt;"",'Month of Invoicing'!B45,"")</f>
        <v/>
      </c>
      <c r="I38" s="268" t="str">
        <f>IFERROR(VLOOKUP(H38,'price list MAN'!$B$5:$C$2002,2,FALSE),"")</f>
        <v/>
      </c>
      <c r="J38" s="323" t="str">
        <f>IF(F38="","",IF(ISNUMBER('Month of Invoicing'!E45),"In Stock","CKD"))</f>
        <v/>
      </c>
      <c r="K38" s="1309" t="str">
        <f>IF('Month of Invoicing'!H45=0,"",'Month of Invoicing'!H45)</f>
        <v/>
      </c>
      <c r="L38" s="1310"/>
      <c r="M38" s="269"/>
      <c r="AO38" s="325" t="str">
        <f t="shared" si="0"/>
        <v/>
      </c>
      <c r="AP38" s="343" t="str">
        <f t="shared" si="1"/>
        <v/>
      </c>
      <c r="AQ38" s="343" t="str">
        <f t="shared" si="14"/>
        <v/>
      </c>
      <c r="AR38" s="325" t="str">
        <f t="shared" si="15"/>
        <v/>
      </c>
      <c r="AS38" s="325" t="str">
        <f t="shared" si="3"/>
        <v/>
      </c>
      <c r="AU38" s="327" t="str">
        <f t="shared" si="4"/>
        <v/>
      </c>
      <c r="AW38" s="325" t="str">
        <f t="shared" si="5"/>
        <v/>
      </c>
      <c r="AX38" s="325" t="str">
        <f t="shared" si="16"/>
        <v/>
      </c>
      <c r="BI38" s="325" t="str">
        <f>IF(BJ38="","",IF(COUNTIF($BJ$11:BJ38,BJ38)=1,BI37+1,BI37))</f>
        <v/>
      </c>
      <c r="BJ38" s="327" t="str">
        <f t="shared" si="10"/>
        <v/>
      </c>
      <c r="BK38" s="327" t="str">
        <f t="shared" si="6"/>
        <v/>
      </c>
      <c r="BL38" s="325" t="str">
        <f t="shared" si="11"/>
        <v/>
      </c>
      <c r="BM38" s="325" t="str">
        <f t="shared" si="12"/>
        <v/>
      </c>
      <c r="BN38" s="325" t="str">
        <f t="shared" si="13"/>
        <v/>
      </c>
    </row>
    <row r="39" spans="2:66">
      <c r="B39" s="270"/>
      <c r="C39" s="315" t="s">
        <v>588</v>
      </c>
      <c r="D39" s="478" t="s">
        <v>626</v>
      </c>
      <c r="E39" s="268"/>
      <c r="F39" s="311"/>
      <c r="G39" s="312"/>
      <c r="H39" s="331"/>
      <c r="I39" s="313"/>
      <c r="J39" s="324" t="str">
        <f>IF(F39="","",IF(ISNUMBER('Deal Sheet'!G39),"In Stock","CKD"))</f>
        <v/>
      </c>
      <c r="K39" s="1315"/>
      <c r="L39" s="1316"/>
      <c r="M39" s="269"/>
      <c r="AO39" s="325" t="str">
        <f t="shared" si="0"/>
        <v/>
      </c>
      <c r="AP39" s="343" t="str">
        <f t="shared" si="1"/>
        <v/>
      </c>
      <c r="AQ39" s="343" t="str">
        <f t="shared" si="14"/>
        <v/>
      </c>
      <c r="AR39" s="325" t="str">
        <f t="shared" si="15"/>
        <v/>
      </c>
      <c r="AS39" s="325" t="str">
        <f t="shared" si="3"/>
        <v/>
      </c>
      <c r="AU39" s="327" t="str">
        <f t="shared" si="4"/>
        <v/>
      </c>
      <c r="AW39" s="325" t="str">
        <f t="shared" si="5"/>
        <v/>
      </c>
      <c r="AX39" s="325" t="str">
        <f t="shared" si="16"/>
        <v/>
      </c>
      <c r="BI39" s="325" t="str">
        <f>IF(BJ39="","",IF(COUNTIF($BJ$11:BJ39,BJ39)=1,BI38+1,BI38))</f>
        <v/>
      </c>
      <c r="BJ39" s="327" t="str">
        <f t="shared" si="10"/>
        <v/>
      </c>
      <c r="BK39" s="327" t="str">
        <f t="shared" si="6"/>
        <v/>
      </c>
      <c r="BL39" s="325" t="str">
        <f t="shared" si="11"/>
        <v/>
      </c>
      <c r="BM39" s="325" t="str">
        <f t="shared" si="12"/>
        <v/>
      </c>
      <c r="BN39" s="325" t="str">
        <f t="shared" si="13"/>
        <v/>
      </c>
    </row>
    <row r="40" spans="2:66">
      <c r="B40" s="270"/>
      <c r="C40" s="315" t="s">
        <v>627</v>
      </c>
      <c r="D40" s="472" t="s">
        <v>632</v>
      </c>
      <c r="E40" s="268"/>
      <c r="F40" s="268"/>
      <c r="G40" s="352"/>
      <c r="H40" s="268"/>
      <c r="I40" s="268"/>
      <c r="J40" s="298"/>
      <c r="K40" s="268"/>
      <c r="L40" s="268"/>
      <c r="M40" s="269"/>
      <c r="AO40" s="325" t="str">
        <f t="shared" si="0"/>
        <v/>
      </c>
      <c r="AP40" s="343" t="str">
        <f t="shared" si="1"/>
        <v/>
      </c>
      <c r="AQ40" s="343" t="str">
        <f t="shared" si="14"/>
        <v/>
      </c>
      <c r="AR40" s="325" t="str">
        <f t="shared" si="15"/>
        <v/>
      </c>
      <c r="AS40" s="325" t="str">
        <f t="shared" si="3"/>
        <v/>
      </c>
      <c r="AU40" s="327" t="str">
        <f t="shared" si="4"/>
        <v/>
      </c>
      <c r="AW40" s="325" t="str">
        <f t="shared" si="5"/>
        <v/>
      </c>
      <c r="AX40" s="325" t="str">
        <f t="shared" si="16"/>
        <v/>
      </c>
      <c r="BI40" s="325" t="str">
        <f>IF(BJ40="","",IF(COUNTIF($BJ$11:BJ40,BJ40)=1,BI39+1,BI39))</f>
        <v/>
      </c>
      <c r="BJ40" s="327" t="str">
        <f t="shared" si="10"/>
        <v/>
      </c>
      <c r="BK40" s="327" t="str">
        <f t="shared" si="6"/>
        <v/>
      </c>
      <c r="BL40" s="325" t="str">
        <f t="shared" si="11"/>
        <v/>
      </c>
      <c r="BM40" s="325" t="str">
        <f t="shared" si="12"/>
        <v/>
      </c>
      <c r="BN40" s="325" t="str">
        <f t="shared" si="13"/>
        <v/>
      </c>
    </row>
    <row r="41" spans="2:66">
      <c r="B41" s="270"/>
      <c r="C41" s="315" t="s">
        <v>628</v>
      </c>
      <c r="D41" s="472" t="s">
        <v>631</v>
      </c>
      <c r="E41" s="268"/>
      <c r="F41" s="1318" t="s">
        <v>647</v>
      </c>
      <c r="G41" s="1319"/>
      <c r="H41" s="1319"/>
      <c r="I41" s="1319"/>
      <c r="J41" s="1319"/>
      <c r="K41" s="1319"/>
      <c r="L41" s="1320"/>
      <c r="M41" s="269"/>
      <c r="AP41" s="343"/>
      <c r="AU41" s="327" t="str">
        <f t="shared" si="4"/>
        <v/>
      </c>
      <c r="BJ41" s="327"/>
      <c r="BK41" s="327"/>
    </row>
    <row r="42" spans="2:66" ht="14.5" customHeight="1">
      <c r="B42" s="270"/>
      <c r="C42" s="315" t="s">
        <v>629</v>
      </c>
      <c r="D42" s="474" t="s">
        <v>818</v>
      </c>
      <c r="E42" s="268"/>
      <c r="F42" s="409"/>
      <c r="G42" s="410"/>
      <c r="H42" s="411"/>
      <c r="I42" s="411"/>
      <c r="J42" s="412"/>
      <c r="K42" s="411"/>
      <c r="L42" s="318"/>
      <c r="M42" s="269"/>
      <c r="AP42" s="343"/>
    </row>
    <row r="43" spans="2:66">
      <c r="B43" s="270"/>
      <c r="C43" s="315"/>
      <c r="D43" s="319"/>
      <c r="E43" s="268"/>
      <c r="F43" s="315"/>
      <c r="G43" s="352" t="s">
        <v>639</v>
      </c>
      <c r="H43" s="352"/>
      <c r="I43" s="352" t="str">
        <f>'Deal Sheet'!G4</f>
        <v>Deliver</v>
      </c>
      <c r="J43" s="268"/>
      <c r="K43" s="268"/>
      <c r="L43" s="308"/>
      <c r="M43" s="269"/>
    </row>
    <row r="44" spans="2:66">
      <c r="B44" s="270"/>
      <c r="C44" s="315" t="s">
        <v>630</v>
      </c>
      <c r="D44" s="477" t="s">
        <v>650</v>
      </c>
      <c r="E44" s="268"/>
      <c r="F44" s="315"/>
      <c r="G44" s="352"/>
      <c r="H44" s="352"/>
      <c r="I44" s="268"/>
      <c r="J44" s="268"/>
      <c r="K44" s="268"/>
      <c r="L44" s="308"/>
      <c r="M44" s="269"/>
    </row>
    <row r="45" spans="2:66">
      <c r="B45" s="270"/>
      <c r="C45" s="315"/>
      <c r="D45" s="472" t="s">
        <v>633</v>
      </c>
      <c r="E45" s="268"/>
      <c r="F45" s="315"/>
      <c r="G45" s="352" t="s">
        <v>643</v>
      </c>
      <c r="H45" s="352"/>
      <c r="I45" s="268" t="str">
        <f>IF(AW11="","",AW11)</f>
        <v>Deliver  X1 Unit(s)  : 2018-01</v>
      </c>
      <c r="J45" s="268" t="str">
        <f>IF(AW17="","",AW17)</f>
        <v/>
      </c>
      <c r="K45" s="268"/>
      <c r="L45" s="308"/>
      <c r="M45" s="269"/>
    </row>
    <row r="46" spans="2:66">
      <c r="B46" s="270"/>
      <c r="C46" s="315"/>
      <c r="D46" s="471" t="s">
        <v>634</v>
      </c>
      <c r="E46" s="268"/>
      <c r="F46" s="315"/>
      <c r="G46" s="352"/>
      <c r="H46" s="352"/>
      <c r="I46" s="268" t="str">
        <f t="shared" ref="I46:I50" si="17">IF(AW12="","",AW12)</f>
        <v/>
      </c>
      <c r="J46" s="268" t="str">
        <f t="shared" ref="J46:J50" si="18">IF(AW18="","",AW18)</f>
        <v/>
      </c>
      <c r="K46" s="268"/>
      <c r="L46" s="308"/>
      <c r="M46" s="269"/>
    </row>
    <row r="47" spans="2:66">
      <c r="B47" s="270"/>
      <c r="C47" s="349"/>
      <c r="D47" s="476" t="s">
        <v>220</v>
      </c>
      <c r="E47" s="268"/>
      <c r="F47" s="315"/>
      <c r="G47" s="352"/>
      <c r="H47" s="352"/>
      <c r="I47" s="268" t="str">
        <f t="shared" si="17"/>
        <v/>
      </c>
      <c r="J47" s="268" t="str">
        <f t="shared" si="18"/>
        <v/>
      </c>
      <c r="K47" s="268"/>
      <c r="L47" s="308"/>
      <c r="M47" s="269"/>
    </row>
    <row r="48" spans="2:66">
      <c r="B48" s="270"/>
      <c r="C48" s="315"/>
      <c r="D48" s="475"/>
      <c r="E48" s="268"/>
      <c r="F48" s="315"/>
      <c r="G48" s="352"/>
      <c r="H48" s="352"/>
      <c r="I48" s="268" t="str">
        <f t="shared" si="17"/>
        <v/>
      </c>
      <c r="J48" s="268" t="str">
        <f t="shared" si="18"/>
        <v/>
      </c>
      <c r="K48" s="268"/>
      <c r="L48" s="308"/>
      <c r="M48" s="269"/>
    </row>
    <row r="49" spans="2:13">
      <c r="B49" s="270"/>
      <c r="C49" s="315" t="s">
        <v>612</v>
      </c>
      <c r="D49" s="474" t="s">
        <v>623</v>
      </c>
      <c r="E49" s="268"/>
      <c r="F49" s="315"/>
      <c r="G49" s="352"/>
      <c r="H49" s="352"/>
      <c r="I49" s="268" t="str">
        <f t="shared" si="17"/>
        <v/>
      </c>
      <c r="J49" s="268" t="str">
        <f t="shared" si="18"/>
        <v/>
      </c>
      <c r="K49" s="268"/>
      <c r="L49" s="308"/>
      <c r="M49" s="269"/>
    </row>
    <row r="50" spans="2:13">
      <c r="B50" s="270"/>
      <c r="C50" s="315"/>
      <c r="D50" s="308"/>
      <c r="E50" s="268"/>
      <c r="F50" s="315"/>
      <c r="G50" s="352"/>
      <c r="H50" s="352"/>
      <c r="I50" s="268" t="str">
        <f t="shared" si="17"/>
        <v/>
      </c>
      <c r="J50" s="268" t="str">
        <f t="shared" si="18"/>
        <v/>
      </c>
      <c r="K50" s="268"/>
      <c r="L50" s="308"/>
      <c r="M50" s="269"/>
    </row>
    <row r="51" spans="2:13">
      <c r="B51" s="270"/>
      <c r="C51" s="315" t="s">
        <v>635</v>
      </c>
      <c r="D51" s="473">
        <v>45402730456</v>
      </c>
      <c r="E51" s="268"/>
      <c r="F51" s="315"/>
      <c r="G51" s="352"/>
      <c r="H51" s="268"/>
      <c r="I51" s="268"/>
      <c r="J51" s="268"/>
      <c r="K51" s="268"/>
      <c r="L51" s="308"/>
      <c r="M51" s="269"/>
    </row>
    <row r="52" spans="2:13">
      <c r="B52" s="270"/>
      <c r="C52" s="315" t="s">
        <v>589</v>
      </c>
      <c r="D52" s="472" t="s">
        <v>636</v>
      </c>
      <c r="E52" s="268"/>
      <c r="F52" s="315"/>
      <c r="G52" s="352" t="s">
        <v>814</v>
      </c>
      <c r="H52" s="268"/>
      <c r="I52" s="470" t="s">
        <v>815</v>
      </c>
      <c r="J52" s="268"/>
      <c r="K52" s="268"/>
      <c r="L52" s="308"/>
      <c r="M52" s="269"/>
    </row>
    <row r="53" spans="2:13">
      <c r="B53" s="270"/>
      <c r="C53" s="315" t="s">
        <v>637</v>
      </c>
      <c r="D53" s="472" t="s">
        <v>52</v>
      </c>
      <c r="E53" s="268"/>
      <c r="F53" s="315"/>
      <c r="G53" s="352" t="s">
        <v>656</v>
      </c>
      <c r="H53" s="352"/>
      <c r="I53" s="470" t="s">
        <v>658</v>
      </c>
      <c r="J53" s="268"/>
      <c r="K53" s="268"/>
      <c r="L53" s="308"/>
      <c r="M53" s="269"/>
    </row>
    <row r="54" spans="2:13">
      <c r="B54" s="270"/>
      <c r="C54" s="315" t="s">
        <v>638</v>
      </c>
      <c r="D54" s="471" t="s">
        <v>822</v>
      </c>
      <c r="E54" s="268"/>
      <c r="F54" s="315"/>
      <c r="G54" s="352" t="s">
        <v>644</v>
      </c>
      <c r="H54" s="352"/>
      <c r="I54" s="470" t="s">
        <v>648</v>
      </c>
      <c r="J54" s="268"/>
      <c r="K54" s="268"/>
      <c r="L54" s="308"/>
      <c r="M54" s="269"/>
    </row>
    <row r="55" spans="2:13">
      <c r="B55" s="270"/>
      <c r="C55" s="1059" t="s">
        <v>681</v>
      </c>
      <c r="D55" s="1061">
        <f>'Deal Sheet'!M44*'Deal Sheet'!$C$39</f>
        <v>56667</v>
      </c>
      <c r="E55" s="268"/>
      <c r="F55" s="315"/>
      <c r="G55" s="352"/>
      <c r="H55" s="268"/>
      <c r="I55" s="268"/>
      <c r="J55" s="268"/>
      <c r="K55" s="268"/>
      <c r="L55" s="308"/>
      <c r="M55" s="269"/>
    </row>
    <row r="56" spans="2:13">
      <c r="B56" s="270"/>
      <c r="C56" s="1060" t="s">
        <v>682</v>
      </c>
      <c r="D56" s="1061">
        <f>'Deal Sheet'!M45*'Deal Sheet'!$C$39</f>
        <v>345</v>
      </c>
      <c r="E56" s="268"/>
      <c r="F56" s="316"/>
      <c r="G56" s="413"/>
      <c r="H56" s="313"/>
      <c r="I56" s="313"/>
      <c r="J56" s="313"/>
      <c r="K56" s="313"/>
      <c r="L56" s="317"/>
      <c r="M56" s="269"/>
    </row>
    <row r="57" spans="2:13">
      <c r="B57" s="270"/>
      <c r="C57" s="268"/>
      <c r="D57" s="411"/>
      <c r="E57" s="268"/>
      <c r="F57" s="411"/>
      <c r="G57" s="410"/>
      <c r="H57" s="411"/>
      <c r="I57" s="411"/>
      <c r="J57" s="268"/>
      <c r="K57" s="411"/>
      <c r="L57" s="268"/>
      <c r="M57" s="269"/>
    </row>
    <row r="58" spans="2:13" ht="12.6" thickBot="1">
      <c r="B58" s="272"/>
      <c r="C58" s="275"/>
      <c r="D58" s="275"/>
      <c r="E58" s="275"/>
      <c r="F58" s="275"/>
      <c r="G58" s="354"/>
      <c r="H58" s="275"/>
      <c r="I58" s="275"/>
      <c r="J58" s="275"/>
      <c r="K58" s="275"/>
      <c r="L58" s="275"/>
      <c r="M58" s="277"/>
    </row>
    <row r="59" spans="2:13">
      <c r="C59" s="268"/>
      <c r="D59" s="268"/>
    </row>
    <row r="60" spans="2:13">
      <c r="C60" s="268"/>
      <c r="D60" s="268"/>
    </row>
  </sheetData>
  <sheetProtection algorithmName="SHA-512" hashValue="hQmYA9OotWaXIaE6cLN94WyG5lE8YTxxoHnmZgcapF72wG2N3wrj9IZADQ2yEkwqSKXfjnnoUMxNGoCXvw0KqA==" saltValue="yki4dWk30YPV4Nal+li+fg==" spinCount="100000" sheet="1" objects="1" scenarios="1"/>
  <mergeCells count="36">
    <mergeCell ref="F41:L41"/>
    <mergeCell ref="K19:L19"/>
    <mergeCell ref="K20:L20"/>
    <mergeCell ref="K10:L10"/>
    <mergeCell ref="K11:L11"/>
    <mergeCell ref="K12:L12"/>
    <mergeCell ref="K13:L13"/>
    <mergeCell ref="K14:L14"/>
    <mergeCell ref="F6:L6"/>
    <mergeCell ref="C3:I3"/>
    <mergeCell ref="K39:L39"/>
    <mergeCell ref="K33:L33"/>
    <mergeCell ref="K34:L34"/>
    <mergeCell ref="K35:L35"/>
    <mergeCell ref="K36:L36"/>
    <mergeCell ref="K37:L37"/>
    <mergeCell ref="K38:L38"/>
    <mergeCell ref="K27:L27"/>
    <mergeCell ref="K28:L28"/>
    <mergeCell ref="K29:L29"/>
    <mergeCell ref="K30:L30"/>
    <mergeCell ref="K31:L31"/>
    <mergeCell ref="K9:L9"/>
    <mergeCell ref="K7:L7"/>
    <mergeCell ref="F7:G7"/>
    <mergeCell ref="K32:L32"/>
    <mergeCell ref="K21:L21"/>
    <mergeCell ref="K22:L22"/>
    <mergeCell ref="K23:L23"/>
    <mergeCell ref="K24:L24"/>
    <mergeCell ref="K25:L25"/>
    <mergeCell ref="K26:L26"/>
    <mergeCell ref="K15:L15"/>
    <mergeCell ref="K16:L16"/>
    <mergeCell ref="K17:L17"/>
    <mergeCell ref="K18:L18"/>
  </mergeCells>
  <dataValidations count="3">
    <dataValidation type="list" allowBlank="1" showInputMessage="1" showErrorMessage="1" sqref="D39" xr:uid="{00000000-0002-0000-0400-000000000000}">
      <formula1>$AM$16:$AM$17</formula1>
    </dataValidation>
    <dataValidation type="list" allowBlank="1" showInputMessage="1" showErrorMessage="1" sqref="D53 D14" xr:uid="{00000000-0002-0000-0400-000001000000}">
      <formula1>$AM$14:$AM$15</formula1>
    </dataValidation>
    <dataValidation type="list" allowBlank="1" showInputMessage="1" showErrorMessage="1" sqref="D13" xr:uid="{00000000-0002-0000-0400-000002000000}">
      <formula1>$AM$10:$AM$12</formula1>
    </dataValidation>
  </dataValidations>
  <pageMargins left="1.4173228346456694" right="0.23622047244094491" top="0.74803149606299213" bottom="0.74803149606299213" header="0.31496062992125984" footer="0.31496062992125984"/>
  <pageSetup paperSize="9" scale="65" fitToWidth="0" orientation="landscape" r:id="rId1"/>
  <ignoredErrors>
    <ignoredError sqref="D33:D34 D30 D49 D42 D21" numberStoredAsText="1"/>
  </ignoredErrors>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963930</xdr:colOff>
                <xdr:row>3</xdr:row>
                <xdr:rowOff>38100</xdr:rowOff>
              </from>
              <to>
                <xdr:col>3</xdr:col>
                <xdr:colOff>2004060</xdr:colOff>
                <xdr:row>4</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B1:CB67"/>
  <sheetViews>
    <sheetView zoomScaleNormal="100" workbookViewId="0">
      <selection activeCell="F10" sqref="F10:F11"/>
    </sheetView>
  </sheetViews>
  <sheetFormatPr defaultColWidth="8.83984375" defaultRowHeight="12.3"/>
  <cols>
    <col min="1" max="2" width="8.83984375" style="278"/>
    <col min="3" max="3" width="38.68359375" style="278" customWidth="1"/>
    <col min="4" max="4" width="30.26171875" style="278" customWidth="1"/>
    <col min="5" max="5" width="4.578125" style="278" customWidth="1"/>
    <col min="6" max="6" width="10.41796875" style="278" customWidth="1"/>
    <col min="7" max="7" width="11.41796875" style="278" customWidth="1"/>
    <col min="8" max="8" width="28.83984375" style="278" customWidth="1"/>
    <col min="9" max="9" width="15.41796875" style="278" customWidth="1"/>
    <col min="10" max="11" width="12.41796875" style="278" customWidth="1"/>
    <col min="12" max="12" width="12.68359375" style="278" customWidth="1"/>
    <col min="13" max="13" width="12.578125" style="268" customWidth="1"/>
    <col min="14" max="14" width="11.26171875" style="278" customWidth="1"/>
    <col min="15" max="15" width="8.83984375" style="489"/>
    <col min="16" max="20" width="8.83984375" style="325"/>
    <col min="21" max="21" width="16.15625" style="325" customWidth="1"/>
    <col min="22" max="22" width="24.41796875" style="325" customWidth="1"/>
    <col min="23" max="38" width="8.83984375" style="325"/>
    <col min="39" max="39" width="22.68359375" style="325" customWidth="1"/>
    <col min="40" max="40" width="8.83984375" style="325"/>
    <col min="41" max="41" width="10.26171875" style="325" customWidth="1"/>
    <col min="42" max="42" width="9.68359375" style="325" customWidth="1"/>
    <col min="43" max="45" width="8.83984375" style="325"/>
    <col min="46" max="46" width="2" style="325" customWidth="1"/>
    <col min="47" max="47" width="25.26171875" style="326" customWidth="1"/>
    <col min="48" max="48" width="8.83984375" style="325"/>
    <col min="49" max="49" width="18.41796875" style="325" customWidth="1"/>
    <col min="50" max="51" width="8.83984375" style="325"/>
    <col min="52" max="52" width="18.83984375" style="325" customWidth="1"/>
    <col min="53" max="56" width="8.83984375" style="325"/>
    <col min="57" max="57" width="12.26171875" style="325" customWidth="1"/>
    <col min="58" max="58" width="13.15625" style="325" customWidth="1"/>
    <col min="59" max="59" width="10.15625" style="325" customWidth="1"/>
    <col min="60" max="80" width="8.83984375" style="325"/>
    <col min="81" max="16384" width="8.83984375" style="278"/>
  </cols>
  <sheetData>
    <row r="1" spans="2:66" ht="12.6" thickBot="1"/>
    <row r="2" spans="2:66">
      <c r="B2" s="284"/>
      <c r="C2" s="266"/>
      <c r="D2" s="266"/>
      <c r="E2" s="266"/>
      <c r="F2" s="266"/>
      <c r="G2" s="266"/>
      <c r="H2" s="266"/>
      <c r="I2" s="266"/>
      <c r="J2" s="266"/>
      <c r="K2" s="266"/>
      <c r="L2" s="266"/>
      <c r="M2" s="266"/>
      <c r="N2" s="266"/>
      <c r="O2" s="498"/>
    </row>
    <row r="3" spans="2:66" ht="22.5">
      <c r="B3" s="270"/>
      <c r="C3" s="1314"/>
      <c r="D3" s="1314"/>
      <c r="E3" s="1314"/>
      <c r="F3" s="1314"/>
      <c r="G3" s="1314"/>
      <c r="H3" s="1314"/>
      <c r="I3" s="486"/>
      <c r="J3" s="486"/>
      <c r="K3" s="486"/>
      <c r="L3" s="486"/>
      <c r="N3" s="268"/>
      <c r="O3" s="499"/>
      <c r="U3" s="325" t="s">
        <v>52</v>
      </c>
      <c r="V3" s="325" t="s">
        <v>971</v>
      </c>
      <c r="W3" s="325" t="s">
        <v>52</v>
      </c>
    </row>
    <row r="4" spans="2:66" ht="22.5">
      <c r="B4" s="270"/>
      <c r="C4" s="486"/>
      <c r="D4" s="486"/>
      <c r="E4" s="486"/>
      <c r="F4" s="486"/>
      <c r="G4" s="486"/>
      <c r="H4" s="486"/>
      <c r="I4" s="486"/>
      <c r="J4" s="486"/>
      <c r="K4" s="486"/>
      <c r="L4" s="486"/>
      <c r="N4" s="268"/>
      <c r="O4" s="499"/>
      <c r="U4" s="325" t="s">
        <v>985</v>
      </c>
      <c r="V4" s="325" t="s">
        <v>972</v>
      </c>
      <c r="W4" s="325" t="s">
        <v>985</v>
      </c>
    </row>
    <row r="5" spans="2:66">
      <c r="B5" s="270"/>
      <c r="C5" s="268"/>
      <c r="D5" s="268"/>
      <c r="E5" s="268"/>
      <c r="F5" s="268"/>
      <c r="G5" s="268"/>
      <c r="H5" s="268"/>
      <c r="I5" s="268"/>
      <c r="J5" s="271"/>
      <c r="K5" s="271" t="s">
        <v>429</v>
      </c>
      <c r="L5" s="268"/>
      <c r="N5" s="268"/>
      <c r="O5" s="499"/>
      <c r="U5" s="325" t="s">
        <v>986</v>
      </c>
      <c r="V5" s="325" t="s">
        <v>973</v>
      </c>
    </row>
    <row r="6" spans="2:66">
      <c r="B6" s="270"/>
      <c r="C6" s="332" t="s">
        <v>657</v>
      </c>
      <c r="D6" s="318"/>
      <c r="E6" s="268"/>
      <c r="F6" s="1311" t="s">
        <v>604</v>
      </c>
      <c r="G6" s="1312"/>
      <c r="H6" s="1312"/>
      <c r="I6" s="1312"/>
      <c r="J6" s="1312"/>
      <c r="K6" s="1312"/>
      <c r="L6" s="1312"/>
      <c r="M6" s="1312"/>
      <c r="N6" s="1313"/>
      <c r="O6" s="499"/>
    </row>
    <row r="7" spans="2:66" ht="36.9">
      <c r="B7" s="270"/>
      <c r="C7" s="315" t="s">
        <v>609</v>
      </c>
      <c r="D7" s="500">
        <f>'Data Sheet'!D7</f>
        <v>43136</v>
      </c>
      <c r="E7" s="268"/>
      <c r="F7" s="1012" t="s">
        <v>1195</v>
      </c>
      <c r="G7" s="321" t="s">
        <v>291</v>
      </c>
      <c r="H7" s="321" t="s">
        <v>17</v>
      </c>
      <c r="I7" s="501" t="s">
        <v>965</v>
      </c>
      <c r="J7" s="501" t="s">
        <v>966</v>
      </c>
      <c r="K7" s="501" t="s">
        <v>967</v>
      </c>
      <c r="L7" s="501" t="s">
        <v>624</v>
      </c>
      <c r="M7" s="501" t="s">
        <v>987</v>
      </c>
      <c r="N7" s="501" t="s">
        <v>988</v>
      </c>
      <c r="O7" s="499"/>
    </row>
    <row r="8" spans="2:66">
      <c r="B8" s="270"/>
      <c r="C8" s="315" t="s">
        <v>678</v>
      </c>
      <c r="D8" s="423" t="str">
        <f>'Data Sheet'!D8</f>
        <v>BFN50H02A5</v>
      </c>
      <c r="E8" s="265"/>
      <c r="F8" s="309">
        <v>0</v>
      </c>
      <c r="G8" s="329"/>
      <c r="H8" s="268"/>
      <c r="I8" s="322"/>
      <c r="J8" s="502"/>
      <c r="K8" s="502"/>
      <c r="L8" s="502"/>
      <c r="M8" s="502"/>
      <c r="N8" s="502"/>
      <c r="O8" s="499"/>
    </row>
    <row r="9" spans="2:66">
      <c r="B9" s="270"/>
      <c r="C9" s="315" t="s">
        <v>215</v>
      </c>
      <c r="D9" s="503" t="str">
        <f>'Data Sheet'!D9</f>
        <v>MAN Bloemfontein</v>
      </c>
      <c r="E9" s="271"/>
      <c r="F9" s="754">
        <v>1</v>
      </c>
      <c r="G9" s="330" t="str">
        <f>IF(F9="","",IFERROR(VLOOKUP(F9,'Month of Invoicing'!$A$16:$D$45,2,FALSE),""))</f>
        <v>TBATG0X1</v>
      </c>
      <c r="H9" s="268" t="str">
        <f>IFERROR(VLOOKUP(G9,'price list MAN'!$B$5:$C$2002,2,FALSE),"")</f>
        <v>TGX-26-5406X4BLS-XLX</v>
      </c>
      <c r="I9" s="504"/>
      <c r="J9" s="504"/>
      <c r="K9" s="504"/>
      <c r="L9" s="505">
        <f>IF(F9="","",IFERROR(VLOOKUP(F9,'Month of Invoicing'!$A$16:$J$45,8,FALSE),""))</f>
        <v>43101</v>
      </c>
      <c r="M9" s="504"/>
      <c r="N9" s="504"/>
      <c r="O9" s="499"/>
    </row>
    <row r="10" spans="2:66">
      <c r="B10" s="270"/>
      <c r="C10" s="315" t="s">
        <v>214</v>
      </c>
      <c r="D10" s="503" t="str">
        <f>'Data Sheet'!D10</f>
        <v>HARM VAN HEERDEN</v>
      </c>
      <c r="E10" s="268"/>
      <c r="F10" s="754"/>
      <c r="G10" s="330" t="str">
        <f>IF(F10="","",IFERROR(VLOOKUP(F10,'Month of Invoicing'!$A$16:$D$45,2,FALSE),""))</f>
        <v/>
      </c>
      <c r="H10" s="268" t="str">
        <f>IFERROR(VLOOKUP(G10,'price list MAN'!$B$5:$C$2002,2,FALSE),"")</f>
        <v/>
      </c>
      <c r="I10" s="504"/>
      <c r="J10" s="504"/>
      <c r="K10" s="504"/>
      <c r="L10" s="505" t="str">
        <f>IF(F10="","",IFERROR(VLOOKUP(F10,'Month of Invoicing'!$A$16:$J$45,8,FALSE),""))</f>
        <v/>
      </c>
      <c r="M10" s="504"/>
      <c r="N10" s="504"/>
      <c r="O10" s="499"/>
      <c r="V10" s="325" t="s">
        <v>1147</v>
      </c>
      <c r="AM10" s="325" t="s">
        <v>606</v>
      </c>
    </row>
    <row r="11" spans="2:66" ht="13.5">
      <c r="B11" s="270"/>
      <c r="C11" s="315" t="s">
        <v>613</v>
      </c>
      <c r="D11" s="308" t="str">
        <f>'Data Sheet'!D11</f>
        <v>060 850 8448</v>
      </c>
      <c r="E11" s="268"/>
      <c r="F11" s="754"/>
      <c r="G11" s="330" t="str">
        <f>IF(F11="","",IFERROR(VLOOKUP(F11,'Month of Invoicing'!$A$16:$D$45,2,FALSE),""))</f>
        <v/>
      </c>
      <c r="H11" s="268" t="str">
        <f>IFERROR(VLOOKUP(G11,'price list MAN'!$B$5:$C$2002,2,FALSE),"")</f>
        <v/>
      </c>
      <c r="I11" s="504"/>
      <c r="J11" s="504"/>
      <c r="K11" s="504"/>
      <c r="L11" s="505" t="str">
        <f>IF(F11="","",IFERROR(VLOOKUP(F11,'Month of Invoicing'!$A$16:$J$45,8,FALSE),""))</f>
        <v/>
      </c>
      <c r="M11" s="504"/>
      <c r="N11" s="504"/>
      <c r="O11" s="499"/>
      <c r="V11" s="325" t="s">
        <v>1148</v>
      </c>
      <c r="AM11" s="325" t="s">
        <v>607</v>
      </c>
      <c r="AO11" s="325" t="str">
        <f t="shared" ref="AO11:AO40" si="0">IF(G9="","",G9)</f>
        <v>TBATG0X1</v>
      </c>
      <c r="AP11" s="343">
        <f t="shared" ref="AP11:AP40" si="1">IF(L9&lt;&gt;"",L9,"")</f>
        <v>43101</v>
      </c>
      <c r="AQ11" s="343">
        <f>AP11</f>
        <v>43101</v>
      </c>
      <c r="AR11" s="325">
        <f>IF(AQ11&lt;&gt;"",COUNTIF(AP11:AP40,AQ11),"")</f>
        <v>1</v>
      </c>
      <c r="AS11" s="325" t="str">
        <f>IFERROR(YEAR(AQ11)&amp;"-"&amp;IF(MONTH(AQ11)&lt;10,(0&amp;MONTH(AQ11)),MONTH(AQ11)),"")</f>
        <v>2018-01</v>
      </c>
      <c r="AU11" s="327" t="str">
        <f>IF(AS11="","","Deliver "&amp;" X "&amp;AR11&amp;" Unit(s) "&amp;" : "&amp;AS11)</f>
        <v>Deliver  X 1 Unit(s)  : 2018-01</v>
      </c>
      <c r="AW11" s="325" t="str">
        <f>BN11</f>
        <v>Deliver  X1 Unit(s)  : 2018-01</v>
      </c>
      <c r="AZ11" s="490">
        <f ca="1">TODAY()</f>
        <v>43222</v>
      </c>
      <c r="BA11" s="491" t="str">
        <f ca="1">DAY(AZ11)&amp;IF(MONTH(AZ11)&lt;10,0&amp;MONTH(AZ11),MONTH(AZ11))</f>
        <v>205</v>
      </c>
      <c r="BB11" s="492">
        <f ca="1">RANDBETWEEN(0,9)</f>
        <v>8</v>
      </c>
      <c r="BC11" s="325" t="str">
        <f>VLOOKUP('[3]Deal Sheet'!C5,'[3]Deal Sheet'!DL4:DM16,2,FALSE)</f>
        <v>NEL</v>
      </c>
      <c r="BD11" s="325" t="str">
        <f>LEFT('[3]Deal Sheet'!C4,2)</f>
        <v>HA</v>
      </c>
      <c r="BE11" s="325" t="s">
        <v>989</v>
      </c>
      <c r="BF11" s="325" t="str">
        <f ca="1">BC11&amp;LEFT(BA11,2)&amp;LEFT(BD11,1)&amp;RIGHT(BA11,2)&amp;RIGHT(BD11,1)&amp;BB11</f>
        <v>NEL20H05A8</v>
      </c>
      <c r="BI11" s="325">
        <v>1</v>
      </c>
      <c r="BJ11" s="327">
        <f>AP11</f>
        <v>43101</v>
      </c>
      <c r="BK11" s="327">
        <f>IFERROR(VLOOKUP(ROW()-10,$BI$11:$BJ$40,2,FALSE),"")</f>
        <v>43101</v>
      </c>
      <c r="BL11" s="325">
        <f>IF(BK11&lt;&gt;"",COUNTIF(BJ11:BJ40,BK11),"")</f>
        <v>1</v>
      </c>
      <c r="BM11" s="325" t="str">
        <f>IFERROR(YEAR(BK11)&amp;"-"&amp;IF(MONTH(BK11)&lt;10,(0&amp;MONTH(BK11)),MONTH(BK11)),"")</f>
        <v>2018-01</v>
      </c>
      <c r="BN11" s="325" t="str">
        <f>IF(BM11="","","Deliver "&amp;" X"&amp;BL11&amp;" Unit(s) "&amp;" : "&amp;BM11)</f>
        <v>Deliver  X1 Unit(s)  : 2018-01</v>
      </c>
    </row>
    <row r="12" spans="2:66">
      <c r="B12" s="270"/>
      <c r="C12" s="315" t="s">
        <v>616</v>
      </c>
      <c r="D12" s="308" t="str">
        <f>'Data Sheet'!D12</f>
        <v>Harm.vanHeerden@za.man-mn.com</v>
      </c>
      <c r="E12" s="268"/>
      <c r="F12" s="754"/>
      <c r="G12" s="330" t="str">
        <f>IF(F12="","",IFERROR(VLOOKUP(F12,'Month of Invoicing'!$A$16:$D$45,2,FALSE),""))</f>
        <v/>
      </c>
      <c r="H12" s="268" t="str">
        <f>IFERROR(VLOOKUP(G12,'price list MAN'!$B$5:$C$2002,2,FALSE),"")</f>
        <v/>
      </c>
      <c r="I12" s="504"/>
      <c r="J12" s="504"/>
      <c r="K12" s="504"/>
      <c r="L12" s="505" t="str">
        <f>IF(F12="","",IFERROR(VLOOKUP(F12,'Month of Invoicing'!$A$16:$J$45,8,FALSE),""))</f>
        <v/>
      </c>
      <c r="M12" s="504"/>
      <c r="N12" s="504"/>
      <c r="O12" s="499"/>
      <c r="V12" s="325" t="s">
        <v>1149</v>
      </c>
      <c r="AM12" s="325" t="s">
        <v>608</v>
      </c>
      <c r="AO12" s="325" t="str">
        <f t="shared" si="0"/>
        <v/>
      </c>
      <c r="AP12" s="343" t="str">
        <f t="shared" si="1"/>
        <v/>
      </c>
      <c r="AQ12" s="343" t="str">
        <f>IF(AP12=AP11,"",AP12)</f>
        <v/>
      </c>
      <c r="AR12" s="325" t="str">
        <f t="shared" ref="AR12:AR20" si="2">IF(AQ12&lt;&gt;"",COUNTIF(AP12:AP41,AQ12),"")</f>
        <v/>
      </c>
      <c r="AS12" s="325" t="str">
        <f t="shared" ref="AS12:AS40" si="3">IFERROR(YEAR(AQ12)&amp;"-"&amp;IF(MONTH(AQ12)&lt;10,(0&amp;MONTH(AQ12)),MONTH(AQ12)),"")</f>
        <v/>
      </c>
      <c r="AU12" s="327" t="str">
        <f t="shared" ref="AU12:AU41" si="4">IF(AS12="","","Deliver "&amp;" X "&amp;AR12&amp;" Unit(s) "&amp;" : "&amp;AS12)</f>
        <v/>
      </c>
      <c r="AW12" s="325" t="str">
        <f t="shared" ref="AW12:AW40" si="5">BN12</f>
        <v/>
      </c>
      <c r="BI12" s="325" t="str">
        <f>IF(BJ12="","",IF(COUNTIF($BJ$11:BJ12,BJ12)=1,BI11+1,BI11))</f>
        <v/>
      </c>
      <c r="BJ12" s="327" t="str">
        <f>AP12</f>
        <v/>
      </c>
      <c r="BK12" s="327" t="str">
        <f t="shared" ref="BK12:BK40" si="6">IFERROR(VLOOKUP(ROW()-10,$BI$11:$BJ$40,2,FALSE),"")</f>
        <v/>
      </c>
      <c r="BL12" s="325" t="str">
        <f t="shared" ref="BL12:BL20" si="7">IF(BK12&lt;&gt;"",COUNTIF(BJ12:BJ41,BK12),"")</f>
        <v/>
      </c>
      <c r="BM12" s="325" t="str">
        <f t="shared" ref="BM12:BM40" si="8">IFERROR(YEAR(BK12)&amp;"-"&amp;IF(MONTH(BK12)&lt;10,(0&amp;MONTH(BK12)),MONTH(BK12)),"")</f>
        <v/>
      </c>
      <c r="BN12" s="325" t="str">
        <f t="shared" ref="BN12:BN40" si="9">IF(BM12="","","Deliver "&amp;" X"&amp;BL12&amp;" Unit(s) "&amp;" : "&amp;BM12)</f>
        <v/>
      </c>
    </row>
    <row r="13" spans="2:66">
      <c r="B13" s="270"/>
      <c r="C13" s="315" t="s">
        <v>605</v>
      </c>
      <c r="D13" s="308" t="str">
        <f>'Data Sheet'!D13</f>
        <v>Retail</v>
      </c>
      <c r="E13" s="268"/>
      <c r="F13" s="754"/>
      <c r="G13" s="330" t="str">
        <f>IF(F13="","",IFERROR(VLOOKUP(F13,'Month of Invoicing'!$A$16:$D$45,2,FALSE),""))</f>
        <v/>
      </c>
      <c r="H13" s="268" t="str">
        <f>IFERROR(VLOOKUP(G13,'price list MAN'!$B$5:$C$2002,2,FALSE),"")</f>
        <v/>
      </c>
      <c r="I13" s="504"/>
      <c r="J13" s="504"/>
      <c r="K13" s="504"/>
      <c r="L13" s="505" t="str">
        <f>IF(F13="","",IFERROR(VLOOKUP(F13,'Month of Invoicing'!$A$16:$J$45,8,FALSE),""))</f>
        <v/>
      </c>
      <c r="M13" s="504"/>
      <c r="N13" s="504"/>
      <c r="O13" s="499"/>
      <c r="V13" s="325" t="s">
        <v>1150</v>
      </c>
      <c r="AO13" s="325" t="str">
        <f t="shared" si="0"/>
        <v/>
      </c>
      <c r="AP13" s="343" t="str">
        <f t="shared" si="1"/>
        <v/>
      </c>
      <c r="AQ13" s="343" t="str">
        <f>IF(AP13=AP12,"",AP13)</f>
        <v/>
      </c>
      <c r="AR13" s="325" t="str">
        <f t="shared" si="2"/>
        <v/>
      </c>
      <c r="AS13" s="325" t="str">
        <f t="shared" si="3"/>
        <v/>
      </c>
      <c r="AU13" s="327" t="str">
        <f t="shared" si="4"/>
        <v/>
      </c>
      <c r="AW13" s="325" t="str">
        <f t="shared" si="5"/>
        <v/>
      </c>
      <c r="BI13" s="325" t="str">
        <f>IF(BJ13="","",IF(COUNTIF($BJ$11:BJ13,BJ13)=1,BI12+1,BI12))</f>
        <v/>
      </c>
      <c r="BJ13" s="327" t="str">
        <f t="shared" ref="BJ13:BJ40" si="10">AP13</f>
        <v/>
      </c>
      <c r="BK13" s="327" t="str">
        <f t="shared" si="6"/>
        <v/>
      </c>
      <c r="BL13" s="325" t="str">
        <f t="shared" si="7"/>
        <v/>
      </c>
      <c r="BM13" s="325" t="str">
        <f t="shared" si="8"/>
        <v/>
      </c>
      <c r="BN13" s="325" t="str">
        <f t="shared" si="9"/>
        <v/>
      </c>
    </row>
    <row r="14" spans="2:66">
      <c r="B14" s="270"/>
      <c r="C14" s="315" t="s">
        <v>679</v>
      </c>
      <c r="D14" s="308" t="str">
        <f>'Data Sheet'!D14</f>
        <v>No</v>
      </c>
      <c r="E14" s="268"/>
      <c r="F14" s="754"/>
      <c r="G14" s="330" t="str">
        <f>IF(F14="","",IFERROR(VLOOKUP(F14,'Month of Invoicing'!$A$16:$D$45,2,FALSE),""))</f>
        <v/>
      </c>
      <c r="H14" s="268" t="str">
        <f>IFERROR(VLOOKUP(G14,'price list MAN'!$B$5:$C$2002,2,FALSE),"")</f>
        <v/>
      </c>
      <c r="I14" s="504"/>
      <c r="J14" s="504"/>
      <c r="K14" s="504"/>
      <c r="L14" s="505" t="str">
        <f>IF(F14="","",IFERROR(VLOOKUP(F14,'Month of Invoicing'!$A$16:$J$45,8,FALSE),""))</f>
        <v/>
      </c>
      <c r="M14" s="504"/>
      <c r="N14" s="504"/>
      <c r="O14" s="499"/>
      <c r="V14" s="325" t="s">
        <v>1151</v>
      </c>
      <c r="AM14" s="325" t="s">
        <v>52</v>
      </c>
      <c r="AO14" s="325" t="str">
        <f t="shared" si="0"/>
        <v/>
      </c>
      <c r="AP14" s="343" t="str">
        <f t="shared" si="1"/>
        <v/>
      </c>
      <c r="AQ14" s="343" t="str">
        <f t="shared" ref="AQ14:AQ40" si="11">IF(AP14=AP13,"",AP14)</f>
        <v/>
      </c>
      <c r="AR14" s="325" t="str">
        <f t="shared" si="2"/>
        <v/>
      </c>
      <c r="AS14" s="325" t="str">
        <f t="shared" si="3"/>
        <v/>
      </c>
      <c r="AU14" s="327" t="str">
        <f t="shared" si="4"/>
        <v/>
      </c>
      <c r="AW14" s="325" t="str">
        <f t="shared" si="5"/>
        <v/>
      </c>
      <c r="BI14" s="325" t="str">
        <f>IF(BJ14="","",IF(COUNTIF($BJ$11:BJ14,BJ14)=1,BI13+1,BI13))</f>
        <v/>
      </c>
      <c r="BJ14" s="327" t="str">
        <f t="shared" si="10"/>
        <v/>
      </c>
      <c r="BK14" s="327" t="str">
        <f t="shared" si="6"/>
        <v/>
      </c>
      <c r="BL14" s="325" t="str">
        <f t="shared" si="7"/>
        <v/>
      </c>
      <c r="BM14" s="325" t="str">
        <f t="shared" si="8"/>
        <v/>
      </c>
      <c r="BN14" s="325" t="str">
        <f t="shared" si="9"/>
        <v/>
      </c>
    </row>
    <row r="15" spans="2:66">
      <c r="B15" s="270"/>
      <c r="C15" s="315" t="s">
        <v>974</v>
      </c>
      <c r="D15" s="506" t="s">
        <v>52</v>
      </c>
      <c r="E15" s="268"/>
      <c r="F15" s="754"/>
      <c r="G15" s="330" t="str">
        <f>IF(F15="","",IFERROR(VLOOKUP(F15,'Month of Invoicing'!$A$16:$D$45,2,FALSE),""))</f>
        <v/>
      </c>
      <c r="H15" s="268" t="str">
        <f>IFERROR(VLOOKUP(G15,'price list MAN'!$B$5:$C$2002,2,FALSE),"")</f>
        <v/>
      </c>
      <c r="I15" s="504"/>
      <c r="J15" s="504"/>
      <c r="K15" s="504"/>
      <c r="L15" s="505" t="str">
        <f>IF(F15="","",IFERROR(VLOOKUP(F15,'Month of Invoicing'!$A$16:$J$45,8,FALSE),""))</f>
        <v/>
      </c>
      <c r="M15" s="504"/>
      <c r="N15" s="504"/>
      <c r="O15" s="499"/>
      <c r="V15" s="325" t="s">
        <v>1152</v>
      </c>
      <c r="AM15" s="325" t="s">
        <v>51</v>
      </c>
      <c r="AO15" s="325" t="str">
        <f t="shared" si="0"/>
        <v/>
      </c>
      <c r="AP15" s="343" t="str">
        <f t="shared" si="1"/>
        <v/>
      </c>
      <c r="AQ15" s="343" t="str">
        <f t="shared" si="11"/>
        <v/>
      </c>
      <c r="AR15" s="325" t="str">
        <f t="shared" si="2"/>
        <v/>
      </c>
      <c r="AS15" s="325" t="str">
        <f t="shared" si="3"/>
        <v/>
      </c>
      <c r="AU15" s="327" t="str">
        <f t="shared" si="4"/>
        <v/>
      </c>
      <c r="AW15" s="325" t="str">
        <f t="shared" si="5"/>
        <v/>
      </c>
      <c r="BI15" s="325" t="str">
        <f>IF(BJ15="","",IF(COUNTIF($BJ$11:BJ15,BJ15)=1,BI14+1,BI14))</f>
        <v/>
      </c>
      <c r="BJ15" s="327" t="str">
        <f t="shared" si="10"/>
        <v/>
      </c>
      <c r="BK15" s="327" t="str">
        <f t="shared" si="6"/>
        <v/>
      </c>
      <c r="BL15" s="325" t="str">
        <f t="shared" si="7"/>
        <v/>
      </c>
      <c r="BM15" s="325" t="str">
        <f t="shared" si="8"/>
        <v/>
      </c>
      <c r="BN15" s="325" t="str">
        <f t="shared" si="9"/>
        <v/>
      </c>
    </row>
    <row r="16" spans="2:66">
      <c r="B16" s="270"/>
      <c r="C16" s="1321" t="str">
        <f>IF(D15="Yes","Do not proceed with contact details","")</f>
        <v>Do not proceed with contact details</v>
      </c>
      <c r="D16" s="1322"/>
      <c r="E16" s="268"/>
      <c r="F16" s="754"/>
      <c r="G16" s="330" t="str">
        <f>IF(F16="","",IFERROR(VLOOKUP(F16,'Month of Invoicing'!$A$16:$D$45,2,FALSE),""))</f>
        <v/>
      </c>
      <c r="H16" s="268" t="str">
        <f>IFERROR(VLOOKUP(G16,'price list MAN'!$B$5:$C$2002,2,FALSE),"")</f>
        <v/>
      </c>
      <c r="I16" s="504"/>
      <c r="J16" s="504"/>
      <c r="K16" s="504"/>
      <c r="L16" s="505" t="str">
        <f>IF(F16="","",IFERROR(VLOOKUP(F16,'Month of Invoicing'!$A$16:$J$45,8,FALSE),""))</f>
        <v/>
      </c>
      <c r="M16" s="504"/>
      <c r="N16" s="504"/>
      <c r="O16" s="499"/>
      <c r="V16" s="325" t="s">
        <v>1153</v>
      </c>
      <c r="AM16" s="325" t="s">
        <v>625</v>
      </c>
      <c r="AO16" s="325" t="str">
        <f t="shared" si="0"/>
        <v/>
      </c>
      <c r="AP16" s="343" t="str">
        <f t="shared" si="1"/>
        <v/>
      </c>
      <c r="AQ16" s="343" t="str">
        <f t="shared" si="11"/>
        <v/>
      </c>
      <c r="AR16" s="325" t="str">
        <f t="shared" si="2"/>
        <v/>
      </c>
      <c r="AS16" s="325" t="str">
        <f t="shared" si="3"/>
        <v/>
      </c>
      <c r="AU16" s="327" t="str">
        <f t="shared" si="4"/>
        <v/>
      </c>
      <c r="AW16" s="325" t="str">
        <f t="shared" si="5"/>
        <v/>
      </c>
      <c r="BI16" s="325" t="str">
        <f>IF(BJ16="","",IF(COUNTIF($BJ$11:BJ16,BJ16)=1,BI15+1,BI15))</f>
        <v/>
      </c>
      <c r="BJ16" s="327" t="str">
        <f t="shared" si="10"/>
        <v/>
      </c>
      <c r="BK16" s="327" t="str">
        <f t="shared" si="6"/>
        <v/>
      </c>
      <c r="BL16" s="325" t="str">
        <f t="shared" si="7"/>
        <v/>
      </c>
      <c r="BM16" s="325" t="str">
        <f t="shared" si="8"/>
        <v/>
      </c>
      <c r="BN16" s="325" t="str">
        <f t="shared" si="9"/>
        <v/>
      </c>
    </row>
    <row r="17" spans="2:66">
      <c r="B17" s="270"/>
      <c r="C17" s="268"/>
      <c r="D17" s="268"/>
      <c r="E17" s="268"/>
      <c r="F17" s="754"/>
      <c r="G17" s="330" t="str">
        <f>IF(F17="","",IFERROR(VLOOKUP(F17,'Month of Invoicing'!$A$16:$D$45,2,FALSE),""))</f>
        <v/>
      </c>
      <c r="H17" s="268" t="str">
        <f>IFERROR(VLOOKUP(G17,'price list MAN'!$B$5:$C$2002,2,FALSE),"")</f>
        <v/>
      </c>
      <c r="I17" s="504"/>
      <c r="J17" s="504"/>
      <c r="K17" s="504"/>
      <c r="L17" s="505" t="str">
        <f>IF(F17="","",IFERROR(VLOOKUP(F17,'Month of Invoicing'!$A$16:$J$45,8,FALSE),""))</f>
        <v/>
      </c>
      <c r="M17" s="504"/>
      <c r="N17" s="504"/>
      <c r="O17" s="499"/>
      <c r="AM17" s="325" t="s">
        <v>626</v>
      </c>
      <c r="AO17" s="325" t="str">
        <f t="shared" si="0"/>
        <v/>
      </c>
      <c r="AP17" s="343" t="str">
        <f t="shared" si="1"/>
        <v/>
      </c>
      <c r="AQ17" s="343" t="str">
        <f t="shared" si="11"/>
        <v/>
      </c>
      <c r="AR17" s="325" t="str">
        <f t="shared" si="2"/>
        <v/>
      </c>
      <c r="AS17" s="325" t="str">
        <f t="shared" si="3"/>
        <v/>
      </c>
      <c r="AU17" s="327" t="str">
        <f t="shared" si="4"/>
        <v/>
      </c>
      <c r="AW17" s="325" t="str">
        <f t="shared" si="5"/>
        <v/>
      </c>
      <c r="BI17" s="325" t="str">
        <f>IF(BJ17="","",IF(COUNTIF($BJ$11:BJ17,BJ17)=1,BI16+1,BI16))</f>
        <v/>
      </c>
      <c r="BJ17" s="327" t="str">
        <f t="shared" si="10"/>
        <v/>
      </c>
      <c r="BK17" s="327" t="str">
        <f t="shared" si="6"/>
        <v/>
      </c>
      <c r="BL17" s="325" t="str">
        <f t="shared" si="7"/>
        <v/>
      </c>
      <c r="BM17" s="325" t="str">
        <f t="shared" si="8"/>
        <v/>
      </c>
      <c r="BN17" s="325" t="str">
        <f t="shared" si="9"/>
        <v/>
      </c>
    </row>
    <row r="18" spans="2:66">
      <c r="B18" s="270"/>
      <c r="C18" s="1318" t="s">
        <v>990</v>
      </c>
      <c r="D18" s="1320"/>
      <c r="E18" s="268"/>
      <c r="F18" s="754"/>
      <c r="G18" s="330" t="str">
        <f>IF(F18="","",IFERROR(VLOOKUP(F18,'Month of Invoicing'!$A$16:$D$45,2,FALSE),""))</f>
        <v/>
      </c>
      <c r="H18" s="268" t="str">
        <f>IFERROR(VLOOKUP(G18,'price list MAN'!$B$5:$C$2002,2,FALSE),"")</f>
        <v/>
      </c>
      <c r="I18" s="504"/>
      <c r="J18" s="504"/>
      <c r="K18" s="504"/>
      <c r="L18" s="505" t="str">
        <f>IF(F18="","",IFERROR(VLOOKUP(F18,'Month of Invoicing'!$A$16:$J$45,8,FALSE),""))</f>
        <v/>
      </c>
      <c r="M18" s="504"/>
      <c r="N18" s="504"/>
      <c r="O18" s="499"/>
      <c r="AO18" s="325" t="str">
        <f t="shared" si="0"/>
        <v/>
      </c>
      <c r="AP18" s="343" t="str">
        <f t="shared" si="1"/>
        <v/>
      </c>
      <c r="AQ18" s="343" t="str">
        <f t="shared" si="11"/>
        <v/>
      </c>
      <c r="AR18" s="325" t="str">
        <f t="shared" si="2"/>
        <v/>
      </c>
      <c r="AS18" s="325" t="str">
        <f t="shared" si="3"/>
        <v/>
      </c>
      <c r="AU18" s="327" t="str">
        <f t="shared" si="4"/>
        <v/>
      </c>
      <c r="AW18" s="325" t="str">
        <f t="shared" si="5"/>
        <v/>
      </c>
      <c r="BI18" s="325" t="str">
        <f>IF(BJ18="","",IF(COUNTIF($BJ$11:BJ18,BJ18)=1,BI17+1,BI17))</f>
        <v/>
      </c>
      <c r="BJ18" s="327" t="str">
        <f t="shared" si="10"/>
        <v/>
      </c>
      <c r="BK18" s="327" t="str">
        <f t="shared" si="6"/>
        <v/>
      </c>
      <c r="BL18" s="325" t="str">
        <f t="shared" si="7"/>
        <v/>
      </c>
      <c r="BM18" s="325" t="str">
        <f t="shared" si="8"/>
        <v/>
      </c>
      <c r="BN18" s="325" t="str">
        <f t="shared" si="9"/>
        <v/>
      </c>
    </row>
    <row r="19" spans="2:66" ht="12.6" customHeight="1">
      <c r="B19" s="270"/>
      <c r="C19" s="409" t="s">
        <v>991</v>
      </c>
      <c r="D19" s="507">
        <f>COUNTA(F9:F39)</f>
        <v>1</v>
      </c>
      <c r="E19" s="268"/>
      <c r="F19" s="754"/>
      <c r="G19" s="330" t="str">
        <f>IF(F19="","",IFERROR(VLOOKUP(F19,'Month of Invoicing'!$A$16:$D$45,2,FALSE),""))</f>
        <v/>
      </c>
      <c r="H19" s="268" t="str">
        <f>IFERROR(VLOOKUP(G19,'price list MAN'!$B$5:$C$2002,2,FALSE),"")</f>
        <v/>
      </c>
      <c r="I19" s="504"/>
      <c r="J19" s="504"/>
      <c r="K19" s="504"/>
      <c r="L19" s="505" t="str">
        <f>IF(F19="","",IFERROR(VLOOKUP(F19,'Month of Invoicing'!$A$16:$J$45,8,FALSE),""))</f>
        <v/>
      </c>
      <c r="M19" s="504"/>
      <c r="N19" s="504"/>
      <c r="O19" s="499"/>
      <c r="AM19" s="325" t="s">
        <v>640</v>
      </c>
      <c r="AO19" s="325" t="str">
        <f t="shared" si="0"/>
        <v/>
      </c>
      <c r="AP19" s="343" t="str">
        <f t="shared" si="1"/>
        <v/>
      </c>
      <c r="AQ19" s="343" t="str">
        <f t="shared" si="11"/>
        <v/>
      </c>
      <c r="AR19" s="325" t="str">
        <f t="shared" si="2"/>
        <v/>
      </c>
      <c r="AS19" s="325" t="str">
        <f t="shared" si="3"/>
        <v/>
      </c>
      <c r="AU19" s="327" t="str">
        <f t="shared" si="4"/>
        <v/>
      </c>
      <c r="AW19" s="325" t="str">
        <f t="shared" si="5"/>
        <v/>
      </c>
      <c r="BI19" s="325" t="str">
        <f>IF(BJ19="","",IF(COUNTIF($BJ$11:BJ19,BJ19)=1,BI18+1,BI18))</f>
        <v/>
      </c>
      <c r="BJ19" s="327" t="str">
        <f t="shared" si="10"/>
        <v/>
      </c>
      <c r="BK19" s="327" t="str">
        <f t="shared" si="6"/>
        <v/>
      </c>
      <c r="BL19" s="325" t="str">
        <f t="shared" si="7"/>
        <v/>
      </c>
      <c r="BM19" s="325" t="str">
        <f t="shared" si="8"/>
        <v/>
      </c>
      <c r="BN19" s="325" t="str">
        <f t="shared" si="9"/>
        <v/>
      </c>
    </row>
    <row r="20" spans="2:66">
      <c r="B20" s="270"/>
      <c r="C20" s="315" t="s">
        <v>1146</v>
      </c>
      <c r="D20" s="508" t="s">
        <v>1147</v>
      </c>
      <c r="E20" s="268"/>
      <c r="F20" s="754"/>
      <c r="G20" s="330" t="str">
        <f>IF(F20="","",IFERROR(VLOOKUP(F20,'Month of Invoicing'!$A$16:$D$45,2,FALSE),""))</f>
        <v/>
      </c>
      <c r="H20" s="268" t="str">
        <f>IFERROR(VLOOKUP(G20,'price list MAN'!$B$5:$C$2002,2,FALSE),"")</f>
        <v/>
      </c>
      <c r="I20" s="504"/>
      <c r="J20" s="504"/>
      <c r="K20" s="504"/>
      <c r="L20" s="505" t="str">
        <f>IF(F20="","",IFERROR(VLOOKUP(F20,'Month of Invoicing'!$A$16:$J$45,8,FALSE),""))</f>
        <v/>
      </c>
      <c r="M20" s="504"/>
      <c r="N20" s="504"/>
      <c r="O20" s="499"/>
      <c r="AM20" s="325" t="s">
        <v>641</v>
      </c>
      <c r="AO20" s="325" t="str">
        <f t="shared" si="0"/>
        <v/>
      </c>
      <c r="AP20" s="343" t="str">
        <f t="shared" si="1"/>
        <v/>
      </c>
      <c r="AQ20" s="343" t="str">
        <f t="shared" si="11"/>
        <v/>
      </c>
      <c r="AR20" s="325" t="str">
        <f t="shared" si="2"/>
        <v/>
      </c>
      <c r="AS20" s="325" t="str">
        <f t="shared" si="3"/>
        <v/>
      </c>
      <c r="AU20" s="327" t="str">
        <f t="shared" si="4"/>
        <v/>
      </c>
      <c r="AW20" s="325" t="str">
        <f t="shared" si="5"/>
        <v/>
      </c>
      <c r="BI20" s="325" t="str">
        <f>IF(BJ20="","",IF(COUNTIF($BJ$11:BJ20,BJ20)=1,BI19+1,BI19))</f>
        <v/>
      </c>
      <c r="BJ20" s="327" t="str">
        <f t="shared" si="10"/>
        <v/>
      </c>
      <c r="BK20" s="327" t="str">
        <f t="shared" si="6"/>
        <v/>
      </c>
      <c r="BL20" s="325" t="str">
        <f t="shared" si="7"/>
        <v/>
      </c>
      <c r="BM20" s="325" t="str">
        <f t="shared" si="8"/>
        <v/>
      </c>
      <c r="BN20" s="325" t="str">
        <f t="shared" si="9"/>
        <v/>
      </c>
    </row>
    <row r="21" spans="2:66">
      <c r="B21" s="270"/>
      <c r="C21" s="315" t="s">
        <v>968</v>
      </c>
      <c r="D21" s="508"/>
      <c r="E21" s="268"/>
      <c r="F21" s="754"/>
      <c r="G21" s="330" t="str">
        <f>IF(F21="","",IFERROR(VLOOKUP(F21,'Month of Invoicing'!$A$16:$D$45,2,FALSE),""))</f>
        <v/>
      </c>
      <c r="H21" s="268" t="str">
        <f>IFERROR(VLOOKUP(G21,'price list MAN'!$B$5:$C$2002,2,FALSE),"")</f>
        <v/>
      </c>
      <c r="I21" s="504"/>
      <c r="J21" s="504"/>
      <c r="K21" s="504"/>
      <c r="L21" s="505" t="str">
        <f>IF(F21="","",IFERROR(VLOOKUP(F21,'Month of Invoicing'!$A$16:$J$45,8,FALSE),""))</f>
        <v/>
      </c>
      <c r="M21" s="504"/>
      <c r="N21" s="504"/>
      <c r="O21" s="499"/>
      <c r="AO21" s="325" t="str">
        <f t="shared" si="0"/>
        <v/>
      </c>
      <c r="AP21" s="343" t="str">
        <f t="shared" si="1"/>
        <v/>
      </c>
      <c r="AQ21" s="343" t="str">
        <f t="shared" si="11"/>
        <v/>
      </c>
      <c r="AR21" s="325" t="str">
        <f>IF(AQ21&lt;&gt;"",COUNTIF(AP21:AP49,AQ21),"")</f>
        <v/>
      </c>
      <c r="AS21" s="325" t="str">
        <f t="shared" si="3"/>
        <v/>
      </c>
      <c r="AU21" s="327" t="str">
        <f t="shared" si="4"/>
        <v/>
      </c>
      <c r="AW21" s="325" t="str">
        <f t="shared" si="5"/>
        <v/>
      </c>
      <c r="BI21" s="325" t="str">
        <f>IF(BJ21="","",IF(COUNTIF($BJ$11:BJ21,BJ21)=1,BI20+1,BI20))</f>
        <v/>
      </c>
      <c r="BJ21" s="327" t="str">
        <f t="shared" si="10"/>
        <v/>
      </c>
      <c r="BK21" s="327" t="str">
        <f t="shared" si="6"/>
        <v/>
      </c>
      <c r="BL21" s="325" t="str">
        <f>IF(BK21&lt;&gt;"",COUNTIF(BJ21:BJ49,BK21),"")</f>
        <v/>
      </c>
      <c r="BM21" s="325" t="str">
        <f t="shared" si="8"/>
        <v/>
      </c>
      <c r="BN21" s="325" t="str">
        <f t="shared" si="9"/>
        <v/>
      </c>
    </row>
    <row r="22" spans="2:66">
      <c r="B22" s="270"/>
      <c r="C22" s="509" t="s">
        <v>992</v>
      </c>
      <c r="D22" s="508" t="s">
        <v>52</v>
      </c>
      <c r="E22" s="268"/>
      <c r="F22" s="754"/>
      <c r="G22" s="330" t="str">
        <f>IF(F22="","",IFERROR(VLOOKUP(F22,'Month of Invoicing'!$A$16:$D$45,2,FALSE),""))</f>
        <v/>
      </c>
      <c r="H22" s="268" t="str">
        <f>IFERROR(VLOOKUP(G22,'price list MAN'!$B$5:$C$2002,2,FALSE),"")</f>
        <v/>
      </c>
      <c r="I22" s="504"/>
      <c r="J22" s="504"/>
      <c r="K22" s="504"/>
      <c r="L22" s="505" t="str">
        <f>IF(F22="","",IFERROR(VLOOKUP(F22,'Month of Invoicing'!$A$16:$J$45,8,FALSE),""))</f>
        <v/>
      </c>
      <c r="M22" s="504"/>
      <c r="N22" s="504"/>
      <c r="O22" s="499"/>
      <c r="AO22" s="325" t="str">
        <f t="shared" si="0"/>
        <v/>
      </c>
      <c r="AP22" s="343" t="str">
        <f t="shared" si="1"/>
        <v/>
      </c>
      <c r="AQ22" s="343" t="str">
        <f t="shared" si="11"/>
        <v/>
      </c>
      <c r="AR22" s="325" t="str">
        <f>IF(AQ22&lt;&gt;"",COUNTIF(AP22:AP50,AQ22),"")</f>
        <v/>
      </c>
      <c r="AS22" s="325" t="str">
        <f t="shared" si="3"/>
        <v/>
      </c>
      <c r="AU22" s="327" t="str">
        <f t="shared" si="4"/>
        <v/>
      </c>
      <c r="AW22" s="325" t="str">
        <f t="shared" si="5"/>
        <v/>
      </c>
      <c r="BI22" s="325" t="str">
        <f>IF(BJ22="","",IF(COUNTIF($BJ$11:BJ22,BJ22)=1,BI21+1,BI21))</f>
        <v/>
      </c>
      <c r="BJ22" s="327" t="str">
        <f t="shared" si="10"/>
        <v/>
      </c>
      <c r="BK22" s="327" t="str">
        <f t="shared" si="6"/>
        <v/>
      </c>
      <c r="BL22" s="325" t="str">
        <f>IF(BK22&lt;&gt;"",COUNTIF(BJ22:BJ50,BK22),"")</f>
        <v/>
      </c>
      <c r="BM22" s="325" t="str">
        <f t="shared" si="8"/>
        <v/>
      </c>
      <c r="BN22" s="325" t="str">
        <f t="shared" si="9"/>
        <v/>
      </c>
    </row>
    <row r="23" spans="2:66">
      <c r="B23" s="270"/>
      <c r="C23" s="315" t="s">
        <v>969</v>
      </c>
      <c r="D23" s="508" t="str">
        <f>'Deal Sheet'!RM</f>
        <v>None</v>
      </c>
      <c r="E23" s="268"/>
      <c r="F23" s="754"/>
      <c r="G23" s="330" t="str">
        <f>IF(F23="","",IFERROR(VLOOKUP(F23,'Month of Invoicing'!$A$16:$D$45,2,FALSE),""))</f>
        <v/>
      </c>
      <c r="H23" s="268" t="str">
        <f>IFERROR(VLOOKUP(G23,'price list MAN'!$B$5:$C$2002,2,FALSE),"")</f>
        <v/>
      </c>
      <c r="I23" s="504"/>
      <c r="J23" s="504"/>
      <c r="K23" s="504"/>
      <c r="L23" s="505" t="str">
        <f>IF(F23="","",IFERROR(VLOOKUP(F23,'Month of Invoicing'!$A$16:$J$45,8,FALSE),""))</f>
        <v/>
      </c>
      <c r="M23" s="504"/>
      <c r="N23" s="504"/>
      <c r="O23" s="499"/>
      <c r="AO23" s="325" t="str">
        <f t="shared" si="0"/>
        <v/>
      </c>
      <c r="AP23" s="343" t="str">
        <f t="shared" si="1"/>
        <v/>
      </c>
      <c r="AQ23" s="343" t="str">
        <f t="shared" si="11"/>
        <v/>
      </c>
      <c r="AR23" s="325" t="str">
        <f>IF(AQ23&lt;&gt;"",COUNTIF(AP23:AP50,AQ23),"")</f>
        <v/>
      </c>
      <c r="AS23" s="325" t="str">
        <f t="shared" si="3"/>
        <v/>
      </c>
      <c r="AU23" s="327" t="str">
        <f t="shared" si="4"/>
        <v/>
      </c>
      <c r="AW23" s="325" t="str">
        <f t="shared" si="5"/>
        <v/>
      </c>
      <c r="BI23" s="325" t="str">
        <f>IF(BJ23="","",IF(COUNTIF($BJ$11:BJ23,BJ23)=1,BI22+1,BI22))</f>
        <v/>
      </c>
      <c r="BJ23" s="327" t="str">
        <f t="shared" si="10"/>
        <v/>
      </c>
      <c r="BK23" s="327" t="str">
        <f t="shared" si="6"/>
        <v/>
      </c>
      <c r="BL23" s="325" t="str">
        <f>IF(BK23&lt;&gt;"",COUNTIF(BJ23:BJ50,BK23),"")</f>
        <v/>
      </c>
      <c r="BM23" s="325" t="str">
        <f t="shared" si="8"/>
        <v/>
      </c>
      <c r="BN23" s="325" t="str">
        <f t="shared" si="9"/>
        <v/>
      </c>
    </row>
    <row r="24" spans="2:66">
      <c r="B24" s="270"/>
      <c r="C24" s="316" t="s">
        <v>970</v>
      </c>
      <c r="D24" s="755" t="s">
        <v>971</v>
      </c>
      <c r="E24" s="268"/>
      <c r="F24" s="754"/>
      <c r="G24" s="330" t="str">
        <f>IF(F24="","",IFERROR(VLOOKUP(F24,'Month of Invoicing'!$A$16:$D$45,2,FALSE),""))</f>
        <v/>
      </c>
      <c r="H24" s="268" t="str">
        <f>IFERROR(VLOOKUP(G24,'price list MAN'!$B$5:$C$2002,2,FALSE),"")</f>
        <v/>
      </c>
      <c r="I24" s="504"/>
      <c r="J24" s="504"/>
      <c r="K24" s="504"/>
      <c r="L24" s="505" t="str">
        <f>IF(F24="","",IFERROR(VLOOKUP(F24,'Month of Invoicing'!$A$16:$J$45,8,FALSE),""))</f>
        <v/>
      </c>
      <c r="M24" s="504"/>
      <c r="N24" s="504"/>
      <c r="O24" s="499"/>
      <c r="AO24" s="325" t="str">
        <f t="shared" si="0"/>
        <v/>
      </c>
      <c r="AP24" s="343" t="str">
        <f t="shared" si="1"/>
        <v/>
      </c>
      <c r="AQ24" s="343" t="str">
        <f t="shared" si="11"/>
        <v/>
      </c>
      <c r="AR24" s="325" t="str">
        <f t="shared" ref="AR24:AR36" si="12">IF(AQ24&lt;&gt;"",COUNTIF(AP24:AP50,AQ24),"")</f>
        <v/>
      </c>
      <c r="AS24" s="325" t="str">
        <f t="shared" si="3"/>
        <v/>
      </c>
      <c r="AU24" s="327" t="str">
        <f t="shared" si="4"/>
        <v/>
      </c>
      <c r="AW24" s="325" t="str">
        <f t="shared" si="5"/>
        <v/>
      </c>
      <c r="BI24" s="325" t="str">
        <f>IF(BJ24="","",IF(COUNTIF($BJ$11:BJ24,BJ24)=1,BI23+1,BI23))</f>
        <v/>
      </c>
      <c r="BJ24" s="327" t="str">
        <f t="shared" si="10"/>
        <v/>
      </c>
      <c r="BK24" s="327" t="str">
        <f t="shared" si="6"/>
        <v/>
      </c>
      <c r="BL24" s="325" t="str">
        <f t="shared" ref="BL24:BL36" si="13">IF(BK24&lt;&gt;"",COUNTIF(BJ24:BJ50,BK24),"")</f>
        <v/>
      </c>
      <c r="BM24" s="325" t="str">
        <f t="shared" si="8"/>
        <v/>
      </c>
      <c r="BN24" s="325" t="str">
        <f t="shared" si="9"/>
        <v/>
      </c>
    </row>
    <row r="25" spans="2:66">
      <c r="B25" s="270"/>
      <c r="C25" s="268"/>
      <c r="D25" s="268"/>
      <c r="E25" s="268"/>
      <c r="F25" s="754"/>
      <c r="G25" s="330" t="str">
        <f>IF(F25="","",IFERROR(VLOOKUP(F25,'Month of Invoicing'!$A$16:$D$45,2,FALSE),""))</f>
        <v/>
      </c>
      <c r="H25" s="268" t="str">
        <f>IFERROR(VLOOKUP(G25,'price list MAN'!$B$5:$C$2002,2,FALSE),"")</f>
        <v/>
      </c>
      <c r="I25" s="504"/>
      <c r="J25" s="504"/>
      <c r="K25" s="504"/>
      <c r="L25" s="505" t="str">
        <f>IF(F25="","",IFERROR(VLOOKUP(F25,'Month of Invoicing'!$A$16:$J$45,8,FALSE),""))</f>
        <v/>
      </c>
      <c r="M25" s="504"/>
      <c r="N25" s="504"/>
      <c r="O25" s="499"/>
      <c r="AO25" s="325" t="str">
        <f t="shared" si="0"/>
        <v/>
      </c>
      <c r="AP25" s="343" t="str">
        <f t="shared" si="1"/>
        <v/>
      </c>
      <c r="AQ25" s="343" t="str">
        <f t="shared" si="11"/>
        <v/>
      </c>
      <c r="AR25" s="325" t="str">
        <f t="shared" si="12"/>
        <v/>
      </c>
      <c r="AS25" s="325" t="str">
        <f t="shared" si="3"/>
        <v/>
      </c>
      <c r="AU25" s="327" t="str">
        <f t="shared" si="4"/>
        <v/>
      </c>
      <c r="AW25" s="325" t="str">
        <f t="shared" si="5"/>
        <v/>
      </c>
      <c r="BI25" s="325" t="str">
        <f>IF(BJ25="","",IF(COUNTIF($BJ$11:BJ25,BJ25)=1,BI24+1,BI24))</f>
        <v/>
      </c>
      <c r="BJ25" s="327" t="str">
        <f t="shared" si="10"/>
        <v/>
      </c>
      <c r="BK25" s="327" t="str">
        <f t="shared" si="6"/>
        <v/>
      </c>
      <c r="BL25" s="325" t="str">
        <f t="shared" si="13"/>
        <v/>
      </c>
      <c r="BM25" s="325" t="str">
        <f t="shared" si="8"/>
        <v/>
      </c>
      <c r="BN25" s="325" t="str">
        <f t="shared" si="9"/>
        <v/>
      </c>
    </row>
    <row r="26" spans="2:66">
      <c r="B26" s="270"/>
      <c r="C26" s="511" t="s">
        <v>975</v>
      </c>
      <c r="D26" s="512" t="s">
        <v>976</v>
      </c>
      <c r="E26" s="268"/>
      <c r="F26" s="754"/>
      <c r="G26" s="330" t="str">
        <f>IF(F26="","",IFERROR(VLOOKUP(F26,'Month of Invoicing'!$A$16:$D$45,2,FALSE),""))</f>
        <v/>
      </c>
      <c r="H26" s="268" t="str">
        <f>IFERROR(VLOOKUP(G26,'price list MAN'!$B$5:$C$2002,2,FALSE),"")</f>
        <v/>
      </c>
      <c r="I26" s="504"/>
      <c r="J26" s="504"/>
      <c r="K26" s="504"/>
      <c r="L26" s="505" t="str">
        <f>IF(F26="","",IFERROR(VLOOKUP(F26,'Month of Invoicing'!$A$16:$J$45,8,FALSE),""))</f>
        <v/>
      </c>
      <c r="M26" s="504"/>
      <c r="N26" s="504"/>
      <c r="O26" s="499"/>
      <c r="AO26" s="325" t="str">
        <f t="shared" si="0"/>
        <v/>
      </c>
      <c r="AP26" s="343" t="str">
        <f t="shared" si="1"/>
        <v/>
      </c>
      <c r="AQ26" s="343" t="str">
        <f t="shared" si="11"/>
        <v/>
      </c>
      <c r="AR26" s="325" t="str">
        <f t="shared" si="12"/>
        <v/>
      </c>
      <c r="AS26" s="325" t="str">
        <f t="shared" si="3"/>
        <v/>
      </c>
      <c r="AU26" s="327" t="str">
        <f t="shared" si="4"/>
        <v/>
      </c>
      <c r="AW26" s="325" t="str">
        <f t="shared" si="5"/>
        <v/>
      </c>
      <c r="AX26" s="325" t="str">
        <f t="shared" ref="AX26:AX40" si="14">IFERROR(INDEX(F:F,SMALL(INDEX(NOT(ISBLANK($F$5:$F$20))*ROW($F$5:$F$20),0),COUNTBLANK($F$5:$F$20)+ROW(F16))),"")</f>
        <v/>
      </c>
      <c r="BI26" s="325" t="str">
        <f>IF(BJ26="","",IF(COUNTIF($BJ$11:BJ26,BJ26)=1,BI25+1,BI25))</f>
        <v/>
      </c>
      <c r="BJ26" s="327" t="str">
        <f t="shared" si="10"/>
        <v/>
      </c>
      <c r="BK26" s="327" t="str">
        <f t="shared" si="6"/>
        <v/>
      </c>
      <c r="BL26" s="325" t="str">
        <f t="shared" si="13"/>
        <v/>
      </c>
      <c r="BM26" s="325" t="str">
        <f t="shared" si="8"/>
        <v/>
      </c>
      <c r="BN26" s="325" t="str">
        <f t="shared" si="9"/>
        <v/>
      </c>
    </row>
    <row r="27" spans="2:66">
      <c r="B27" s="270"/>
      <c r="C27" s="315" t="s">
        <v>978</v>
      </c>
      <c r="D27" s="513"/>
      <c r="E27" s="268"/>
      <c r="F27" s="754"/>
      <c r="G27" s="330" t="str">
        <f>IF(F27="","",IFERROR(VLOOKUP(F27,'Month of Invoicing'!$A$16:$D$45,2,FALSE),""))</f>
        <v/>
      </c>
      <c r="H27" s="268" t="str">
        <f>IFERROR(VLOOKUP(G27,'price list MAN'!$B$5:$C$2002,2,FALSE),"")</f>
        <v/>
      </c>
      <c r="I27" s="504"/>
      <c r="J27" s="504"/>
      <c r="K27" s="504"/>
      <c r="L27" s="505" t="str">
        <f>IF(F27="","",IFERROR(VLOOKUP(F27,'Month of Invoicing'!$A$16:$J$45,8,FALSE),""))</f>
        <v/>
      </c>
      <c r="M27" s="504"/>
      <c r="N27" s="504"/>
      <c r="O27" s="499"/>
      <c r="AO27" s="325" t="str">
        <f t="shared" si="0"/>
        <v/>
      </c>
      <c r="AP27" s="343" t="str">
        <f t="shared" si="1"/>
        <v/>
      </c>
      <c r="AQ27" s="343" t="str">
        <f t="shared" si="11"/>
        <v/>
      </c>
      <c r="AR27" s="325" t="str">
        <f t="shared" si="12"/>
        <v/>
      </c>
      <c r="AS27" s="325" t="str">
        <f t="shared" si="3"/>
        <v/>
      </c>
      <c r="AU27" s="327" t="str">
        <f t="shared" si="4"/>
        <v/>
      </c>
      <c r="AW27" s="325" t="str">
        <f t="shared" si="5"/>
        <v/>
      </c>
      <c r="AX27" s="325" t="str">
        <f t="shared" si="14"/>
        <v/>
      </c>
      <c r="BI27" s="325" t="str">
        <f>IF(BJ27="","",IF(COUNTIF($BJ$11:BJ27,BJ27)=1,BI26+1,BI26))</f>
        <v/>
      </c>
      <c r="BJ27" s="327" t="str">
        <f t="shared" si="10"/>
        <v/>
      </c>
      <c r="BK27" s="327" t="str">
        <f t="shared" si="6"/>
        <v/>
      </c>
      <c r="BL27" s="325" t="str">
        <f t="shared" si="13"/>
        <v/>
      </c>
      <c r="BM27" s="325" t="str">
        <f t="shared" si="8"/>
        <v/>
      </c>
      <c r="BN27" s="325" t="str">
        <f t="shared" si="9"/>
        <v/>
      </c>
    </row>
    <row r="28" spans="2:66">
      <c r="B28" s="270"/>
      <c r="C28" s="315" t="s">
        <v>979</v>
      </c>
      <c r="D28" s="504"/>
      <c r="E28" s="268"/>
      <c r="F28" s="754"/>
      <c r="G28" s="330" t="str">
        <f>IF(F28="","",IFERROR(VLOOKUP(F28,'Month of Invoicing'!$A$16:$D$45,2,FALSE),""))</f>
        <v/>
      </c>
      <c r="H28" s="268" t="str">
        <f>IFERROR(VLOOKUP(G28,'price list MAN'!$B$5:$C$2002,2,FALSE),"")</f>
        <v/>
      </c>
      <c r="I28" s="504"/>
      <c r="J28" s="504"/>
      <c r="K28" s="504"/>
      <c r="L28" s="505" t="str">
        <f>IF(F28="","",IFERROR(VLOOKUP(F28,'Month of Invoicing'!$A$16:$J$45,8,FALSE),""))</f>
        <v/>
      </c>
      <c r="M28" s="504"/>
      <c r="N28" s="504"/>
      <c r="O28" s="499"/>
      <c r="AO28" s="325" t="str">
        <f t="shared" si="0"/>
        <v/>
      </c>
      <c r="AP28" s="343" t="str">
        <f t="shared" si="1"/>
        <v/>
      </c>
      <c r="AQ28" s="343" t="str">
        <f t="shared" si="11"/>
        <v/>
      </c>
      <c r="AR28" s="325" t="str">
        <f t="shared" si="12"/>
        <v/>
      </c>
      <c r="AS28" s="325" t="str">
        <f t="shared" si="3"/>
        <v/>
      </c>
      <c r="AU28" s="327" t="str">
        <f t="shared" si="4"/>
        <v/>
      </c>
      <c r="AW28" s="325" t="str">
        <f t="shared" si="5"/>
        <v/>
      </c>
      <c r="AX28" s="325" t="str">
        <f t="shared" si="14"/>
        <v/>
      </c>
      <c r="BI28" s="325" t="str">
        <f>IF(BJ28="","",IF(COUNTIF($BJ$11:BJ28,BJ28)=1,BI27+1,BI27))</f>
        <v/>
      </c>
      <c r="BJ28" s="327" t="str">
        <f t="shared" si="10"/>
        <v/>
      </c>
      <c r="BK28" s="327" t="str">
        <f t="shared" si="6"/>
        <v/>
      </c>
      <c r="BL28" s="325" t="str">
        <f t="shared" si="13"/>
        <v/>
      </c>
      <c r="BM28" s="325" t="str">
        <f t="shared" si="8"/>
        <v/>
      </c>
      <c r="BN28" s="325" t="str">
        <f t="shared" si="9"/>
        <v/>
      </c>
    </row>
    <row r="29" spans="2:66">
      <c r="B29" s="270"/>
      <c r="C29" s="315" t="s">
        <v>980</v>
      </c>
      <c r="D29" s="504"/>
      <c r="E29" s="268"/>
      <c r="F29" s="754"/>
      <c r="G29" s="330" t="str">
        <f>IF(F29="","",IFERROR(VLOOKUP(F29,'Month of Invoicing'!$A$16:$D$45,2,FALSE),""))</f>
        <v/>
      </c>
      <c r="H29" s="268" t="str">
        <f>IFERROR(VLOOKUP(G29,'price list MAN'!$B$5:$C$2002,2,FALSE),"")</f>
        <v/>
      </c>
      <c r="I29" s="504"/>
      <c r="J29" s="504"/>
      <c r="K29" s="504"/>
      <c r="L29" s="505" t="str">
        <f>IF(F29="","",IFERROR(VLOOKUP(F29,'Month of Invoicing'!$A$16:$J$45,8,FALSE),""))</f>
        <v/>
      </c>
      <c r="M29" s="504"/>
      <c r="N29" s="504"/>
      <c r="O29" s="499"/>
      <c r="AO29" s="325" t="str">
        <f t="shared" si="0"/>
        <v/>
      </c>
      <c r="AP29" s="343" t="str">
        <f t="shared" si="1"/>
        <v/>
      </c>
      <c r="AQ29" s="343" t="str">
        <f t="shared" si="11"/>
        <v/>
      </c>
      <c r="AR29" s="325" t="str">
        <f t="shared" si="12"/>
        <v/>
      </c>
      <c r="AS29" s="325" t="str">
        <f t="shared" si="3"/>
        <v/>
      </c>
      <c r="AU29" s="327" t="str">
        <f t="shared" si="4"/>
        <v/>
      </c>
      <c r="AW29" s="325" t="str">
        <f t="shared" si="5"/>
        <v/>
      </c>
      <c r="AX29" s="325" t="str">
        <f t="shared" si="14"/>
        <v/>
      </c>
      <c r="BI29" s="325" t="str">
        <f>IF(BJ29="","",IF(COUNTIF($BJ$11:BJ29,BJ29)=1,BI28+1,BI28))</f>
        <v/>
      </c>
      <c r="BJ29" s="327" t="str">
        <f t="shared" si="10"/>
        <v/>
      </c>
      <c r="BK29" s="327" t="str">
        <f t="shared" si="6"/>
        <v/>
      </c>
      <c r="BL29" s="325" t="str">
        <f t="shared" si="13"/>
        <v/>
      </c>
      <c r="BM29" s="325" t="str">
        <f t="shared" si="8"/>
        <v/>
      </c>
      <c r="BN29" s="325" t="str">
        <f t="shared" si="9"/>
        <v/>
      </c>
    </row>
    <row r="30" spans="2:66">
      <c r="B30" s="270"/>
      <c r="C30" s="315" t="s">
        <v>981</v>
      </c>
      <c r="D30" s="504"/>
      <c r="E30" s="288"/>
      <c r="F30" s="754"/>
      <c r="G30" s="330" t="str">
        <f>IF(F30="","",IFERROR(VLOOKUP(F30,'Month of Invoicing'!$A$16:$D$45,2,FALSE),""))</f>
        <v/>
      </c>
      <c r="H30" s="268" t="str">
        <f>IFERROR(VLOOKUP(G30,'price list MAN'!$B$5:$C$2002,2,FALSE),"")</f>
        <v/>
      </c>
      <c r="I30" s="504"/>
      <c r="J30" s="504"/>
      <c r="K30" s="504"/>
      <c r="L30" s="505" t="str">
        <f>IF(F30="","",IFERROR(VLOOKUP(F30,'Month of Invoicing'!$A$16:$J$45,8,FALSE),""))</f>
        <v/>
      </c>
      <c r="M30" s="504"/>
      <c r="N30" s="504"/>
      <c r="O30" s="499"/>
      <c r="AO30" s="325" t="str">
        <f t="shared" si="0"/>
        <v/>
      </c>
      <c r="AP30" s="343" t="str">
        <f t="shared" si="1"/>
        <v/>
      </c>
      <c r="AQ30" s="343" t="str">
        <f>IF(AP30=AP29,"",AP30)</f>
        <v/>
      </c>
      <c r="AR30" s="325" t="str">
        <f t="shared" si="12"/>
        <v/>
      </c>
      <c r="AS30" s="325" t="str">
        <f t="shared" si="3"/>
        <v/>
      </c>
      <c r="AU30" s="327" t="str">
        <f t="shared" si="4"/>
        <v/>
      </c>
      <c r="AW30" s="325" t="str">
        <f t="shared" si="5"/>
        <v/>
      </c>
      <c r="AX30" s="325" t="str">
        <f t="shared" si="14"/>
        <v/>
      </c>
      <c r="BI30" s="325" t="str">
        <f>IF(BJ30="","",IF(COUNTIF($BJ$11:BJ30,BJ30)=1,BI29+1,BI29))</f>
        <v/>
      </c>
      <c r="BJ30" s="327" t="str">
        <f t="shared" si="10"/>
        <v/>
      </c>
      <c r="BK30" s="327" t="str">
        <f t="shared" si="6"/>
        <v/>
      </c>
      <c r="BL30" s="325" t="str">
        <f t="shared" si="13"/>
        <v/>
      </c>
      <c r="BM30" s="325" t="str">
        <f t="shared" si="8"/>
        <v/>
      </c>
      <c r="BN30" s="325" t="str">
        <f t="shared" si="9"/>
        <v/>
      </c>
    </row>
    <row r="31" spans="2:66">
      <c r="B31" s="270"/>
      <c r="C31" s="509" t="s">
        <v>982</v>
      </c>
      <c r="D31" s="514"/>
      <c r="E31" s="268"/>
      <c r="F31" s="754"/>
      <c r="G31" s="330" t="str">
        <f>IF(F31="","",IFERROR(VLOOKUP(F31,'Month of Invoicing'!$A$16:$D$45,2,FALSE),""))</f>
        <v/>
      </c>
      <c r="H31" s="268" t="str">
        <f>IFERROR(VLOOKUP(G31,'price list MAN'!$B$5:$C$2002,2,FALSE),"")</f>
        <v/>
      </c>
      <c r="I31" s="504"/>
      <c r="J31" s="504"/>
      <c r="K31" s="504"/>
      <c r="L31" s="505" t="str">
        <f>IF(F31="","",IFERROR(VLOOKUP(F31,'Month of Invoicing'!$A$16:$J$45,8,FALSE),""))</f>
        <v/>
      </c>
      <c r="M31" s="504"/>
      <c r="N31" s="504"/>
      <c r="O31" s="499"/>
      <c r="AO31" s="325" t="str">
        <f t="shared" si="0"/>
        <v/>
      </c>
      <c r="AP31" s="343" t="str">
        <f t="shared" si="1"/>
        <v/>
      </c>
      <c r="AQ31" s="343" t="str">
        <f t="shared" si="11"/>
        <v/>
      </c>
      <c r="AR31" s="325" t="str">
        <f t="shared" si="12"/>
        <v/>
      </c>
      <c r="AS31" s="325" t="str">
        <f t="shared" si="3"/>
        <v/>
      </c>
      <c r="AU31" s="327" t="str">
        <f t="shared" si="4"/>
        <v/>
      </c>
      <c r="AW31" s="325" t="str">
        <f t="shared" si="5"/>
        <v/>
      </c>
      <c r="AX31" s="325" t="str">
        <f t="shared" si="14"/>
        <v/>
      </c>
      <c r="BI31" s="325" t="str">
        <f>IF(BJ31="","",IF(COUNTIF($BJ$11:BJ31,BJ31)=1,BI30+1,BI30))</f>
        <v/>
      </c>
      <c r="BJ31" s="327" t="str">
        <f t="shared" si="10"/>
        <v/>
      </c>
      <c r="BK31" s="327" t="str">
        <f t="shared" si="6"/>
        <v/>
      </c>
      <c r="BL31" s="325" t="str">
        <f t="shared" si="13"/>
        <v/>
      </c>
      <c r="BM31" s="325" t="str">
        <f t="shared" si="8"/>
        <v/>
      </c>
      <c r="BN31" s="325" t="str">
        <f t="shared" si="9"/>
        <v/>
      </c>
    </row>
    <row r="32" spans="2:66">
      <c r="B32" s="270"/>
      <c r="C32" s="315" t="s">
        <v>616</v>
      </c>
      <c r="D32" s="514"/>
      <c r="E32" s="288"/>
      <c r="F32" s="754"/>
      <c r="G32" s="330" t="str">
        <f>IF(F32="","",IFERROR(VLOOKUP(F32,'Month of Invoicing'!$A$16:$D$45,2,FALSE),""))</f>
        <v/>
      </c>
      <c r="H32" s="268" t="str">
        <f>IFERROR(VLOOKUP(G32,'price list MAN'!$B$5:$C$2002,2,FALSE),"")</f>
        <v/>
      </c>
      <c r="I32" s="504"/>
      <c r="J32" s="504"/>
      <c r="K32" s="504"/>
      <c r="L32" s="505" t="str">
        <f>IF(F32="","",IFERROR(VLOOKUP(F32,'Month of Invoicing'!$A$16:$J$45,8,FALSE),""))</f>
        <v/>
      </c>
      <c r="M32" s="504"/>
      <c r="N32" s="504"/>
      <c r="O32" s="499"/>
      <c r="AM32" s="325" t="e">
        <f>SUBSTITUTE(SUBSTITUTE(#REF!," ",""),"-","")</f>
        <v>#REF!</v>
      </c>
      <c r="AO32" s="325" t="str">
        <f t="shared" si="0"/>
        <v/>
      </c>
      <c r="AP32" s="343" t="str">
        <f t="shared" si="1"/>
        <v/>
      </c>
      <c r="AQ32" s="343" t="str">
        <f t="shared" si="11"/>
        <v/>
      </c>
      <c r="AR32" s="325" t="str">
        <f t="shared" si="12"/>
        <v/>
      </c>
      <c r="AS32" s="325" t="str">
        <f t="shared" si="3"/>
        <v/>
      </c>
      <c r="AU32" s="327" t="str">
        <f t="shared" si="4"/>
        <v/>
      </c>
      <c r="AW32" s="325" t="str">
        <f t="shared" si="5"/>
        <v/>
      </c>
      <c r="AX32" s="325" t="str">
        <f t="shared" si="14"/>
        <v/>
      </c>
      <c r="BI32" s="325" t="str">
        <f>IF(BJ32="","",IF(COUNTIF($BJ$11:BJ32,BJ32)=1,BI31+1,BI31))</f>
        <v/>
      </c>
      <c r="BJ32" s="327" t="str">
        <f t="shared" si="10"/>
        <v/>
      </c>
      <c r="BK32" s="327" t="str">
        <f t="shared" si="6"/>
        <v/>
      </c>
      <c r="BL32" s="325" t="str">
        <f t="shared" si="13"/>
        <v/>
      </c>
      <c r="BM32" s="325" t="str">
        <f t="shared" si="8"/>
        <v/>
      </c>
      <c r="BN32" s="325" t="str">
        <f t="shared" si="9"/>
        <v/>
      </c>
    </row>
    <row r="33" spans="2:66">
      <c r="B33" s="270"/>
      <c r="C33" s="316" t="s">
        <v>983</v>
      </c>
      <c r="D33" s="515"/>
      <c r="E33" s="319"/>
      <c r="F33" s="754"/>
      <c r="G33" s="330" t="str">
        <f>IF(F33="","",IFERROR(VLOOKUP(F33,'Month of Invoicing'!$A$16:$D$45,2,FALSE),""))</f>
        <v/>
      </c>
      <c r="H33" s="268" t="str">
        <f>IFERROR(VLOOKUP(G33,'price list MAN'!$B$5:$C$2002,2,FALSE),"")</f>
        <v/>
      </c>
      <c r="I33" s="504"/>
      <c r="J33" s="504"/>
      <c r="K33" s="504"/>
      <c r="L33" s="505" t="str">
        <f>IF(F33="","",IFERROR(VLOOKUP(F33,'Month of Invoicing'!$A$16:$J$45,8,FALSE),""))</f>
        <v/>
      </c>
      <c r="M33" s="504"/>
      <c r="N33" s="504"/>
      <c r="O33" s="499"/>
      <c r="AM33" s="325" t="e">
        <f>SUBSTITUTE(SUBSTITUTE(#REF!," ",""),"-","")</f>
        <v>#REF!</v>
      </c>
      <c r="AO33" s="325" t="str">
        <f t="shared" si="0"/>
        <v/>
      </c>
      <c r="AP33" s="343" t="str">
        <f t="shared" si="1"/>
        <v/>
      </c>
      <c r="AQ33" s="343" t="str">
        <f t="shared" si="11"/>
        <v/>
      </c>
      <c r="AR33" s="325" t="str">
        <f t="shared" si="12"/>
        <v/>
      </c>
      <c r="AS33" s="325" t="str">
        <f t="shared" si="3"/>
        <v/>
      </c>
      <c r="AU33" s="327" t="str">
        <f t="shared" si="4"/>
        <v/>
      </c>
      <c r="AW33" s="325" t="str">
        <f t="shared" si="5"/>
        <v/>
      </c>
      <c r="AX33" s="325" t="str">
        <f t="shared" si="14"/>
        <v/>
      </c>
      <c r="BI33" s="325" t="str">
        <f>IF(BJ33="","",IF(COUNTIF($BJ$11:BJ33,BJ33)=1,BI32+1,BI32))</f>
        <v/>
      </c>
      <c r="BJ33" s="327" t="str">
        <f t="shared" si="10"/>
        <v/>
      </c>
      <c r="BK33" s="327" t="str">
        <f t="shared" si="6"/>
        <v/>
      </c>
      <c r="BL33" s="325" t="str">
        <f t="shared" si="13"/>
        <v/>
      </c>
      <c r="BM33" s="325" t="str">
        <f t="shared" si="8"/>
        <v/>
      </c>
      <c r="BN33" s="325" t="str">
        <f t="shared" si="9"/>
        <v/>
      </c>
    </row>
    <row r="34" spans="2:66">
      <c r="B34" s="270"/>
      <c r="C34" s="268"/>
      <c r="D34" s="268"/>
      <c r="E34" s="319"/>
      <c r="F34" s="754"/>
      <c r="G34" s="330" t="str">
        <f>IF(F34="","",IFERROR(VLOOKUP(F34,'Month of Invoicing'!$A$16:$D$45,2,FALSE),""))</f>
        <v/>
      </c>
      <c r="H34" s="268" t="str">
        <f>IFERROR(VLOOKUP(G34,'price list MAN'!$B$5:$C$2002,2,FALSE),"")</f>
        <v/>
      </c>
      <c r="I34" s="504"/>
      <c r="J34" s="504"/>
      <c r="K34" s="504"/>
      <c r="L34" s="505" t="str">
        <f>IF(F34="","",IFERROR(VLOOKUP(F34,'Month of Invoicing'!$A$16:$J$45,8,FALSE),""))</f>
        <v/>
      </c>
      <c r="M34" s="504"/>
      <c r="N34" s="504"/>
      <c r="O34" s="499"/>
      <c r="AM34" s="325" t="str">
        <f>SUBSTITUTE(SUBSTITUTE(D26," ",""),"-","")</f>
        <v>PrimaryContactDetails</v>
      </c>
      <c r="AO34" s="325" t="str">
        <f t="shared" si="0"/>
        <v/>
      </c>
      <c r="AP34" s="343" t="str">
        <f t="shared" si="1"/>
        <v/>
      </c>
      <c r="AQ34" s="343" t="str">
        <f>IF(AP34=AP33,"",AP34)</f>
        <v/>
      </c>
      <c r="AR34" s="325" t="str">
        <f t="shared" si="12"/>
        <v/>
      </c>
      <c r="AS34" s="325" t="str">
        <f t="shared" si="3"/>
        <v/>
      </c>
      <c r="AU34" s="327" t="str">
        <f t="shared" si="4"/>
        <v/>
      </c>
      <c r="AW34" s="325" t="str">
        <f t="shared" si="5"/>
        <v/>
      </c>
      <c r="AX34" s="325" t="str">
        <f t="shared" si="14"/>
        <v/>
      </c>
      <c r="BI34" s="325" t="str">
        <f>IF(BJ34="","",IF(COUNTIF($BJ$11:BJ34,BJ34)=1,BI33+1,BI33))</f>
        <v/>
      </c>
      <c r="BJ34" s="327" t="str">
        <f t="shared" si="10"/>
        <v/>
      </c>
      <c r="BK34" s="327" t="str">
        <f t="shared" si="6"/>
        <v/>
      </c>
      <c r="BL34" s="325" t="str">
        <f t="shared" si="13"/>
        <v/>
      </c>
      <c r="BM34" s="325" t="str">
        <f t="shared" si="8"/>
        <v/>
      </c>
      <c r="BN34" s="325" t="str">
        <f t="shared" si="9"/>
        <v/>
      </c>
    </row>
    <row r="35" spans="2:66">
      <c r="B35" s="270"/>
      <c r="C35" s="511" t="s">
        <v>975</v>
      </c>
      <c r="D35" s="512" t="s">
        <v>977</v>
      </c>
      <c r="E35" s="268"/>
      <c r="F35" s="754"/>
      <c r="G35" s="330" t="str">
        <f>IF(F35="","",IFERROR(VLOOKUP(F35,'Month of Invoicing'!$A$16:$D$45,2,FALSE),""))</f>
        <v/>
      </c>
      <c r="H35" s="268" t="str">
        <f>IFERROR(VLOOKUP(G35,'price list MAN'!$B$5:$C$2002,2,FALSE),"")</f>
        <v/>
      </c>
      <c r="I35" s="504"/>
      <c r="J35" s="504"/>
      <c r="K35" s="504"/>
      <c r="L35" s="505" t="str">
        <f>IF(F35="","",IFERROR(VLOOKUP(F35,'Month of Invoicing'!$A$16:$J$45,8,FALSE),""))</f>
        <v/>
      </c>
      <c r="M35" s="504"/>
      <c r="N35" s="504"/>
      <c r="O35" s="499"/>
      <c r="AO35" s="325" t="str">
        <f t="shared" si="0"/>
        <v/>
      </c>
      <c r="AP35" s="343" t="str">
        <f t="shared" si="1"/>
        <v/>
      </c>
      <c r="AQ35" s="343" t="str">
        <f t="shared" si="11"/>
        <v/>
      </c>
      <c r="AR35" s="325" t="str">
        <f t="shared" si="12"/>
        <v/>
      </c>
      <c r="AS35" s="325" t="str">
        <f t="shared" si="3"/>
        <v/>
      </c>
      <c r="AU35" s="327" t="str">
        <f t="shared" si="4"/>
        <v/>
      </c>
      <c r="AW35" s="325" t="str">
        <f t="shared" si="5"/>
        <v/>
      </c>
      <c r="AX35" s="325" t="str">
        <f t="shared" si="14"/>
        <v/>
      </c>
      <c r="BI35" s="325" t="str">
        <f>IF(BJ35="","",IF(COUNTIF($BJ$11:BJ35,BJ35)=1,BI34+1,BI34))</f>
        <v/>
      </c>
      <c r="BJ35" s="327" t="str">
        <f t="shared" si="10"/>
        <v/>
      </c>
      <c r="BK35" s="327" t="str">
        <f t="shared" si="6"/>
        <v/>
      </c>
      <c r="BL35" s="325" t="str">
        <f t="shared" si="13"/>
        <v/>
      </c>
      <c r="BM35" s="325" t="str">
        <f t="shared" si="8"/>
        <v/>
      </c>
      <c r="BN35" s="325" t="str">
        <f t="shared" si="9"/>
        <v/>
      </c>
    </row>
    <row r="36" spans="2:66">
      <c r="B36" s="270"/>
      <c r="C36" s="315" t="s">
        <v>978</v>
      </c>
      <c r="D36" s="513"/>
      <c r="E36" s="268"/>
      <c r="F36" s="754"/>
      <c r="G36" s="330" t="str">
        <f>IF(F36="","",IFERROR(VLOOKUP(F36,'Month of Invoicing'!$A$16:$D$45,2,FALSE),""))</f>
        <v/>
      </c>
      <c r="H36" s="268" t="str">
        <f>IFERROR(VLOOKUP(G36,'price list MAN'!$B$5:$C$2002,2,FALSE),"")</f>
        <v/>
      </c>
      <c r="I36" s="504"/>
      <c r="J36" s="504"/>
      <c r="K36" s="504"/>
      <c r="L36" s="505" t="str">
        <f>IF(F36="","",IFERROR(VLOOKUP(F36,'Month of Invoicing'!$A$16:$J$45,8,FALSE),""))</f>
        <v/>
      </c>
      <c r="M36" s="504"/>
      <c r="N36" s="504"/>
      <c r="O36" s="499"/>
      <c r="AO36" s="325" t="str">
        <f t="shared" si="0"/>
        <v/>
      </c>
      <c r="AP36" s="343" t="str">
        <f t="shared" si="1"/>
        <v/>
      </c>
      <c r="AQ36" s="343" t="str">
        <f t="shared" si="11"/>
        <v/>
      </c>
      <c r="AR36" s="325" t="str">
        <f t="shared" si="12"/>
        <v/>
      </c>
      <c r="AS36" s="325" t="str">
        <f t="shared" si="3"/>
        <v/>
      </c>
      <c r="AU36" s="327" t="str">
        <f t="shared" si="4"/>
        <v/>
      </c>
      <c r="AW36" s="325" t="str">
        <f t="shared" si="5"/>
        <v/>
      </c>
      <c r="AX36" s="325" t="str">
        <f t="shared" si="14"/>
        <v/>
      </c>
      <c r="BI36" s="325" t="str">
        <f>IF(BJ36="","",IF(COUNTIF($BJ$11:BJ36,BJ36)=1,BI35+1,BI35))</f>
        <v/>
      </c>
      <c r="BJ36" s="327" t="str">
        <f t="shared" si="10"/>
        <v/>
      </c>
      <c r="BK36" s="327" t="str">
        <f t="shared" si="6"/>
        <v/>
      </c>
      <c r="BL36" s="325" t="str">
        <f t="shared" si="13"/>
        <v/>
      </c>
      <c r="BM36" s="325" t="str">
        <f t="shared" si="8"/>
        <v/>
      </c>
      <c r="BN36" s="325" t="str">
        <f t="shared" si="9"/>
        <v/>
      </c>
    </row>
    <row r="37" spans="2:66">
      <c r="B37" s="270"/>
      <c r="C37" s="315" t="s">
        <v>979</v>
      </c>
      <c r="D37" s="516"/>
      <c r="E37" s="268"/>
      <c r="F37" s="754"/>
      <c r="G37" s="330" t="str">
        <f>IF(F37="","",IFERROR(VLOOKUP(F37,'Month of Invoicing'!$A$16:$D$45,2,FALSE),""))</f>
        <v/>
      </c>
      <c r="H37" s="268" t="str">
        <f>IFERROR(VLOOKUP(G37,'price list MAN'!$B$5:$C$2002,2,FALSE),"")</f>
        <v/>
      </c>
      <c r="I37" s="504"/>
      <c r="J37" s="504"/>
      <c r="K37" s="504"/>
      <c r="L37" s="505" t="str">
        <f>IF(F37="","",IFERROR(VLOOKUP(F37,'Month of Invoicing'!$A$16:$J$45,8,FALSE),""))</f>
        <v/>
      </c>
      <c r="M37" s="504"/>
      <c r="N37" s="504"/>
      <c r="O37" s="499"/>
      <c r="AO37" s="325" t="str">
        <f t="shared" si="0"/>
        <v/>
      </c>
      <c r="AP37" s="343" t="str">
        <f t="shared" si="1"/>
        <v/>
      </c>
      <c r="AQ37" s="343" t="str">
        <f t="shared" si="11"/>
        <v/>
      </c>
      <c r="AR37" s="325" t="str">
        <f>IF(AQ37&lt;&gt;"",COUNTIF(AP37:AP62,AQ37),"")</f>
        <v/>
      </c>
      <c r="AS37" s="325" t="str">
        <f t="shared" si="3"/>
        <v/>
      </c>
      <c r="AU37" s="327" t="str">
        <f t="shared" si="4"/>
        <v/>
      </c>
      <c r="AW37" s="325" t="str">
        <f t="shared" si="5"/>
        <v/>
      </c>
      <c r="AX37" s="325" t="str">
        <f t="shared" si="14"/>
        <v/>
      </c>
      <c r="BI37" s="325" t="str">
        <f>IF(BJ37="","",IF(COUNTIF($BJ$11:BJ37,BJ37)=1,BI36+1,BI36))</f>
        <v/>
      </c>
      <c r="BJ37" s="327" t="str">
        <f t="shared" si="10"/>
        <v/>
      </c>
      <c r="BK37" s="327" t="str">
        <f t="shared" si="6"/>
        <v/>
      </c>
      <c r="BL37" s="325" t="str">
        <f>IF(BK37&lt;&gt;"",COUNTIF(BJ37:BJ62,BK37),"")</f>
        <v/>
      </c>
      <c r="BM37" s="325" t="str">
        <f t="shared" si="8"/>
        <v/>
      </c>
      <c r="BN37" s="325" t="str">
        <f t="shared" si="9"/>
        <v/>
      </c>
    </row>
    <row r="38" spans="2:66">
      <c r="B38" s="270"/>
      <c r="C38" s="315" t="s">
        <v>980</v>
      </c>
      <c r="D38" s="516"/>
      <c r="E38" s="268"/>
      <c r="F38" s="754"/>
      <c r="G38" s="330" t="str">
        <f>IF(F38="","",IFERROR(VLOOKUP(F38,'Month of Invoicing'!$A$16:$D$45,2,FALSE),""))</f>
        <v/>
      </c>
      <c r="H38" s="268" t="str">
        <f>IFERROR(VLOOKUP(G38,'price list MAN'!$B$5:$C$2002,2,FALSE),"")</f>
        <v/>
      </c>
      <c r="I38" s="504"/>
      <c r="J38" s="504"/>
      <c r="K38" s="504"/>
      <c r="L38" s="505" t="str">
        <f>IF(F38="","",IFERROR(VLOOKUP(F38,'Month of Invoicing'!$A$16:$J$45,8,FALSE),""))</f>
        <v/>
      </c>
      <c r="M38" s="504"/>
      <c r="N38" s="504"/>
      <c r="O38" s="499"/>
      <c r="AO38" s="325" t="str">
        <f t="shared" si="0"/>
        <v/>
      </c>
      <c r="AP38" s="343" t="str">
        <f t="shared" si="1"/>
        <v/>
      </c>
      <c r="AQ38" s="343" t="str">
        <f t="shared" si="11"/>
        <v/>
      </c>
      <c r="AR38" s="325" t="str">
        <f>IF(AQ38&lt;&gt;"",COUNTIF(AP38:AP63,AQ38),"")</f>
        <v/>
      </c>
      <c r="AS38" s="325" t="str">
        <f t="shared" si="3"/>
        <v/>
      </c>
      <c r="AU38" s="327" t="str">
        <f t="shared" si="4"/>
        <v/>
      </c>
      <c r="AW38" s="325" t="str">
        <f t="shared" si="5"/>
        <v/>
      </c>
      <c r="AX38" s="325" t="str">
        <f t="shared" si="14"/>
        <v/>
      </c>
      <c r="BI38" s="325" t="str">
        <f>IF(BJ38="","",IF(COUNTIF($BJ$11:BJ38,BJ38)=1,BI37+1,BI37))</f>
        <v/>
      </c>
      <c r="BJ38" s="327" t="str">
        <f t="shared" si="10"/>
        <v/>
      </c>
      <c r="BK38" s="327" t="str">
        <f t="shared" si="6"/>
        <v/>
      </c>
      <c r="BL38" s="325" t="str">
        <f>IF(BK38&lt;&gt;"",COUNTIF(BJ38:BJ63,BK38),"")</f>
        <v/>
      </c>
      <c r="BM38" s="325" t="str">
        <f t="shared" si="8"/>
        <v/>
      </c>
      <c r="BN38" s="325" t="str">
        <f t="shared" si="9"/>
        <v/>
      </c>
    </row>
    <row r="39" spans="2:66" ht="16.149999999999999" customHeight="1">
      <c r="B39" s="270"/>
      <c r="C39" s="315" t="s">
        <v>981</v>
      </c>
      <c r="D39" s="514"/>
      <c r="E39" s="268"/>
      <c r="F39" s="311"/>
      <c r="G39" s="331"/>
      <c r="H39" s="313"/>
      <c r="I39" s="324" t="str">
        <f>IF(F39="","",IF(ISNUMBER('[3]Deal Sheet'!G39),"In Stock","CKD"))</f>
        <v/>
      </c>
      <c r="J39" s="324"/>
      <c r="K39" s="324"/>
      <c r="L39" s="517"/>
      <c r="M39" s="510"/>
      <c r="N39" s="510"/>
      <c r="O39" s="499"/>
      <c r="AO39" s="325" t="str">
        <f t="shared" si="0"/>
        <v/>
      </c>
      <c r="AP39" s="343" t="str">
        <f t="shared" si="1"/>
        <v/>
      </c>
      <c r="AQ39" s="343" t="str">
        <f t="shared" si="11"/>
        <v/>
      </c>
      <c r="AR39" s="325" t="str">
        <f>IF(AQ39&lt;&gt;"",COUNTIF(AP39:AP64,AQ39),"")</f>
        <v/>
      </c>
      <c r="AS39" s="325" t="str">
        <f t="shared" si="3"/>
        <v/>
      </c>
      <c r="AU39" s="327" t="str">
        <f t="shared" si="4"/>
        <v/>
      </c>
      <c r="AW39" s="325" t="str">
        <f t="shared" si="5"/>
        <v/>
      </c>
      <c r="AX39" s="325" t="str">
        <f t="shared" si="14"/>
        <v/>
      </c>
      <c r="BI39" s="325" t="str">
        <f>IF(BJ39="","",IF(COUNTIF($BJ$11:BJ39,BJ39)=1,BI38+1,BI38))</f>
        <v/>
      </c>
      <c r="BJ39" s="327" t="str">
        <f t="shared" si="10"/>
        <v/>
      </c>
      <c r="BK39" s="327" t="str">
        <f t="shared" si="6"/>
        <v/>
      </c>
      <c r="BL39" s="325" t="str">
        <f>IF(BK39&lt;&gt;"",COUNTIF(BJ39:BJ64,BK39),"")</f>
        <v/>
      </c>
      <c r="BM39" s="325" t="str">
        <f t="shared" si="8"/>
        <v/>
      </c>
      <c r="BN39" s="325" t="str">
        <f t="shared" si="9"/>
        <v/>
      </c>
    </row>
    <row r="40" spans="2:66">
      <c r="B40" s="270"/>
      <c r="C40" s="315" t="s">
        <v>982</v>
      </c>
      <c r="D40" s="518"/>
      <c r="E40" s="268"/>
      <c r="F40" s="268"/>
      <c r="G40" s="268"/>
      <c r="H40" s="268"/>
      <c r="I40" s="298"/>
      <c r="J40" s="298"/>
      <c r="K40" s="298"/>
      <c r="L40" s="268"/>
      <c r="N40" s="268"/>
      <c r="O40" s="499"/>
      <c r="AO40" s="325" t="str">
        <f t="shared" si="0"/>
        <v/>
      </c>
      <c r="AP40" s="343" t="str">
        <f t="shared" si="1"/>
        <v/>
      </c>
      <c r="AQ40" s="343" t="str">
        <f t="shared" si="11"/>
        <v/>
      </c>
      <c r="AR40" s="325" t="str">
        <f>IF(AQ40&lt;&gt;"",COUNTIF(AP40:AP65,AQ40),"")</f>
        <v/>
      </c>
      <c r="AS40" s="325" t="str">
        <f t="shared" si="3"/>
        <v/>
      </c>
      <c r="AU40" s="327" t="str">
        <f t="shared" si="4"/>
        <v/>
      </c>
      <c r="AW40" s="325" t="str">
        <f t="shared" si="5"/>
        <v/>
      </c>
      <c r="AX40" s="325" t="str">
        <f t="shared" si="14"/>
        <v/>
      </c>
      <c r="BI40" s="325" t="str">
        <f>IF(BJ40="","",IF(COUNTIF($BJ$11:BJ40,BJ40)=1,BI39+1,BI39))</f>
        <v/>
      </c>
      <c r="BJ40" s="327" t="str">
        <f t="shared" si="10"/>
        <v/>
      </c>
      <c r="BK40" s="327" t="str">
        <f t="shared" si="6"/>
        <v/>
      </c>
      <c r="BL40" s="325" t="str">
        <f>IF(BK40&lt;&gt;"",COUNTIF(BJ40:BJ65,BK40),"")</f>
        <v/>
      </c>
      <c r="BM40" s="325" t="str">
        <f t="shared" si="8"/>
        <v/>
      </c>
      <c r="BN40" s="325" t="str">
        <f t="shared" si="9"/>
        <v/>
      </c>
    </row>
    <row r="41" spans="2:66" ht="14.5" customHeight="1">
      <c r="B41" s="270"/>
      <c r="C41" s="315" t="s">
        <v>616</v>
      </c>
      <c r="D41" s="518"/>
      <c r="E41" s="268"/>
      <c r="F41" s="1323" t="s">
        <v>993</v>
      </c>
      <c r="G41" s="1323"/>
      <c r="H41" s="1323"/>
      <c r="I41" s="1323"/>
      <c r="J41" s="1323"/>
      <c r="K41" s="1323"/>
      <c r="L41" s="1323"/>
      <c r="M41" s="1323"/>
      <c r="N41" s="1323"/>
      <c r="O41" s="499"/>
      <c r="AP41" s="343"/>
      <c r="AU41" s="327" t="str">
        <f t="shared" si="4"/>
        <v/>
      </c>
      <c r="BJ41" s="327"/>
      <c r="BK41" s="327"/>
    </row>
    <row r="42" spans="2:66" ht="14.5" customHeight="1">
      <c r="B42" s="270"/>
      <c r="C42" s="316" t="s">
        <v>983</v>
      </c>
      <c r="D42" s="515"/>
      <c r="E42" s="268"/>
      <c r="F42" s="1323"/>
      <c r="G42" s="1323"/>
      <c r="H42" s="1323"/>
      <c r="I42" s="1323"/>
      <c r="J42" s="1323"/>
      <c r="K42" s="1323"/>
      <c r="L42" s="1323"/>
      <c r="M42" s="1323"/>
      <c r="N42" s="1323"/>
      <c r="O42" s="499"/>
      <c r="AP42" s="343"/>
    </row>
    <row r="43" spans="2:66" ht="13.15" customHeight="1">
      <c r="B43" s="270"/>
      <c r="C43" s="268"/>
      <c r="D43" s="268"/>
      <c r="E43" s="268"/>
      <c r="F43" s="1323"/>
      <c r="G43" s="1323"/>
      <c r="H43" s="1323"/>
      <c r="I43" s="1323"/>
      <c r="J43" s="1323"/>
      <c r="K43" s="1323"/>
      <c r="L43" s="1323"/>
      <c r="M43" s="1323"/>
      <c r="N43" s="1323"/>
      <c r="O43" s="499"/>
    </row>
    <row r="44" spans="2:66" ht="13.15" customHeight="1">
      <c r="B44" s="270"/>
      <c r="C44" s="511" t="s">
        <v>984</v>
      </c>
      <c r="D44" s="512" t="s">
        <v>976</v>
      </c>
      <c r="E44" s="268"/>
      <c r="F44" s="1323"/>
      <c r="G44" s="1323"/>
      <c r="H44" s="1323"/>
      <c r="I44" s="1323"/>
      <c r="J44" s="1323"/>
      <c r="K44" s="1323"/>
      <c r="L44" s="1323"/>
      <c r="M44" s="1323"/>
      <c r="N44" s="1323"/>
      <c r="O44" s="499"/>
    </row>
    <row r="45" spans="2:66" ht="13.15" customHeight="1">
      <c r="B45" s="270"/>
      <c r="C45" s="315" t="s">
        <v>978</v>
      </c>
      <c r="D45" s="513"/>
      <c r="E45" s="268"/>
      <c r="F45" s="1323"/>
      <c r="G45" s="1323"/>
      <c r="H45" s="1323"/>
      <c r="I45" s="1323"/>
      <c r="J45" s="1323"/>
      <c r="K45" s="1323"/>
      <c r="L45" s="1323"/>
      <c r="M45" s="1323"/>
      <c r="N45" s="1323"/>
      <c r="O45" s="499"/>
    </row>
    <row r="46" spans="2:66" ht="13.15" customHeight="1">
      <c r="B46" s="270"/>
      <c r="C46" s="315" t="s">
        <v>979</v>
      </c>
      <c r="D46" s="516"/>
      <c r="E46" s="268"/>
      <c r="F46" s="1323"/>
      <c r="G46" s="1323"/>
      <c r="H46" s="1323"/>
      <c r="I46" s="1323"/>
      <c r="J46" s="1323"/>
      <c r="K46" s="1323"/>
      <c r="L46" s="1323"/>
      <c r="M46" s="1323"/>
      <c r="N46" s="1323"/>
      <c r="O46" s="499"/>
    </row>
    <row r="47" spans="2:66" ht="13.15" customHeight="1">
      <c r="B47" s="270"/>
      <c r="C47" s="315" t="s">
        <v>980</v>
      </c>
      <c r="D47" s="516"/>
      <c r="E47" s="268"/>
      <c r="F47" s="1323"/>
      <c r="G47" s="1323"/>
      <c r="H47" s="1323"/>
      <c r="I47" s="1323"/>
      <c r="J47" s="1323"/>
      <c r="K47" s="1323"/>
      <c r="L47" s="1323"/>
      <c r="M47" s="1323"/>
      <c r="N47" s="1323"/>
      <c r="O47" s="499"/>
    </row>
    <row r="48" spans="2:66" ht="13.15" customHeight="1">
      <c r="B48" s="270"/>
      <c r="C48" s="315" t="s">
        <v>981</v>
      </c>
      <c r="D48" s="514"/>
      <c r="E48" s="268"/>
      <c r="F48" s="1323"/>
      <c r="G48" s="1323"/>
      <c r="H48" s="1323"/>
      <c r="I48" s="1323"/>
      <c r="J48" s="1323"/>
      <c r="K48" s="1323"/>
      <c r="L48" s="1323"/>
      <c r="M48" s="1323"/>
      <c r="N48" s="1323"/>
      <c r="O48" s="499"/>
    </row>
    <row r="49" spans="2:17" ht="13.15" customHeight="1">
      <c r="B49" s="270"/>
      <c r="C49" s="315" t="s">
        <v>982</v>
      </c>
      <c r="D49" s="518"/>
      <c r="E49" s="268"/>
      <c r="F49" s="1323"/>
      <c r="G49" s="1323"/>
      <c r="H49" s="1323"/>
      <c r="I49" s="1323"/>
      <c r="J49" s="1323"/>
      <c r="K49" s="1323"/>
      <c r="L49" s="1323"/>
      <c r="M49" s="1323"/>
      <c r="N49" s="1323"/>
      <c r="O49" s="499"/>
    </row>
    <row r="50" spans="2:17" ht="13.15" customHeight="1">
      <c r="B50" s="270"/>
      <c r="C50" s="315" t="s">
        <v>616</v>
      </c>
      <c r="D50" s="518"/>
      <c r="E50" s="519"/>
      <c r="F50" s="1323"/>
      <c r="G50" s="1323"/>
      <c r="H50" s="1323"/>
      <c r="I50" s="1323"/>
      <c r="J50" s="1323"/>
      <c r="K50" s="1323"/>
      <c r="L50" s="1323"/>
      <c r="M50" s="1323"/>
      <c r="N50" s="1323"/>
      <c r="O50" s="499"/>
    </row>
    <row r="51" spans="2:17" ht="14.5" customHeight="1">
      <c r="B51" s="270"/>
      <c r="C51" s="316" t="s">
        <v>983</v>
      </c>
      <c r="D51" s="515"/>
      <c r="E51" s="519"/>
      <c r="F51" s="1323"/>
      <c r="G51" s="1323"/>
      <c r="H51" s="1323"/>
      <c r="I51" s="1323"/>
      <c r="J51" s="1323"/>
      <c r="K51" s="1323"/>
      <c r="L51" s="1323"/>
      <c r="M51" s="1323"/>
      <c r="N51" s="1323"/>
      <c r="O51" s="499"/>
    </row>
    <row r="52" spans="2:17" ht="14.5" customHeight="1">
      <c r="B52" s="270"/>
      <c r="C52" s="519"/>
      <c r="D52" s="519"/>
      <c r="E52" s="519"/>
      <c r="F52" s="1323"/>
      <c r="G52" s="1323"/>
      <c r="H52" s="1323"/>
      <c r="I52" s="1323"/>
      <c r="J52" s="1323"/>
      <c r="K52" s="1323"/>
      <c r="L52" s="1323"/>
      <c r="M52" s="1323"/>
      <c r="N52" s="1323"/>
      <c r="O52" s="499"/>
    </row>
    <row r="53" spans="2:17" ht="14.5" customHeight="1">
      <c r="B53" s="270"/>
      <c r="C53" s="511" t="s">
        <v>984</v>
      </c>
      <c r="D53" s="512" t="s">
        <v>977</v>
      </c>
      <c r="E53" s="519"/>
      <c r="F53" s="1323"/>
      <c r="G53" s="1323"/>
      <c r="H53" s="1323"/>
      <c r="I53" s="1323"/>
      <c r="J53" s="1323"/>
      <c r="K53" s="1323"/>
      <c r="L53" s="1323"/>
      <c r="M53" s="1323"/>
      <c r="N53" s="1323"/>
      <c r="O53" s="499"/>
    </row>
    <row r="54" spans="2:17" ht="14.5" customHeight="1">
      <c r="B54" s="270"/>
      <c r="C54" s="315" t="s">
        <v>978</v>
      </c>
      <c r="D54" s="513"/>
      <c r="E54" s="519"/>
      <c r="F54" s="1323"/>
      <c r="G54" s="1323"/>
      <c r="H54" s="1323"/>
      <c r="I54" s="1323"/>
      <c r="J54" s="1323"/>
      <c r="K54" s="1323"/>
      <c r="L54" s="1323"/>
      <c r="M54" s="1323"/>
      <c r="N54" s="1323"/>
      <c r="O54" s="499"/>
    </row>
    <row r="55" spans="2:17" ht="15" customHeight="1">
      <c r="B55" s="270"/>
      <c r="C55" s="315" t="s">
        <v>979</v>
      </c>
      <c r="D55" s="516"/>
      <c r="E55" s="519"/>
      <c r="F55" s="1323"/>
      <c r="G55" s="1323"/>
      <c r="H55" s="1323"/>
      <c r="I55" s="1323"/>
      <c r="J55" s="1323"/>
      <c r="K55" s="1323"/>
      <c r="L55" s="1323"/>
      <c r="M55" s="1323"/>
      <c r="N55" s="1323"/>
      <c r="O55" s="499"/>
    </row>
    <row r="56" spans="2:17" ht="13.15" customHeight="1">
      <c r="B56" s="270"/>
      <c r="C56" s="315" t="s">
        <v>980</v>
      </c>
      <c r="D56" s="516"/>
      <c r="E56" s="519"/>
      <c r="F56" s="1323"/>
      <c r="G56" s="1323"/>
      <c r="H56" s="1323"/>
      <c r="I56" s="1323"/>
      <c r="J56" s="1323"/>
      <c r="K56" s="1323"/>
      <c r="L56" s="1323"/>
      <c r="M56" s="1323"/>
      <c r="N56" s="1323"/>
      <c r="O56" s="499"/>
    </row>
    <row r="57" spans="2:17" ht="13.15" customHeight="1">
      <c r="B57" s="270"/>
      <c r="C57" s="315" t="s">
        <v>981</v>
      </c>
      <c r="D57" s="514"/>
      <c r="E57" s="519"/>
      <c r="F57" s="1323"/>
      <c r="G57" s="1323"/>
      <c r="H57" s="1323"/>
      <c r="I57" s="1323"/>
      <c r="J57" s="1323"/>
      <c r="K57" s="1323"/>
      <c r="L57" s="1323"/>
      <c r="M57" s="1323"/>
      <c r="N57" s="1323"/>
      <c r="O57" s="499"/>
    </row>
    <row r="58" spans="2:17" ht="13.15" customHeight="1">
      <c r="B58" s="270"/>
      <c r="C58" s="315" t="s">
        <v>982</v>
      </c>
      <c r="D58" s="518"/>
      <c r="E58" s="519"/>
      <c r="F58" s="1323"/>
      <c r="G58" s="1323"/>
      <c r="H58" s="1323"/>
      <c r="I58" s="1323"/>
      <c r="J58" s="1323"/>
      <c r="K58" s="1323"/>
      <c r="L58" s="1323"/>
      <c r="M58" s="1323"/>
      <c r="N58" s="1323"/>
      <c r="O58" s="499"/>
    </row>
    <row r="59" spans="2:17" ht="13.15" customHeight="1">
      <c r="B59" s="270"/>
      <c r="C59" s="315" t="s">
        <v>616</v>
      </c>
      <c r="D59" s="518"/>
      <c r="E59" s="519"/>
      <c r="F59" s="1323"/>
      <c r="G59" s="1323"/>
      <c r="H59" s="1323"/>
      <c r="I59" s="1323"/>
      <c r="J59" s="1323"/>
      <c r="K59" s="1323"/>
      <c r="L59" s="1323"/>
      <c r="M59" s="1323"/>
      <c r="N59" s="1323"/>
      <c r="O59" s="499"/>
    </row>
    <row r="60" spans="2:17" ht="13.15" customHeight="1">
      <c r="B60" s="270"/>
      <c r="C60" s="316" t="s">
        <v>983</v>
      </c>
      <c r="D60" s="515"/>
      <c r="E60" s="519"/>
      <c r="F60" s="1323"/>
      <c r="G60" s="1323"/>
      <c r="H60" s="1323"/>
      <c r="I60" s="1323"/>
      <c r="J60" s="1323"/>
      <c r="K60" s="1323"/>
      <c r="L60" s="1323"/>
      <c r="M60" s="1323"/>
      <c r="N60" s="1323"/>
      <c r="O60" s="499"/>
    </row>
    <row r="61" spans="2:17" ht="48.75" customHeight="1">
      <c r="B61" s="270"/>
      <c r="C61" s="519"/>
      <c r="D61" s="519"/>
      <c r="E61" s="519"/>
      <c r="F61" s="1323"/>
      <c r="G61" s="1323"/>
      <c r="H61" s="1323"/>
      <c r="I61" s="1323"/>
      <c r="J61" s="1323"/>
      <c r="K61" s="1323"/>
      <c r="L61" s="1323"/>
      <c r="M61" s="1323"/>
      <c r="N61" s="1323"/>
      <c r="O61" s="499"/>
    </row>
    <row r="62" spans="2:17" ht="13.15" customHeight="1" thickBot="1">
      <c r="B62" s="272"/>
      <c r="C62" s="520"/>
      <c r="D62" s="520"/>
      <c r="E62" s="520"/>
      <c r="F62" s="275"/>
      <c r="G62" s="275"/>
      <c r="H62" s="275"/>
      <c r="I62" s="275"/>
      <c r="J62" s="275"/>
      <c r="K62" s="275"/>
      <c r="L62" s="275"/>
      <c r="M62" s="275"/>
      <c r="N62" s="275"/>
      <c r="O62" s="521"/>
    </row>
    <row r="63" spans="2:17" ht="13.15" customHeight="1">
      <c r="B63" s="268"/>
      <c r="C63" s="519"/>
      <c r="D63" s="519"/>
      <c r="E63" s="519"/>
      <c r="F63" s="268"/>
      <c r="G63" s="268"/>
      <c r="H63" s="268"/>
      <c r="I63" s="268"/>
      <c r="J63" s="268"/>
      <c r="K63" s="268"/>
      <c r="L63" s="268"/>
      <c r="N63" s="268"/>
      <c r="O63" s="522"/>
      <c r="P63" s="735"/>
      <c r="Q63" s="735"/>
    </row>
    <row r="64" spans="2:17" ht="13.15" customHeight="1">
      <c r="B64" s="268"/>
      <c r="C64" s="519"/>
      <c r="D64" s="519"/>
      <c r="E64" s="519"/>
      <c r="F64" s="268"/>
      <c r="G64" s="268"/>
      <c r="H64" s="268"/>
      <c r="I64" s="268"/>
      <c r="J64" s="268"/>
      <c r="K64" s="268"/>
      <c r="L64" s="268"/>
      <c r="N64" s="268"/>
      <c r="O64" s="522"/>
      <c r="P64" s="735"/>
      <c r="Q64" s="735"/>
    </row>
    <row r="65" spans="2:17" ht="13.15" customHeight="1">
      <c r="B65" s="268"/>
      <c r="C65" s="519"/>
      <c r="D65" s="519"/>
      <c r="E65" s="519"/>
      <c r="F65" s="268"/>
      <c r="G65" s="268"/>
      <c r="H65" s="268"/>
      <c r="I65" s="268"/>
      <c r="J65" s="268"/>
      <c r="K65" s="268"/>
      <c r="L65" s="268"/>
      <c r="N65" s="268"/>
      <c r="O65" s="522"/>
      <c r="P65" s="735"/>
      <c r="Q65" s="735"/>
    </row>
    <row r="66" spans="2:17" ht="13.9" customHeight="1">
      <c r="B66" s="268"/>
      <c r="C66" s="519"/>
      <c r="D66" s="519"/>
      <c r="E66" s="519"/>
      <c r="F66" s="268"/>
      <c r="G66" s="268"/>
      <c r="H66" s="268"/>
      <c r="I66" s="268"/>
      <c r="J66" s="268"/>
      <c r="K66" s="268"/>
      <c r="L66" s="268"/>
      <c r="N66" s="268"/>
      <c r="O66" s="522"/>
      <c r="P66" s="735"/>
      <c r="Q66" s="735"/>
    </row>
    <row r="67" spans="2:17" ht="14.4">
      <c r="B67" s="268"/>
      <c r="C67" s="519"/>
      <c r="D67" s="519"/>
      <c r="E67" s="268"/>
      <c r="F67" s="268"/>
      <c r="G67" s="268"/>
      <c r="H67" s="268"/>
      <c r="I67" s="268"/>
      <c r="J67" s="268"/>
      <c r="K67" s="268"/>
      <c r="L67" s="268"/>
      <c r="N67" s="268"/>
      <c r="O67" s="522"/>
      <c r="P67" s="735"/>
      <c r="Q67" s="735"/>
    </row>
  </sheetData>
  <sheetProtection algorithmName="SHA-512" hashValue="Odr+aAqgGtuC3swiCVJ149X/RJ46QA4s6OxfxR/byKzbcItVRD7Buq5sc2RbrWueHvTHjPlUgyH1S+VHrvAtFg==" saltValue="EcayNZGPx+LkrGsaF9xmig==" spinCount="100000" sheet="1" objects="1" scenarios="1"/>
  <mergeCells count="5">
    <mergeCell ref="C3:H3"/>
    <mergeCell ref="F6:N6"/>
    <mergeCell ref="C16:D16"/>
    <mergeCell ref="C18:D18"/>
    <mergeCell ref="F41:N61"/>
  </mergeCells>
  <dataValidations count="4">
    <dataValidation type="list" allowBlank="1" showInputMessage="1" showErrorMessage="1" sqref="D22" xr:uid="{00000000-0002-0000-0500-000000000000}">
      <formula1>$U$3:$U$5</formula1>
    </dataValidation>
    <dataValidation type="list" allowBlank="1" showInputMessage="1" showErrorMessage="1" sqref="D24" xr:uid="{00000000-0002-0000-0500-000001000000}">
      <formula1>$V$3:$V$5</formula1>
    </dataValidation>
    <dataValidation type="list" allowBlank="1" showInputMessage="1" showErrorMessage="1" sqref="D15" xr:uid="{00000000-0002-0000-0500-000002000000}">
      <formula1>$W$3:$W$4</formula1>
    </dataValidation>
    <dataValidation type="list" allowBlank="1" showInputMessage="1" showErrorMessage="1" sqref="D20" xr:uid="{00000000-0002-0000-0500-000003000000}">
      <formula1>$V$10:$V$16</formula1>
    </dataValidation>
  </dataValidations>
  <printOptions horizontalCentered="1" verticalCentered="1"/>
  <pageMargins left="0" right="0" top="0" bottom="0" header="0" footer="0"/>
  <pageSetup paperSize="9" scale="66" fitToHeight="2" orientation="landscape" verticalDpi="4"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BM102"/>
  <sheetViews>
    <sheetView topLeftCell="A49" zoomScaleNormal="100" workbookViewId="0">
      <selection activeCell="J71" sqref="J71"/>
    </sheetView>
  </sheetViews>
  <sheetFormatPr defaultColWidth="8.83984375" defaultRowHeight="12.3"/>
  <cols>
    <col min="1" max="1" width="8.83984375" style="278"/>
    <col min="2" max="2" width="8.15625" style="278" customWidth="1"/>
    <col min="3" max="3" width="26.68359375" style="278" customWidth="1"/>
    <col min="4" max="4" width="11.68359375" style="278" customWidth="1"/>
    <col min="5" max="5" width="14.68359375" style="278" customWidth="1"/>
    <col min="6" max="6" width="18.41796875" style="278" customWidth="1"/>
    <col min="7" max="7" width="3.41796875" style="278" customWidth="1"/>
    <col min="8" max="9" width="13.26171875" style="278" customWidth="1"/>
    <col min="10" max="10" width="8.41796875" style="278" customWidth="1"/>
    <col min="11" max="11" width="8.83984375" style="278" customWidth="1"/>
    <col min="12" max="12" width="17.83984375" style="278" customWidth="1"/>
    <col min="13" max="13" width="23.83984375" style="278" customWidth="1"/>
    <col min="14" max="14" width="8.15625" style="278" customWidth="1"/>
    <col min="15" max="15" width="14.578125" style="735" bestFit="1" customWidth="1"/>
    <col min="16" max="16" width="7.68359375" style="735" customWidth="1"/>
    <col min="17" max="17" width="11.68359375" style="735" customWidth="1"/>
    <col min="18" max="18" width="12" style="735" customWidth="1"/>
    <col min="19" max="19" width="8.83984375" style="1014"/>
    <col min="20" max="21" width="9.578125" style="1014" customWidth="1"/>
    <col min="22" max="22" width="10.26171875" style="740" customWidth="1"/>
    <col min="23" max="43" width="8.83984375" style="735"/>
    <col min="44" max="44" width="5.68359375" style="735" customWidth="1"/>
    <col min="45" max="57" width="8.83984375" style="735"/>
    <col min="58" max="65" width="8.83984375" style="325"/>
    <col min="66" max="16384" width="8.83984375" style="278"/>
  </cols>
  <sheetData>
    <row r="1" spans="1:44">
      <c r="A1" s="268"/>
      <c r="B1" s="268"/>
      <c r="C1" s="268"/>
      <c r="D1" s="268"/>
      <c r="E1" s="268"/>
      <c r="F1" s="268"/>
      <c r="G1" s="268"/>
      <c r="H1" s="268"/>
      <c r="I1" s="268"/>
      <c r="J1" s="268"/>
      <c r="K1" s="268"/>
      <c r="L1" s="268"/>
      <c r="M1" s="268"/>
      <c r="N1" s="268"/>
    </row>
    <row r="2" spans="1:44">
      <c r="A2" s="268"/>
      <c r="B2" s="268"/>
      <c r="C2" s="268"/>
      <c r="D2" s="268"/>
      <c r="E2" s="268"/>
      <c r="F2" s="268"/>
      <c r="G2" s="268"/>
      <c r="H2" s="268"/>
      <c r="I2" s="268"/>
      <c r="J2" s="268"/>
      <c r="K2" s="268"/>
      <c r="L2" s="268"/>
      <c r="M2" s="268"/>
      <c r="N2" s="268"/>
    </row>
    <row r="3" spans="1:44" ht="16.5">
      <c r="A3" s="268"/>
      <c r="B3" s="268"/>
      <c r="C3" s="597" t="s">
        <v>567</v>
      </c>
      <c r="D3" s="268"/>
      <c r="E3" s="268"/>
      <c r="F3" s="268"/>
      <c r="G3" s="268"/>
      <c r="H3" s="268"/>
      <c r="I3" s="268"/>
      <c r="J3" s="268"/>
      <c r="K3" s="268"/>
      <c r="L3" s="294" t="s">
        <v>565</v>
      </c>
      <c r="M3" s="596"/>
      <c r="N3" s="268"/>
      <c r="Q3" s="735" t="s">
        <v>52</v>
      </c>
      <c r="R3" s="735" t="s">
        <v>1053</v>
      </c>
      <c r="W3" s="735" t="s">
        <v>1063</v>
      </c>
      <c r="AB3" s="740"/>
      <c r="AC3" s="735" t="s">
        <v>1065</v>
      </c>
      <c r="AH3" s="740"/>
      <c r="AI3" s="735" t="s">
        <v>1064</v>
      </c>
      <c r="AN3" s="740"/>
      <c r="AO3" s="735" t="s">
        <v>1066</v>
      </c>
    </row>
    <row r="4" spans="1:44" ht="13.15" customHeight="1">
      <c r="A4" s="268"/>
      <c r="B4" s="268"/>
      <c r="C4" s="268"/>
      <c r="D4" s="268"/>
      <c r="E4" s="268"/>
      <c r="F4" s="268"/>
      <c r="G4" s="268"/>
      <c r="H4" s="268"/>
      <c r="I4" s="268"/>
      <c r="J4" s="268"/>
      <c r="K4" s="268"/>
      <c r="L4" s="747" t="s">
        <v>566</v>
      </c>
      <c r="M4" s="596"/>
      <c r="N4" s="268"/>
      <c r="Q4" s="735" t="s">
        <v>51</v>
      </c>
      <c r="R4" s="735" t="s">
        <v>1054</v>
      </c>
      <c r="W4" s="1383" t="s">
        <v>1069</v>
      </c>
      <c r="X4" s="1384"/>
      <c r="Y4" s="1384"/>
      <c r="Z4" s="1384"/>
      <c r="AB4" s="740"/>
      <c r="AC4" s="1385" t="s">
        <v>1199</v>
      </c>
      <c r="AD4" s="1384"/>
      <c r="AE4" s="1384"/>
      <c r="AF4" s="1384"/>
      <c r="AH4" s="740"/>
      <c r="AI4" s="1383" t="s">
        <v>1067</v>
      </c>
      <c r="AJ4" s="1384"/>
      <c r="AK4" s="1384"/>
      <c r="AL4" s="1384"/>
      <c r="AN4" s="740"/>
      <c r="AO4" s="1383" t="s">
        <v>1068</v>
      </c>
      <c r="AP4" s="1384"/>
      <c r="AQ4" s="1384"/>
      <c r="AR4" s="1384"/>
    </row>
    <row r="5" spans="1:44">
      <c r="A5" s="268"/>
      <c r="B5" s="268"/>
      <c r="C5" s="747" t="str">
        <f>IF('Data Sheet'!D23&lt;&gt;"",'Data Sheet'!D23,"")</f>
        <v>Jan Van Schalwyk</v>
      </c>
      <c r="D5" s="598"/>
      <c r="E5" s="598"/>
      <c r="F5" s="598"/>
      <c r="G5" s="268"/>
      <c r="H5" s="268"/>
      <c r="I5" s="268"/>
      <c r="J5" s="268"/>
      <c r="K5" s="268"/>
      <c r="L5" s="747" t="s">
        <v>568</v>
      </c>
      <c r="M5" s="596"/>
      <c r="N5" s="268"/>
      <c r="Q5" s="735" t="s">
        <v>1005</v>
      </c>
      <c r="R5" s="735" t="s">
        <v>1055</v>
      </c>
      <c r="W5" s="1384"/>
      <c r="X5" s="1384"/>
      <c r="Y5" s="1384"/>
      <c r="Z5" s="1384"/>
      <c r="AB5" s="740"/>
      <c r="AC5" s="1384"/>
      <c r="AD5" s="1384"/>
      <c r="AE5" s="1384"/>
      <c r="AF5" s="1384"/>
      <c r="AH5" s="740"/>
      <c r="AI5" s="1384"/>
      <c r="AJ5" s="1384"/>
      <c r="AK5" s="1384"/>
      <c r="AL5" s="1384"/>
      <c r="AN5" s="740"/>
      <c r="AO5" s="1384"/>
      <c r="AP5" s="1384"/>
      <c r="AQ5" s="1384"/>
      <c r="AR5" s="1384"/>
    </row>
    <row r="6" spans="1:44">
      <c r="A6" s="268"/>
      <c r="B6" s="268"/>
      <c r="C6" s="747" t="str">
        <f>IF('Data Sheet'!D24&lt;&gt;"",'Data Sheet'!D24,"")</f>
        <v>ABCD Transport</v>
      </c>
      <c r="D6" s="268"/>
      <c r="E6" s="268"/>
      <c r="F6" s="268"/>
      <c r="G6" s="268"/>
      <c r="H6" s="268"/>
      <c r="I6" s="268"/>
      <c r="J6" s="268"/>
      <c r="K6" s="268"/>
      <c r="L6" s="747" t="s">
        <v>569</v>
      </c>
      <c r="M6" s="596"/>
      <c r="N6" s="268"/>
      <c r="R6" s="735" t="s">
        <v>1056</v>
      </c>
      <c r="V6" s="740" t="s">
        <v>1053</v>
      </c>
      <c r="W6" s="1384"/>
      <c r="X6" s="1384"/>
      <c r="Y6" s="1384"/>
      <c r="Z6" s="1384"/>
      <c r="AB6" s="740" t="s">
        <v>1053</v>
      </c>
      <c r="AC6" s="1384"/>
      <c r="AD6" s="1384"/>
      <c r="AE6" s="1384"/>
      <c r="AF6" s="1384"/>
      <c r="AH6" s="740" t="s">
        <v>1053</v>
      </c>
      <c r="AI6" s="1384"/>
      <c r="AJ6" s="1384"/>
      <c r="AK6" s="1384"/>
      <c r="AL6" s="1384"/>
      <c r="AN6" s="740" t="s">
        <v>1053</v>
      </c>
      <c r="AO6" s="1384"/>
      <c r="AP6" s="1384"/>
      <c r="AQ6" s="1384"/>
      <c r="AR6" s="1384"/>
    </row>
    <row r="7" spans="1:44">
      <c r="A7" s="268"/>
      <c r="B7" s="268"/>
      <c r="C7" s="747" t="str">
        <f>IF('Data Sheet'!D25&lt;&gt;"",'Data Sheet'!D25,"")</f>
        <v>Unit D7 Waterford Court</v>
      </c>
      <c r="D7" s="268"/>
      <c r="E7" s="268"/>
      <c r="F7" s="268"/>
      <c r="G7" s="268"/>
      <c r="H7" s="268"/>
      <c r="I7" s="268"/>
      <c r="J7" s="268"/>
      <c r="K7" s="268"/>
      <c r="L7" s="747" t="s">
        <v>570</v>
      </c>
      <c r="M7" s="596"/>
      <c r="N7" s="268"/>
      <c r="W7" s="1384"/>
      <c r="X7" s="1384"/>
      <c r="Y7" s="1384"/>
      <c r="Z7" s="1384"/>
      <c r="AB7" s="740"/>
      <c r="AC7" s="1384"/>
      <c r="AD7" s="1384"/>
      <c r="AE7" s="1384"/>
      <c r="AF7" s="1384"/>
      <c r="AH7" s="740"/>
      <c r="AI7" s="1384"/>
      <c r="AJ7" s="1384"/>
      <c r="AK7" s="1384"/>
      <c r="AL7" s="1384"/>
      <c r="AN7" s="740"/>
      <c r="AO7" s="1384"/>
      <c r="AP7" s="1384"/>
      <c r="AQ7" s="1384"/>
      <c r="AR7" s="1384"/>
    </row>
    <row r="8" spans="1:44">
      <c r="A8" s="268"/>
      <c r="B8" s="268"/>
      <c r="C8" s="747" t="str">
        <f>IF('Data Sheet'!D26&lt;&gt;"",'Data Sheet'!D26,"")</f>
        <v>C/o Rabie &amp; Glover Street</v>
      </c>
      <c r="D8" s="268"/>
      <c r="E8" s="268"/>
      <c r="F8" s="268"/>
      <c r="G8" s="268"/>
      <c r="H8" s="268"/>
      <c r="I8" s="268"/>
      <c r="J8" s="268"/>
      <c r="K8" s="268"/>
      <c r="L8" s="747" t="s">
        <v>571</v>
      </c>
      <c r="M8" s="596"/>
      <c r="N8" s="268"/>
      <c r="W8" s="1384"/>
      <c r="X8" s="1384"/>
      <c r="Y8" s="1384"/>
      <c r="Z8" s="1384"/>
      <c r="AB8" s="740"/>
      <c r="AC8" s="1384"/>
      <c r="AD8" s="1384"/>
      <c r="AE8" s="1384"/>
      <c r="AF8" s="1384"/>
      <c r="AH8" s="740"/>
      <c r="AI8" s="1384"/>
      <c r="AJ8" s="1384"/>
      <c r="AK8" s="1384"/>
      <c r="AL8" s="1384"/>
      <c r="AN8" s="740"/>
      <c r="AO8" s="1384"/>
      <c r="AP8" s="1384"/>
      <c r="AQ8" s="1384"/>
      <c r="AR8" s="1384"/>
    </row>
    <row r="9" spans="1:44" ht="12.6">
      <c r="A9" s="268"/>
      <c r="B9" s="268"/>
      <c r="C9" s="747" t="str">
        <f>IF('Data Sheet'!D27&lt;&gt;"",'Data Sheet'!D27,"")</f>
        <v>Lyttelton</v>
      </c>
      <c r="D9" s="268"/>
      <c r="E9" s="1112" t="s">
        <v>596</v>
      </c>
      <c r="F9" s="1113" t="str">
        <f>IF('Data Sheet'!D32&lt;&gt;"","("&amp;LEFT('Data Sheet'!AM32,3)&amp;")"&amp;" "&amp;MID('Data Sheet'!AM32,4,3)&amp;" "&amp;RIGHT('Data Sheet'!AM32,4),"")</f>
        <v>(012) 003 1234</v>
      </c>
      <c r="G9" s="268"/>
      <c r="H9" s="286" t="s">
        <v>311</v>
      </c>
      <c r="I9" s="265">
        <f>'Data Sheet'!D7</f>
        <v>43136</v>
      </c>
      <c r="J9" s="265"/>
      <c r="K9" s="268"/>
      <c r="L9" s="747" t="s">
        <v>572</v>
      </c>
      <c r="M9" s="596"/>
      <c r="N9" s="268"/>
      <c r="W9" s="1385" t="s">
        <v>1200</v>
      </c>
      <c r="X9" s="1384"/>
      <c r="Y9" s="1384"/>
      <c r="Z9" s="1384"/>
      <c r="AB9" s="740"/>
      <c r="AC9" s="1385" t="s">
        <v>1200</v>
      </c>
      <c r="AD9" s="1384"/>
      <c r="AE9" s="1384"/>
      <c r="AF9" s="1384"/>
      <c r="AH9" s="740"/>
      <c r="AI9" s="1385" t="s">
        <v>1200</v>
      </c>
      <c r="AJ9" s="1384"/>
      <c r="AK9" s="1384"/>
      <c r="AL9" s="1384"/>
      <c r="AN9" s="740"/>
      <c r="AO9" s="1385" t="s">
        <v>1166</v>
      </c>
      <c r="AP9" s="1384"/>
      <c r="AQ9" s="1384"/>
      <c r="AR9" s="1384"/>
    </row>
    <row r="10" spans="1:44" ht="12.6">
      <c r="A10" s="268"/>
      <c r="B10" s="268"/>
      <c r="C10" s="747" t="str">
        <f>IF('Data Sheet'!D28&lt;&gt;"",'Data Sheet'!D28,"")</f>
        <v>Centurion</v>
      </c>
      <c r="D10" s="268"/>
      <c r="E10" s="1112" t="s">
        <v>573</v>
      </c>
      <c r="F10" s="271" t="str">
        <f>IF('Data Sheet'!D33&lt;&gt;"","("&amp;LEFT('Data Sheet'!AM33,3)&amp;")"&amp;" "&amp;MID('Data Sheet'!AM33,4,3)&amp;" "&amp;RIGHT('Data Sheet'!AM33,4),"")</f>
        <v>(073) 123 4567</v>
      </c>
      <c r="G10" s="268"/>
      <c r="H10" s="286" t="s">
        <v>677</v>
      </c>
      <c r="I10" s="271" t="str">
        <f>'Data Sheet'!D8</f>
        <v>BFN50H02A5</v>
      </c>
      <c r="J10" s="271"/>
      <c r="K10" s="268"/>
      <c r="L10" s="747">
        <v>1609</v>
      </c>
      <c r="M10" s="596"/>
      <c r="N10" s="268"/>
      <c r="W10" s="1384"/>
      <c r="X10" s="1384"/>
      <c r="Y10" s="1384"/>
      <c r="Z10" s="1384"/>
      <c r="AB10" s="740"/>
      <c r="AC10" s="1384"/>
      <c r="AD10" s="1384"/>
      <c r="AE10" s="1384"/>
      <c r="AF10" s="1384"/>
      <c r="AH10" s="740"/>
      <c r="AI10" s="1384"/>
      <c r="AJ10" s="1384"/>
      <c r="AK10" s="1384"/>
      <c r="AL10" s="1384"/>
      <c r="AN10" s="740"/>
      <c r="AO10" s="1384"/>
      <c r="AP10" s="1384"/>
      <c r="AQ10" s="1384"/>
      <c r="AR10" s="1384"/>
    </row>
    <row r="11" spans="1:44">
      <c r="A11" s="268"/>
      <c r="B11" s="268"/>
      <c r="C11" s="271" t="str">
        <f>IF('Data Sheet'!D29&lt;&gt;"",'Data Sheet'!D29,"")</f>
        <v/>
      </c>
      <c r="D11" s="268"/>
      <c r="E11" s="1112" t="s">
        <v>574</v>
      </c>
      <c r="F11" s="271" t="str">
        <f>IF('Data Sheet'!D34&lt;&gt;"","("&amp;LEFT('Data Sheet'!AM34,3)&amp;")"&amp;" "&amp;MID('Data Sheet'!AM34,4,3)&amp;" "&amp;RIGHT('Data Sheet'!AM34,4),"")</f>
        <v>(086) 669 2700</v>
      </c>
      <c r="G11" s="268"/>
      <c r="H11" s="268"/>
      <c r="I11" s="268"/>
      <c r="J11" s="268"/>
      <c r="K11" s="268"/>
      <c r="L11" s="747" t="s">
        <v>575</v>
      </c>
      <c r="M11" s="596"/>
      <c r="N11" s="268"/>
      <c r="V11" s="740" t="s">
        <v>1062</v>
      </c>
      <c r="W11" s="1384"/>
      <c r="X11" s="1384"/>
      <c r="Y11" s="1384"/>
      <c r="Z11" s="1384"/>
      <c r="AB11" s="740" t="s">
        <v>1062</v>
      </c>
      <c r="AC11" s="1384"/>
      <c r="AD11" s="1384"/>
      <c r="AE11" s="1384"/>
      <c r="AF11" s="1384"/>
      <c r="AH11" s="740" t="s">
        <v>1062</v>
      </c>
      <c r="AI11" s="1384"/>
      <c r="AJ11" s="1384"/>
      <c r="AK11" s="1384"/>
      <c r="AL11" s="1384"/>
      <c r="AN11" s="740" t="s">
        <v>1062</v>
      </c>
      <c r="AO11" s="1384"/>
      <c r="AP11" s="1384"/>
      <c r="AQ11" s="1384"/>
      <c r="AR11" s="1384"/>
    </row>
    <row r="12" spans="1:44">
      <c r="A12" s="268"/>
      <c r="B12" s="268"/>
      <c r="C12" s="1111" t="str">
        <f>'Data Sheet'!$D$30&amp;""</f>
        <v>0157</v>
      </c>
      <c r="D12" s="268"/>
      <c r="E12" s="1112" t="s">
        <v>576</v>
      </c>
      <c r="F12" s="1114" t="str">
        <f>'Data Sheet'!D35</f>
        <v>jvanschalwyk@jjt.co.za</v>
      </c>
      <c r="G12" s="268"/>
      <c r="H12" s="268"/>
      <c r="I12" s="268"/>
      <c r="J12" s="268"/>
      <c r="K12" s="268"/>
      <c r="L12" s="747" t="s">
        <v>577</v>
      </c>
      <c r="M12" s="596"/>
      <c r="N12" s="268"/>
      <c r="W12" s="1384"/>
      <c r="X12" s="1384"/>
      <c r="Y12" s="1384"/>
      <c r="Z12" s="1384"/>
      <c r="AB12" s="740"/>
      <c r="AC12" s="1384"/>
      <c r="AD12" s="1384"/>
      <c r="AE12" s="1384"/>
      <c r="AF12" s="1384"/>
      <c r="AH12" s="740"/>
      <c r="AI12" s="1384"/>
      <c r="AJ12" s="1384"/>
      <c r="AK12" s="1384"/>
      <c r="AL12" s="1384"/>
      <c r="AN12" s="740"/>
      <c r="AO12" s="1384"/>
      <c r="AP12" s="1384"/>
      <c r="AQ12" s="1384"/>
      <c r="AR12" s="1384"/>
    </row>
    <row r="13" spans="1:44" ht="12.6" thickBot="1">
      <c r="A13" s="268"/>
      <c r="B13" s="268"/>
      <c r="C13" s="268"/>
      <c r="D13" s="268"/>
      <c r="E13" s="268"/>
      <c r="F13" s="268"/>
      <c r="G13" s="268"/>
      <c r="H13" s="268"/>
      <c r="I13" s="268"/>
      <c r="J13" s="268"/>
      <c r="K13" s="268"/>
      <c r="L13" s="268"/>
      <c r="M13" s="268"/>
      <c r="N13" s="268"/>
      <c r="W13" s="1384"/>
      <c r="X13" s="1384"/>
      <c r="Y13" s="1384"/>
      <c r="Z13" s="1384"/>
      <c r="AB13" s="740"/>
      <c r="AC13" s="1384"/>
      <c r="AD13" s="1384"/>
      <c r="AE13" s="1384"/>
      <c r="AF13" s="1384"/>
      <c r="AH13" s="740"/>
      <c r="AI13" s="1384"/>
      <c r="AJ13" s="1384"/>
      <c r="AK13" s="1384"/>
      <c r="AL13" s="1384"/>
      <c r="AN13" s="740"/>
      <c r="AO13" s="1384"/>
      <c r="AP13" s="1384"/>
      <c r="AQ13" s="1384"/>
      <c r="AR13" s="1384"/>
    </row>
    <row r="14" spans="1:44" ht="22.8" thickBot="1">
      <c r="A14" s="268"/>
      <c r="B14" s="268"/>
      <c r="C14" s="1350" t="s">
        <v>1072</v>
      </c>
      <c r="D14" s="1351"/>
      <c r="E14" s="1351"/>
      <c r="F14" s="1351"/>
      <c r="G14" s="1351"/>
      <c r="H14" s="1351"/>
      <c r="I14" s="1351"/>
      <c r="J14" s="1351"/>
      <c r="K14" s="1351"/>
      <c r="L14" s="1351"/>
      <c r="M14" s="1352"/>
      <c r="N14" s="268"/>
      <c r="P14" s="1062"/>
      <c r="W14" s="1385" t="s">
        <v>1201</v>
      </c>
      <c r="X14" s="1384"/>
      <c r="Y14" s="1384"/>
      <c r="Z14" s="1384"/>
      <c r="AB14" s="740"/>
      <c r="AC14" s="1385" t="s">
        <v>1202</v>
      </c>
      <c r="AD14" s="1384"/>
      <c r="AE14" s="1384"/>
      <c r="AF14" s="1384"/>
      <c r="AH14" s="740"/>
      <c r="AI14" s="1385" t="s">
        <v>1203</v>
      </c>
      <c r="AJ14" s="1384"/>
      <c r="AK14" s="1384"/>
      <c r="AL14" s="1384"/>
      <c r="AN14" s="740"/>
      <c r="AO14" s="1385" t="s">
        <v>1167</v>
      </c>
      <c r="AP14" s="1384"/>
      <c r="AQ14" s="1384"/>
      <c r="AR14" s="1384"/>
    </row>
    <row r="15" spans="1:44" ht="12.6" thickBot="1">
      <c r="A15" s="268"/>
      <c r="B15" s="268"/>
      <c r="C15" s="268"/>
      <c r="D15" s="268"/>
      <c r="E15" s="268"/>
      <c r="F15" s="268"/>
      <c r="G15" s="268"/>
      <c r="H15" s="268"/>
      <c r="I15" s="268"/>
      <c r="J15" s="268"/>
      <c r="K15" s="268"/>
      <c r="L15" s="268"/>
      <c r="M15" s="268"/>
      <c r="N15" s="268"/>
      <c r="W15" s="1384"/>
      <c r="X15" s="1384"/>
      <c r="Y15" s="1384"/>
      <c r="Z15" s="1384"/>
      <c r="AB15" s="740"/>
      <c r="AC15" s="1384"/>
      <c r="AD15" s="1384"/>
      <c r="AE15" s="1384"/>
      <c r="AF15" s="1384"/>
      <c r="AH15" s="740"/>
      <c r="AI15" s="1384"/>
      <c r="AJ15" s="1384"/>
      <c r="AK15" s="1384"/>
      <c r="AL15" s="1384"/>
      <c r="AN15" s="740"/>
      <c r="AO15" s="1384"/>
      <c r="AP15" s="1384"/>
      <c r="AQ15" s="1384"/>
      <c r="AR15" s="1384"/>
    </row>
    <row r="16" spans="1:44" ht="13.15" customHeight="1">
      <c r="A16" s="268"/>
      <c r="B16" s="269"/>
      <c r="C16" s="1393" t="s">
        <v>1041</v>
      </c>
      <c r="D16" s="1394"/>
      <c r="E16" s="1394"/>
      <c r="F16" s="1394"/>
      <c r="G16" s="1394"/>
      <c r="H16" s="1394"/>
      <c r="I16" s="1394"/>
      <c r="J16" s="1394"/>
      <c r="K16" s="1394"/>
      <c r="L16" s="1394"/>
      <c r="M16" s="1395"/>
      <c r="N16" s="268"/>
      <c r="P16" s="1015"/>
      <c r="V16" s="740" t="s">
        <v>1055</v>
      </c>
      <c r="W16" s="1384"/>
      <c r="X16" s="1384"/>
      <c r="Y16" s="1384"/>
      <c r="Z16" s="1384"/>
      <c r="AB16" s="740" t="s">
        <v>1055</v>
      </c>
      <c r="AC16" s="1384"/>
      <c r="AD16" s="1384"/>
      <c r="AE16" s="1384"/>
      <c r="AF16" s="1384"/>
      <c r="AH16" s="740" t="s">
        <v>1055</v>
      </c>
      <c r="AI16" s="1384"/>
      <c r="AJ16" s="1384"/>
      <c r="AK16" s="1384"/>
      <c r="AL16" s="1384"/>
      <c r="AN16" s="740" t="s">
        <v>1055</v>
      </c>
      <c r="AO16" s="1384"/>
      <c r="AP16" s="1384"/>
      <c r="AQ16" s="1384"/>
      <c r="AR16" s="1384"/>
    </row>
    <row r="17" spans="1:65" ht="13.9" customHeight="1" thickBot="1">
      <c r="A17" s="268"/>
      <c r="B17" s="269"/>
      <c r="C17" s="1396"/>
      <c r="D17" s="1397"/>
      <c r="E17" s="1397"/>
      <c r="F17" s="1397"/>
      <c r="G17" s="1397"/>
      <c r="H17" s="1397"/>
      <c r="I17" s="1397"/>
      <c r="J17" s="1397"/>
      <c r="K17" s="1397"/>
      <c r="L17" s="1397"/>
      <c r="M17" s="1398"/>
      <c r="N17" s="268"/>
      <c r="P17" s="1015"/>
      <c r="W17" s="1384"/>
      <c r="X17" s="1384"/>
      <c r="Y17" s="1384"/>
      <c r="Z17" s="1384"/>
      <c r="AB17" s="740"/>
      <c r="AC17" s="1384"/>
      <c r="AD17" s="1384"/>
      <c r="AE17" s="1384"/>
      <c r="AF17" s="1384"/>
      <c r="AH17" s="740"/>
      <c r="AI17" s="1384"/>
      <c r="AJ17" s="1384"/>
      <c r="AK17" s="1384"/>
      <c r="AL17" s="1384"/>
      <c r="AN17" s="740"/>
      <c r="AO17" s="1384"/>
      <c r="AP17" s="1384"/>
      <c r="AQ17" s="1384"/>
      <c r="AR17" s="1384"/>
    </row>
    <row r="18" spans="1:65" ht="13.9" customHeight="1" thickBot="1">
      <c r="A18" s="268"/>
      <c r="B18" s="268"/>
      <c r="C18" s="599"/>
      <c r="D18" s="599"/>
      <c r="E18" s="599"/>
      <c r="F18" s="599"/>
      <c r="G18" s="599"/>
      <c r="H18" s="599"/>
      <c r="I18" s="599"/>
      <c r="J18" s="599"/>
      <c r="K18" s="599"/>
      <c r="L18" s="599"/>
      <c r="M18" s="599"/>
      <c r="N18" s="268"/>
      <c r="P18" s="736"/>
      <c r="W18" s="1384"/>
      <c r="X18" s="1384"/>
      <c r="Y18" s="1384"/>
      <c r="Z18" s="1384"/>
      <c r="AB18" s="740"/>
      <c r="AC18" s="1384"/>
      <c r="AD18" s="1384"/>
      <c r="AE18" s="1384"/>
      <c r="AF18" s="1384"/>
      <c r="AH18" s="740"/>
      <c r="AI18" s="1384"/>
      <c r="AJ18" s="1384"/>
      <c r="AK18" s="1384"/>
      <c r="AL18" s="1384"/>
      <c r="AN18" s="740"/>
      <c r="AO18" s="1384"/>
      <c r="AP18" s="1384"/>
      <c r="AQ18" s="1384"/>
      <c r="AR18" s="1384"/>
    </row>
    <row r="19" spans="1:65" s="280" customFormat="1" ht="10.15" customHeight="1">
      <c r="A19" s="607"/>
      <c r="B19" s="607"/>
      <c r="C19" s="303" t="s">
        <v>579</v>
      </c>
      <c r="D19" s="266"/>
      <c r="E19" s="266"/>
      <c r="F19" s="266"/>
      <c r="G19" s="266"/>
      <c r="H19" s="266"/>
      <c r="I19" s="266"/>
      <c r="J19" s="266"/>
      <c r="K19" s="266"/>
      <c r="L19" s="266"/>
      <c r="M19" s="267"/>
      <c r="N19" s="607"/>
      <c r="O19" s="736"/>
      <c r="P19" s="736"/>
      <c r="Q19" s="736"/>
      <c r="R19" s="736"/>
      <c r="S19" s="1014"/>
      <c r="T19" s="1014"/>
      <c r="U19" s="1014"/>
      <c r="V19" s="1063"/>
      <c r="W19" s="1392" t="s">
        <v>1204</v>
      </c>
      <c r="X19" s="1392"/>
      <c r="Y19" s="1392"/>
      <c r="Z19" s="1392"/>
      <c r="AA19" s="736"/>
      <c r="AB19" s="1063"/>
      <c r="AC19" s="1385" t="s">
        <v>1204</v>
      </c>
      <c r="AD19" s="1385"/>
      <c r="AE19" s="1385"/>
      <c r="AF19" s="1385"/>
      <c r="AG19" s="736"/>
      <c r="AH19" s="1063"/>
      <c r="AI19" s="1385" t="s">
        <v>1205</v>
      </c>
      <c r="AJ19" s="1385"/>
      <c r="AK19" s="1385"/>
      <c r="AL19" s="1385"/>
      <c r="AM19" s="736"/>
      <c r="AN19" s="1063"/>
      <c r="AO19" s="1385" t="s">
        <v>1168</v>
      </c>
      <c r="AP19" s="1385"/>
      <c r="AQ19" s="1385"/>
      <c r="AR19" s="1385"/>
      <c r="AS19" s="736"/>
      <c r="AT19" s="736"/>
      <c r="AU19" s="736"/>
      <c r="AV19" s="736"/>
      <c r="AW19" s="736"/>
      <c r="AX19" s="736"/>
      <c r="AY19" s="736"/>
      <c r="AZ19" s="736"/>
      <c r="BA19" s="736"/>
      <c r="BB19" s="736"/>
      <c r="BC19" s="736"/>
      <c r="BD19" s="736"/>
      <c r="BE19" s="736"/>
      <c r="BF19" s="567"/>
      <c r="BG19" s="567"/>
      <c r="BH19" s="567"/>
      <c r="BI19" s="567"/>
      <c r="BJ19" s="567"/>
      <c r="BK19" s="567"/>
      <c r="BL19" s="567"/>
      <c r="BM19" s="567"/>
    </row>
    <row r="20" spans="1:65" s="280" customFormat="1" ht="10.15" customHeight="1">
      <c r="A20" s="607"/>
      <c r="B20" s="607"/>
      <c r="C20" s="301" t="s">
        <v>999</v>
      </c>
      <c r="D20" s="1353" t="str">
        <f>'Deal Sheet'!M12</f>
        <v>TGX-26-5406X4BLS-XLX</v>
      </c>
      <c r="E20" s="1353"/>
      <c r="F20" s="333" t="s">
        <v>660</v>
      </c>
      <c r="G20" s="600" t="str">
        <f>IF('Deal Sheet'!$G$61&lt;&gt;"",'Deal Sheet'!$G$61,"Not Specified")</f>
        <v>Longhaul</v>
      </c>
      <c r="H20" s="607"/>
      <c r="I20" s="302"/>
      <c r="J20" s="302" t="s">
        <v>659</v>
      </c>
      <c r="K20" s="600">
        <f>30-COUNTBLANK(H26:H55)</f>
        <v>1</v>
      </c>
      <c r="L20" s="304" t="s">
        <v>294</v>
      </c>
      <c r="M20" s="305" t="str">
        <f>'Deal Sheet'!M9</f>
        <v>Standard Warranty</v>
      </c>
      <c r="N20" s="607"/>
      <c r="O20" s="736"/>
      <c r="P20" s="736"/>
      <c r="Q20" s="736"/>
      <c r="R20" s="736"/>
      <c r="S20" s="1014"/>
      <c r="T20" s="1014"/>
      <c r="U20" s="1014"/>
      <c r="V20" s="1063"/>
      <c r="W20" s="1392"/>
      <c r="X20" s="1392"/>
      <c r="Y20" s="1392"/>
      <c r="Z20" s="1392"/>
      <c r="AA20" s="736"/>
      <c r="AB20" s="1063"/>
      <c r="AC20" s="1385"/>
      <c r="AD20" s="1385"/>
      <c r="AE20" s="1385"/>
      <c r="AF20" s="1385"/>
      <c r="AG20" s="736"/>
      <c r="AH20" s="1063"/>
      <c r="AI20" s="1385"/>
      <c r="AJ20" s="1385"/>
      <c r="AK20" s="1385"/>
      <c r="AL20" s="1385"/>
      <c r="AM20" s="736"/>
      <c r="AN20" s="1063"/>
      <c r="AO20" s="1385"/>
      <c r="AP20" s="1385"/>
      <c r="AQ20" s="1385"/>
      <c r="AR20" s="1385"/>
      <c r="AS20" s="736"/>
      <c r="AT20" s="736"/>
      <c r="AU20" s="736"/>
      <c r="AV20" s="736"/>
      <c r="AW20" s="736"/>
      <c r="AX20" s="736"/>
      <c r="AY20" s="736"/>
      <c r="AZ20" s="736"/>
      <c r="BA20" s="736"/>
      <c r="BB20" s="736"/>
      <c r="BC20" s="736"/>
      <c r="BD20" s="736"/>
      <c r="BE20" s="736"/>
      <c r="BF20" s="567"/>
      <c r="BG20" s="567"/>
      <c r="BH20" s="567"/>
      <c r="BI20" s="567"/>
      <c r="BJ20" s="567"/>
      <c r="BK20" s="567"/>
      <c r="BL20" s="567"/>
      <c r="BM20" s="567"/>
    </row>
    <row r="21" spans="1:65" s="280" customFormat="1" ht="15" customHeight="1" thickBot="1">
      <c r="A21" s="607"/>
      <c r="B21" s="607"/>
      <c r="C21" s="272"/>
      <c r="D21" s="273"/>
      <c r="E21" s="274"/>
      <c r="F21" s="274"/>
      <c r="G21" s="274"/>
      <c r="H21" s="275"/>
      <c r="I21" s="275"/>
      <c r="J21" s="275"/>
      <c r="K21" s="275"/>
      <c r="L21" s="276"/>
      <c r="M21" s="277"/>
      <c r="N21" s="607"/>
      <c r="O21" s="736"/>
      <c r="P21" s="736"/>
      <c r="Q21" s="736"/>
      <c r="R21" s="736"/>
      <c r="S21" s="1014"/>
      <c r="T21" s="1014"/>
      <c r="U21" s="1014"/>
      <c r="V21" s="740" t="s">
        <v>1056</v>
      </c>
      <c r="W21" s="1392"/>
      <c r="X21" s="1392"/>
      <c r="Y21" s="1392"/>
      <c r="Z21" s="1392"/>
      <c r="AA21" s="736"/>
      <c r="AB21" s="740" t="s">
        <v>1056</v>
      </c>
      <c r="AC21" s="1385"/>
      <c r="AD21" s="1385"/>
      <c r="AE21" s="1385"/>
      <c r="AF21" s="1385"/>
      <c r="AG21" s="736"/>
      <c r="AH21" s="740" t="s">
        <v>1056</v>
      </c>
      <c r="AI21" s="1385"/>
      <c r="AJ21" s="1385"/>
      <c r="AK21" s="1385"/>
      <c r="AL21" s="1385"/>
      <c r="AM21" s="736"/>
      <c r="AN21" s="740" t="s">
        <v>1056</v>
      </c>
      <c r="AO21" s="1385"/>
      <c r="AP21" s="1385"/>
      <c r="AQ21" s="1385"/>
      <c r="AR21" s="1385"/>
      <c r="AS21" s="736"/>
      <c r="AT21" s="736"/>
      <c r="AU21" s="736"/>
      <c r="AV21" s="736"/>
      <c r="AW21" s="736"/>
      <c r="AX21" s="736"/>
      <c r="AY21" s="736"/>
      <c r="AZ21" s="736"/>
      <c r="BA21" s="736"/>
      <c r="BB21" s="736"/>
      <c r="BC21" s="736"/>
      <c r="BD21" s="736"/>
      <c r="BE21" s="736"/>
      <c r="BF21" s="567"/>
      <c r="BG21" s="567"/>
      <c r="BH21" s="567"/>
      <c r="BI21" s="567"/>
      <c r="BJ21" s="567"/>
      <c r="BK21" s="567"/>
      <c r="BL21" s="567"/>
      <c r="BM21" s="567"/>
    </row>
    <row r="22" spans="1:65" ht="15" customHeight="1" thickBot="1">
      <c r="A22" s="268"/>
      <c r="B22" s="268"/>
      <c r="C22" s="268"/>
      <c r="D22" s="268"/>
      <c r="E22" s="268"/>
      <c r="F22" s="268"/>
      <c r="G22" s="268"/>
      <c r="H22" s="268"/>
      <c r="I22" s="268"/>
      <c r="J22" s="268"/>
      <c r="K22" s="268"/>
      <c r="L22" s="268"/>
      <c r="M22" s="268"/>
      <c r="N22" s="268"/>
      <c r="W22" s="1392"/>
      <c r="X22" s="1392"/>
      <c r="Y22" s="1392"/>
      <c r="Z22" s="1392"/>
      <c r="AB22" s="740"/>
      <c r="AC22" s="1385"/>
      <c r="AD22" s="1385"/>
      <c r="AE22" s="1385"/>
      <c r="AF22" s="1385"/>
      <c r="AH22" s="740"/>
      <c r="AI22" s="1385"/>
      <c r="AJ22" s="1385"/>
      <c r="AK22" s="1385"/>
      <c r="AL22" s="1385"/>
      <c r="AN22" s="740"/>
      <c r="AO22" s="1385"/>
      <c r="AP22" s="1385"/>
      <c r="AQ22" s="1385"/>
      <c r="AR22" s="1385"/>
    </row>
    <row r="23" spans="1:65" ht="14.5" customHeight="1">
      <c r="A23" s="268"/>
      <c r="B23" s="268"/>
      <c r="C23" s="1330" t="s">
        <v>1032</v>
      </c>
      <c r="D23" s="1331"/>
      <c r="E23" s="1331"/>
      <c r="F23" s="1332"/>
      <c r="G23" s="268"/>
      <c r="H23" s="1311" t="s">
        <v>1009</v>
      </c>
      <c r="I23" s="1312"/>
      <c r="J23" s="1312"/>
      <c r="K23" s="1312"/>
      <c r="L23" s="1312"/>
      <c r="M23" s="1313"/>
      <c r="N23" s="880"/>
      <c r="W23" s="1392"/>
      <c r="X23" s="1392"/>
      <c r="Y23" s="1392"/>
      <c r="Z23" s="1392"/>
      <c r="AB23" s="740"/>
      <c r="AC23" s="1385"/>
      <c r="AD23" s="1385"/>
      <c r="AE23" s="1385"/>
      <c r="AF23" s="1385"/>
      <c r="AH23" s="740"/>
      <c r="AI23" s="1385"/>
      <c r="AJ23" s="1385"/>
      <c r="AK23" s="1385"/>
      <c r="AL23" s="1385"/>
      <c r="AN23" s="740"/>
      <c r="AO23" s="1385"/>
      <c r="AP23" s="1385"/>
      <c r="AQ23" s="1385"/>
      <c r="AR23" s="1385"/>
    </row>
    <row r="24" spans="1:65" ht="14.5" customHeight="1">
      <c r="A24" s="268"/>
      <c r="B24" s="268"/>
      <c r="C24" s="270" t="s">
        <v>1033</v>
      </c>
      <c r="D24" s="268"/>
      <c r="E24" s="1344" t="str">
        <f>'Deal Sheet'!C4</f>
        <v>HARM VAN HEERDEN</v>
      </c>
      <c r="F24" s="1345"/>
      <c r="G24" s="268"/>
      <c r="H24" s="529" t="s">
        <v>1036</v>
      </c>
      <c r="I24" s="1307" t="s">
        <v>1037</v>
      </c>
      <c r="J24" s="1308"/>
      <c r="K24" s="1307" t="s">
        <v>1038</v>
      </c>
      <c r="L24" s="1308"/>
      <c r="M24" s="321" t="s">
        <v>1071</v>
      </c>
      <c r="N24" s="268"/>
      <c r="P24" s="1064"/>
      <c r="W24" s="1392"/>
      <c r="X24" s="1392"/>
      <c r="Y24" s="1392"/>
      <c r="Z24" s="1392"/>
      <c r="AC24" s="1385"/>
      <c r="AD24" s="1385"/>
      <c r="AE24" s="1385"/>
      <c r="AF24" s="1385"/>
      <c r="AI24" s="1385"/>
      <c r="AJ24" s="1385"/>
      <c r="AK24" s="1385"/>
      <c r="AL24" s="1385"/>
      <c r="AO24" s="1385"/>
      <c r="AP24" s="1385"/>
      <c r="AQ24" s="1385"/>
      <c r="AR24" s="1385"/>
    </row>
    <row r="25" spans="1:65" ht="14.5" customHeight="1">
      <c r="A25" s="268"/>
      <c r="B25" s="268"/>
      <c r="C25" s="270" t="s">
        <v>313</v>
      </c>
      <c r="D25" s="268"/>
      <c r="E25" s="1344" t="str">
        <f>'Deal Sheet'!C5</f>
        <v>MAN Bloemfontein</v>
      </c>
      <c r="F25" s="1345"/>
      <c r="G25" s="268"/>
      <c r="H25" s="309">
        <v>0</v>
      </c>
      <c r="I25" s="1346"/>
      <c r="J25" s="1347"/>
      <c r="K25" s="1348"/>
      <c r="L25" s="1349"/>
      <c r="M25" s="322"/>
      <c r="N25" s="268"/>
      <c r="W25" s="1392"/>
      <c r="X25" s="1392"/>
      <c r="Y25" s="1392"/>
      <c r="Z25" s="1392"/>
      <c r="AC25" s="1385"/>
      <c r="AD25" s="1385"/>
      <c r="AE25" s="1385"/>
      <c r="AF25" s="1385"/>
      <c r="AI25" s="1385"/>
      <c r="AJ25" s="1385"/>
      <c r="AK25" s="1385"/>
      <c r="AL25" s="1385"/>
      <c r="AO25" s="1385"/>
      <c r="AP25" s="1385"/>
      <c r="AQ25" s="1385"/>
      <c r="AR25" s="1385"/>
    </row>
    <row r="26" spans="1:65" ht="15" customHeight="1" thickBot="1">
      <c r="A26" s="268"/>
      <c r="B26" s="268"/>
      <c r="C26" s="272"/>
      <c r="D26" s="275"/>
      <c r="E26" s="275"/>
      <c r="F26" s="277"/>
      <c r="G26" s="268"/>
      <c r="H26" s="310" t="str">
        <f>'Month of Invoicing'!B16</f>
        <v>TBATG0X1</v>
      </c>
      <c r="I26" s="1342" t="s">
        <v>1197</v>
      </c>
      <c r="J26" s="1343"/>
      <c r="K26" s="1342" t="s">
        <v>1198</v>
      </c>
      <c r="L26" s="1343"/>
      <c r="M26" s="1009">
        <v>43143</v>
      </c>
      <c r="N26" s="881"/>
      <c r="R26" s="1065"/>
      <c r="S26" s="1014">
        <f>IF(H26&lt;&gt;"",T26,"")</f>
        <v>1</v>
      </c>
      <c r="T26" s="1014">
        <v>1</v>
      </c>
      <c r="U26" s="1014" t="str">
        <f>H26</f>
        <v>TBATG0X1</v>
      </c>
      <c r="W26" s="1392"/>
      <c r="X26" s="1392"/>
      <c r="Y26" s="1392"/>
      <c r="Z26" s="1392"/>
      <c r="AC26" s="1385"/>
      <c r="AD26" s="1385"/>
      <c r="AE26" s="1385"/>
      <c r="AF26" s="1385"/>
      <c r="AI26" s="1385"/>
      <c r="AJ26" s="1385"/>
      <c r="AK26" s="1385"/>
      <c r="AL26" s="1385"/>
      <c r="AO26" s="1385"/>
      <c r="AP26" s="1385"/>
      <c r="AQ26" s="1385"/>
      <c r="AR26" s="1385"/>
    </row>
    <row r="27" spans="1:65" ht="15" customHeight="1" thickBot="1">
      <c r="A27" s="268"/>
      <c r="B27" s="268"/>
      <c r="C27" s="268"/>
      <c r="D27" s="268"/>
      <c r="E27" s="268"/>
      <c r="F27" s="268"/>
      <c r="G27" s="308"/>
      <c r="H27" s="310" t="str">
        <f>'Month of Invoicing'!B17</f>
        <v/>
      </c>
      <c r="I27" s="1342"/>
      <c r="J27" s="1343"/>
      <c r="K27" s="1342"/>
      <c r="L27" s="1343"/>
      <c r="M27" s="1009"/>
      <c r="N27" s="268"/>
      <c r="R27" s="1065"/>
      <c r="S27" s="1014" t="str">
        <f t="shared" ref="S27:S55" si="0">IF(H27&lt;&gt;"",T27,"")</f>
        <v/>
      </c>
      <c r="T27" s="1014">
        <v>2</v>
      </c>
      <c r="U27" s="1014" t="str">
        <f t="shared" ref="U27:U55" si="1">H27</f>
        <v/>
      </c>
      <c r="W27" s="1392"/>
      <c r="X27" s="1392"/>
      <c r="Y27" s="1392"/>
      <c r="Z27" s="1392"/>
      <c r="AC27" s="1385"/>
      <c r="AD27" s="1385"/>
      <c r="AE27" s="1385"/>
      <c r="AF27" s="1385"/>
      <c r="AI27" s="1385"/>
      <c r="AJ27" s="1385"/>
      <c r="AK27" s="1385"/>
      <c r="AL27" s="1385"/>
      <c r="AO27" s="1385"/>
      <c r="AP27" s="1385"/>
      <c r="AQ27" s="1385"/>
      <c r="AR27" s="1385"/>
    </row>
    <row r="28" spans="1:65" ht="15" customHeight="1">
      <c r="A28" s="268"/>
      <c r="B28" s="268"/>
      <c r="C28" s="1330" t="s">
        <v>1049</v>
      </c>
      <c r="D28" s="1331"/>
      <c r="E28" s="1331"/>
      <c r="F28" s="1332"/>
      <c r="G28" s="268"/>
      <c r="H28" s="310" t="str">
        <f>'Month of Invoicing'!B18</f>
        <v/>
      </c>
      <c r="I28" s="1342"/>
      <c r="J28" s="1343"/>
      <c r="K28" s="1342"/>
      <c r="L28" s="1343"/>
      <c r="M28" s="1009"/>
      <c r="N28" s="268"/>
      <c r="R28" s="1065"/>
      <c r="S28" s="1014" t="str">
        <f t="shared" si="0"/>
        <v/>
      </c>
      <c r="T28" s="1014">
        <v>3</v>
      </c>
      <c r="U28" s="1014" t="str">
        <f t="shared" si="1"/>
        <v/>
      </c>
      <c r="W28" s="1392"/>
      <c r="X28" s="1392"/>
      <c r="Y28" s="1392"/>
      <c r="Z28" s="1392"/>
      <c r="AC28" s="1385"/>
      <c r="AD28" s="1385"/>
      <c r="AE28" s="1385"/>
      <c r="AF28" s="1385"/>
      <c r="AI28" s="1385"/>
      <c r="AJ28" s="1385"/>
      <c r="AK28" s="1385"/>
      <c r="AL28" s="1385"/>
      <c r="AO28" s="1385"/>
      <c r="AP28" s="1385"/>
      <c r="AQ28" s="1385"/>
      <c r="AR28" s="1385"/>
    </row>
    <row r="29" spans="1:65" ht="13.15" customHeight="1">
      <c r="A29" s="268"/>
      <c r="B29" s="268"/>
      <c r="C29" s="270" t="s">
        <v>1050</v>
      </c>
      <c r="D29" s="268"/>
      <c r="E29" s="640" t="s">
        <v>1061</v>
      </c>
      <c r="F29" s="702" t="s">
        <v>52</v>
      </c>
      <c r="G29" s="631"/>
      <c r="H29" s="310" t="str">
        <f>'Month of Invoicing'!B19</f>
        <v/>
      </c>
      <c r="I29" s="1342"/>
      <c r="J29" s="1343"/>
      <c r="K29" s="1342"/>
      <c r="L29" s="1343"/>
      <c r="M29" s="1009"/>
      <c r="N29" s="268"/>
      <c r="R29" s="1065"/>
      <c r="S29" s="1014" t="str">
        <f t="shared" si="0"/>
        <v/>
      </c>
      <c r="T29" s="1014">
        <v>4</v>
      </c>
      <c r="U29" s="1014" t="str">
        <f t="shared" si="1"/>
        <v/>
      </c>
      <c r="W29" s="1392"/>
      <c r="X29" s="1392"/>
      <c r="Y29" s="1392"/>
      <c r="Z29" s="1392"/>
      <c r="AC29" s="1385"/>
      <c r="AD29" s="1385"/>
      <c r="AE29" s="1385"/>
      <c r="AF29" s="1385"/>
      <c r="AI29" s="1385"/>
      <c r="AJ29" s="1385"/>
      <c r="AK29" s="1385"/>
      <c r="AL29" s="1385"/>
      <c r="AO29" s="1385"/>
      <c r="AP29" s="1385"/>
      <c r="AQ29" s="1385"/>
      <c r="AR29" s="1385"/>
    </row>
    <row r="30" spans="1:65" ht="14.5" customHeight="1">
      <c r="A30" s="268"/>
      <c r="B30" s="268"/>
      <c r="C30" s="633" t="s">
        <v>1045</v>
      </c>
      <c r="D30" s="701"/>
      <c r="E30" s="632" t="s">
        <v>1046</v>
      </c>
      <c r="F30" s="703"/>
      <c r="G30" s="268"/>
      <c r="H30" s="310" t="str">
        <f>'Month of Invoicing'!B20</f>
        <v/>
      </c>
      <c r="I30" s="1342"/>
      <c r="J30" s="1343"/>
      <c r="K30" s="1342"/>
      <c r="L30" s="1343"/>
      <c r="M30" s="1009"/>
      <c r="N30" s="268"/>
      <c r="R30" s="1065"/>
      <c r="S30" s="1014" t="str">
        <f t="shared" si="0"/>
        <v/>
      </c>
      <c r="T30" s="1014">
        <v>5</v>
      </c>
      <c r="U30" s="1014" t="str">
        <f t="shared" si="1"/>
        <v/>
      </c>
    </row>
    <row r="31" spans="1:65" ht="14.5" customHeight="1" thickBot="1">
      <c r="A31" s="268"/>
      <c r="B31" s="268"/>
      <c r="C31" s="272"/>
      <c r="D31" s="275"/>
      <c r="E31" s="275"/>
      <c r="F31" s="634"/>
      <c r="G31" s="268"/>
      <c r="H31" s="310" t="str">
        <f>'Month of Invoicing'!B21</f>
        <v/>
      </c>
      <c r="I31" s="1342"/>
      <c r="J31" s="1343"/>
      <c r="K31" s="1342"/>
      <c r="L31" s="1343"/>
      <c r="M31" s="1009"/>
      <c r="N31" s="268"/>
      <c r="R31" s="1065"/>
      <c r="S31" s="1014" t="str">
        <f t="shared" si="0"/>
        <v/>
      </c>
      <c r="T31" s="1014">
        <v>6</v>
      </c>
      <c r="U31" s="1014" t="str">
        <f t="shared" si="1"/>
        <v/>
      </c>
    </row>
    <row r="32" spans="1:65" ht="12.6" thickBot="1">
      <c r="A32" s="268"/>
      <c r="B32" s="268"/>
      <c r="G32" s="268"/>
      <c r="H32" s="310" t="str">
        <f>'Month of Invoicing'!B22</f>
        <v/>
      </c>
      <c r="I32" s="1342"/>
      <c r="J32" s="1343"/>
      <c r="K32" s="1342"/>
      <c r="L32" s="1343"/>
      <c r="M32" s="1009"/>
      <c r="N32" s="268"/>
      <c r="R32" s="1065"/>
      <c r="S32" s="1014" t="str">
        <f t="shared" si="0"/>
        <v/>
      </c>
      <c r="T32" s="1014">
        <v>7</v>
      </c>
      <c r="U32" s="1014" t="str">
        <f t="shared" si="1"/>
        <v/>
      </c>
    </row>
    <row r="33" spans="1:21">
      <c r="A33" s="268"/>
      <c r="B33" s="268"/>
      <c r="C33" s="1333" t="s">
        <v>1051</v>
      </c>
      <c r="D33" s="1334"/>
      <c r="E33" s="1334"/>
      <c r="F33" s="1335"/>
      <c r="G33" s="268"/>
      <c r="H33" s="310" t="str">
        <f>'Month of Invoicing'!B23</f>
        <v/>
      </c>
      <c r="I33" s="1342"/>
      <c r="J33" s="1343"/>
      <c r="K33" s="1342"/>
      <c r="L33" s="1343"/>
      <c r="M33" s="1009"/>
      <c r="N33" s="268"/>
      <c r="R33" s="1065"/>
      <c r="S33" s="1014" t="str">
        <f t="shared" si="0"/>
        <v/>
      </c>
      <c r="T33" s="1014">
        <v>8</v>
      </c>
      <c r="U33" s="1014" t="str">
        <f t="shared" si="1"/>
        <v/>
      </c>
    </row>
    <row r="34" spans="1:21" ht="15" customHeight="1">
      <c r="A34" s="268"/>
      <c r="B34" s="268"/>
      <c r="C34" s="270" t="s">
        <v>1052</v>
      </c>
      <c r="D34" s="268"/>
      <c r="E34" s="640" t="s">
        <v>1061</v>
      </c>
      <c r="F34" s="702" t="s">
        <v>1055</v>
      </c>
      <c r="G34" s="268"/>
      <c r="H34" s="310" t="str">
        <f>'Month of Invoicing'!B24</f>
        <v/>
      </c>
      <c r="I34" s="1342"/>
      <c r="J34" s="1343"/>
      <c r="K34" s="1342"/>
      <c r="L34" s="1343"/>
      <c r="M34" s="1009"/>
      <c r="N34" s="268"/>
      <c r="R34" s="1065"/>
      <c r="S34" s="1014" t="str">
        <f t="shared" si="0"/>
        <v/>
      </c>
      <c r="T34" s="1014">
        <v>9</v>
      </c>
      <c r="U34" s="1014" t="str">
        <f t="shared" si="1"/>
        <v/>
      </c>
    </row>
    <row r="35" spans="1:21" ht="14.5" customHeight="1">
      <c r="A35" s="268"/>
      <c r="B35" s="268"/>
      <c r="C35" s="1336" t="s">
        <v>1059</v>
      </c>
      <c r="D35" s="1337"/>
      <c r="E35" s="279" t="s">
        <v>1057</v>
      </c>
      <c r="F35" s="636" t="str">
        <f>'Deal Sheet'!D70</f>
        <v>12 MONTHS</v>
      </c>
      <c r="G35" s="268"/>
      <c r="H35" s="310" t="str">
        <f>'Month of Invoicing'!B25</f>
        <v/>
      </c>
      <c r="I35" s="1342"/>
      <c r="J35" s="1343"/>
      <c r="K35" s="1342"/>
      <c r="L35" s="1343"/>
      <c r="M35" s="1009"/>
      <c r="N35" s="268"/>
      <c r="R35" s="1065"/>
      <c r="S35" s="1014" t="str">
        <f t="shared" si="0"/>
        <v/>
      </c>
      <c r="T35" s="1014">
        <v>10</v>
      </c>
      <c r="U35" s="1014" t="str">
        <f t="shared" si="1"/>
        <v/>
      </c>
    </row>
    <row r="36" spans="1:21" ht="14.5" customHeight="1">
      <c r="A36" s="268"/>
      <c r="B36" s="268"/>
      <c r="C36" s="1338"/>
      <c r="D36" s="1339"/>
      <c r="E36" s="279" t="s">
        <v>1058</v>
      </c>
      <c r="F36" s="637" t="str">
        <f>'Deal Sheet'!D71</f>
        <v>UNLIMITED</v>
      </c>
      <c r="G36" s="268"/>
      <c r="H36" s="310" t="str">
        <f>'Month of Invoicing'!B26</f>
        <v/>
      </c>
      <c r="I36" s="1342"/>
      <c r="J36" s="1343"/>
      <c r="K36" s="1342"/>
      <c r="L36" s="1343"/>
      <c r="M36" s="1009"/>
      <c r="N36" s="268"/>
      <c r="R36" s="1065"/>
      <c r="S36" s="1014" t="str">
        <f t="shared" si="0"/>
        <v/>
      </c>
      <c r="T36" s="1014">
        <v>11</v>
      </c>
      <c r="U36" s="1014" t="str">
        <f t="shared" si="1"/>
        <v/>
      </c>
    </row>
    <row r="37" spans="1:21">
      <c r="A37" s="268"/>
      <c r="B37" s="268"/>
      <c r="C37" s="1340" t="s">
        <v>1060</v>
      </c>
      <c r="D37" s="1341"/>
      <c r="E37" s="279" t="s">
        <v>1057</v>
      </c>
      <c r="F37" s="638" t="str">
        <f>'Deal Sheet'!E70</f>
        <v>36 MONTHS</v>
      </c>
      <c r="G37" s="268"/>
      <c r="H37" s="310" t="str">
        <f>'Month of Invoicing'!B27</f>
        <v/>
      </c>
      <c r="I37" s="1342"/>
      <c r="J37" s="1343"/>
      <c r="K37" s="1342"/>
      <c r="L37" s="1343"/>
      <c r="M37" s="1009"/>
      <c r="N37" s="268"/>
      <c r="R37" s="1065"/>
      <c r="S37" s="1014" t="str">
        <f t="shared" si="0"/>
        <v/>
      </c>
      <c r="T37" s="1014">
        <v>12</v>
      </c>
      <c r="U37" s="1014" t="str">
        <f t="shared" si="1"/>
        <v/>
      </c>
    </row>
    <row r="38" spans="1:21">
      <c r="A38" s="268"/>
      <c r="B38" s="268"/>
      <c r="C38" s="1340"/>
      <c r="D38" s="1341"/>
      <c r="E38" s="632" t="s">
        <v>1058</v>
      </c>
      <c r="F38" s="636" t="str">
        <f>'Deal Sheet'!E71</f>
        <v>450 000 KM</v>
      </c>
      <c r="G38" s="268"/>
      <c r="H38" s="310" t="str">
        <f>'Month of Invoicing'!B28</f>
        <v/>
      </c>
      <c r="I38" s="1342"/>
      <c r="J38" s="1343"/>
      <c r="K38" s="1342"/>
      <c r="L38" s="1343"/>
      <c r="M38" s="1009"/>
      <c r="N38" s="268"/>
      <c r="R38" s="1065"/>
      <c r="S38" s="1014" t="str">
        <f t="shared" si="0"/>
        <v/>
      </c>
      <c r="T38" s="1014">
        <v>13</v>
      </c>
      <c r="U38" s="1014" t="str">
        <f t="shared" si="1"/>
        <v/>
      </c>
    </row>
    <row r="39" spans="1:21" ht="14.5" customHeight="1" thickBot="1">
      <c r="A39" s="268"/>
      <c r="B39" s="268"/>
      <c r="C39" s="272"/>
      <c r="D39" s="639"/>
      <c r="E39" s="275"/>
      <c r="F39" s="634"/>
      <c r="G39" s="268"/>
      <c r="H39" s="310" t="str">
        <f>'Month of Invoicing'!B29</f>
        <v/>
      </c>
      <c r="I39" s="1342"/>
      <c r="J39" s="1343"/>
      <c r="K39" s="1342"/>
      <c r="L39" s="1343"/>
      <c r="M39" s="1009"/>
      <c r="N39" s="268"/>
      <c r="R39" s="1065"/>
      <c r="S39" s="1014" t="str">
        <f t="shared" si="0"/>
        <v/>
      </c>
      <c r="T39" s="1014">
        <v>14</v>
      </c>
      <c r="U39" s="1014" t="str">
        <f t="shared" si="1"/>
        <v/>
      </c>
    </row>
    <row r="40" spans="1:21" ht="14.5" customHeight="1" thickBot="1">
      <c r="A40" s="268"/>
      <c r="B40" s="268"/>
      <c r="G40" s="268"/>
      <c r="H40" s="310" t="str">
        <f>'Month of Invoicing'!B30</f>
        <v/>
      </c>
      <c r="I40" s="1342"/>
      <c r="J40" s="1343"/>
      <c r="K40" s="1342"/>
      <c r="L40" s="1343"/>
      <c r="M40" s="1009"/>
      <c r="N40" s="268"/>
      <c r="R40" s="1065"/>
      <c r="S40" s="1014" t="str">
        <f t="shared" si="0"/>
        <v/>
      </c>
      <c r="T40" s="1014">
        <v>15</v>
      </c>
      <c r="U40" s="1014" t="str">
        <f t="shared" si="1"/>
        <v/>
      </c>
    </row>
    <row r="41" spans="1:21" ht="13.15" customHeight="1">
      <c r="A41" s="268"/>
      <c r="B41" s="268"/>
      <c r="C41" s="611" t="s">
        <v>1042</v>
      </c>
      <c r="D41" s="612"/>
      <c r="E41" s="1399"/>
      <c r="F41" s="1400"/>
      <c r="G41" s="268"/>
      <c r="H41" s="310" t="str">
        <f>'Month of Invoicing'!B31</f>
        <v/>
      </c>
      <c r="I41" s="1342"/>
      <c r="J41" s="1343"/>
      <c r="K41" s="1342"/>
      <c r="L41" s="1343"/>
      <c r="M41" s="1009"/>
      <c r="N41" s="268"/>
      <c r="R41" s="1065"/>
      <c r="S41" s="1014" t="str">
        <f t="shared" si="0"/>
        <v/>
      </c>
      <c r="T41" s="1014">
        <v>16</v>
      </c>
      <c r="U41" s="1014" t="str">
        <f t="shared" si="1"/>
        <v/>
      </c>
    </row>
    <row r="42" spans="1:21">
      <c r="A42" s="268"/>
      <c r="B42" s="268"/>
      <c r="C42" s="270"/>
      <c r="D42" s="613"/>
      <c r="E42" s="613"/>
      <c r="F42" s="614"/>
      <c r="G42" s="268"/>
      <c r="H42" s="310" t="str">
        <f>'Month of Invoicing'!B32</f>
        <v/>
      </c>
      <c r="I42" s="1342"/>
      <c r="J42" s="1343"/>
      <c r="K42" s="1342"/>
      <c r="L42" s="1343"/>
      <c r="M42" s="1009"/>
      <c r="N42" s="268"/>
      <c r="R42" s="1065"/>
      <c r="S42" s="1014" t="str">
        <f t="shared" si="0"/>
        <v/>
      </c>
      <c r="T42" s="1014">
        <v>17</v>
      </c>
      <c r="U42" s="1014" t="str">
        <f t="shared" si="1"/>
        <v/>
      </c>
    </row>
    <row r="43" spans="1:21" ht="14.5" customHeight="1">
      <c r="A43" s="268"/>
      <c r="B43" s="268"/>
      <c r="C43" s="1324" t="s">
        <v>1043</v>
      </c>
      <c r="D43" s="1325"/>
      <c r="E43" s="1325"/>
      <c r="F43" s="1326"/>
      <c r="G43" s="268"/>
      <c r="H43" s="310" t="str">
        <f>'Month of Invoicing'!B33</f>
        <v/>
      </c>
      <c r="I43" s="1342"/>
      <c r="J43" s="1343"/>
      <c r="K43" s="1342"/>
      <c r="L43" s="1343"/>
      <c r="M43" s="1009"/>
      <c r="N43" s="268"/>
      <c r="R43" s="1065"/>
      <c r="S43" s="1014" t="str">
        <f t="shared" si="0"/>
        <v/>
      </c>
      <c r="T43" s="1014">
        <v>18</v>
      </c>
      <c r="U43" s="1014" t="str">
        <f t="shared" si="1"/>
        <v/>
      </c>
    </row>
    <row r="44" spans="1:21">
      <c r="A44" s="268"/>
      <c r="B44" s="268"/>
      <c r="C44" s="1324"/>
      <c r="D44" s="1325"/>
      <c r="E44" s="1325"/>
      <c r="F44" s="1326"/>
      <c r="G44" s="268"/>
      <c r="H44" s="310" t="str">
        <f>'Month of Invoicing'!B34</f>
        <v/>
      </c>
      <c r="I44" s="1342"/>
      <c r="J44" s="1343"/>
      <c r="K44" s="1342"/>
      <c r="L44" s="1343"/>
      <c r="M44" s="1009"/>
      <c r="N44" s="268"/>
      <c r="R44" s="1065"/>
      <c r="S44" s="1014" t="str">
        <f t="shared" si="0"/>
        <v/>
      </c>
      <c r="T44" s="1014">
        <v>19</v>
      </c>
      <c r="U44" s="1014" t="str">
        <f t="shared" si="1"/>
        <v/>
      </c>
    </row>
    <row r="45" spans="1:21" ht="14.5" customHeight="1">
      <c r="A45" s="268"/>
      <c r="B45" s="268"/>
      <c r="C45" s="1324"/>
      <c r="D45" s="1325"/>
      <c r="E45" s="1325"/>
      <c r="F45" s="1326"/>
      <c r="G45" s="268"/>
      <c r="H45" s="310" t="str">
        <f>'Month of Invoicing'!B35</f>
        <v/>
      </c>
      <c r="I45" s="1342"/>
      <c r="J45" s="1343"/>
      <c r="K45" s="1342"/>
      <c r="L45" s="1343"/>
      <c r="M45" s="1009"/>
      <c r="N45" s="268"/>
      <c r="R45" s="1065"/>
      <c r="S45" s="1014" t="str">
        <f t="shared" si="0"/>
        <v/>
      </c>
      <c r="T45" s="1014">
        <v>20</v>
      </c>
      <c r="U45" s="1014" t="str">
        <f t="shared" si="1"/>
        <v/>
      </c>
    </row>
    <row r="46" spans="1:21" ht="14.5" customHeight="1" thickBot="1">
      <c r="A46" s="268"/>
      <c r="B46" s="268"/>
      <c r="C46" s="1327"/>
      <c r="D46" s="1328"/>
      <c r="E46" s="1328"/>
      <c r="F46" s="1329"/>
      <c r="G46" s="268"/>
      <c r="H46" s="310" t="str">
        <f>'Month of Invoicing'!B36</f>
        <v/>
      </c>
      <c r="I46" s="1342"/>
      <c r="J46" s="1343"/>
      <c r="K46" s="1342"/>
      <c r="L46" s="1343"/>
      <c r="M46" s="1009"/>
      <c r="N46" s="268"/>
      <c r="R46" s="1065"/>
      <c r="S46" s="1014" t="str">
        <f t="shared" si="0"/>
        <v/>
      </c>
      <c r="T46" s="1014">
        <v>21</v>
      </c>
      <c r="U46" s="1014" t="str">
        <f t="shared" si="1"/>
        <v/>
      </c>
    </row>
    <row r="47" spans="1:21" ht="14.5" customHeight="1" thickBot="1">
      <c r="A47" s="268"/>
      <c r="B47" s="268"/>
      <c r="G47" s="268"/>
      <c r="H47" s="310" t="str">
        <f>'Month of Invoicing'!B37</f>
        <v/>
      </c>
      <c r="I47" s="1342"/>
      <c r="J47" s="1343"/>
      <c r="K47" s="1342"/>
      <c r="L47" s="1343"/>
      <c r="M47" s="1009"/>
      <c r="N47" s="268"/>
      <c r="R47" s="1065"/>
      <c r="S47" s="1014" t="str">
        <f t="shared" si="0"/>
        <v/>
      </c>
      <c r="T47" s="1014">
        <v>22</v>
      </c>
      <c r="U47" s="1014" t="str">
        <f t="shared" si="1"/>
        <v/>
      </c>
    </row>
    <row r="48" spans="1:21" ht="14.5" customHeight="1">
      <c r="A48" s="268"/>
      <c r="B48" s="268"/>
      <c r="C48" s="1386" t="s">
        <v>1044</v>
      </c>
      <c r="D48" s="1387"/>
      <c r="E48" s="1387"/>
      <c r="F48" s="1388"/>
      <c r="G48" s="268"/>
      <c r="H48" s="310" t="str">
        <f>'Month of Invoicing'!B38</f>
        <v/>
      </c>
      <c r="I48" s="1342"/>
      <c r="J48" s="1343"/>
      <c r="K48" s="1342"/>
      <c r="L48" s="1343"/>
      <c r="M48" s="1009"/>
      <c r="N48" s="268"/>
      <c r="R48" s="1065"/>
      <c r="S48" s="1014" t="str">
        <f t="shared" si="0"/>
        <v/>
      </c>
      <c r="T48" s="1014">
        <v>23</v>
      </c>
      <c r="U48" s="1014" t="str">
        <f t="shared" si="1"/>
        <v/>
      </c>
    </row>
    <row r="49" spans="1:21">
      <c r="A49" s="268"/>
      <c r="B49" s="268"/>
      <c r="C49" s="1389"/>
      <c r="D49" s="1390"/>
      <c r="E49" s="1390"/>
      <c r="F49" s="1391"/>
      <c r="G49" s="268"/>
      <c r="H49" s="310" t="str">
        <f>'Month of Invoicing'!B39</f>
        <v/>
      </c>
      <c r="I49" s="1342"/>
      <c r="J49" s="1343"/>
      <c r="K49" s="1342"/>
      <c r="L49" s="1343"/>
      <c r="M49" s="1009"/>
      <c r="N49" s="268"/>
      <c r="R49" s="1065"/>
      <c r="S49" s="1014" t="str">
        <f t="shared" si="0"/>
        <v/>
      </c>
      <c r="T49" s="1014">
        <v>24</v>
      </c>
      <c r="U49" s="1014" t="str">
        <f t="shared" si="1"/>
        <v/>
      </c>
    </row>
    <row r="50" spans="1:21" ht="14.5" customHeight="1">
      <c r="A50" s="268"/>
      <c r="B50" s="268"/>
      <c r="C50" s="704"/>
      <c r="D50" s="705"/>
      <c r="E50" s="705"/>
      <c r="F50" s="706"/>
      <c r="G50" s="268"/>
      <c r="H50" s="310" t="str">
        <f>'Month of Invoicing'!B40</f>
        <v/>
      </c>
      <c r="I50" s="1342"/>
      <c r="J50" s="1343"/>
      <c r="K50" s="1342"/>
      <c r="L50" s="1343"/>
      <c r="M50" s="1009"/>
      <c r="N50" s="879"/>
      <c r="R50" s="1065"/>
      <c r="S50" s="1014" t="str">
        <f t="shared" si="0"/>
        <v/>
      </c>
      <c r="T50" s="1014">
        <v>25</v>
      </c>
      <c r="U50" s="1014" t="str">
        <f t="shared" si="1"/>
        <v/>
      </c>
    </row>
    <row r="51" spans="1:21" ht="15" customHeight="1">
      <c r="A51" s="268"/>
      <c r="B51" s="268"/>
      <c r="C51" s="707"/>
      <c r="D51" s="708"/>
      <c r="E51" s="708"/>
      <c r="F51" s="709"/>
      <c r="G51" s="268"/>
      <c r="H51" s="310" t="str">
        <f>'Month of Invoicing'!B41</f>
        <v/>
      </c>
      <c r="I51" s="1342"/>
      <c r="J51" s="1343"/>
      <c r="K51" s="1342"/>
      <c r="L51" s="1343"/>
      <c r="M51" s="1009"/>
      <c r="N51" s="882"/>
      <c r="R51" s="1065"/>
      <c r="S51" s="1014" t="str">
        <f t="shared" si="0"/>
        <v/>
      </c>
      <c r="T51" s="1014">
        <v>26</v>
      </c>
      <c r="U51" s="1014" t="str">
        <f t="shared" si="1"/>
        <v/>
      </c>
    </row>
    <row r="52" spans="1:21" ht="15" customHeight="1">
      <c r="A52" s="268"/>
      <c r="B52" s="268"/>
      <c r="C52" s="704"/>
      <c r="D52" s="705"/>
      <c r="E52" s="705"/>
      <c r="F52" s="706"/>
      <c r="G52" s="268"/>
      <c r="H52" s="310" t="str">
        <f>'Month of Invoicing'!B42</f>
        <v/>
      </c>
      <c r="I52" s="1342"/>
      <c r="J52" s="1343"/>
      <c r="K52" s="1342"/>
      <c r="L52" s="1343"/>
      <c r="M52" s="1009"/>
      <c r="N52" s="883"/>
      <c r="R52" s="1065"/>
      <c r="S52" s="1014" t="str">
        <f t="shared" si="0"/>
        <v/>
      </c>
      <c r="T52" s="1014">
        <v>27</v>
      </c>
      <c r="U52" s="1014" t="str">
        <f t="shared" si="1"/>
        <v/>
      </c>
    </row>
    <row r="53" spans="1:21" ht="14.5" customHeight="1">
      <c r="A53" s="268"/>
      <c r="B53" s="268"/>
      <c r="C53" s="707"/>
      <c r="D53" s="708"/>
      <c r="E53" s="708"/>
      <c r="F53" s="709"/>
      <c r="G53" s="268"/>
      <c r="H53" s="310" t="str">
        <f>'Month of Invoicing'!B43</f>
        <v/>
      </c>
      <c r="I53" s="1342"/>
      <c r="J53" s="1343"/>
      <c r="K53" s="1342"/>
      <c r="L53" s="1343"/>
      <c r="M53" s="1009"/>
      <c r="N53" s="879"/>
      <c r="R53" s="1065"/>
      <c r="S53" s="1014" t="str">
        <f t="shared" si="0"/>
        <v/>
      </c>
      <c r="T53" s="1014">
        <v>28</v>
      </c>
      <c r="U53" s="1014" t="str">
        <f t="shared" si="1"/>
        <v/>
      </c>
    </row>
    <row r="54" spans="1:21" ht="14.5" customHeight="1">
      <c r="A54" s="268"/>
      <c r="B54" s="268"/>
      <c r="C54" s="704"/>
      <c r="D54" s="705"/>
      <c r="E54" s="705"/>
      <c r="F54" s="706"/>
      <c r="G54" s="268"/>
      <c r="H54" s="310" t="str">
        <f>'Month of Invoicing'!B44</f>
        <v/>
      </c>
      <c r="I54" s="1342"/>
      <c r="J54" s="1343"/>
      <c r="K54" s="1342"/>
      <c r="L54" s="1343"/>
      <c r="M54" s="1009"/>
      <c r="N54" s="268"/>
      <c r="R54" s="1065"/>
      <c r="S54" s="1014" t="str">
        <f t="shared" si="0"/>
        <v/>
      </c>
      <c r="T54" s="1014">
        <v>29</v>
      </c>
      <c r="U54" s="1014" t="str">
        <f t="shared" si="1"/>
        <v/>
      </c>
    </row>
    <row r="55" spans="1:21" ht="14.5" customHeight="1">
      <c r="A55" s="268"/>
      <c r="B55" s="268"/>
      <c r="C55" s="707"/>
      <c r="D55" s="708"/>
      <c r="E55" s="708"/>
      <c r="F55" s="709"/>
      <c r="G55" s="268"/>
      <c r="H55" s="310" t="str">
        <f>'Month of Invoicing'!B45</f>
        <v/>
      </c>
      <c r="I55" s="1342"/>
      <c r="J55" s="1343"/>
      <c r="K55" s="1342"/>
      <c r="L55" s="1343"/>
      <c r="M55" s="1009"/>
      <c r="N55" s="268"/>
      <c r="R55" s="1065"/>
      <c r="S55" s="1014" t="str">
        <f t="shared" si="0"/>
        <v/>
      </c>
      <c r="T55" s="1014">
        <v>30</v>
      </c>
      <c r="U55" s="1014" t="str">
        <f t="shared" si="1"/>
        <v/>
      </c>
    </row>
    <row r="56" spans="1:21" ht="14.5" customHeight="1">
      <c r="A56" s="268"/>
      <c r="B56" s="268"/>
      <c r="C56" s="704"/>
      <c r="D56" s="705"/>
      <c r="E56" s="705"/>
      <c r="F56" s="706"/>
      <c r="G56" s="268"/>
      <c r="H56" s="311"/>
      <c r="I56" s="1377"/>
      <c r="J56" s="1378"/>
      <c r="K56" s="1377"/>
      <c r="L56" s="1378"/>
      <c r="M56" s="517"/>
      <c r="N56" s="268"/>
    </row>
    <row r="57" spans="1:21" ht="12.6" thickBot="1">
      <c r="A57" s="268"/>
      <c r="B57" s="268"/>
      <c r="C57" s="710"/>
      <c r="D57" s="711"/>
      <c r="E57" s="711"/>
      <c r="F57" s="712"/>
      <c r="G57" s="341"/>
      <c r="H57" s="341"/>
      <c r="I57" s="341"/>
      <c r="J57" s="341"/>
      <c r="K57" s="281"/>
      <c r="L57" s="281"/>
      <c r="M57" s="281"/>
      <c r="N57" s="268"/>
    </row>
    <row r="58" spans="1:21" ht="12.6" thickBot="1">
      <c r="A58" s="268"/>
      <c r="B58" s="268"/>
      <c r="G58" s="341"/>
      <c r="N58" s="268"/>
    </row>
    <row r="59" spans="1:21" ht="14.5" customHeight="1" thickBot="1">
      <c r="A59" s="268"/>
      <c r="B59" s="268"/>
      <c r="C59" s="1330" t="s">
        <v>585</v>
      </c>
      <c r="D59" s="1331"/>
      <c r="E59" s="1331"/>
      <c r="F59" s="1332"/>
      <c r="G59" s="341"/>
      <c r="I59" s="1372" t="s">
        <v>1070</v>
      </c>
      <c r="J59" s="1373"/>
      <c r="K59" s="1373"/>
      <c r="L59" s="1373"/>
      <c r="M59" s="1374"/>
      <c r="N59" s="268"/>
    </row>
    <row r="60" spans="1:21" ht="14.5" customHeight="1">
      <c r="A60" s="268"/>
      <c r="B60" s="268"/>
      <c r="C60" s="270" t="s">
        <v>1048</v>
      </c>
      <c r="D60" s="713"/>
      <c r="E60" s="268" t="s">
        <v>1047</v>
      </c>
      <c r="F60" s="714"/>
      <c r="G60" s="341"/>
      <c r="I60" s="624" t="s">
        <v>1020</v>
      </c>
      <c r="J60" s="1379"/>
      <c r="K60" s="1379"/>
      <c r="L60" s="1379"/>
      <c r="M60" s="1380"/>
      <c r="N60" s="268"/>
    </row>
    <row r="61" spans="1:21" ht="14.5" customHeight="1">
      <c r="A61" s="268"/>
      <c r="B61" s="268"/>
      <c r="C61" s="615" t="s">
        <v>1003</v>
      </c>
      <c r="D61" s="616"/>
      <c r="E61" s="1344" t="str">
        <f>'Release Request'!E45</f>
        <v>None</v>
      </c>
      <c r="F61" s="1345"/>
      <c r="G61" s="341"/>
      <c r="I61" s="535"/>
      <c r="J61" s="1375"/>
      <c r="K61" s="1375"/>
      <c r="L61" s="1375"/>
      <c r="M61" s="1376"/>
      <c r="N61" s="268"/>
    </row>
    <row r="62" spans="1:21">
      <c r="A62" s="268"/>
      <c r="B62" s="268"/>
      <c r="C62" s="615" t="s">
        <v>584</v>
      </c>
      <c r="D62" s="616"/>
      <c r="E62" s="1344" t="str">
        <f>'Release Request'!E46</f>
        <v/>
      </c>
      <c r="F62" s="1345"/>
      <c r="G62" s="341"/>
      <c r="I62" s="535" t="s">
        <v>1019</v>
      </c>
      <c r="J62" s="1381"/>
      <c r="K62" s="1381"/>
      <c r="L62" s="1381"/>
      <c r="M62" s="1382"/>
      <c r="N62" s="268"/>
    </row>
    <row r="63" spans="1:21">
      <c r="A63" s="268"/>
      <c r="B63" s="268"/>
      <c r="C63" s="615" t="s">
        <v>661</v>
      </c>
      <c r="D63" s="616"/>
      <c r="E63" s="1344" t="str">
        <f>'Release Request'!E47</f>
        <v/>
      </c>
      <c r="F63" s="1345"/>
      <c r="G63" s="341"/>
      <c r="I63" s="535"/>
      <c r="J63" s="1381"/>
      <c r="K63" s="1381"/>
      <c r="L63" s="1381"/>
      <c r="M63" s="1382"/>
      <c r="N63" s="268"/>
    </row>
    <row r="64" spans="1:21" ht="14.5" customHeight="1">
      <c r="A64" s="268"/>
      <c r="B64" s="268"/>
      <c r="C64" s="270" t="s">
        <v>816</v>
      </c>
      <c r="D64" s="268"/>
      <c r="E64" s="1355" t="str">
        <f>'Release Request'!E48</f>
        <v/>
      </c>
      <c r="F64" s="1356"/>
      <c r="G64" s="341"/>
      <c r="I64" s="270"/>
      <c r="J64" s="1381"/>
      <c r="K64" s="1381"/>
      <c r="L64" s="1381"/>
      <c r="M64" s="1382"/>
      <c r="N64" s="268"/>
    </row>
    <row r="65" spans="1:14" ht="15" customHeight="1">
      <c r="A65" s="268"/>
      <c r="B65" s="268"/>
      <c r="C65" s="270" t="s">
        <v>1004</v>
      </c>
      <c r="D65" s="268"/>
      <c r="E65" s="1357" t="s">
        <v>51</v>
      </c>
      <c r="F65" s="1358"/>
      <c r="G65" s="268"/>
      <c r="I65" s="627" t="s">
        <v>311</v>
      </c>
      <c r="J65" s="1375"/>
      <c r="K65" s="1375"/>
      <c r="L65" s="1375"/>
      <c r="M65" s="1376"/>
      <c r="N65" s="268"/>
    </row>
    <row r="66" spans="1:14" ht="13.9" customHeight="1" thickBot="1">
      <c r="A66" s="268"/>
      <c r="B66" s="268"/>
      <c r="C66" s="272"/>
      <c r="D66" s="275"/>
      <c r="E66" s="275"/>
      <c r="F66" s="277"/>
      <c r="G66" s="341"/>
      <c r="I66" s="643"/>
      <c r="J66" s="1370"/>
      <c r="K66" s="1370"/>
      <c r="L66" s="1370"/>
      <c r="M66" s="1371"/>
      <c r="N66" s="268"/>
    </row>
    <row r="67" spans="1:14" ht="12.6" thickBot="1">
      <c r="A67" s="268"/>
      <c r="B67" s="268"/>
      <c r="G67" s="268"/>
      <c r="N67" s="268"/>
    </row>
    <row r="68" spans="1:14" ht="18" customHeight="1" thickBot="1">
      <c r="A68" s="268"/>
      <c r="B68" s="268"/>
      <c r="C68" s="618" t="s">
        <v>655</v>
      </c>
      <c r="D68" s="619"/>
      <c r="E68" s="619"/>
      <c r="F68" s="620"/>
      <c r="G68" s="545"/>
      <c r="I68" s="1372" t="s">
        <v>1305</v>
      </c>
      <c r="J68" s="1373"/>
      <c r="K68" s="1373"/>
      <c r="L68" s="1373"/>
      <c r="M68" s="1374"/>
      <c r="N68" s="268"/>
    </row>
    <row r="69" spans="1:14" ht="14.5" customHeight="1">
      <c r="A69" s="268"/>
      <c r="B69" s="268"/>
      <c r="C69" s="270"/>
      <c r="D69" s="268"/>
      <c r="E69" s="268"/>
      <c r="F69" s="269"/>
      <c r="G69" s="544"/>
      <c r="I69" s="625" t="s">
        <v>1020</v>
      </c>
      <c r="J69" s="544"/>
      <c r="K69" s="544"/>
      <c r="L69" s="544"/>
      <c r="M69" s="660"/>
      <c r="N69" s="268"/>
    </row>
    <row r="70" spans="1:14" ht="15.6" customHeight="1">
      <c r="A70" s="268"/>
      <c r="B70" s="268"/>
      <c r="C70" s="270" t="s">
        <v>1045</v>
      </c>
      <c r="D70" s="623"/>
      <c r="E70" s="617" t="s">
        <v>1046</v>
      </c>
      <c r="F70" s="641"/>
      <c r="G70" s="562"/>
      <c r="I70" s="569"/>
      <c r="J70" s="544"/>
      <c r="K70" s="544"/>
      <c r="L70" s="544"/>
      <c r="M70" s="660"/>
      <c r="N70" s="268"/>
    </row>
    <row r="71" spans="1:14">
      <c r="A71" s="268"/>
      <c r="B71" s="268"/>
      <c r="C71" s="535" t="s">
        <v>45</v>
      </c>
      <c r="D71" s="536"/>
      <c r="E71" s="279"/>
      <c r="F71" s="285" t="str">
        <f>'Release Request'!F62</f>
        <v>None</v>
      </c>
      <c r="G71" s="562"/>
      <c r="I71" s="569"/>
      <c r="J71" s="544"/>
      <c r="K71" s="544"/>
      <c r="L71" s="544"/>
      <c r="M71" s="660"/>
      <c r="N71" s="268"/>
    </row>
    <row r="72" spans="1:14" ht="12.6">
      <c r="A72" s="268"/>
      <c r="B72" s="268"/>
      <c r="C72" s="535" t="str">
        <f>IF(F72="","","Term &amp; Mileage")</f>
        <v/>
      </c>
      <c r="D72" s="621" t="str">
        <f>IF(F71="Combination","Entire Vehicle","")</f>
        <v/>
      </c>
      <c r="E72" s="268"/>
      <c r="F72" s="296" t="str">
        <f>'Release Request'!F63</f>
        <v/>
      </c>
      <c r="G72" s="562"/>
      <c r="I72" s="642" t="s">
        <v>1019</v>
      </c>
      <c r="J72" s="1368"/>
      <c r="K72" s="1368"/>
      <c r="L72" s="1368"/>
      <c r="M72" s="1369"/>
      <c r="N72" s="268"/>
    </row>
    <row r="73" spans="1:14" ht="12.6">
      <c r="A73" s="268"/>
      <c r="B73" s="268"/>
      <c r="C73" s="535" t="str">
        <f>IF(F73="","","Term &amp; Mileage")</f>
        <v/>
      </c>
      <c r="D73" s="537" t="str">
        <f>IF(F71="Combination","Driveline","")</f>
        <v/>
      </c>
      <c r="E73" s="268"/>
      <c r="F73" s="296" t="str">
        <f>'Release Request'!F64</f>
        <v/>
      </c>
      <c r="G73" s="562"/>
      <c r="I73" s="569"/>
      <c r="J73" s="1368"/>
      <c r="K73" s="1368"/>
      <c r="L73" s="1368"/>
      <c r="M73" s="1369"/>
      <c r="N73" s="268"/>
    </row>
    <row r="74" spans="1:14" ht="14.5" customHeight="1">
      <c r="A74" s="268"/>
      <c r="B74" s="268"/>
      <c r="C74" s="535" t="s">
        <v>1004</v>
      </c>
      <c r="D74" s="283"/>
      <c r="E74" s="268"/>
      <c r="F74" s="714" t="s">
        <v>52</v>
      </c>
      <c r="G74" s="268"/>
      <c r="I74" s="627" t="s">
        <v>311</v>
      </c>
      <c r="J74" s="1368"/>
      <c r="K74" s="1368"/>
      <c r="L74" s="1368"/>
      <c r="M74" s="1369"/>
      <c r="N74" s="268"/>
    </row>
    <row r="75" spans="1:14" ht="15" customHeight="1" thickBot="1">
      <c r="A75" s="268"/>
      <c r="B75" s="268"/>
      <c r="C75" s="272"/>
      <c r="D75" s="275"/>
      <c r="E75" s="275"/>
      <c r="F75" s="277"/>
      <c r="G75" s="268"/>
      <c r="I75" s="272"/>
      <c r="J75" s="1370"/>
      <c r="K75" s="1370"/>
      <c r="L75" s="1370"/>
      <c r="M75" s="1371"/>
      <c r="N75" s="268"/>
    </row>
    <row r="76" spans="1:14">
      <c r="A76" s="268"/>
      <c r="B76" s="268"/>
      <c r="C76" s="268"/>
      <c r="D76" s="268"/>
      <c r="E76" s="268"/>
      <c r="F76" s="653"/>
      <c r="G76" s="268"/>
      <c r="H76" s="656"/>
      <c r="I76" s="268"/>
      <c r="J76" s="653"/>
      <c r="K76" s="268"/>
      <c r="L76" s="653"/>
      <c r="M76" s="653"/>
      <c r="N76" s="268"/>
    </row>
    <row r="77" spans="1:14">
      <c r="A77" s="268"/>
      <c r="B77" s="268"/>
      <c r="C77" s="659" t="s">
        <v>1053</v>
      </c>
      <c r="D77" s="658"/>
      <c r="E77" s="659" t="s">
        <v>1062</v>
      </c>
      <c r="F77" s="650"/>
      <c r="G77" s="658"/>
      <c r="H77" s="657" t="s">
        <v>1055</v>
      </c>
      <c r="I77" s="654"/>
      <c r="J77" s="651"/>
      <c r="K77" s="655"/>
      <c r="L77" s="652" t="s">
        <v>1056</v>
      </c>
      <c r="M77" s="650"/>
      <c r="N77" s="884"/>
    </row>
    <row r="78" spans="1:14" ht="14.5" customHeight="1">
      <c r="B78" s="268"/>
      <c r="C78" s="1359" t="str">
        <f>IF(LEFT(D20,2)="VW",AO4,IF(LEFT(D20,3)="CLA",W4,IF(LEFT(D20,3)="TGM",AI4,AC4)))</f>
        <v>In Long Haul Transport
Covering over 100 000KM per year
Fuel consumption: 48ℓ -55ℓ /100KM Fuel
Sulphur below&lt;500ppm
Oil as perM3277 Castrol Vecton 10w-40 sample (wear check) at every service</v>
      </c>
      <c r="D78" s="1360"/>
      <c r="E78" s="1363" t="str">
        <f>IF(LEFT(D20,2)="VW",AO9,IF(LEFT(D20,3)="CLA",W9,IF(LEFT(D20,3)="TGM",AI9,AC9)))</f>
        <v>In Long Haul Transport
Covering up to 80 000KM per year</v>
      </c>
      <c r="F78" s="1325"/>
      <c r="G78" s="1364"/>
      <c r="H78" s="1363" t="str">
        <f>IF(LEFT(D20,2)="VW",AO14,IF(LEFT(D20,3)="CLA",W14,IF(LEFT(D20,3)="TGM",AI14,AC14)))</f>
        <v>In Short Haul Transport
Covering up to 10 000KM to &lt;80 000KM per year</v>
      </c>
      <c r="I78" s="1325"/>
      <c r="J78" s="1325"/>
      <c r="K78" s="1364"/>
      <c r="L78" s="1363" t="str">
        <f>IF(LEFT(D20,2)="VW",AO19,IF(LEFT(D20,3)="CLA",W19,IF(LEFT(D20,3)="TGM",AI19,AC19)))</f>
        <v>In arduos conditions
Or those covering up to 10 000KM per year,e.g. all-wheel drive vehicles, vehicles with machine attachments such as concrete mixers or concrete pumps, refuse,firefighting,recovery and towing vehicles, also vehicle whose engine operating temperature fluates,predominantly around the minimum value and vehicls used predominantly on gravel roads.</v>
      </c>
      <c r="M78" s="1364"/>
      <c r="N78" s="268"/>
    </row>
    <row r="79" spans="1:14" ht="14.5" customHeight="1">
      <c r="B79" s="268"/>
      <c r="C79" s="1359"/>
      <c r="D79" s="1360"/>
      <c r="E79" s="1363"/>
      <c r="F79" s="1325"/>
      <c r="G79" s="1364"/>
      <c r="H79" s="1363"/>
      <c r="I79" s="1325"/>
      <c r="J79" s="1325"/>
      <c r="K79" s="1364"/>
      <c r="L79" s="1363"/>
      <c r="M79" s="1364"/>
      <c r="N79" s="268"/>
    </row>
    <row r="80" spans="1:14" ht="15" customHeight="1">
      <c r="B80" s="268"/>
      <c r="C80" s="1359"/>
      <c r="D80" s="1360"/>
      <c r="E80" s="1363"/>
      <c r="F80" s="1325"/>
      <c r="G80" s="1364"/>
      <c r="H80" s="1363"/>
      <c r="I80" s="1325"/>
      <c r="J80" s="1325"/>
      <c r="K80" s="1364"/>
      <c r="L80" s="1363"/>
      <c r="M80" s="1364"/>
      <c r="N80" s="268"/>
    </row>
    <row r="81" spans="2:17" ht="14.5" customHeight="1">
      <c r="B81" s="268"/>
      <c r="C81" s="1359"/>
      <c r="D81" s="1360"/>
      <c r="E81" s="1363"/>
      <c r="F81" s="1325"/>
      <c r="G81" s="1364"/>
      <c r="H81" s="1363"/>
      <c r="I81" s="1325"/>
      <c r="J81" s="1325"/>
      <c r="K81" s="1364"/>
      <c r="L81" s="1363"/>
      <c r="M81" s="1364"/>
      <c r="N81" s="268"/>
    </row>
    <row r="82" spans="2:17" ht="14.5" customHeight="1">
      <c r="B82" s="268"/>
      <c r="C82" s="1361"/>
      <c r="D82" s="1362"/>
      <c r="E82" s="1365"/>
      <c r="F82" s="1366"/>
      <c r="G82" s="1367"/>
      <c r="H82" s="1365"/>
      <c r="I82" s="1366"/>
      <c r="J82" s="1366"/>
      <c r="K82" s="1367"/>
      <c r="L82" s="1365"/>
      <c r="M82" s="1367"/>
      <c r="N82" s="268"/>
      <c r="O82" s="745"/>
      <c r="Q82" s="745"/>
    </row>
    <row r="83" spans="2:17" ht="14.5" customHeight="1">
      <c r="B83" s="268"/>
      <c r="C83" s="268"/>
      <c r="D83" s="268"/>
      <c r="E83" s="268"/>
      <c r="F83" s="268"/>
      <c r="G83" s="268"/>
      <c r="H83" s="268"/>
      <c r="I83" s="268"/>
      <c r="J83" s="268"/>
      <c r="K83" s="268"/>
      <c r="L83" s="268"/>
      <c r="N83" s="268"/>
    </row>
    <row r="84" spans="2:17" ht="14.5" customHeight="1">
      <c r="B84" s="268"/>
      <c r="C84" s="268"/>
      <c r="D84" s="268"/>
      <c r="E84" s="268"/>
      <c r="F84" s="268"/>
      <c r="G84" s="268"/>
      <c r="H84" s="268"/>
      <c r="I84" s="268"/>
      <c r="J84" s="268"/>
      <c r="K84" s="268"/>
      <c r="L84" s="268"/>
      <c r="N84" s="268"/>
    </row>
    <row r="85" spans="2:17" ht="14.5" customHeight="1">
      <c r="B85" s="268"/>
      <c r="C85" s="291"/>
      <c r="D85" s="268"/>
      <c r="E85" s="268"/>
      <c r="F85" s="268"/>
      <c r="G85" s="268"/>
      <c r="H85" s="268"/>
      <c r="I85" s="268"/>
      <c r="J85" s="268"/>
      <c r="K85" s="268"/>
      <c r="L85" s="268"/>
      <c r="N85" s="268"/>
    </row>
    <row r="86" spans="2:17" ht="14.5" customHeight="1">
      <c r="B86" s="268"/>
      <c r="C86" s="268"/>
      <c r="D86" s="268"/>
      <c r="E86" s="268"/>
      <c r="F86" s="268"/>
      <c r="G86" s="268"/>
      <c r="H86" s="268"/>
      <c r="I86" s="268"/>
      <c r="J86" s="268"/>
      <c r="K86" s="268"/>
      <c r="L86" s="268"/>
      <c r="N86" s="268"/>
    </row>
    <row r="87" spans="2:17" ht="14.5" customHeight="1">
      <c r="B87" s="268"/>
      <c r="C87" s="1354"/>
      <c r="D87" s="1354"/>
      <c r="E87" s="1354"/>
      <c r="F87" s="1354"/>
      <c r="G87" s="268"/>
      <c r="H87" s="268"/>
      <c r="I87" s="268"/>
      <c r="J87" s="268"/>
      <c r="K87" s="268"/>
      <c r="L87" s="268"/>
      <c r="N87" s="268"/>
    </row>
    <row r="88" spans="2:17">
      <c r="B88" s="268"/>
      <c r="C88" s="1354"/>
      <c r="D88" s="1354"/>
      <c r="E88" s="1354"/>
      <c r="F88" s="1354"/>
      <c r="G88" s="268"/>
      <c r="H88" s="268"/>
      <c r="I88" s="268"/>
      <c r="J88" s="268"/>
      <c r="K88" s="268"/>
      <c r="L88" s="268"/>
      <c r="N88" s="268"/>
    </row>
    <row r="89" spans="2:17">
      <c r="B89" s="268"/>
      <c r="C89" s="1354"/>
      <c r="D89" s="1354"/>
      <c r="E89" s="1354"/>
      <c r="F89" s="1354"/>
      <c r="G89" s="268"/>
      <c r="H89" s="268"/>
      <c r="I89" s="268"/>
      <c r="J89" s="268"/>
      <c r="K89" s="268"/>
      <c r="L89" s="268"/>
      <c r="N89" s="268"/>
    </row>
    <row r="90" spans="2:17" ht="14.5" customHeight="1">
      <c r="B90" s="268"/>
      <c r="C90" s="1354"/>
      <c r="D90" s="1354"/>
      <c r="E90" s="1354"/>
      <c r="F90" s="1354"/>
      <c r="G90" s="1354"/>
      <c r="H90" s="1354"/>
      <c r="I90" s="1354"/>
      <c r="J90" s="1354"/>
      <c r="K90" s="1354"/>
      <c r="L90" s="595"/>
      <c r="N90" s="268"/>
    </row>
    <row r="91" spans="2:17">
      <c r="B91" s="268"/>
      <c r="C91" s="1354"/>
      <c r="D91" s="1354"/>
      <c r="E91" s="1354"/>
      <c r="F91" s="1354"/>
      <c r="G91" s="1354"/>
      <c r="H91" s="1354"/>
      <c r="I91" s="1354"/>
      <c r="J91" s="1354"/>
      <c r="K91" s="1354"/>
      <c r="L91" s="595"/>
      <c r="N91" s="268"/>
    </row>
    <row r="92" spans="2:17" ht="13.15" customHeight="1">
      <c r="B92" s="268"/>
      <c r="C92" s="1354"/>
      <c r="D92" s="1354"/>
      <c r="E92" s="1354"/>
      <c r="F92" s="1354"/>
      <c r="G92" s="1354"/>
      <c r="H92" s="1354"/>
      <c r="I92" s="1354"/>
      <c r="J92" s="1354"/>
      <c r="K92" s="1354"/>
      <c r="L92" s="595"/>
      <c r="N92" s="268"/>
    </row>
    <row r="93" spans="2:17" ht="42" customHeight="1">
      <c r="B93" s="268"/>
      <c r="C93" s="1354"/>
      <c r="D93" s="1354"/>
      <c r="E93" s="1354"/>
      <c r="F93" s="1354"/>
      <c r="G93" s="1354"/>
      <c r="H93" s="1354"/>
      <c r="I93" s="1354"/>
      <c r="J93" s="1354"/>
      <c r="K93" s="1354"/>
      <c r="L93" s="595"/>
      <c r="M93" s="595"/>
      <c r="N93" s="268"/>
    </row>
    <row r="94" spans="2:17" ht="14.5" customHeight="1">
      <c r="B94" s="268"/>
      <c r="C94" s="268"/>
      <c r="D94" s="268"/>
      <c r="E94" s="292"/>
      <c r="F94" s="268"/>
      <c r="G94" s="1354"/>
      <c r="H94" s="1354"/>
      <c r="I94" s="1354"/>
      <c r="J94" s="1354"/>
      <c r="K94" s="1354"/>
      <c r="L94" s="595"/>
      <c r="M94" s="595"/>
      <c r="N94" s="268"/>
    </row>
    <row r="95" spans="2:17" ht="13.9" customHeight="1">
      <c r="B95" s="268"/>
      <c r="C95" s="268"/>
      <c r="D95" s="268"/>
      <c r="E95" s="268"/>
      <c r="F95" s="268"/>
      <c r="G95" s="1354"/>
      <c r="H95" s="1354"/>
      <c r="I95" s="1354"/>
      <c r="J95" s="1354"/>
      <c r="K95" s="1354"/>
      <c r="L95" s="595"/>
      <c r="M95" s="595"/>
      <c r="N95" s="268"/>
    </row>
    <row r="96" spans="2:17" ht="14.5" customHeight="1">
      <c r="B96" s="268"/>
      <c r="C96" s="268"/>
      <c r="D96" s="268"/>
      <c r="E96" s="268"/>
      <c r="F96" s="268"/>
      <c r="G96" s="1354"/>
      <c r="H96" s="1354"/>
      <c r="I96" s="1354"/>
      <c r="J96" s="1354"/>
      <c r="K96" s="1354"/>
      <c r="L96" s="595"/>
      <c r="M96" s="595"/>
      <c r="N96" s="268"/>
    </row>
    <row r="97" spans="2:14" ht="15" customHeight="1">
      <c r="B97" s="268"/>
      <c r="C97" s="268"/>
      <c r="D97" s="268"/>
      <c r="E97" s="268"/>
      <c r="F97" s="268"/>
      <c r="G97" s="268"/>
      <c r="H97" s="268"/>
      <c r="I97" s="268"/>
      <c r="J97" s="268"/>
      <c r="K97" s="268"/>
      <c r="L97" s="268"/>
      <c r="M97" s="268"/>
      <c r="N97" s="268"/>
    </row>
    <row r="98" spans="2:14" ht="2.5" customHeight="1">
      <c r="B98" s="268"/>
      <c r="C98" s="268"/>
      <c r="D98" s="268"/>
      <c r="E98" s="268"/>
      <c r="F98" s="268"/>
      <c r="G98" s="268"/>
      <c r="H98" s="268"/>
      <c r="I98" s="268"/>
      <c r="J98" s="268"/>
      <c r="K98" s="268"/>
      <c r="L98" s="268"/>
      <c r="M98" s="268"/>
      <c r="N98" s="268"/>
    </row>
    <row r="99" spans="2:14">
      <c r="B99" s="268"/>
      <c r="C99" s="268"/>
      <c r="D99" s="268"/>
      <c r="E99" s="268"/>
      <c r="F99" s="268"/>
      <c r="G99" s="268"/>
      <c r="H99" s="268"/>
      <c r="I99" s="268"/>
      <c r="J99" s="268"/>
      <c r="K99" s="268"/>
      <c r="L99" s="268"/>
      <c r="M99" s="268"/>
      <c r="N99" s="268"/>
    </row>
    <row r="100" spans="2:14">
      <c r="G100" s="268"/>
      <c r="H100" s="268"/>
      <c r="I100" s="268"/>
      <c r="J100" s="268"/>
      <c r="K100" s="268"/>
      <c r="L100" s="268"/>
      <c r="M100" s="268"/>
    </row>
    <row r="101" spans="2:14">
      <c r="G101" s="268"/>
      <c r="H101" s="268"/>
      <c r="I101" s="268"/>
      <c r="J101" s="268"/>
      <c r="K101" s="268"/>
      <c r="L101" s="268"/>
      <c r="M101" s="268"/>
    </row>
    <row r="102" spans="2:14">
      <c r="G102" s="268"/>
      <c r="H102" s="268"/>
      <c r="I102" s="268"/>
      <c r="J102" s="268"/>
      <c r="K102" s="268"/>
      <c r="L102" s="268"/>
      <c r="M102" s="268"/>
    </row>
  </sheetData>
  <sheetProtection algorithmName="SHA-512" hashValue="1XgVtDfGt8fqdu/Q9tygjWtG2p0/S78fYhZcZrCQm9eflF27HK2DlDkx6pxBvOLIYOeIybKm+kdncMzRSe1XWg==" saltValue="iWpq8ZMkxnsioNVDysKKWg==" spinCount="100000" sheet="1" objects="1" scenarios="1"/>
  <mergeCells count="116">
    <mergeCell ref="C48:F49"/>
    <mergeCell ref="W4:Z8"/>
    <mergeCell ref="W9:Z13"/>
    <mergeCell ref="W14:Z18"/>
    <mergeCell ref="AC4:AF8"/>
    <mergeCell ref="AC9:AF13"/>
    <mergeCell ref="AC14:AF18"/>
    <mergeCell ref="W19:Z29"/>
    <mergeCell ref="C16:M17"/>
    <mergeCell ref="E41:F41"/>
    <mergeCell ref="I44:J44"/>
    <mergeCell ref="K44:L44"/>
    <mergeCell ref="I45:J45"/>
    <mergeCell ref="K45:L45"/>
    <mergeCell ref="I42:J42"/>
    <mergeCell ref="K42:L42"/>
    <mergeCell ref="I43:J43"/>
    <mergeCell ref="K43:L43"/>
    <mergeCell ref="I39:J39"/>
    <mergeCell ref="K39:L39"/>
    <mergeCell ref="I40:J40"/>
    <mergeCell ref="K40:L40"/>
    <mergeCell ref="I41:J41"/>
    <mergeCell ref="I49:J49"/>
    <mergeCell ref="AI4:AL8"/>
    <mergeCell ref="AI9:AL13"/>
    <mergeCell ref="AI14:AL18"/>
    <mergeCell ref="AO4:AR8"/>
    <mergeCell ref="AO9:AR13"/>
    <mergeCell ref="AO14:AR18"/>
    <mergeCell ref="AC19:AF29"/>
    <mergeCell ref="AI19:AL29"/>
    <mergeCell ref="AO19:AR29"/>
    <mergeCell ref="I56:J56"/>
    <mergeCell ref="K56:L56"/>
    <mergeCell ref="I54:J54"/>
    <mergeCell ref="E61:F61"/>
    <mergeCell ref="E62:F62"/>
    <mergeCell ref="E63:F63"/>
    <mergeCell ref="I55:J55"/>
    <mergeCell ref="K55:L55"/>
    <mergeCell ref="I52:J52"/>
    <mergeCell ref="K52:L52"/>
    <mergeCell ref="I53:J53"/>
    <mergeCell ref="K53:L53"/>
    <mergeCell ref="C59:F59"/>
    <mergeCell ref="J60:M61"/>
    <mergeCell ref="J62:M64"/>
    <mergeCell ref="I59:M59"/>
    <mergeCell ref="K54:L54"/>
    <mergeCell ref="C87:D93"/>
    <mergeCell ref="E87:F93"/>
    <mergeCell ref="G90:K96"/>
    <mergeCell ref="E64:F64"/>
    <mergeCell ref="E65:F65"/>
    <mergeCell ref="C78:D82"/>
    <mergeCell ref="E78:G82"/>
    <mergeCell ref="H78:K82"/>
    <mergeCell ref="L78:M82"/>
    <mergeCell ref="J72:M74"/>
    <mergeCell ref="J75:M75"/>
    <mergeCell ref="I68:M68"/>
    <mergeCell ref="J65:M66"/>
    <mergeCell ref="I33:J33"/>
    <mergeCell ref="K33:L33"/>
    <mergeCell ref="I51:J51"/>
    <mergeCell ref="K51:L51"/>
    <mergeCell ref="I46:J46"/>
    <mergeCell ref="K46:L46"/>
    <mergeCell ref="I47:J47"/>
    <mergeCell ref="K47:L47"/>
    <mergeCell ref="I48:J48"/>
    <mergeCell ref="K48:L48"/>
    <mergeCell ref="K49:L49"/>
    <mergeCell ref="I50:J50"/>
    <mergeCell ref="K50:L50"/>
    <mergeCell ref="C14:M14"/>
    <mergeCell ref="D20:E20"/>
    <mergeCell ref="C23:F23"/>
    <mergeCell ref="H23:M23"/>
    <mergeCell ref="E24:F24"/>
    <mergeCell ref="I24:J24"/>
    <mergeCell ref="K24:L24"/>
    <mergeCell ref="K29:L29"/>
    <mergeCell ref="I30:J30"/>
    <mergeCell ref="K30:L30"/>
    <mergeCell ref="I26:J26"/>
    <mergeCell ref="K26:L26"/>
    <mergeCell ref="I27:J27"/>
    <mergeCell ref="K27:L27"/>
    <mergeCell ref="I28:J28"/>
    <mergeCell ref="K28:L28"/>
    <mergeCell ref="C43:F46"/>
    <mergeCell ref="C28:F28"/>
    <mergeCell ref="C33:F33"/>
    <mergeCell ref="C35:D36"/>
    <mergeCell ref="C37:D38"/>
    <mergeCell ref="I29:J29"/>
    <mergeCell ref="E25:F25"/>
    <mergeCell ref="I25:J25"/>
    <mergeCell ref="K25:L25"/>
    <mergeCell ref="I31:J31"/>
    <mergeCell ref="K31:L31"/>
    <mergeCell ref="K41:L41"/>
    <mergeCell ref="I37:J37"/>
    <mergeCell ref="K37:L37"/>
    <mergeCell ref="I38:J38"/>
    <mergeCell ref="K38:L38"/>
    <mergeCell ref="I34:J34"/>
    <mergeCell ref="K34:L34"/>
    <mergeCell ref="I35:J35"/>
    <mergeCell ref="K35:L35"/>
    <mergeCell ref="I36:J36"/>
    <mergeCell ref="K36:L36"/>
    <mergeCell ref="I32:J32"/>
    <mergeCell ref="K32:L32"/>
  </mergeCells>
  <dataValidations count="3">
    <dataValidation type="list" allowBlank="1" showInputMessage="1" showErrorMessage="1" sqref="F29" xr:uid="{00000000-0002-0000-0600-000000000000}">
      <formula1>$Q$3:$Q$4</formula1>
    </dataValidation>
    <dataValidation type="list" allowBlank="1" showInputMessage="1" showErrorMessage="1" sqref="F34" xr:uid="{00000000-0002-0000-0600-000001000000}">
      <formula1>$R$3:$R$6</formula1>
    </dataValidation>
    <dataValidation type="list" allowBlank="1" showInputMessage="1" showErrorMessage="1" sqref="E65:F65 F74" xr:uid="{00000000-0002-0000-0600-000002000000}">
      <formula1>$Q$3:$Q$5</formula1>
    </dataValidation>
  </dataValidations>
  <hyperlinks>
    <hyperlink ref="F12" r:id="rId1" display="jvanschalwyk@jjt.co.za" xr:uid="{00000000-0004-0000-0600-000000000000}"/>
  </hyperlinks>
  <printOptions horizontalCentered="1" verticalCentered="1"/>
  <pageMargins left="0" right="0" top="0" bottom="0" header="0" footer="0"/>
  <pageSetup paperSize="9" scale="60" fitToHeight="2" orientation="portrait" verticalDpi="4" r:id="rId2"/>
  <headerFooter scaleWithDoc="0" alignWithMargins="0"/>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B1:N102"/>
  <sheetViews>
    <sheetView topLeftCell="B25" workbookViewId="0">
      <selection activeCell="F9" sqref="F9"/>
    </sheetView>
  </sheetViews>
  <sheetFormatPr defaultColWidth="8.83984375" defaultRowHeight="12.3"/>
  <cols>
    <col min="1" max="1" width="8.83984375" style="278"/>
    <col min="2" max="2" width="8.15625" style="278" customWidth="1"/>
    <col min="3" max="3" width="25.26171875" style="278" customWidth="1"/>
    <col min="4" max="4" width="15" style="278" customWidth="1"/>
    <col min="5" max="5" width="16.68359375" style="278" customWidth="1"/>
    <col min="6" max="6" width="18.41796875" style="278" customWidth="1"/>
    <col min="7" max="7" width="18.15625" style="278" bestFit="1" customWidth="1"/>
    <col min="8" max="8" width="13.26171875" style="278" customWidth="1"/>
    <col min="9" max="9" width="20.68359375" style="278" customWidth="1"/>
    <col min="10" max="10" width="16.83984375" style="278" customWidth="1"/>
    <col min="11" max="11" width="27.68359375" style="278" customWidth="1"/>
    <col min="12" max="12" width="10.68359375" style="278" customWidth="1"/>
    <col min="13" max="13" width="3.15625" style="278" customWidth="1"/>
    <col min="14" max="14" width="44.26171875" style="278" bestFit="1" customWidth="1"/>
    <col min="15" max="16384" width="8.83984375" style="278"/>
  </cols>
  <sheetData>
    <row r="1" spans="2:14" ht="12.6" thickBot="1"/>
    <row r="2" spans="2:14" s="763" customFormat="1" ht="15">
      <c r="B2" s="760"/>
      <c r="C2" s="761"/>
      <c r="D2" s="761"/>
      <c r="E2" s="761"/>
      <c r="F2" s="761"/>
      <c r="G2" s="761"/>
      <c r="H2" s="761"/>
      <c r="I2" s="761"/>
      <c r="J2" s="761"/>
      <c r="K2" s="761"/>
      <c r="L2" s="762"/>
    </row>
    <row r="3" spans="2:14" s="763" customFormat="1" ht="18.3">
      <c r="B3" s="764"/>
      <c r="C3" s="765" t="s">
        <v>567</v>
      </c>
      <c r="D3" s="766"/>
      <c r="E3" s="766"/>
      <c r="F3" s="766"/>
      <c r="G3" s="766"/>
      <c r="H3" s="766"/>
      <c r="I3" s="766"/>
      <c r="J3" s="1013" t="s">
        <v>565</v>
      </c>
      <c r="K3" s="1006"/>
      <c r="L3" s="901"/>
    </row>
    <row r="4" spans="2:14" s="763" customFormat="1" ht="15">
      <c r="B4" s="764"/>
      <c r="C4" s="766"/>
      <c r="D4" s="766"/>
      <c r="E4" s="766"/>
      <c r="F4" s="766"/>
      <c r="G4" s="766"/>
      <c r="H4" s="766"/>
      <c r="I4" s="766"/>
      <c r="J4" s="767" t="s">
        <v>566</v>
      </c>
      <c r="K4" s="767"/>
      <c r="L4" s="768"/>
    </row>
    <row r="5" spans="2:14" s="763" customFormat="1" ht="15">
      <c r="B5" s="764"/>
      <c r="C5" s="765" t="str">
        <f>IF('Data Sheet'!D23&lt;&gt;"",'Data Sheet'!D23,"")</f>
        <v>Jan Van Schalwyk</v>
      </c>
      <c r="D5" s="769"/>
      <c r="E5" s="769"/>
      <c r="F5" s="769"/>
      <c r="G5" s="766"/>
      <c r="H5" s="766"/>
      <c r="I5" s="766"/>
      <c r="J5" s="767" t="s">
        <v>568</v>
      </c>
      <c r="K5" s="767"/>
      <c r="L5" s="768"/>
    </row>
    <row r="6" spans="2:14" s="763" customFormat="1" ht="15">
      <c r="B6" s="764"/>
      <c r="C6" s="765" t="str">
        <f>IF('Data Sheet'!D24&lt;&gt;"",'Data Sheet'!D24,"")</f>
        <v>ABCD Transport</v>
      </c>
      <c r="D6" s="766"/>
      <c r="E6" s="766"/>
      <c r="F6" s="766"/>
      <c r="G6" s="766"/>
      <c r="H6" s="766"/>
      <c r="I6" s="766"/>
      <c r="J6" s="767" t="s">
        <v>569</v>
      </c>
      <c r="K6" s="767"/>
      <c r="L6" s="768"/>
    </row>
    <row r="7" spans="2:14" s="763" customFormat="1" ht="15">
      <c r="B7" s="764"/>
      <c r="C7" s="767" t="str">
        <f>IF('Data Sheet'!D25&lt;&gt;"",'Data Sheet'!D25,"")</f>
        <v>Unit D7 Waterford Court</v>
      </c>
      <c r="D7" s="766"/>
      <c r="E7" s="766"/>
      <c r="F7" s="766"/>
      <c r="G7" s="766"/>
      <c r="H7" s="766"/>
      <c r="I7" s="766"/>
      <c r="J7" s="767" t="s">
        <v>570</v>
      </c>
      <c r="K7" s="767"/>
      <c r="L7" s="768"/>
    </row>
    <row r="8" spans="2:14" s="763" customFormat="1" ht="15">
      <c r="B8" s="764"/>
      <c r="C8" s="767" t="str">
        <f>IF('Data Sheet'!D26&lt;&gt;"",'Data Sheet'!D26,"")</f>
        <v>C/o Rabie &amp; Glover Street</v>
      </c>
      <c r="D8" s="766"/>
      <c r="E8" s="766"/>
      <c r="F8" s="766"/>
      <c r="G8" s="766"/>
      <c r="H8" s="766"/>
      <c r="I8" s="766"/>
      <c r="J8" s="767" t="s">
        <v>571</v>
      </c>
      <c r="K8" s="767"/>
      <c r="L8" s="768"/>
    </row>
    <row r="9" spans="2:14" s="763" customFormat="1" ht="15">
      <c r="B9" s="764"/>
      <c r="C9" s="767" t="str">
        <f>IF('Data Sheet'!D27&lt;&gt;"",'Data Sheet'!D27,"")</f>
        <v>Lyttelton</v>
      </c>
      <c r="D9" s="766"/>
      <c r="E9" s="770" t="s">
        <v>596</v>
      </c>
      <c r="F9" s="771" t="str">
        <f>IF('Data Sheet'!D32&lt;&gt;"","("&amp;LEFT('Data Sheet'!AM32,3)&amp;")"&amp;" "&amp;MID('Data Sheet'!AM32,4,3)&amp;" "&amp;RIGHT('Data Sheet'!AM32,4),"")</f>
        <v>(012) 003 1234</v>
      </c>
      <c r="G9" s="1016" t="s">
        <v>311</v>
      </c>
      <c r="H9" s="772">
        <f>'Data Sheet'!D7</f>
        <v>43136</v>
      </c>
      <c r="I9" s="766"/>
      <c r="J9" s="767" t="s">
        <v>572</v>
      </c>
      <c r="K9" s="767"/>
      <c r="L9" s="768"/>
    </row>
    <row r="10" spans="2:14" s="763" customFormat="1" ht="15">
      <c r="B10" s="764"/>
      <c r="C10" s="773" t="str">
        <f>IF('Data Sheet'!D28&lt;&gt;"",'Data Sheet'!D28,"")</f>
        <v>Centurion</v>
      </c>
      <c r="D10" s="766"/>
      <c r="E10" s="770" t="s">
        <v>573</v>
      </c>
      <c r="F10" s="766" t="str">
        <f>IF('Data Sheet'!D33&lt;&gt;"","("&amp;LEFT('Data Sheet'!AM33,3)&amp;")"&amp;" "&amp;MID('Data Sheet'!AM33,4,3)&amp;" "&amp;RIGHT('Data Sheet'!AM33,4),"")</f>
        <v>(073) 123 4567</v>
      </c>
      <c r="G10" s="1016" t="s">
        <v>677</v>
      </c>
      <c r="H10" s="774" t="s">
        <v>1287</v>
      </c>
      <c r="I10" s="766"/>
      <c r="J10" s="767">
        <v>1609</v>
      </c>
      <c r="K10" s="767"/>
      <c r="L10" s="768"/>
    </row>
    <row r="11" spans="2:14" s="763" customFormat="1" ht="15">
      <c r="B11" s="764"/>
      <c r="C11" s="763" t="str">
        <f>IF('Data Sheet'!D29&lt;&gt;"",'Data Sheet'!D29,"")</f>
        <v/>
      </c>
      <c r="D11" s="766"/>
      <c r="E11" s="770" t="s">
        <v>574</v>
      </c>
      <c r="F11" s="766" t="str">
        <f>IF('Data Sheet'!D34&lt;&gt;"","("&amp;LEFT('Data Sheet'!AM34,3)&amp;")"&amp;" "&amp;MID('Data Sheet'!AM34,4,3)&amp;" "&amp;RIGHT('Data Sheet'!AM34,4),"")</f>
        <v>(086) 669 2700</v>
      </c>
      <c r="G11" s="766"/>
      <c r="H11" s="766"/>
      <c r="I11" s="766"/>
      <c r="J11" s="767" t="s">
        <v>575</v>
      </c>
      <c r="K11" s="767"/>
      <c r="L11" s="768"/>
    </row>
    <row r="12" spans="2:14" s="763" customFormat="1" ht="15">
      <c r="B12" s="764"/>
      <c r="C12" s="775" t="str">
        <f>'Data Sheet'!$D$30&amp;""</f>
        <v>0157</v>
      </c>
      <c r="D12" s="766"/>
      <c r="E12" s="770" t="s">
        <v>576</v>
      </c>
      <c r="F12" s="776" t="str">
        <f>'Data Sheet'!D35</f>
        <v>jvanschalwyk@jjt.co.za</v>
      </c>
      <c r="G12" s="766"/>
      <c r="H12" s="766"/>
      <c r="I12" s="766"/>
      <c r="J12" s="767" t="s">
        <v>577</v>
      </c>
      <c r="K12" s="767"/>
      <c r="L12" s="768"/>
    </row>
    <row r="13" spans="2:14" s="763" customFormat="1" ht="15">
      <c r="B13" s="764"/>
      <c r="C13" s="766"/>
      <c r="D13" s="766"/>
      <c r="E13" s="766"/>
      <c r="F13" s="766"/>
      <c r="G13" s="766"/>
      <c r="H13" s="766"/>
      <c r="I13" s="766"/>
      <c r="J13" s="766"/>
      <c r="K13" s="766"/>
      <c r="L13" s="768"/>
    </row>
    <row r="14" spans="2:14" s="763" customFormat="1" ht="27.6">
      <c r="B14" s="764"/>
      <c r="C14" s="1415" t="s">
        <v>25</v>
      </c>
      <c r="D14" s="1415"/>
      <c r="E14" s="1415"/>
      <c r="F14" s="1415"/>
      <c r="G14" s="1415"/>
      <c r="H14" s="1415"/>
      <c r="I14" s="1415"/>
      <c r="J14" s="1415"/>
      <c r="K14" s="1415"/>
      <c r="L14" s="768"/>
      <c r="N14" s="777"/>
    </row>
    <row r="15" spans="2:14" s="763" customFormat="1" ht="15.3" thickBot="1">
      <c r="B15" s="764"/>
      <c r="C15" s="766"/>
      <c r="D15" s="766"/>
      <c r="E15" s="766"/>
      <c r="F15" s="766"/>
      <c r="G15" s="766"/>
      <c r="H15" s="766"/>
      <c r="I15" s="766"/>
      <c r="J15" s="766"/>
      <c r="K15" s="766"/>
      <c r="L15" s="768"/>
    </row>
    <row r="16" spans="2:14" s="763" customFormat="1" ht="15">
      <c r="B16" s="778"/>
      <c r="C16" s="1416" t="s">
        <v>26</v>
      </c>
      <c r="D16" s="1418" t="str">
        <f>'Deal Sheet'!C3</f>
        <v>ABCD Transport</v>
      </c>
      <c r="E16" s="1419"/>
      <c r="F16" s="1419"/>
      <c r="G16" s="1419"/>
      <c r="H16" s="1419"/>
      <c r="I16" s="1419"/>
      <c r="J16" s="1419"/>
      <c r="K16" s="1420"/>
      <c r="L16" s="768"/>
      <c r="N16" s="779"/>
    </row>
    <row r="17" spans="2:14" s="763" customFormat="1" ht="15.3" thickBot="1">
      <c r="B17" s="778"/>
      <c r="C17" s="1417"/>
      <c r="D17" s="1421"/>
      <c r="E17" s="1422"/>
      <c r="F17" s="1422"/>
      <c r="G17" s="1422"/>
      <c r="H17" s="1422"/>
      <c r="I17" s="1422"/>
      <c r="J17" s="1422"/>
      <c r="K17" s="1423"/>
      <c r="L17" s="768"/>
      <c r="N17" s="779"/>
    </row>
    <row r="18" spans="2:14" s="763" customFormat="1" ht="15">
      <c r="B18" s="764"/>
      <c r="C18" s="1424" t="s">
        <v>578</v>
      </c>
      <c r="D18" s="1424"/>
      <c r="E18" s="1424"/>
      <c r="F18" s="1424"/>
      <c r="G18" s="1424"/>
      <c r="H18" s="1424"/>
      <c r="I18" s="1424"/>
      <c r="J18" s="1424"/>
      <c r="K18" s="1424"/>
      <c r="L18" s="768"/>
      <c r="N18" s="780"/>
    </row>
    <row r="19" spans="2:14" s="780" customFormat="1" ht="12.6">
      <c r="B19" s="781"/>
      <c r="C19" s="1424"/>
      <c r="D19" s="1424"/>
      <c r="E19" s="1424"/>
      <c r="F19" s="1424"/>
      <c r="G19" s="1424"/>
      <c r="H19" s="1424"/>
      <c r="I19" s="1424"/>
      <c r="J19" s="1424"/>
      <c r="K19" s="1424"/>
      <c r="L19" s="782"/>
    </row>
    <row r="20" spans="2:14" s="780" customFormat="1" ht="12.6">
      <c r="B20" s="781"/>
      <c r="C20" s="1424"/>
      <c r="D20" s="1424"/>
      <c r="E20" s="1424"/>
      <c r="F20" s="1424"/>
      <c r="G20" s="1424"/>
      <c r="H20" s="1424"/>
      <c r="I20" s="1424"/>
      <c r="J20" s="1424"/>
      <c r="K20" s="1424"/>
      <c r="L20" s="782"/>
    </row>
    <row r="21" spans="2:14" s="780" customFormat="1" ht="14.1" thickBot="1">
      <c r="B21" s="781"/>
      <c r="C21" s="783"/>
      <c r="D21" s="784"/>
      <c r="E21" s="784"/>
      <c r="F21" s="784"/>
      <c r="G21" s="784"/>
      <c r="H21" s="784"/>
      <c r="I21" s="784"/>
      <c r="J21" s="784"/>
      <c r="K21" s="784"/>
      <c r="L21" s="782"/>
    </row>
    <row r="22" spans="2:14" s="763" customFormat="1" ht="15">
      <c r="B22" s="778"/>
      <c r="C22" s="785" t="s">
        <v>579</v>
      </c>
      <c r="D22" s="761"/>
      <c r="E22" s="761"/>
      <c r="F22" s="761"/>
      <c r="G22" s="761"/>
      <c r="H22" s="761"/>
      <c r="I22" s="761"/>
      <c r="J22" s="761"/>
      <c r="K22" s="762"/>
      <c r="L22" s="768"/>
    </row>
    <row r="23" spans="2:14" s="763" customFormat="1" ht="15">
      <c r="B23" s="778"/>
      <c r="C23" s="786" t="s">
        <v>17</v>
      </c>
      <c r="D23" s="1428" t="str">
        <f>'Deal Sheet'!M12</f>
        <v>TGX-26-5406X4BLS-XLX</v>
      </c>
      <c r="E23" s="1428"/>
      <c r="F23" s="787" t="s">
        <v>660</v>
      </c>
      <c r="G23" s="788" t="str">
        <f>IF('Deal Sheet'!$G$61&lt;&gt;"",'Deal Sheet'!$G$61,"Not Specified")</f>
        <v>Longhaul</v>
      </c>
      <c r="H23" s="789" t="s">
        <v>659</v>
      </c>
      <c r="I23" s="788">
        <f>'Deal Sheet'!C39</f>
        <v>1</v>
      </c>
      <c r="J23" s="790" t="s">
        <v>294</v>
      </c>
      <c r="K23" s="791" t="str">
        <f>'Deal Sheet'!M9</f>
        <v>Standard Warranty</v>
      </c>
      <c r="L23" s="768"/>
    </row>
    <row r="24" spans="2:14" s="763" customFormat="1" ht="15.3" thickBot="1">
      <c r="B24" s="778"/>
      <c r="C24" s="792"/>
      <c r="D24" s="793"/>
      <c r="E24" s="794"/>
      <c r="F24" s="794"/>
      <c r="G24" s="794"/>
      <c r="H24" s="795"/>
      <c r="I24" s="795"/>
      <c r="J24" s="796"/>
      <c r="K24" s="797"/>
      <c r="L24" s="768"/>
    </row>
    <row r="25" spans="2:14" s="763" customFormat="1" ht="15.3" thickBot="1">
      <c r="B25" s="764"/>
      <c r="C25" s="798"/>
      <c r="D25" s="766"/>
      <c r="E25" s="766"/>
      <c r="F25" s="766"/>
      <c r="G25" s="766"/>
      <c r="H25" s="766"/>
      <c r="I25" s="766"/>
      <c r="J25" s="766"/>
      <c r="K25" s="766"/>
      <c r="L25" s="768"/>
    </row>
    <row r="26" spans="2:14" s="763" customFormat="1" ht="15.3" thickBot="1">
      <c r="B26" s="778"/>
      <c r="C26" s="1425" t="s">
        <v>310</v>
      </c>
      <c r="D26" s="1426"/>
      <c r="E26" s="799" t="s">
        <v>594</v>
      </c>
      <c r="F26" s="800" t="s">
        <v>580</v>
      </c>
      <c r="G26" s="801" t="s">
        <v>600</v>
      </c>
      <c r="H26" s="802" t="s">
        <v>581</v>
      </c>
      <c r="I26" s="800" t="s">
        <v>664</v>
      </c>
      <c r="J26" s="1425" t="s">
        <v>398</v>
      </c>
      <c r="K26" s="1427"/>
      <c r="L26" s="768"/>
    </row>
    <row r="27" spans="2:14" s="763" customFormat="1" ht="15" customHeight="1">
      <c r="B27" s="778"/>
      <c r="C27" s="1429"/>
      <c r="D27" s="1430"/>
      <c r="E27" s="803"/>
      <c r="F27" s="766"/>
      <c r="H27" s="804"/>
      <c r="I27" s="805"/>
      <c r="J27" s="1431"/>
      <c r="K27" s="1432"/>
      <c r="L27" s="768"/>
    </row>
    <row r="28" spans="2:14" s="763" customFormat="1" ht="15" customHeight="1">
      <c r="B28" s="778"/>
      <c r="C28" s="1405" t="s">
        <v>2</v>
      </c>
      <c r="D28" s="1406"/>
      <c r="E28" s="806">
        <f>'Deal Sheet'!D9</f>
        <v>2250000</v>
      </c>
      <c r="F28" s="804">
        <f>IF(C28&lt;&gt;"",$I$23,"")</f>
        <v>1</v>
      </c>
      <c r="G28" s="807">
        <f>IF(E28&lt;&gt;"",(E28*F28),"")</f>
        <v>2250000</v>
      </c>
      <c r="H28" s="804" t="str">
        <f>IF(E28&lt;&gt;"","Y","")</f>
        <v>Y</v>
      </c>
      <c r="I28" s="806">
        <f>IF(H28="Y",(G28*14%),IF(E28="","",0))</f>
        <v>315000.00000000006</v>
      </c>
      <c r="J28" s="1407">
        <f>IFERROR((G28+I28),"")</f>
        <v>2565000</v>
      </c>
      <c r="K28" s="1408"/>
      <c r="L28" s="768"/>
    </row>
    <row r="29" spans="2:14" s="763" customFormat="1" ht="15">
      <c r="B29" s="778"/>
      <c r="C29" s="1405" t="s">
        <v>19</v>
      </c>
      <c r="D29" s="1406"/>
      <c r="E29" s="806">
        <f>'Deal Sheet'!D9*'Deal Sheet'!L16</f>
        <v>0</v>
      </c>
      <c r="F29" s="804">
        <f>IF(C29&lt;&gt;"",$I$23,"")</f>
        <v>1</v>
      </c>
      <c r="G29" s="807">
        <f>IF(E29&lt;&gt;"",(E29*F29),"")</f>
        <v>0</v>
      </c>
      <c r="H29" s="804"/>
      <c r="I29" s="806"/>
      <c r="J29" s="1407">
        <f t="shared" ref="J29:J30" si="0">IFERROR((G29+I29),"")</f>
        <v>0</v>
      </c>
      <c r="K29" s="1408"/>
      <c r="L29" s="768"/>
    </row>
    <row r="30" spans="2:14" s="763" customFormat="1" ht="15">
      <c r="B30" s="778"/>
      <c r="C30" s="808" t="s">
        <v>687</v>
      </c>
      <c r="D30" s="767"/>
      <c r="E30" s="806">
        <f>'Deal Sheet'!$M$17/'Deal Sheet'!$C$39</f>
        <v>0</v>
      </c>
      <c r="F30" s="804">
        <f>IF(C30&lt;&gt;"",$I$23,"")</f>
        <v>1</v>
      </c>
      <c r="G30" s="807">
        <f t="shared" ref="G30" si="1">IF(E30&lt;&gt;"",(E30*F30),"")</f>
        <v>0</v>
      </c>
      <c r="H30" s="804"/>
      <c r="I30" s="806"/>
      <c r="J30" s="1407">
        <f t="shared" si="0"/>
        <v>0</v>
      </c>
      <c r="K30" s="1408"/>
      <c r="L30" s="768"/>
    </row>
    <row r="31" spans="2:14" s="763" customFormat="1" ht="15">
      <c r="B31" s="778"/>
      <c r="C31" s="808" t="s">
        <v>587</v>
      </c>
      <c r="D31" s="767"/>
      <c r="E31" s="806">
        <f>E28-E29-E30</f>
        <v>2250000</v>
      </c>
      <c r="F31" s="804">
        <f>IF(C31&lt;&gt;"",$I$23,"")</f>
        <v>1</v>
      </c>
      <c r="G31" s="807">
        <f>IF(E31&lt;&gt;"",(E31*F31),"")</f>
        <v>2250000</v>
      </c>
      <c r="H31" s="804" t="str">
        <f>IF(E31&lt;&gt;"","Y","")</f>
        <v>Y</v>
      </c>
      <c r="I31" s="806">
        <f>IF(H31="Y",(G31*14%),IF(E31="","",0))</f>
        <v>315000.00000000006</v>
      </c>
      <c r="J31" s="1407">
        <f>IFERROR((G31+I31),"")</f>
        <v>2565000</v>
      </c>
      <c r="K31" s="1408"/>
      <c r="L31" s="768"/>
    </row>
    <row r="32" spans="2:14" s="763" customFormat="1" ht="15">
      <c r="B32" s="778"/>
      <c r="C32" s="1433"/>
      <c r="D32" s="1434"/>
      <c r="E32" s="809"/>
      <c r="F32" s="804"/>
      <c r="H32" s="804"/>
      <c r="I32" s="806"/>
      <c r="J32" s="1407"/>
      <c r="K32" s="1408"/>
      <c r="L32" s="768"/>
    </row>
    <row r="33" spans="2:12" s="763" customFormat="1" ht="15">
      <c r="B33" s="778"/>
      <c r="C33" s="1435" t="s">
        <v>430</v>
      </c>
      <c r="D33" s="1436"/>
      <c r="E33" s="809"/>
      <c r="F33" s="804"/>
      <c r="H33" s="804"/>
      <c r="I33" s="806" t="str">
        <f t="shared" ref="I33:I34" si="2">IF(H33="Y",(E33*14%),IF(E33="","",0))</f>
        <v/>
      </c>
      <c r="J33" s="1407"/>
      <c r="K33" s="1408"/>
      <c r="L33" s="768"/>
    </row>
    <row r="34" spans="2:12" s="763" customFormat="1" ht="15">
      <c r="B34" s="778"/>
      <c r="C34" s="1433"/>
      <c r="D34" s="1434"/>
      <c r="E34" s="809"/>
      <c r="F34" s="804"/>
      <c r="H34" s="804"/>
      <c r="I34" s="806" t="str">
        <f t="shared" si="2"/>
        <v/>
      </c>
      <c r="J34" s="1407"/>
      <c r="K34" s="1408"/>
      <c r="L34" s="768"/>
    </row>
    <row r="35" spans="2:12" s="763" customFormat="1" ht="15">
      <c r="B35" s="778"/>
      <c r="C35" s="1405" t="str">
        <f>IF('Deal Sheet'!I23&lt;&gt;"",'Deal Sheet'!I23,"")</f>
        <v/>
      </c>
      <c r="D35" s="1406"/>
      <c r="E35" s="806" t="str">
        <f>IF('Deal Sheet'!M23&lt;&gt;"",'Deal Sheet'!M23,"")</f>
        <v/>
      </c>
      <c r="F35" s="804" t="str">
        <f t="shared" ref="F35:F50" si="3">IF(C35&lt;&gt;"",$I$23,"")</f>
        <v/>
      </c>
      <c r="G35" s="807" t="str">
        <f>IF(E35&lt;&gt;"",(E35*F35),"")</f>
        <v/>
      </c>
      <c r="H35" s="804" t="str">
        <f>IF(C35="","",IF(ISNUMBER(SEARCH("licens",C35)),"N","Y"))</f>
        <v/>
      </c>
      <c r="I35" s="806" t="str">
        <f t="shared" ref="I35:I49" si="4">IF(H35="Y",(G35*14%),IF(E35="","",0))</f>
        <v/>
      </c>
      <c r="J35" s="1407" t="str">
        <f t="shared" ref="J35:J50" si="5">IFERROR((G35+I35),"")</f>
        <v/>
      </c>
      <c r="K35" s="1408"/>
      <c r="L35" s="768"/>
    </row>
    <row r="36" spans="2:12" s="763" customFormat="1" ht="15">
      <c r="B36" s="778"/>
      <c r="C36" s="1405" t="str">
        <f>IF('Deal Sheet'!I24&lt;&gt;"",'Deal Sheet'!I24,"")</f>
        <v/>
      </c>
      <c r="D36" s="1406"/>
      <c r="E36" s="806" t="str">
        <f>IF('Deal Sheet'!M24&lt;&gt;"",'Deal Sheet'!M24,"")</f>
        <v/>
      </c>
      <c r="F36" s="804" t="str">
        <f t="shared" si="3"/>
        <v/>
      </c>
      <c r="G36" s="807" t="str">
        <f t="shared" ref="G36:G50" si="6">IF(E36&lt;&gt;"",(E36*F36),"")</f>
        <v/>
      </c>
      <c r="H36" s="804" t="str">
        <f t="shared" ref="H36:H49" si="7">IF(C36="","",IF(ISNUMBER(SEARCH("licens",C36)),"N","Y"))</f>
        <v/>
      </c>
      <c r="I36" s="806" t="str">
        <f t="shared" si="4"/>
        <v/>
      </c>
      <c r="J36" s="1407" t="str">
        <f t="shared" si="5"/>
        <v/>
      </c>
      <c r="K36" s="1408"/>
      <c r="L36" s="768"/>
    </row>
    <row r="37" spans="2:12" s="763" customFormat="1" ht="15">
      <c r="B37" s="778"/>
      <c r="C37" s="1405" t="str">
        <f>IF('Deal Sheet'!I25&lt;&gt;"",'Deal Sheet'!I25,"")</f>
        <v/>
      </c>
      <c r="D37" s="1406"/>
      <c r="E37" s="806" t="str">
        <f>IF('Deal Sheet'!M25&lt;&gt;"",'Deal Sheet'!M25,"")</f>
        <v/>
      </c>
      <c r="F37" s="804" t="str">
        <f t="shared" si="3"/>
        <v/>
      </c>
      <c r="G37" s="807" t="str">
        <f t="shared" si="6"/>
        <v/>
      </c>
      <c r="H37" s="804" t="str">
        <f t="shared" si="7"/>
        <v/>
      </c>
      <c r="I37" s="806" t="str">
        <f t="shared" si="4"/>
        <v/>
      </c>
      <c r="J37" s="1407" t="str">
        <f t="shared" si="5"/>
        <v/>
      </c>
      <c r="K37" s="1408"/>
      <c r="L37" s="768"/>
    </row>
    <row r="38" spans="2:12" s="763" customFormat="1" ht="15">
      <c r="B38" s="778"/>
      <c r="C38" s="1405" t="str">
        <f>IF('Deal Sheet'!I26&lt;&gt;"",'Deal Sheet'!I26,"")</f>
        <v/>
      </c>
      <c r="D38" s="1406"/>
      <c r="E38" s="806" t="str">
        <f>IF('Deal Sheet'!M26&lt;&gt;"",'Deal Sheet'!M26,"")</f>
        <v/>
      </c>
      <c r="F38" s="804" t="str">
        <f t="shared" si="3"/>
        <v/>
      </c>
      <c r="G38" s="807" t="str">
        <f>IF(E38&lt;&gt;"",(E38*F38),"")</f>
        <v/>
      </c>
      <c r="H38" s="804" t="str">
        <f t="shared" si="7"/>
        <v/>
      </c>
      <c r="I38" s="806" t="str">
        <f t="shared" si="4"/>
        <v/>
      </c>
      <c r="J38" s="1407" t="str">
        <f t="shared" si="5"/>
        <v/>
      </c>
      <c r="K38" s="1408"/>
      <c r="L38" s="768"/>
    </row>
    <row r="39" spans="2:12" s="763" customFormat="1" ht="15">
      <c r="B39" s="778"/>
      <c r="C39" s="1405" t="str">
        <f>IF('Deal Sheet'!I27&lt;&gt;"",'Deal Sheet'!I27,"")</f>
        <v/>
      </c>
      <c r="D39" s="1406"/>
      <c r="E39" s="806" t="str">
        <f>IF('Deal Sheet'!M27&lt;&gt;"",'Deal Sheet'!M27,"")</f>
        <v/>
      </c>
      <c r="F39" s="804" t="str">
        <f t="shared" si="3"/>
        <v/>
      </c>
      <c r="G39" s="807" t="str">
        <f t="shared" si="6"/>
        <v/>
      </c>
      <c r="H39" s="804" t="str">
        <f t="shared" si="7"/>
        <v/>
      </c>
      <c r="I39" s="806" t="str">
        <f t="shared" si="4"/>
        <v/>
      </c>
      <c r="J39" s="1407" t="str">
        <f t="shared" si="5"/>
        <v/>
      </c>
      <c r="K39" s="1408"/>
      <c r="L39" s="768"/>
    </row>
    <row r="40" spans="2:12" s="763" customFormat="1" ht="15">
      <c r="B40" s="778"/>
      <c r="C40" s="1405" t="str">
        <f>IF('Deal Sheet'!I28&lt;&gt;"",'Deal Sheet'!I28,"")</f>
        <v/>
      </c>
      <c r="D40" s="1406"/>
      <c r="E40" s="806" t="str">
        <f>IF('Deal Sheet'!M28&lt;&gt;"",'Deal Sheet'!M28,"")</f>
        <v/>
      </c>
      <c r="F40" s="804" t="str">
        <f t="shared" si="3"/>
        <v/>
      </c>
      <c r="G40" s="807" t="str">
        <f>IF(E40&lt;&gt;"",(E40*F40),"")</f>
        <v/>
      </c>
      <c r="H40" s="804" t="str">
        <f t="shared" si="7"/>
        <v/>
      </c>
      <c r="I40" s="806" t="str">
        <f t="shared" si="4"/>
        <v/>
      </c>
      <c r="J40" s="1407" t="str">
        <f>IFERROR((G40+I40),"")</f>
        <v/>
      </c>
      <c r="K40" s="1408"/>
      <c r="L40" s="768"/>
    </row>
    <row r="41" spans="2:12" s="763" customFormat="1" ht="15">
      <c r="B41" s="778"/>
      <c r="C41" s="1405" t="str">
        <f>IF('Deal Sheet'!I29&lt;&gt;"",'Deal Sheet'!I29,"")</f>
        <v/>
      </c>
      <c r="D41" s="1406"/>
      <c r="E41" s="806" t="str">
        <f>IF('Deal Sheet'!M29&lt;&gt;"",'Deal Sheet'!M29,"")</f>
        <v/>
      </c>
      <c r="F41" s="804" t="str">
        <f t="shared" si="3"/>
        <v/>
      </c>
      <c r="G41" s="807" t="str">
        <f t="shared" si="6"/>
        <v/>
      </c>
      <c r="H41" s="804" t="str">
        <f t="shared" si="7"/>
        <v/>
      </c>
      <c r="I41" s="806" t="str">
        <f t="shared" si="4"/>
        <v/>
      </c>
      <c r="J41" s="1407" t="str">
        <f t="shared" si="5"/>
        <v/>
      </c>
      <c r="K41" s="1408"/>
      <c r="L41" s="768"/>
    </row>
    <row r="42" spans="2:12" s="763" customFormat="1" ht="15">
      <c r="B42" s="778"/>
      <c r="C42" s="1405" t="str">
        <f>IF('Deal Sheet'!I30&lt;&gt;"",'Deal Sheet'!I30,"")</f>
        <v/>
      </c>
      <c r="D42" s="1406"/>
      <c r="E42" s="806" t="str">
        <f>IF('Deal Sheet'!M30&lt;&gt;"",'Deal Sheet'!M30,"")</f>
        <v/>
      </c>
      <c r="F42" s="804" t="str">
        <f t="shared" si="3"/>
        <v/>
      </c>
      <c r="G42" s="807" t="str">
        <f t="shared" si="6"/>
        <v/>
      </c>
      <c r="H42" s="804" t="str">
        <f t="shared" si="7"/>
        <v/>
      </c>
      <c r="I42" s="806" t="str">
        <f t="shared" si="4"/>
        <v/>
      </c>
      <c r="J42" s="1407" t="str">
        <f t="shared" si="5"/>
        <v/>
      </c>
      <c r="K42" s="1408"/>
      <c r="L42" s="768"/>
    </row>
    <row r="43" spans="2:12" s="763" customFormat="1" ht="15">
      <c r="B43" s="778"/>
      <c r="C43" s="1405" t="str">
        <f>IF('Deal Sheet'!I31&lt;&gt;"",'Deal Sheet'!I31,"")</f>
        <v/>
      </c>
      <c r="D43" s="1406"/>
      <c r="E43" s="806" t="str">
        <f>IF('Deal Sheet'!M31&lt;&gt;"",'Deal Sheet'!M31,"")</f>
        <v/>
      </c>
      <c r="F43" s="804" t="str">
        <f t="shared" si="3"/>
        <v/>
      </c>
      <c r="G43" s="807" t="str">
        <f t="shared" si="6"/>
        <v/>
      </c>
      <c r="H43" s="804" t="str">
        <f t="shared" si="7"/>
        <v/>
      </c>
      <c r="I43" s="806" t="str">
        <f t="shared" si="4"/>
        <v/>
      </c>
      <c r="J43" s="1407" t="str">
        <f t="shared" si="5"/>
        <v/>
      </c>
      <c r="K43" s="1408"/>
      <c r="L43" s="768"/>
    </row>
    <row r="44" spans="2:12" s="763" customFormat="1" ht="15">
      <c r="B44" s="778"/>
      <c r="C44" s="1405" t="str">
        <f>IF('Deal Sheet'!I32&lt;&gt;"",'Deal Sheet'!I32,"")</f>
        <v/>
      </c>
      <c r="D44" s="1406"/>
      <c r="E44" s="806" t="str">
        <f>IF('Deal Sheet'!M32&lt;&gt;"",'Deal Sheet'!M32,"")</f>
        <v/>
      </c>
      <c r="F44" s="804" t="str">
        <f t="shared" si="3"/>
        <v/>
      </c>
      <c r="G44" s="807" t="str">
        <f t="shared" si="6"/>
        <v/>
      </c>
      <c r="H44" s="804" t="str">
        <f t="shared" si="7"/>
        <v/>
      </c>
      <c r="I44" s="806" t="str">
        <f t="shared" si="4"/>
        <v/>
      </c>
      <c r="J44" s="1407" t="str">
        <f t="shared" si="5"/>
        <v/>
      </c>
      <c r="K44" s="1408"/>
      <c r="L44" s="768"/>
    </row>
    <row r="45" spans="2:12" s="763" customFormat="1" ht="15">
      <c r="B45" s="778"/>
      <c r="C45" s="1405" t="str">
        <f>IF('Deal Sheet'!I33&lt;&gt;"",'Deal Sheet'!I33,"")</f>
        <v/>
      </c>
      <c r="D45" s="1406"/>
      <c r="E45" s="806" t="str">
        <f>IF('Deal Sheet'!M33&lt;&gt;"",'Deal Sheet'!M33,"")</f>
        <v/>
      </c>
      <c r="F45" s="804" t="str">
        <f t="shared" si="3"/>
        <v/>
      </c>
      <c r="G45" s="807" t="str">
        <f t="shared" si="6"/>
        <v/>
      </c>
      <c r="H45" s="804" t="str">
        <f t="shared" si="7"/>
        <v/>
      </c>
      <c r="I45" s="806" t="str">
        <f t="shared" si="4"/>
        <v/>
      </c>
      <c r="J45" s="1407" t="str">
        <f t="shared" si="5"/>
        <v/>
      </c>
      <c r="K45" s="1408"/>
      <c r="L45" s="768"/>
    </row>
    <row r="46" spans="2:12" s="763" customFormat="1" ht="15">
      <c r="B46" s="778"/>
      <c r="C46" s="1405" t="str">
        <f>IF('Deal Sheet'!I34&lt;&gt;"",'Deal Sheet'!I34,"")</f>
        <v/>
      </c>
      <c r="D46" s="1406"/>
      <c r="E46" s="806" t="str">
        <f>IF('Deal Sheet'!M34&lt;&gt;"",'Deal Sheet'!M34,"")</f>
        <v/>
      </c>
      <c r="F46" s="804" t="str">
        <f t="shared" si="3"/>
        <v/>
      </c>
      <c r="G46" s="807" t="str">
        <f t="shared" si="6"/>
        <v/>
      </c>
      <c r="H46" s="804" t="str">
        <f t="shared" si="7"/>
        <v/>
      </c>
      <c r="I46" s="806" t="str">
        <f t="shared" si="4"/>
        <v/>
      </c>
      <c r="J46" s="1407" t="str">
        <f t="shared" si="5"/>
        <v/>
      </c>
      <c r="K46" s="1408"/>
      <c r="L46" s="768"/>
    </row>
    <row r="47" spans="2:12" s="763" customFormat="1" ht="15">
      <c r="B47" s="778"/>
      <c r="C47" s="1405" t="str">
        <f>IF('Deal Sheet'!I35&lt;&gt;"",'Deal Sheet'!I35,"")</f>
        <v/>
      </c>
      <c r="D47" s="1406"/>
      <c r="E47" s="806" t="str">
        <f>IF('Deal Sheet'!M35&lt;&gt;"",'Deal Sheet'!M35,"")</f>
        <v/>
      </c>
      <c r="F47" s="804" t="str">
        <f t="shared" si="3"/>
        <v/>
      </c>
      <c r="G47" s="807" t="str">
        <f t="shared" si="6"/>
        <v/>
      </c>
      <c r="H47" s="804" t="str">
        <f t="shared" si="7"/>
        <v/>
      </c>
      <c r="I47" s="806" t="str">
        <f t="shared" si="4"/>
        <v/>
      </c>
      <c r="J47" s="1407" t="str">
        <f t="shared" si="5"/>
        <v/>
      </c>
      <c r="K47" s="1408"/>
      <c r="L47" s="768"/>
    </row>
    <row r="48" spans="2:12" s="763" customFormat="1" ht="15">
      <c r="B48" s="778"/>
      <c r="C48" s="1405" t="str">
        <f>IF('Deal Sheet'!I36&lt;&gt;"",'Deal Sheet'!I36,"")</f>
        <v/>
      </c>
      <c r="D48" s="1406"/>
      <c r="E48" s="806" t="str">
        <f>IF('Deal Sheet'!M36&lt;&gt;"",'Deal Sheet'!M36,"")</f>
        <v/>
      </c>
      <c r="F48" s="804" t="str">
        <f t="shared" si="3"/>
        <v/>
      </c>
      <c r="G48" s="807" t="str">
        <f t="shared" si="6"/>
        <v/>
      </c>
      <c r="H48" s="804" t="str">
        <f t="shared" si="7"/>
        <v/>
      </c>
      <c r="I48" s="806" t="str">
        <f t="shared" si="4"/>
        <v/>
      </c>
      <c r="J48" s="1407" t="str">
        <f t="shared" si="5"/>
        <v/>
      </c>
      <c r="K48" s="1408"/>
      <c r="L48" s="768"/>
    </row>
    <row r="49" spans="2:13" s="763" customFormat="1" ht="15">
      <c r="B49" s="778"/>
      <c r="C49" s="1405" t="str">
        <f>IF('Deal Sheet'!I37&lt;&gt;"",'Deal Sheet'!I37,"")</f>
        <v/>
      </c>
      <c r="D49" s="1406"/>
      <c r="E49" s="806" t="str">
        <f>IF('Deal Sheet'!M37&lt;&gt;"",'Deal Sheet'!M37,"")</f>
        <v/>
      </c>
      <c r="F49" s="804" t="str">
        <f t="shared" si="3"/>
        <v/>
      </c>
      <c r="G49" s="807" t="str">
        <f t="shared" si="6"/>
        <v/>
      </c>
      <c r="H49" s="804" t="str">
        <f t="shared" si="7"/>
        <v/>
      </c>
      <c r="I49" s="806" t="str">
        <f t="shared" si="4"/>
        <v/>
      </c>
      <c r="J49" s="1407" t="str">
        <f t="shared" si="5"/>
        <v/>
      </c>
      <c r="K49" s="1408"/>
      <c r="L49" s="768"/>
    </row>
    <row r="50" spans="2:13" s="763" customFormat="1" ht="14.5" customHeight="1" thickBot="1">
      <c r="B50" s="778"/>
      <c r="C50" s="1405" t="str">
        <f>IF('Deal Sheet'!I46&lt;&gt;"",'Deal Sheet'!I46,"")</f>
        <v/>
      </c>
      <c r="D50" s="1406"/>
      <c r="E50" s="810" t="str">
        <f>IF('Deal Sheet'!M46&lt;&gt;"",'Deal Sheet'!M46,"")</f>
        <v/>
      </c>
      <c r="F50" s="811" t="str">
        <f t="shared" si="3"/>
        <v/>
      </c>
      <c r="G50" s="763" t="str">
        <f t="shared" si="6"/>
        <v/>
      </c>
      <c r="H50" s="811"/>
      <c r="I50" s="806" t="str">
        <f>IF(H50="Y",(G50*14%),IF(E50="","",0))</f>
        <v/>
      </c>
      <c r="J50" s="1409" t="str">
        <f t="shared" si="5"/>
        <v/>
      </c>
      <c r="K50" s="1410"/>
      <c r="L50" s="768"/>
      <c r="M50" s="812"/>
    </row>
    <row r="51" spans="2:13" s="763" customFormat="1" ht="15" customHeight="1">
      <c r="B51" s="778"/>
      <c r="C51" s="1411" t="s">
        <v>398</v>
      </c>
      <c r="D51" s="1412"/>
      <c r="E51" s="1438">
        <f>SUM(E31:E49)</f>
        <v>2250000</v>
      </c>
      <c r="F51" s="1442">
        <f>$I$23</f>
        <v>1</v>
      </c>
      <c r="G51" s="1440">
        <f>SUM(G31:G49)</f>
        <v>2250000</v>
      </c>
      <c r="H51" s="1444"/>
      <c r="I51" s="1446">
        <f>SUM(I31:I50)</f>
        <v>315000.00000000006</v>
      </c>
      <c r="J51" s="1401">
        <f>SUM(J31:K50)</f>
        <v>2565000</v>
      </c>
      <c r="K51" s="1402"/>
      <c r="L51" s="768"/>
      <c r="M51" s="813"/>
    </row>
    <row r="52" spans="2:13" s="763" customFormat="1" ht="15" customHeight="1" thickBot="1">
      <c r="B52" s="778"/>
      <c r="C52" s="1413"/>
      <c r="D52" s="1414"/>
      <c r="E52" s="1439"/>
      <c r="F52" s="1443"/>
      <c r="G52" s="1441"/>
      <c r="H52" s="1445"/>
      <c r="I52" s="1447"/>
      <c r="J52" s="1403"/>
      <c r="K52" s="1404"/>
      <c r="L52" s="768"/>
      <c r="M52" s="814"/>
    </row>
    <row r="53" spans="2:13" s="763" customFormat="1" ht="15.3" thickBot="1">
      <c r="B53" s="764"/>
      <c r="C53" s="815"/>
      <c r="D53" s="816"/>
      <c r="E53" s="817"/>
      <c r="F53" s="817"/>
      <c r="G53" s="816"/>
      <c r="H53" s="818"/>
      <c r="I53" s="817"/>
      <c r="J53" s="817"/>
      <c r="K53" s="817"/>
      <c r="L53" s="768"/>
      <c r="M53" s="812"/>
    </row>
    <row r="54" spans="2:13" s="763" customFormat="1" ht="15">
      <c r="B54" s="778"/>
      <c r="C54" s="819"/>
      <c r="D54" s="820"/>
      <c r="E54" s="821"/>
      <c r="F54" s="821"/>
      <c r="G54" s="820"/>
      <c r="H54" s="822"/>
      <c r="I54" s="821"/>
      <c r="J54" s="821"/>
      <c r="K54" s="823"/>
      <c r="L54" s="768"/>
    </row>
    <row r="55" spans="2:13" s="763" customFormat="1" ht="15">
      <c r="B55" s="778"/>
      <c r="C55" s="824" t="s">
        <v>593</v>
      </c>
      <c r="D55" s="825"/>
      <c r="E55" s="825"/>
      <c r="F55" s="825"/>
      <c r="G55" s="825"/>
      <c r="H55" s="825"/>
      <c r="I55" s="826"/>
      <c r="J55" s="825"/>
      <c r="K55" s="827"/>
      <c r="L55" s="768"/>
    </row>
    <row r="56" spans="2:13" s="763" customFormat="1" ht="15">
      <c r="B56" s="778"/>
      <c r="C56" s="828"/>
      <c r="D56" s="829"/>
      <c r="E56" s="817"/>
      <c r="F56" s="817"/>
      <c r="G56" s="818"/>
      <c r="H56" s="818"/>
      <c r="I56" s="817"/>
      <c r="J56" s="817"/>
      <c r="K56" s="830"/>
      <c r="L56" s="768"/>
    </row>
    <row r="57" spans="2:13" s="763" customFormat="1" ht="15">
      <c r="B57" s="778"/>
      <c r="C57" s="831" t="s">
        <v>592</v>
      </c>
      <c r="D57" s="818"/>
      <c r="E57" s="817"/>
      <c r="F57" s="817"/>
      <c r="G57" s="818"/>
      <c r="H57" s="818"/>
      <c r="I57" s="817"/>
      <c r="J57" s="817"/>
      <c r="K57" s="830">
        <f>'Deal Sheet'!M44*'Deal Sheet'!C39</f>
        <v>56667</v>
      </c>
      <c r="L57" s="768"/>
    </row>
    <row r="58" spans="2:13" s="763" customFormat="1" ht="15">
      <c r="B58" s="778"/>
      <c r="C58" s="831" t="s">
        <v>666</v>
      </c>
      <c r="D58" s="818"/>
      <c r="E58" s="817"/>
      <c r="F58" s="817"/>
      <c r="G58" s="818"/>
      <c r="H58" s="818"/>
      <c r="I58" s="817"/>
      <c r="J58" s="817"/>
      <c r="K58" s="830">
        <f>'Deal Sheet'!M45*'Deal Sheet'!C39</f>
        <v>345</v>
      </c>
      <c r="L58" s="768"/>
    </row>
    <row r="59" spans="2:13" s="763" customFormat="1" ht="15">
      <c r="B59" s="778"/>
      <c r="C59" s="831"/>
      <c r="D59" s="818"/>
      <c r="E59" s="817"/>
      <c r="F59" s="817"/>
      <c r="G59" s="818"/>
      <c r="H59" s="818"/>
      <c r="I59" s="817"/>
      <c r="J59" s="817"/>
      <c r="K59" s="830"/>
      <c r="L59" s="768"/>
    </row>
    <row r="60" spans="2:13" s="763" customFormat="1" ht="15">
      <c r="B60" s="778"/>
      <c r="C60" s="832"/>
      <c r="D60" s="816"/>
      <c r="E60" s="817"/>
      <c r="F60" s="817"/>
      <c r="G60" s="818" t="str">
        <f t="shared" ref="G60" si="8">LOWER(C60)</f>
        <v/>
      </c>
      <c r="H60" s="818"/>
      <c r="I60" s="817"/>
      <c r="J60" s="817"/>
      <c r="K60" s="830"/>
      <c r="L60" s="768"/>
    </row>
    <row r="61" spans="2:13" s="763" customFormat="1" ht="15.3" thickBot="1">
      <c r="B61" s="778"/>
      <c r="C61" s="833" t="s">
        <v>591</v>
      </c>
      <c r="D61" s="816"/>
      <c r="E61" s="817"/>
      <c r="F61" s="817"/>
      <c r="G61" s="818"/>
      <c r="H61" s="818"/>
      <c r="I61" s="817"/>
      <c r="J61" s="817"/>
      <c r="K61" s="834">
        <f>J51-K57-K58-K59</f>
        <v>2507988</v>
      </c>
      <c r="L61" s="768"/>
    </row>
    <row r="62" spans="2:13" s="763" customFormat="1" ht="15.6" thickTop="1" thickBot="1">
      <c r="B62" s="778"/>
      <c r="C62" s="835"/>
      <c r="D62" s="836"/>
      <c r="E62" s="837"/>
      <c r="F62" s="837"/>
      <c r="G62" s="838"/>
      <c r="H62" s="838"/>
      <c r="I62" s="837"/>
      <c r="J62" s="837"/>
      <c r="K62" s="839"/>
      <c r="L62" s="768"/>
    </row>
    <row r="63" spans="2:13" s="763" customFormat="1" ht="15.3" thickBot="1">
      <c r="B63" s="764"/>
      <c r="C63" s="816"/>
      <c r="D63" s="816"/>
      <c r="E63" s="817"/>
      <c r="F63" s="817"/>
      <c r="G63" s="818"/>
      <c r="H63" s="818"/>
      <c r="I63" s="817"/>
      <c r="J63" s="817"/>
      <c r="K63" s="817"/>
      <c r="L63" s="768"/>
    </row>
    <row r="64" spans="2:13" s="763" customFormat="1" ht="15">
      <c r="B64" s="764"/>
      <c r="C64" s="840" t="s">
        <v>582</v>
      </c>
      <c r="D64" s="820"/>
      <c r="E64" s="821"/>
      <c r="F64" s="821"/>
      <c r="G64" s="822"/>
      <c r="H64" s="822"/>
      <c r="I64" s="821"/>
      <c r="J64" s="821"/>
      <c r="K64" s="823"/>
      <c r="L64" s="768"/>
    </row>
    <row r="65" spans="2:12" s="763" customFormat="1" ht="15.3" thickBot="1">
      <c r="B65" s="764"/>
      <c r="C65" s="841" t="s">
        <v>598</v>
      </c>
      <c r="D65" s="795"/>
      <c r="E65" s="842" t="str">
        <f>IF('Deal Sheet'!E43&lt;&gt;"",'Deal Sheet'!E43,"N/A")</f>
        <v>N/A</v>
      </c>
      <c r="F65" s="795"/>
      <c r="G65" s="795"/>
      <c r="H65" s="1437" t="s">
        <v>603</v>
      </c>
      <c r="I65" s="1437"/>
      <c r="J65" s="795"/>
      <c r="K65" s="843">
        <f>IF('Deal Sheet'!G43&lt;&gt;"",'Deal Sheet'!G43,0)</f>
        <v>0</v>
      </c>
      <c r="L65" s="768"/>
    </row>
    <row r="66" spans="2:12" s="763" customFormat="1" ht="15.3" thickBot="1">
      <c r="B66" s="764"/>
      <c r="C66" s="836"/>
      <c r="D66" s="816"/>
      <c r="E66" s="817"/>
      <c r="F66" s="817"/>
      <c r="G66" s="818"/>
      <c r="H66" s="818"/>
      <c r="I66" s="817"/>
      <c r="J66" s="817"/>
      <c r="K66" s="817"/>
      <c r="L66" s="768"/>
    </row>
    <row r="67" spans="2:12" s="763" customFormat="1" ht="15.3" thickBot="1">
      <c r="B67" s="764"/>
      <c r="C67" s="760"/>
      <c r="D67" s="761"/>
      <c r="E67" s="761"/>
      <c r="F67" s="761"/>
      <c r="G67" s="761"/>
      <c r="H67" s="761"/>
      <c r="I67" s="761"/>
      <c r="J67" s="761"/>
      <c r="K67" s="762"/>
      <c r="L67" s="768"/>
    </row>
    <row r="68" spans="2:12" s="763" customFormat="1" ht="15">
      <c r="B68" s="764"/>
      <c r="C68" s="844" t="s">
        <v>1157</v>
      </c>
      <c r="D68" s="845"/>
      <c r="E68" s="845"/>
      <c r="F68" s="845"/>
      <c r="G68" s="845"/>
      <c r="H68" s="845"/>
      <c r="I68" s="845"/>
      <c r="J68" s="845"/>
      <c r="K68" s="846"/>
      <c r="L68" s="768"/>
    </row>
    <row r="69" spans="2:12" s="763" customFormat="1" ht="15.3" thickBot="1">
      <c r="B69" s="764"/>
      <c r="C69" s="764"/>
      <c r="D69" s="766"/>
      <c r="E69" s="766"/>
      <c r="F69" s="766"/>
      <c r="G69" s="766"/>
      <c r="H69" s="766"/>
      <c r="I69" s="766"/>
      <c r="J69" s="766"/>
      <c r="K69" s="768"/>
      <c r="L69" s="768"/>
    </row>
    <row r="70" spans="2:12" s="763" customFormat="1" ht="15.3" thickBot="1">
      <c r="B70" s="764"/>
      <c r="C70" s="1457" t="s">
        <v>599</v>
      </c>
      <c r="D70" s="1458"/>
      <c r="E70" s="1458"/>
      <c r="F70" s="1459"/>
      <c r="G70" s="766"/>
      <c r="H70" s="1457" t="str">
        <f>IF('Deal Sheet'!D46="None","Trade Back Details",'Deal Sheet'!D46&amp;" "&amp;"Details")</f>
        <v>Trade Back Details</v>
      </c>
      <c r="I70" s="1458"/>
      <c r="J70" s="1458"/>
      <c r="K70" s="1459"/>
      <c r="L70" s="768"/>
    </row>
    <row r="71" spans="2:12" s="763" customFormat="1" ht="15">
      <c r="B71" s="764"/>
      <c r="C71" s="760"/>
      <c r="D71" s="761"/>
      <c r="E71" s="761"/>
      <c r="F71" s="762"/>
      <c r="G71" s="766"/>
      <c r="H71" s="847" t="s">
        <v>601</v>
      </c>
      <c r="I71" s="848"/>
      <c r="J71" s="849"/>
      <c r="K71" s="850" t="str">
        <f>IF('Deal Sheet'!G46&lt;&gt;"",'Deal Sheet'!G46,"")</f>
        <v/>
      </c>
      <c r="L71" s="768"/>
    </row>
    <row r="72" spans="2:12" s="763" customFormat="1" ht="15">
      <c r="B72" s="764"/>
      <c r="C72" s="764" t="s">
        <v>586</v>
      </c>
      <c r="D72" s="766"/>
      <c r="E72" s="766"/>
      <c r="F72" s="851" t="str">
        <f>IF('Deal Sheet'!$O$41&lt;&gt;"","Service Care","None")</f>
        <v>Service Care</v>
      </c>
      <c r="G72" s="766"/>
      <c r="H72" s="764" t="s">
        <v>584</v>
      </c>
      <c r="I72" s="766"/>
      <c r="J72" s="766"/>
      <c r="K72" s="851" t="str">
        <f>IF([0]!STP&lt;&gt;"",[0]!STP,"")</f>
        <v/>
      </c>
      <c r="L72" s="768"/>
    </row>
    <row r="73" spans="2:12" s="763" customFormat="1" ht="15">
      <c r="B73" s="764"/>
      <c r="C73" s="764" t="s">
        <v>584</v>
      </c>
      <c r="D73" s="766"/>
      <c r="E73" s="766"/>
      <c r="F73" s="851" t="str">
        <f>IF(MODEL&lt;&gt;"","3 Months","")</f>
        <v>3 Months</v>
      </c>
      <c r="G73" s="766"/>
      <c r="H73" s="808" t="s">
        <v>662</v>
      </c>
      <c r="I73" s="767"/>
      <c r="J73" s="852"/>
      <c r="K73" s="851" t="str">
        <f>IF([0]!STM&lt;&gt;"",[0]!STM,"")</f>
        <v/>
      </c>
      <c r="L73" s="768"/>
    </row>
    <row r="74" spans="2:12" s="763" customFormat="1" ht="15.3" thickBot="1">
      <c r="B74" s="764"/>
      <c r="C74" s="792"/>
      <c r="D74" s="795"/>
      <c r="E74" s="795"/>
      <c r="F74" s="843"/>
      <c r="G74" s="766"/>
      <c r="H74" s="853" t="s">
        <v>1162</v>
      </c>
      <c r="I74" s="854"/>
      <c r="J74" s="855"/>
      <c r="K74" s="843" t="str">
        <f>IF([0]!ST="None","",IF(AND([0]!ST&lt;&gt;"None",[0]!STCUS=0),'Deal Sheet'!$F48,[0]!STCUS))</f>
        <v/>
      </c>
      <c r="L74" s="768"/>
    </row>
    <row r="75" spans="2:12" s="763" customFormat="1" ht="15.3" thickBot="1">
      <c r="B75" s="764"/>
      <c r="C75" s="764"/>
      <c r="D75" s="766"/>
      <c r="E75" s="766"/>
      <c r="F75" s="766"/>
      <c r="G75" s="766"/>
      <c r="H75" s="766"/>
      <c r="I75" s="766"/>
      <c r="J75" s="766"/>
      <c r="K75" s="768"/>
      <c r="L75" s="768"/>
    </row>
    <row r="76" spans="2:12" s="763" customFormat="1" ht="15.3" thickBot="1">
      <c r="B76" s="764"/>
      <c r="C76" s="1460" t="s">
        <v>585</v>
      </c>
      <c r="D76" s="1461"/>
      <c r="E76" s="1461"/>
      <c r="F76" s="1462"/>
      <c r="G76" s="766"/>
      <c r="H76" s="1457" t="s">
        <v>655</v>
      </c>
      <c r="I76" s="1458"/>
      <c r="J76" s="1458"/>
      <c r="K76" s="1459"/>
      <c r="L76" s="768"/>
    </row>
    <row r="77" spans="2:12" s="763" customFormat="1" ht="15">
      <c r="B77" s="764"/>
      <c r="C77" s="847" t="s">
        <v>586</v>
      </c>
      <c r="D77" s="848"/>
      <c r="E77" s="761"/>
      <c r="F77" s="850" t="str">
        <f>'Deal Sheet'!F53</f>
        <v>None</v>
      </c>
      <c r="G77" s="766"/>
      <c r="H77" s="760"/>
      <c r="I77" s="761"/>
      <c r="J77" s="761"/>
      <c r="K77" s="762"/>
      <c r="L77" s="768"/>
    </row>
    <row r="78" spans="2:12" s="763" customFormat="1" ht="15">
      <c r="B78" s="764"/>
      <c r="C78" s="808" t="s">
        <v>584</v>
      </c>
      <c r="D78" s="767"/>
      <c r="E78" s="766"/>
      <c r="F78" s="851" t="str">
        <f>IF('Deal Sheet'!E54="","",'Deal Sheet'!E54)</f>
        <v/>
      </c>
      <c r="G78" s="766"/>
      <c r="H78" s="1405" t="s">
        <v>45</v>
      </c>
      <c r="I78" s="1406"/>
      <c r="J78" s="852"/>
      <c r="K78" s="851" t="str">
        <f>'Deal Sheet'!F63</f>
        <v>None</v>
      </c>
      <c r="L78" s="768"/>
    </row>
    <row r="79" spans="2:12" s="763" customFormat="1" ht="15">
      <c r="B79" s="764"/>
      <c r="C79" s="1405" t="s">
        <v>661</v>
      </c>
      <c r="D79" s="1406"/>
      <c r="E79" s="766"/>
      <c r="F79" s="851" t="str">
        <f>IF('Deal Sheet'!E55="","",'Deal Sheet'!E55)</f>
        <v/>
      </c>
      <c r="G79" s="766"/>
      <c r="H79" s="1405" t="str">
        <f>IF(K79="","","Term &amp; Mileage")</f>
        <v/>
      </c>
      <c r="I79" s="1406"/>
      <c r="J79" s="856" t="str">
        <f>IF(K78="Combination","Entire Vehicle","")</f>
        <v/>
      </c>
      <c r="K79" s="857" t="str">
        <f>IF(OR('Deal Sheet'!F63="Entire Vehicle",'Deal Sheet'!F63="Combination"),'Deal Sheet'!D65&amp;" / "&amp;'Deal Sheet'!D66,"")</f>
        <v/>
      </c>
      <c r="L79" s="768"/>
    </row>
    <row r="80" spans="2:12" s="763" customFormat="1" ht="15" customHeight="1" thickBot="1">
      <c r="B80" s="764"/>
      <c r="C80" s="792" t="s">
        <v>816</v>
      </c>
      <c r="D80" s="795"/>
      <c r="E80" s="795"/>
      <c r="F80" s="1056" t="str">
        <f>IF(AND('Deal Sheet'!F53&lt;&gt;"None",'Deal Sheet'!G55&lt;&gt;""),('Deal Sheet'!G55/'Deal Sheet'!N55),IF(AND('Deal Sheet'!F53&lt;&gt;"None",'Deal Sheet'!G57&lt;&gt;""),'Deal Sheet'!G57/'Deal Sheet'!N55,""))</f>
        <v/>
      </c>
      <c r="G80" s="766"/>
      <c r="H80" s="1463" t="str">
        <f>IF(K80="","","Term &amp; Mileage")</f>
        <v/>
      </c>
      <c r="I80" s="1464"/>
      <c r="J80" s="858" t="str">
        <f>IF(K78="Combination","Driveline","")</f>
        <v/>
      </c>
      <c r="K80" s="859" t="str">
        <f>IF(OR('Deal Sheet'!F63="Driveline",'Deal Sheet'!F63="Combination"),'Deal Sheet'!E65&amp;" / "&amp;'Deal Sheet'!E66,"")</f>
        <v/>
      </c>
      <c r="L80" s="768"/>
    </row>
    <row r="81" spans="2:12" s="763" customFormat="1" ht="15.3" thickBot="1">
      <c r="B81" s="764"/>
      <c r="C81" s="795"/>
      <c r="D81" s="795"/>
      <c r="E81" s="795"/>
      <c r="F81" s="795"/>
      <c r="G81" s="795"/>
      <c r="H81" s="795"/>
      <c r="I81" s="795"/>
      <c r="J81" s="795"/>
      <c r="K81" s="795"/>
      <c r="L81" s="768"/>
    </row>
    <row r="82" spans="2:12" s="763" customFormat="1" ht="14.5" customHeight="1" thickBot="1">
      <c r="B82" s="778"/>
      <c r="C82" s="840" t="s">
        <v>590</v>
      </c>
      <c r="D82" s="860"/>
      <c r="E82" s="860"/>
      <c r="F82" s="860"/>
      <c r="G82" s="1471" t="s">
        <v>645</v>
      </c>
      <c r="H82" s="1472"/>
      <c r="I82" s="1472"/>
      <c r="J82" s="1472"/>
      <c r="K82" s="1473"/>
      <c r="L82" s="768"/>
    </row>
    <row r="83" spans="2:12" s="763" customFormat="1" ht="14.5" customHeight="1">
      <c r="B83" s="778"/>
      <c r="C83" s="764" t="s">
        <v>627</v>
      </c>
      <c r="D83" s="766"/>
      <c r="E83" s="818" t="str">
        <f>'Data Sheet'!D40</f>
        <v>Absa</v>
      </c>
      <c r="F83" s="766"/>
      <c r="G83" s="1469" t="s">
        <v>654</v>
      </c>
      <c r="H83" s="1467" t="str">
        <f>IF('Data Sheet'!AW11="","",'Data Sheet'!AW11)</f>
        <v>Deliver  X1 Unit(s)  : 2018-01</v>
      </c>
      <c r="I83" s="1468"/>
      <c r="J83" s="1467" t="str">
        <f>IF('Data Sheet'!AW16="","",'Data Sheet'!AW16)</f>
        <v/>
      </c>
      <c r="K83" s="1468"/>
      <c r="L83" s="768"/>
    </row>
    <row r="84" spans="2:12" s="763" customFormat="1" ht="14.5" customHeight="1">
      <c r="B84" s="778"/>
      <c r="C84" s="764" t="s">
        <v>589</v>
      </c>
      <c r="D84" s="766"/>
      <c r="E84" s="818" t="str">
        <f>'Data Sheet'!D52</f>
        <v>30 days</v>
      </c>
      <c r="F84" s="766"/>
      <c r="G84" s="1469"/>
      <c r="H84" s="1467" t="str">
        <f>IF('Data Sheet'!AW12="","",'Data Sheet'!AW12)</f>
        <v/>
      </c>
      <c r="I84" s="1468"/>
      <c r="J84" s="1467" t="str">
        <f>IF('Data Sheet'!AW17="","",'Data Sheet'!AW17)</f>
        <v/>
      </c>
      <c r="K84" s="1468"/>
      <c r="L84" s="768"/>
    </row>
    <row r="85" spans="2:12" s="763" customFormat="1" ht="14.5" customHeight="1">
      <c r="B85" s="778"/>
      <c r="C85" s="764" t="s">
        <v>653</v>
      </c>
      <c r="D85" s="766"/>
      <c r="E85" s="818" t="str">
        <f>'Data Sheet'!I52</f>
        <v>Homologation</v>
      </c>
      <c r="F85" s="766"/>
      <c r="G85" s="1469"/>
      <c r="H85" s="1467" t="str">
        <f>IF('Data Sheet'!AW13="","",'Data Sheet'!AW13)</f>
        <v/>
      </c>
      <c r="I85" s="1468"/>
      <c r="J85" s="1467" t="str">
        <f>IF('Data Sheet'!AW18="","",'Data Sheet'!AW18)</f>
        <v/>
      </c>
      <c r="K85" s="1468"/>
      <c r="L85" s="768"/>
    </row>
    <row r="86" spans="2:12" s="763" customFormat="1" ht="14.5" customHeight="1">
      <c r="B86" s="778"/>
      <c r="C86" s="764"/>
      <c r="D86" s="766"/>
      <c r="E86" s="766"/>
      <c r="F86" s="766"/>
      <c r="G86" s="1469"/>
      <c r="H86" s="1467" t="str">
        <f>IF('Data Sheet'!AW14="","",'Data Sheet'!AW14)</f>
        <v/>
      </c>
      <c r="I86" s="1468"/>
      <c r="J86" s="1467" t="str">
        <f>IF('Data Sheet'!AW19="","",'Data Sheet'!AW19)</f>
        <v/>
      </c>
      <c r="K86" s="1468"/>
      <c r="L86" s="768"/>
    </row>
    <row r="87" spans="2:12" s="763" customFormat="1" ht="14.5" customHeight="1" thickBot="1">
      <c r="B87" s="778"/>
      <c r="C87" s="792"/>
      <c r="D87" s="795"/>
      <c r="E87" s="795"/>
      <c r="F87" s="795"/>
      <c r="G87" s="1470"/>
      <c r="H87" s="1465" t="str">
        <f>IF('Data Sheet'!AW15="","",'Data Sheet'!AW15)</f>
        <v/>
      </c>
      <c r="I87" s="1466"/>
      <c r="J87" s="1465" t="str">
        <f>IF('Data Sheet'!AW20="","",'Data Sheet'!AW20)</f>
        <v/>
      </c>
      <c r="K87" s="1466"/>
      <c r="L87" s="768"/>
    </row>
    <row r="88" spans="2:12" s="763" customFormat="1" ht="15">
      <c r="B88" s="764"/>
      <c r="C88" s="861" t="s">
        <v>665</v>
      </c>
      <c r="D88" s="766"/>
      <c r="E88" s="766"/>
      <c r="F88" s="766"/>
      <c r="G88" s="766"/>
      <c r="H88" s="766"/>
      <c r="I88" s="766"/>
      <c r="J88" s="766"/>
      <c r="K88" s="766"/>
      <c r="L88" s="768"/>
    </row>
    <row r="89" spans="2:12" s="763" customFormat="1" ht="15.3" thickBot="1">
      <c r="B89" s="764"/>
      <c r="C89" s="795"/>
      <c r="D89" s="766"/>
      <c r="E89" s="766"/>
      <c r="F89" s="766"/>
      <c r="G89" s="766"/>
      <c r="H89" s="766"/>
      <c r="I89" s="766"/>
      <c r="J89" s="766"/>
      <c r="K89" s="766"/>
      <c r="L89" s="768"/>
    </row>
    <row r="90" spans="2:12" s="763" customFormat="1" ht="2.5" customHeight="1">
      <c r="B90" s="778"/>
      <c r="C90" s="1448" t="s">
        <v>1158</v>
      </c>
      <c r="D90" s="1449"/>
      <c r="E90" s="1448" t="s">
        <v>1159</v>
      </c>
      <c r="F90" s="1449"/>
      <c r="G90" s="1448" t="s">
        <v>1160</v>
      </c>
      <c r="H90" s="1454"/>
      <c r="I90" s="1449"/>
      <c r="J90" s="1448" t="s">
        <v>1161</v>
      </c>
      <c r="K90" s="1449"/>
      <c r="L90" s="768"/>
    </row>
    <row r="91" spans="2:12" s="763" customFormat="1" ht="15">
      <c r="B91" s="778"/>
      <c r="C91" s="1450"/>
      <c r="D91" s="1451"/>
      <c r="E91" s="1450"/>
      <c r="F91" s="1451"/>
      <c r="G91" s="1450"/>
      <c r="H91" s="1455"/>
      <c r="I91" s="1451"/>
      <c r="J91" s="1450"/>
      <c r="K91" s="1451"/>
      <c r="L91" s="768"/>
    </row>
    <row r="92" spans="2:12" s="763" customFormat="1" ht="13.15" customHeight="1">
      <c r="B92" s="778"/>
      <c r="C92" s="1450"/>
      <c r="D92" s="1451"/>
      <c r="E92" s="1450"/>
      <c r="F92" s="1451"/>
      <c r="G92" s="1450"/>
      <c r="H92" s="1455"/>
      <c r="I92" s="1451"/>
      <c r="J92" s="1450"/>
      <c r="K92" s="1451"/>
      <c r="L92" s="768"/>
    </row>
    <row r="93" spans="2:12" s="763" customFormat="1" ht="42" customHeight="1">
      <c r="B93" s="778"/>
      <c r="C93" s="1450"/>
      <c r="D93" s="1451"/>
      <c r="E93" s="1450"/>
      <c r="F93" s="1451"/>
      <c r="G93" s="1450"/>
      <c r="H93" s="1455"/>
      <c r="I93" s="1451"/>
      <c r="J93" s="1450"/>
      <c r="K93" s="1451"/>
      <c r="L93" s="768"/>
    </row>
    <row r="94" spans="2:12" s="763" customFormat="1" ht="14.5" customHeight="1">
      <c r="B94" s="778"/>
      <c r="C94" s="1450"/>
      <c r="D94" s="1451"/>
      <c r="E94" s="1450"/>
      <c r="F94" s="1451"/>
      <c r="G94" s="1450"/>
      <c r="H94" s="1455"/>
      <c r="I94" s="1451"/>
      <c r="J94" s="1450"/>
      <c r="K94" s="1451"/>
      <c r="L94" s="768"/>
    </row>
    <row r="95" spans="2:12" s="763" customFormat="1" ht="13.9" customHeight="1">
      <c r="B95" s="778"/>
      <c r="C95" s="1450"/>
      <c r="D95" s="1451"/>
      <c r="E95" s="1450"/>
      <c r="F95" s="1451"/>
      <c r="G95" s="1450"/>
      <c r="H95" s="1455"/>
      <c r="I95" s="1451"/>
      <c r="J95" s="1450"/>
      <c r="K95" s="1451"/>
      <c r="L95" s="768"/>
    </row>
    <row r="96" spans="2:12" s="763" customFormat="1" ht="19.5" customHeight="1" thickBot="1">
      <c r="B96" s="778"/>
      <c r="C96" s="1452"/>
      <c r="D96" s="1453"/>
      <c r="E96" s="1452"/>
      <c r="F96" s="1453"/>
      <c r="G96" s="1452"/>
      <c r="H96" s="1456"/>
      <c r="I96" s="1453"/>
      <c r="J96" s="1452"/>
      <c r="K96" s="1453"/>
      <c r="L96" s="768"/>
    </row>
    <row r="97" spans="2:12" s="763" customFormat="1" ht="15" customHeight="1">
      <c r="B97" s="764"/>
      <c r="C97" s="862" t="s">
        <v>597</v>
      </c>
      <c r="D97" s="766"/>
      <c r="F97" s="766"/>
      <c r="G97" s="766"/>
      <c r="H97" s="766"/>
      <c r="I97" s="766"/>
      <c r="J97" s="766"/>
      <c r="K97" s="766"/>
      <c r="L97" s="768"/>
    </row>
    <row r="98" spans="2:12" s="763" customFormat="1" ht="2.5" customHeight="1">
      <c r="B98" s="764"/>
      <c r="C98" s="766"/>
      <c r="D98" s="766"/>
      <c r="E98" s="766"/>
      <c r="F98" s="766"/>
      <c r="G98" s="766"/>
      <c r="H98" s="766"/>
      <c r="I98" s="766"/>
      <c r="J98" s="766"/>
      <c r="K98" s="766"/>
      <c r="L98" s="768"/>
    </row>
    <row r="99" spans="2:12" s="763" customFormat="1" ht="15.3" thickBot="1">
      <c r="B99" s="792"/>
      <c r="C99" s="795"/>
      <c r="D99" s="795"/>
      <c r="E99" s="795"/>
      <c r="F99" s="795"/>
      <c r="G99" s="795"/>
      <c r="H99" s="795"/>
      <c r="I99" s="795"/>
      <c r="J99" s="795"/>
      <c r="K99" s="795"/>
      <c r="L99" s="797"/>
    </row>
    <row r="100" spans="2:12" s="763" customFormat="1" ht="15">
      <c r="C100" s="766"/>
      <c r="D100" s="766"/>
      <c r="E100" s="766"/>
      <c r="F100" s="766"/>
      <c r="G100" s="766"/>
      <c r="H100" s="766"/>
      <c r="I100" s="766"/>
      <c r="J100" s="766"/>
      <c r="K100" s="766"/>
    </row>
    <row r="101" spans="2:12">
      <c r="C101" s="268"/>
      <c r="D101" s="268"/>
      <c r="E101" s="268"/>
      <c r="F101" s="268"/>
      <c r="G101" s="268"/>
      <c r="H101" s="268"/>
      <c r="I101" s="268"/>
      <c r="J101" s="268"/>
      <c r="K101" s="268"/>
    </row>
    <row r="102" spans="2:12">
      <c r="C102" s="268"/>
      <c r="D102" s="268"/>
      <c r="E102" s="268"/>
      <c r="F102" s="268"/>
      <c r="G102" s="268"/>
      <c r="H102" s="268"/>
      <c r="I102" s="268"/>
      <c r="J102" s="268"/>
      <c r="K102" s="268"/>
    </row>
  </sheetData>
  <sheetProtection algorithmName="SHA-512" hashValue="gaMobVt0ssLGOzeQWpFm/REvAYMt0eHxzg5/u0DTZXjPGy01H4rPMvfpL8hZLoa0Us+U+wgQUd8G8K+tgKyErQ==" saltValue="iHX595LwnDvmfs4CxE5bEw==" spinCount="100000" sheet="1" objects="1" scenarios="1"/>
  <mergeCells count="85">
    <mergeCell ref="G83:G87"/>
    <mergeCell ref="G82:K82"/>
    <mergeCell ref="H83:I83"/>
    <mergeCell ref="H84:I84"/>
    <mergeCell ref="H85:I85"/>
    <mergeCell ref="H86:I86"/>
    <mergeCell ref="H87:I87"/>
    <mergeCell ref="J86:K86"/>
    <mergeCell ref="C90:D96"/>
    <mergeCell ref="E90:F96"/>
    <mergeCell ref="G90:I96"/>
    <mergeCell ref="J90:K96"/>
    <mergeCell ref="H70:K70"/>
    <mergeCell ref="C76:F76"/>
    <mergeCell ref="H76:K76"/>
    <mergeCell ref="C70:F70"/>
    <mergeCell ref="C79:D79"/>
    <mergeCell ref="H78:I78"/>
    <mergeCell ref="H79:I79"/>
    <mergeCell ref="H80:I80"/>
    <mergeCell ref="J87:K87"/>
    <mergeCell ref="J83:K83"/>
    <mergeCell ref="J84:K84"/>
    <mergeCell ref="J85:K85"/>
    <mergeCell ref="H65:I65"/>
    <mergeCell ref="E51:E52"/>
    <mergeCell ref="G51:G52"/>
    <mergeCell ref="F51:F52"/>
    <mergeCell ref="H51:H52"/>
    <mergeCell ref="I51:I52"/>
    <mergeCell ref="C37:D37"/>
    <mergeCell ref="J37:K37"/>
    <mergeCell ref="C38:D38"/>
    <mergeCell ref="J38:K38"/>
    <mergeCell ref="C45:D45"/>
    <mergeCell ref="J45:K45"/>
    <mergeCell ref="J43:K43"/>
    <mergeCell ref="C44:D44"/>
    <mergeCell ref="J44:K44"/>
    <mergeCell ref="C43:D43"/>
    <mergeCell ref="J41:K41"/>
    <mergeCell ref="C39:D39"/>
    <mergeCell ref="J39:K39"/>
    <mergeCell ref="C40:D40"/>
    <mergeCell ref="J40:K40"/>
    <mergeCell ref="C41:D41"/>
    <mergeCell ref="C32:D32"/>
    <mergeCell ref="J32:K32"/>
    <mergeCell ref="C35:D35"/>
    <mergeCell ref="J35:K35"/>
    <mergeCell ref="C36:D36"/>
    <mergeCell ref="J36:K36"/>
    <mergeCell ref="C33:D33"/>
    <mergeCell ref="J33:K33"/>
    <mergeCell ref="C34:D34"/>
    <mergeCell ref="J34:K34"/>
    <mergeCell ref="J31:K31"/>
    <mergeCell ref="C27:D27"/>
    <mergeCell ref="J27:K27"/>
    <mergeCell ref="C28:D28"/>
    <mergeCell ref="J28:K28"/>
    <mergeCell ref="C29:D29"/>
    <mergeCell ref="J29:K29"/>
    <mergeCell ref="J30:K30"/>
    <mergeCell ref="C14:K14"/>
    <mergeCell ref="C16:C17"/>
    <mergeCell ref="D16:K17"/>
    <mergeCell ref="C18:K20"/>
    <mergeCell ref="C26:D26"/>
    <mergeCell ref="J26:K26"/>
    <mergeCell ref="D23:E23"/>
    <mergeCell ref="J51:K52"/>
    <mergeCell ref="C47:D47"/>
    <mergeCell ref="C42:D42"/>
    <mergeCell ref="J42:K42"/>
    <mergeCell ref="C46:D46"/>
    <mergeCell ref="J46:K46"/>
    <mergeCell ref="C50:D50"/>
    <mergeCell ref="J50:K50"/>
    <mergeCell ref="J47:K47"/>
    <mergeCell ref="C48:D48"/>
    <mergeCell ref="J48:K48"/>
    <mergeCell ref="C49:D49"/>
    <mergeCell ref="J49:K49"/>
    <mergeCell ref="C51:D52"/>
  </mergeCells>
  <hyperlinks>
    <hyperlink ref="F12" r:id="rId1" display="jvanschalwyk@jjt.co.za" xr:uid="{00000000-0004-0000-0700-000000000000}"/>
  </hyperlinks>
  <printOptions horizontalCentered="1" verticalCentered="1"/>
  <pageMargins left="0" right="0" top="0" bottom="0" header="0" footer="0"/>
  <pageSetup paperSize="9" scale="52" orientation="portrait" r:id="rId2"/>
  <ignoredErrors>
    <ignoredError sqref="F51" formula="1"/>
  </ignoredError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B3:AC91"/>
  <sheetViews>
    <sheetView topLeftCell="A4" workbookViewId="0">
      <selection activeCell="C6" sqref="C6:T6"/>
    </sheetView>
  </sheetViews>
  <sheetFormatPr defaultRowHeight="14.4"/>
  <cols>
    <col min="1" max="1" width="3.26171875" customWidth="1"/>
    <col min="2" max="2" width="13.68359375" style="715" customWidth="1"/>
    <col min="3" max="3" width="92.26171875" style="715" customWidth="1"/>
    <col min="4" max="14" width="9.15625" style="715"/>
    <col min="15" max="16" width="2.68359375" style="715" customWidth="1"/>
    <col min="17" max="17" width="2.578125" style="715" customWidth="1"/>
    <col min="18" max="18" width="4.41796875" style="715" customWidth="1"/>
    <col min="19" max="19" width="2.578125" style="715" customWidth="1"/>
    <col min="20" max="20" width="9.15625" style="715"/>
    <col min="21" max="21" width="3.15625" style="715" customWidth="1"/>
    <col min="22" max="22" width="2.41796875" style="715" customWidth="1"/>
    <col min="23" max="24" width="9.15625" style="715"/>
  </cols>
  <sheetData>
    <row r="3" spans="2:29" ht="14.7" thickBot="1"/>
    <row r="4" spans="2:29" ht="17.100000000000001">
      <c r="B4" s="1171"/>
      <c r="C4" s="1172"/>
      <c r="D4" s="1172"/>
      <c r="E4" s="1173"/>
      <c r="F4" s="1173"/>
      <c r="G4" s="1173"/>
      <c r="H4" s="1173"/>
      <c r="I4" s="1173"/>
      <c r="J4" s="1173"/>
      <c r="K4" s="1173"/>
      <c r="L4" s="1173"/>
      <c r="M4" s="1173"/>
      <c r="N4" s="1173"/>
      <c r="O4" s="1173"/>
      <c r="P4" s="1173"/>
      <c r="Q4" s="1173"/>
      <c r="R4" s="1173"/>
      <c r="S4" s="1173"/>
      <c r="T4" s="1174"/>
    </row>
    <row r="5" spans="2:29" ht="17.100000000000001">
      <c r="B5" s="1193" t="s">
        <v>677</v>
      </c>
      <c r="C5" s="1175" t="str">
        <f>OTP!H10</f>
        <v>BFN50H02A5</v>
      </c>
      <c r="D5" s="1176"/>
      <c r="E5" s="1177"/>
      <c r="F5" s="1177"/>
      <c r="G5" s="1177"/>
      <c r="H5" s="1177"/>
      <c r="I5" s="1177"/>
      <c r="J5" s="1177"/>
      <c r="K5" s="1177"/>
      <c r="L5" s="1177"/>
      <c r="M5" s="1177"/>
      <c r="N5" s="1177"/>
      <c r="O5" s="1177"/>
      <c r="P5" s="1177"/>
      <c r="Q5" s="1177"/>
      <c r="R5" s="1177"/>
      <c r="S5" s="1177"/>
      <c r="T5" s="1178"/>
      <c r="Y5" s="715"/>
      <c r="Z5" s="715"/>
      <c r="AA5" s="715"/>
      <c r="AB5" s="715"/>
      <c r="AC5" s="715"/>
    </row>
    <row r="6" spans="2:29" ht="61.5" customHeight="1">
      <c r="B6" s="1179"/>
      <c r="C6" s="1478" t="s">
        <v>1289</v>
      </c>
      <c r="D6" s="1479"/>
      <c r="E6" s="1479"/>
      <c r="F6" s="1479"/>
      <c r="G6" s="1479"/>
      <c r="H6" s="1479"/>
      <c r="I6" s="1479"/>
      <c r="J6" s="1479"/>
      <c r="K6" s="1479"/>
      <c r="L6" s="1479"/>
      <c r="M6" s="1479"/>
      <c r="N6" s="1479"/>
      <c r="O6" s="1479"/>
      <c r="P6" s="1479"/>
      <c r="Q6" s="1479"/>
      <c r="R6" s="1479"/>
      <c r="S6" s="1479"/>
      <c r="T6" s="1480"/>
    </row>
    <row r="7" spans="2:29" ht="35.25" customHeight="1">
      <c r="B7" s="1179"/>
      <c r="C7" s="1180" t="s">
        <v>1225</v>
      </c>
      <c r="D7" s="1181"/>
      <c r="E7" s="1181"/>
      <c r="F7" s="1181"/>
      <c r="G7" s="1181"/>
      <c r="H7" s="1181"/>
      <c r="I7" s="1181"/>
      <c r="J7" s="1181"/>
      <c r="K7" s="1181"/>
      <c r="L7" s="1181"/>
      <c r="M7" s="1181"/>
      <c r="N7" s="1181"/>
      <c r="O7" s="1181"/>
      <c r="P7" s="1181"/>
      <c r="Q7" s="1181"/>
      <c r="R7" s="1181"/>
      <c r="S7" s="1181"/>
      <c r="T7" s="1182"/>
    </row>
    <row r="8" spans="2:29" s="3" customFormat="1" ht="25" customHeight="1">
      <c r="B8" s="1183"/>
      <c r="C8" s="1481" t="s">
        <v>1226</v>
      </c>
      <c r="D8" s="1482"/>
      <c r="E8" s="1482"/>
      <c r="F8" s="1482"/>
      <c r="G8" s="1482"/>
      <c r="H8" s="1482"/>
      <c r="I8" s="1482"/>
      <c r="J8" s="1482"/>
      <c r="K8" s="1482"/>
      <c r="L8" s="1482"/>
      <c r="M8" s="1482"/>
      <c r="N8" s="1482"/>
      <c r="O8" s="1482"/>
      <c r="P8" s="1482"/>
      <c r="Q8" s="1482"/>
      <c r="R8" s="1482"/>
      <c r="S8" s="1482"/>
      <c r="T8" s="1483"/>
      <c r="U8" s="5"/>
      <c r="V8" s="5"/>
      <c r="W8" s="5"/>
      <c r="X8" s="5"/>
    </row>
    <row r="9" spans="2:29" s="3" customFormat="1" ht="25" customHeight="1">
      <c r="B9" s="1183"/>
      <c r="C9" s="1474" t="s">
        <v>1227</v>
      </c>
      <c r="D9" s="1474"/>
      <c r="E9" s="1474"/>
      <c r="F9" s="1474"/>
      <c r="G9" s="1474"/>
      <c r="H9" s="1474"/>
      <c r="I9" s="1474"/>
      <c r="J9" s="1474"/>
      <c r="K9" s="1474"/>
      <c r="L9" s="1474"/>
      <c r="M9" s="1474"/>
      <c r="N9" s="1474"/>
      <c r="O9" s="1474"/>
      <c r="P9" s="1474"/>
      <c r="Q9" s="1474"/>
      <c r="R9" s="1474"/>
      <c r="S9" s="1474"/>
      <c r="T9" s="1194"/>
      <c r="U9" s="5"/>
      <c r="V9" s="5"/>
      <c r="W9" s="5"/>
      <c r="X9" s="5"/>
    </row>
    <row r="10" spans="2:29" s="3" customFormat="1" ht="51.75" customHeight="1">
      <c r="B10" s="1184"/>
      <c r="C10" s="1474" t="s">
        <v>1290</v>
      </c>
      <c r="D10" s="1474"/>
      <c r="E10" s="1474"/>
      <c r="F10" s="1474"/>
      <c r="G10" s="1474"/>
      <c r="H10" s="1474"/>
      <c r="I10" s="1474"/>
      <c r="J10" s="1474"/>
      <c r="K10" s="1474"/>
      <c r="L10" s="1474"/>
      <c r="M10" s="1474"/>
      <c r="N10" s="1474"/>
      <c r="O10" s="1474"/>
      <c r="P10" s="1474"/>
      <c r="Q10" s="1474"/>
      <c r="R10" s="1474"/>
      <c r="S10" s="1474"/>
      <c r="T10" s="1194"/>
      <c r="U10" s="5"/>
      <c r="V10" s="5"/>
      <c r="W10" s="5"/>
      <c r="X10" s="5"/>
    </row>
    <row r="11" spans="2:29" s="3" customFormat="1" ht="25" customHeight="1">
      <c r="B11" s="1185"/>
      <c r="C11" s="1474" t="s">
        <v>1228</v>
      </c>
      <c r="D11" s="1474"/>
      <c r="E11" s="1474"/>
      <c r="F11" s="1474"/>
      <c r="G11" s="1474"/>
      <c r="H11" s="1474"/>
      <c r="I11" s="1474"/>
      <c r="J11" s="1474"/>
      <c r="K11" s="1474"/>
      <c r="L11" s="1474"/>
      <c r="M11" s="1474"/>
      <c r="N11" s="1474"/>
      <c r="O11" s="1474"/>
      <c r="P11" s="1474"/>
      <c r="Q11" s="1474"/>
      <c r="R11" s="1474"/>
      <c r="S11" s="1474"/>
      <c r="T11" s="1194"/>
      <c r="U11" s="5"/>
      <c r="V11" s="5"/>
      <c r="W11" s="5"/>
      <c r="X11" s="5"/>
    </row>
    <row r="12" spans="2:29" s="3" customFormat="1" ht="25" customHeight="1">
      <c r="B12" s="1185"/>
      <c r="C12" s="1474" t="s">
        <v>1229</v>
      </c>
      <c r="D12" s="1474"/>
      <c r="E12" s="1474"/>
      <c r="F12" s="1474"/>
      <c r="G12" s="1474"/>
      <c r="H12" s="1474"/>
      <c r="I12" s="1474"/>
      <c r="J12" s="1474"/>
      <c r="K12" s="1474"/>
      <c r="L12" s="1474"/>
      <c r="M12" s="1474"/>
      <c r="N12" s="1474"/>
      <c r="O12" s="1474"/>
      <c r="P12" s="1474"/>
      <c r="Q12" s="1474"/>
      <c r="R12" s="1474"/>
      <c r="S12" s="1474"/>
      <c r="T12" s="1194"/>
      <c r="U12" s="5"/>
      <c r="V12" s="5"/>
      <c r="W12" s="5"/>
      <c r="X12" s="5"/>
    </row>
    <row r="13" spans="2:29" s="3" customFormat="1" ht="25" customHeight="1">
      <c r="B13" s="1185"/>
      <c r="C13" s="1474" t="s">
        <v>1230</v>
      </c>
      <c r="D13" s="1474"/>
      <c r="E13" s="1474"/>
      <c r="F13" s="1474"/>
      <c r="G13" s="1474"/>
      <c r="H13" s="1474"/>
      <c r="I13" s="1474"/>
      <c r="J13" s="1474"/>
      <c r="K13" s="1474"/>
      <c r="L13" s="1474"/>
      <c r="M13" s="1474"/>
      <c r="N13" s="1474"/>
      <c r="O13" s="1474"/>
      <c r="P13" s="1474"/>
      <c r="Q13" s="1474"/>
      <c r="R13" s="1474"/>
      <c r="S13" s="1474"/>
      <c r="T13" s="1194"/>
      <c r="U13" s="5"/>
      <c r="V13" s="5"/>
      <c r="W13" s="5"/>
      <c r="X13" s="5"/>
    </row>
    <row r="14" spans="2:29" s="3" customFormat="1" ht="44.25" customHeight="1">
      <c r="B14" s="1185"/>
      <c r="C14" s="1474" t="s">
        <v>1291</v>
      </c>
      <c r="D14" s="1474"/>
      <c r="E14" s="1474"/>
      <c r="F14" s="1474"/>
      <c r="G14" s="1474"/>
      <c r="H14" s="1474"/>
      <c r="I14" s="1474"/>
      <c r="J14" s="1474"/>
      <c r="K14" s="1474"/>
      <c r="L14" s="1474"/>
      <c r="M14" s="1474"/>
      <c r="N14" s="1474"/>
      <c r="O14" s="1474"/>
      <c r="P14" s="1474"/>
      <c r="Q14" s="1474"/>
      <c r="R14" s="1474"/>
      <c r="S14" s="1474"/>
      <c r="T14" s="1194"/>
      <c r="U14" s="5"/>
      <c r="V14" s="5"/>
      <c r="W14" s="5"/>
      <c r="X14" s="5"/>
    </row>
    <row r="15" spans="2:29" s="3" customFormat="1" ht="25" customHeight="1">
      <c r="B15" s="1185"/>
      <c r="C15" s="1474" t="s">
        <v>1231</v>
      </c>
      <c r="D15" s="1474"/>
      <c r="E15" s="1474"/>
      <c r="F15" s="1474"/>
      <c r="G15" s="1474"/>
      <c r="H15" s="1474"/>
      <c r="I15" s="1474"/>
      <c r="J15" s="1474"/>
      <c r="K15" s="1474"/>
      <c r="L15" s="1474"/>
      <c r="M15" s="1474"/>
      <c r="N15" s="1474"/>
      <c r="O15" s="1474"/>
      <c r="P15" s="1474"/>
      <c r="Q15" s="1474"/>
      <c r="R15" s="1474"/>
      <c r="S15" s="1474"/>
      <c r="T15" s="1194"/>
      <c r="U15" s="5"/>
      <c r="V15" s="5"/>
      <c r="W15" s="5"/>
      <c r="X15" s="5"/>
    </row>
    <row r="16" spans="2:29" s="3" customFormat="1" ht="25" customHeight="1">
      <c r="B16" s="1185"/>
      <c r="C16" s="1474" t="s">
        <v>1232</v>
      </c>
      <c r="D16" s="1474"/>
      <c r="E16" s="1474"/>
      <c r="F16" s="1474"/>
      <c r="G16" s="1474"/>
      <c r="H16" s="1474"/>
      <c r="I16" s="1474"/>
      <c r="J16" s="1474"/>
      <c r="K16" s="1474"/>
      <c r="L16" s="1474"/>
      <c r="M16" s="1474"/>
      <c r="N16" s="1474"/>
      <c r="O16" s="1474"/>
      <c r="P16" s="1474"/>
      <c r="Q16" s="1474"/>
      <c r="R16" s="1474"/>
      <c r="S16" s="1474"/>
      <c r="T16" s="1194"/>
      <c r="U16" s="5"/>
      <c r="V16" s="5"/>
      <c r="W16" s="5"/>
      <c r="X16" s="5"/>
    </row>
    <row r="17" spans="2:24" s="3" customFormat="1" ht="25" customHeight="1">
      <c r="B17" s="1185"/>
      <c r="C17" s="1474" t="s">
        <v>1233</v>
      </c>
      <c r="D17" s="1474"/>
      <c r="E17" s="1474"/>
      <c r="F17" s="1474"/>
      <c r="G17" s="1474"/>
      <c r="H17" s="1474"/>
      <c r="I17" s="1474"/>
      <c r="J17" s="1474"/>
      <c r="K17" s="1474"/>
      <c r="L17" s="1474"/>
      <c r="M17" s="1474"/>
      <c r="N17" s="1474"/>
      <c r="O17" s="1474"/>
      <c r="P17" s="1474"/>
      <c r="Q17" s="1474"/>
      <c r="R17" s="1474"/>
      <c r="S17" s="1474"/>
      <c r="T17" s="1194"/>
      <c r="U17" s="5"/>
      <c r="V17" s="5"/>
      <c r="W17" s="5"/>
      <c r="X17" s="5"/>
    </row>
    <row r="18" spans="2:24" s="3" customFormat="1" ht="25" customHeight="1">
      <c r="B18" s="1185"/>
      <c r="C18" s="1474" t="s">
        <v>1234</v>
      </c>
      <c r="D18" s="1474"/>
      <c r="E18" s="1474"/>
      <c r="F18" s="1474"/>
      <c r="G18" s="1474"/>
      <c r="H18" s="1474"/>
      <c r="I18" s="1474"/>
      <c r="J18" s="1474"/>
      <c r="K18" s="1474"/>
      <c r="L18" s="1474"/>
      <c r="M18" s="1474"/>
      <c r="N18" s="1474"/>
      <c r="O18" s="1474"/>
      <c r="P18" s="1474"/>
      <c r="Q18" s="1474"/>
      <c r="R18" s="1474"/>
      <c r="S18" s="1474"/>
      <c r="T18" s="1194"/>
      <c r="U18" s="5"/>
      <c r="V18" s="5"/>
      <c r="W18" s="5"/>
      <c r="X18" s="5"/>
    </row>
    <row r="19" spans="2:24" s="3" customFormat="1" ht="25" customHeight="1">
      <c r="B19" s="1185"/>
      <c r="C19" s="1474" t="s">
        <v>1235</v>
      </c>
      <c r="D19" s="1474"/>
      <c r="E19" s="1474"/>
      <c r="F19" s="1474"/>
      <c r="G19" s="1474"/>
      <c r="H19" s="1474"/>
      <c r="I19" s="1474"/>
      <c r="J19" s="1474"/>
      <c r="K19" s="1474"/>
      <c r="L19" s="1474"/>
      <c r="M19" s="1474"/>
      <c r="N19" s="1474"/>
      <c r="O19" s="1474"/>
      <c r="P19" s="1474"/>
      <c r="Q19" s="1474"/>
      <c r="R19" s="1474"/>
      <c r="S19" s="1474"/>
      <c r="T19" s="1194"/>
      <c r="U19" s="5"/>
      <c r="V19" s="5"/>
      <c r="W19" s="5"/>
      <c r="X19" s="5"/>
    </row>
    <row r="20" spans="2:24" s="3" customFormat="1" ht="25" customHeight="1">
      <c r="B20" s="1185"/>
      <c r="C20" s="1474" t="s">
        <v>1236</v>
      </c>
      <c r="D20" s="1474"/>
      <c r="E20" s="1474"/>
      <c r="F20" s="1474"/>
      <c r="G20" s="1474"/>
      <c r="H20" s="1474"/>
      <c r="I20" s="1474"/>
      <c r="J20" s="1474"/>
      <c r="K20" s="1474"/>
      <c r="L20" s="1474"/>
      <c r="M20" s="1474"/>
      <c r="N20" s="1474"/>
      <c r="O20" s="1474"/>
      <c r="P20" s="1474"/>
      <c r="Q20" s="1474"/>
      <c r="R20" s="1474"/>
      <c r="S20" s="1474"/>
      <c r="T20" s="1194"/>
      <c r="U20" s="5"/>
      <c r="V20" s="5"/>
      <c r="W20" s="5"/>
      <c r="X20" s="5"/>
    </row>
    <row r="21" spans="2:24" s="3" customFormat="1" ht="25" customHeight="1">
      <c r="B21" s="1185"/>
      <c r="C21" s="1474" t="s">
        <v>1237</v>
      </c>
      <c r="D21" s="1474"/>
      <c r="E21" s="1474"/>
      <c r="F21" s="1474"/>
      <c r="G21" s="1474"/>
      <c r="H21" s="1474"/>
      <c r="I21" s="1474"/>
      <c r="J21" s="1474"/>
      <c r="K21" s="1474"/>
      <c r="L21" s="1474"/>
      <c r="M21" s="1474"/>
      <c r="N21" s="1474"/>
      <c r="O21" s="1474"/>
      <c r="P21" s="1474"/>
      <c r="Q21" s="1474"/>
      <c r="R21" s="1474"/>
      <c r="S21" s="1474"/>
      <c r="T21" s="1194"/>
      <c r="U21" s="5"/>
      <c r="V21" s="5"/>
      <c r="W21" s="5"/>
      <c r="X21" s="5"/>
    </row>
    <row r="22" spans="2:24" s="3" customFormat="1" ht="55.5" customHeight="1">
      <c r="B22" s="1185"/>
      <c r="C22" s="1474" t="s">
        <v>1292</v>
      </c>
      <c r="D22" s="1474"/>
      <c r="E22" s="1474"/>
      <c r="F22" s="1474"/>
      <c r="G22" s="1474"/>
      <c r="H22" s="1474"/>
      <c r="I22" s="1474"/>
      <c r="J22" s="1474"/>
      <c r="K22" s="1474"/>
      <c r="L22" s="1474"/>
      <c r="M22" s="1474"/>
      <c r="N22" s="1474"/>
      <c r="O22" s="1474"/>
      <c r="P22" s="1474"/>
      <c r="Q22" s="1474"/>
      <c r="R22" s="1474"/>
      <c r="S22" s="1474"/>
      <c r="T22" s="1194"/>
      <c r="U22" s="5"/>
      <c r="V22" s="5"/>
      <c r="W22" s="5"/>
      <c r="X22" s="5"/>
    </row>
    <row r="23" spans="2:24" s="3" customFormat="1" ht="25" customHeight="1">
      <c r="B23" s="1185"/>
      <c r="C23" s="1474" t="s">
        <v>1238</v>
      </c>
      <c r="D23" s="1474"/>
      <c r="E23" s="1474"/>
      <c r="F23" s="1474"/>
      <c r="G23" s="1474"/>
      <c r="H23" s="1474"/>
      <c r="I23" s="1474"/>
      <c r="J23" s="1474"/>
      <c r="K23" s="1474"/>
      <c r="L23" s="1474"/>
      <c r="M23" s="1474"/>
      <c r="N23" s="1474"/>
      <c r="O23" s="1474"/>
      <c r="P23" s="1474"/>
      <c r="Q23" s="1474"/>
      <c r="R23" s="1474"/>
      <c r="S23" s="1474"/>
      <c r="T23" s="1194"/>
      <c r="U23" s="5"/>
      <c r="V23" s="5"/>
      <c r="W23" s="5"/>
      <c r="X23" s="5"/>
    </row>
    <row r="24" spans="2:24" s="3" customFormat="1" ht="25" customHeight="1">
      <c r="B24" s="1185"/>
      <c r="C24" s="1474" t="s">
        <v>1239</v>
      </c>
      <c r="D24" s="1474"/>
      <c r="E24" s="1474"/>
      <c r="F24" s="1474"/>
      <c r="G24" s="1474"/>
      <c r="H24" s="1474"/>
      <c r="I24" s="1474"/>
      <c r="J24" s="1474"/>
      <c r="K24" s="1474"/>
      <c r="L24" s="1474"/>
      <c r="M24" s="1474"/>
      <c r="N24" s="1474"/>
      <c r="O24" s="1474"/>
      <c r="P24" s="1474"/>
      <c r="Q24" s="1474"/>
      <c r="R24" s="1474"/>
      <c r="S24" s="1474"/>
      <c r="T24" s="1194"/>
      <c r="U24" s="5"/>
      <c r="V24" s="5"/>
      <c r="W24" s="5"/>
      <c r="X24" s="5"/>
    </row>
    <row r="25" spans="2:24" s="3" customFormat="1" ht="25" customHeight="1">
      <c r="B25" s="1185"/>
      <c r="C25" s="1474" t="s">
        <v>1240</v>
      </c>
      <c r="D25" s="1474"/>
      <c r="E25" s="1474"/>
      <c r="F25" s="1474"/>
      <c r="G25" s="1474"/>
      <c r="H25" s="1474"/>
      <c r="I25" s="1474"/>
      <c r="J25" s="1474"/>
      <c r="K25" s="1474"/>
      <c r="L25" s="1474"/>
      <c r="M25" s="1474"/>
      <c r="N25" s="1474"/>
      <c r="O25" s="1474"/>
      <c r="P25" s="1474"/>
      <c r="Q25" s="1474"/>
      <c r="R25" s="1474"/>
      <c r="S25" s="1474"/>
      <c r="T25" s="1194"/>
      <c r="U25" s="5"/>
      <c r="V25" s="5"/>
      <c r="W25" s="5"/>
      <c r="X25" s="5"/>
    </row>
    <row r="26" spans="2:24" s="3" customFormat="1" ht="25" customHeight="1">
      <c r="B26" s="1185"/>
      <c r="C26" s="1474" t="s">
        <v>1241</v>
      </c>
      <c r="D26" s="1474"/>
      <c r="E26" s="1474"/>
      <c r="F26" s="1474"/>
      <c r="G26" s="1474"/>
      <c r="H26" s="1474"/>
      <c r="I26" s="1474"/>
      <c r="J26" s="1474"/>
      <c r="K26" s="1474"/>
      <c r="L26" s="1474"/>
      <c r="M26" s="1474"/>
      <c r="N26" s="1474"/>
      <c r="O26" s="1474"/>
      <c r="P26" s="1474"/>
      <c r="Q26" s="1474"/>
      <c r="R26" s="1474"/>
      <c r="S26" s="1474"/>
      <c r="T26" s="1194"/>
      <c r="U26" s="5"/>
      <c r="V26" s="5"/>
      <c r="W26" s="5"/>
      <c r="X26" s="5"/>
    </row>
    <row r="27" spans="2:24" s="3" customFormat="1" ht="25" customHeight="1">
      <c r="B27" s="1185"/>
      <c r="C27" s="1474" t="s">
        <v>1242</v>
      </c>
      <c r="D27" s="1474"/>
      <c r="E27" s="1474"/>
      <c r="F27" s="1474"/>
      <c r="G27" s="1474"/>
      <c r="H27" s="1474"/>
      <c r="I27" s="1474"/>
      <c r="J27" s="1474"/>
      <c r="K27" s="1474"/>
      <c r="L27" s="1474"/>
      <c r="M27" s="1474"/>
      <c r="N27" s="1474"/>
      <c r="O27" s="1474"/>
      <c r="P27" s="1474"/>
      <c r="Q27" s="1474"/>
      <c r="R27" s="1474"/>
      <c r="S27" s="1474"/>
      <c r="T27" s="1194"/>
      <c r="U27" s="5"/>
      <c r="V27" s="5"/>
      <c r="W27" s="5"/>
      <c r="X27" s="5"/>
    </row>
    <row r="28" spans="2:24" s="3" customFormat="1" ht="21" customHeight="1">
      <c r="B28" s="1185"/>
      <c r="C28" s="1474" t="s">
        <v>1293</v>
      </c>
      <c r="D28" s="1474"/>
      <c r="E28" s="1474"/>
      <c r="F28" s="1474"/>
      <c r="G28" s="1474"/>
      <c r="H28" s="1474"/>
      <c r="I28" s="1474"/>
      <c r="J28" s="1474"/>
      <c r="K28" s="1474"/>
      <c r="L28" s="1474"/>
      <c r="M28" s="1474"/>
      <c r="N28" s="1474"/>
      <c r="O28" s="1474"/>
      <c r="P28" s="1474"/>
      <c r="Q28" s="1474"/>
      <c r="R28" s="1474"/>
      <c r="S28" s="1474"/>
      <c r="T28" s="1194"/>
      <c r="U28" s="5"/>
      <c r="V28" s="5"/>
      <c r="W28" s="5"/>
      <c r="X28" s="5"/>
    </row>
    <row r="29" spans="2:24" s="3" customFormat="1" ht="25" customHeight="1">
      <c r="B29" s="1185"/>
      <c r="C29" s="1474" t="s">
        <v>1243</v>
      </c>
      <c r="D29" s="1474"/>
      <c r="E29" s="1474"/>
      <c r="F29" s="1474"/>
      <c r="G29" s="1474"/>
      <c r="H29" s="1474"/>
      <c r="I29" s="1474"/>
      <c r="J29" s="1474"/>
      <c r="K29" s="1474"/>
      <c r="L29" s="1474"/>
      <c r="M29" s="1474"/>
      <c r="N29" s="1474"/>
      <c r="O29" s="1474"/>
      <c r="P29" s="1474"/>
      <c r="Q29" s="1474"/>
      <c r="R29" s="1474"/>
      <c r="S29" s="1474"/>
      <c r="T29" s="1194"/>
      <c r="U29" s="5"/>
      <c r="V29" s="5"/>
      <c r="W29" s="5"/>
      <c r="X29" s="5"/>
    </row>
    <row r="30" spans="2:24" s="3" customFormat="1" ht="25" customHeight="1">
      <c r="B30" s="1185"/>
      <c r="C30" s="1474" t="s">
        <v>1244</v>
      </c>
      <c r="D30" s="1474"/>
      <c r="E30" s="1474"/>
      <c r="F30" s="1474"/>
      <c r="G30" s="1474"/>
      <c r="H30" s="1474"/>
      <c r="I30" s="1474"/>
      <c r="J30" s="1474"/>
      <c r="K30" s="1474"/>
      <c r="L30" s="1474"/>
      <c r="M30" s="1474"/>
      <c r="N30" s="1474"/>
      <c r="O30" s="1474"/>
      <c r="P30" s="1474"/>
      <c r="Q30" s="1474"/>
      <c r="R30" s="1474"/>
      <c r="S30" s="1474"/>
      <c r="T30" s="1194"/>
      <c r="U30" s="5"/>
      <c r="V30" s="5"/>
      <c r="W30" s="5"/>
      <c r="X30" s="5"/>
    </row>
    <row r="31" spans="2:24" s="3" customFormat="1" ht="25" customHeight="1">
      <c r="B31" s="1185"/>
      <c r="C31" s="1474" t="s">
        <v>1245</v>
      </c>
      <c r="D31" s="1474"/>
      <c r="E31" s="1474"/>
      <c r="F31" s="1474"/>
      <c r="G31" s="1474"/>
      <c r="H31" s="1474"/>
      <c r="I31" s="1474"/>
      <c r="J31" s="1474"/>
      <c r="K31" s="1474"/>
      <c r="L31" s="1474"/>
      <c r="M31" s="1474"/>
      <c r="N31" s="1474"/>
      <c r="O31" s="1474"/>
      <c r="P31" s="1474"/>
      <c r="Q31" s="1474"/>
      <c r="R31" s="1474"/>
      <c r="S31" s="1474"/>
      <c r="T31" s="1194"/>
      <c r="U31" s="5"/>
      <c r="V31" s="5"/>
      <c r="W31" s="5"/>
      <c r="X31" s="5"/>
    </row>
    <row r="32" spans="2:24" s="3" customFormat="1" ht="25" customHeight="1">
      <c r="B32" s="1185"/>
      <c r="C32" s="1474" t="s">
        <v>1246</v>
      </c>
      <c r="D32" s="1474"/>
      <c r="E32" s="1474"/>
      <c r="F32" s="1474"/>
      <c r="G32" s="1474"/>
      <c r="H32" s="1474"/>
      <c r="I32" s="1474"/>
      <c r="J32" s="1474"/>
      <c r="K32" s="1474"/>
      <c r="L32" s="1474"/>
      <c r="M32" s="1474"/>
      <c r="N32" s="1474"/>
      <c r="O32" s="1474"/>
      <c r="P32" s="1474"/>
      <c r="Q32" s="1474"/>
      <c r="R32" s="1474"/>
      <c r="S32" s="1474"/>
      <c r="T32" s="1194"/>
      <c r="U32" s="5"/>
      <c r="V32" s="5"/>
      <c r="W32" s="5"/>
      <c r="X32" s="5"/>
    </row>
    <row r="33" spans="2:24" s="3" customFormat="1" ht="25" customHeight="1">
      <c r="B33" s="1185"/>
      <c r="C33" s="1474" t="s">
        <v>1247</v>
      </c>
      <c r="D33" s="1474"/>
      <c r="E33" s="1474"/>
      <c r="F33" s="1474"/>
      <c r="G33" s="1474"/>
      <c r="H33" s="1474"/>
      <c r="I33" s="1474"/>
      <c r="J33" s="1474"/>
      <c r="K33" s="1474"/>
      <c r="L33" s="1474"/>
      <c r="M33" s="1474"/>
      <c r="N33" s="1474"/>
      <c r="O33" s="1474"/>
      <c r="P33" s="1474"/>
      <c r="Q33" s="1474"/>
      <c r="R33" s="1474"/>
      <c r="S33" s="1474"/>
      <c r="T33" s="1194"/>
      <c r="U33" s="5"/>
      <c r="V33" s="5"/>
      <c r="W33" s="5"/>
      <c r="X33" s="5"/>
    </row>
    <row r="34" spans="2:24" s="3" customFormat="1" ht="55.5" customHeight="1">
      <c r="B34" s="1184"/>
      <c r="C34" s="1474" t="s">
        <v>1294</v>
      </c>
      <c r="D34" s="1474"/>
      <c r="E34" s="1474"/>
      <c r="F34" s="1474"/>
      <c r="G34" s="1474"/>
      <c r="H34" s="1474"/>
      <c r="I34" s="1474"/>
      <c r="J34" s="1474"/>
      <c r="K34" s="1474"/>
      <c r="L34" s="1474"/>
      <c r="M34" s="1474"/>
      <c r="N34" s="1474"/>
      <c r="O34" s="1474"/>
      <c r="P34" s="1474"/>
      <c r="Q34" s="1474"/>
      <c r="R34" s="1474"/>
      <c r="S34" s="1474"/>
      <c r="T34" s="1194"/>
      <c r="U34" s="5"/>
      <c r="V34" s="5"/>
      <c r="W34" s="5"/>
      <c r="X34" s="5"/>
    </row>
    <row r="35" spans="2:24" s="3" customFormat="1" ht="25" customHeight="1">
      <c r="B35" s="1184"/>
      <c r="C35" s="1474" t="s">
        <v>1248</v>
      </c>
      <c r="D35" s="1474"/>
      <c r="E35" s="1474"/>
      <c r="F35" s="1474"/>
      <c r="G35" s="1474"/>
      <c r="H35" s="1474"/>
      <c r="I35" s="1474"/>
      <c r="J35" s="1474"/>
      <c r="K35" s="1474"/>
      <c r="L35" s="1474"/>
      <c r="M35" s="1474"/>
      <c r="N35" s="1474"/>
      <c r="O35" s="1474"/>
      <c r="P35" s="1474"/>
      <c r="Q35" s="1474"/>
      <c r="R35" s="1474"/>
      <c r="S35" s="1474"/>
      <c r="T35" s="1194"/>
      <c r="U35" s="5"/>
      <c r="V35" s="5"/>
      <c r="W35" s="5"/>
      <c r="X35" s="5"/>
    </row>
    <row r="36" spans="2:24" s="3" customFormat="1" ht="25" customHeight="1">
      <c r="B36" s="1184"/>
      <c r="C36" s="1474" t="s">
        <v>1249</v>
      </c>
      <c r="D36" s="1474"/>
      <c r="E36" s="1474"/>
      <c r="F36" s="1474"/>
      <c r="G36" s="1474"/>
      <c r="H36" s="1474"/>
      <c r="I36" s="1474"/>
      <c r="J36" s="1474"/>
      <c r="K36" s="1474"/>
      <c r="L36" s="1474"/>
      <c r="M36" s="1474"/>
      <c r="N36" s="1474"/>
      <c r="O36" s="1474"/>
      <c r="P36" s="1474"/>
      <c r="Q36" s="1474"/>
      <c r="R36" s="1474"/>
      <c r="S36" s="1474"/>
      <c r="T36" s="1194"/>
      <c r="U36" s="5"/>
      <c r="V36" s="5"/>
      <c r="W36" s="5"/>
      <c r="X36" s="5"/>
    </row>
    <row r="37" spans="2:24" s="3" customFormat="1" ht="25" customHeight="1">
      <c r="B37" s="1184"/>
      <c r="C37" s="1474" t="s">
        <v>1250</v>
      </c>
      <c r="D37" s="1474"/>
      <c r="E37" s="1474"/>
      <c r="F37" s="1474"/>
      <c r="G37" s="1474"/>
      <c r="H37" s="1474"/>
      <c r="I37" s="1474"/>
      <c r="J37" s="1474"/>
      <c r="K37" s="1474"/>
      <c r="L37" s="1474"/>
      <c r="M37" s="1474"/>
      <c r="N37" s="1474"/>
      <c r="O37" s="1474"/>
      <c r="P37" s="1474"/>
      <c r="Q37" s="1474"/>
      <c r="R37" s="1474"/>
      <c r="S37" s="1474"/>
      <c r="T37" s="1194"/>
      <c r="U37" s="5"/>
      <c r="V37" s="5"/>
      <c r="W37" s="5"/>
      <c r="X37" s="5"/>
    </row>
    <row r="38" spans="2:24" s="3" customFormat="1" ht="25" customHeight="1">
      <c r="B38" s="1184"/>
      <c r="C38" s="1474" t="s">
        <v>1251</v>
      </c>
      <c r="D38" s="1474"/>
      <c r="E38" s="1474"/>
      <c r="F38" s="1474"/>
      <c r="G38" s="1474"/>
      <c r="H38" s="1474"/>
      <c r="I38" s="1474"/>
      <c r="J38" s="1474"/>
      <c r="K38" s="1474"/>
      <c r="L38" s="1474"/>
      <c r="M38" s="1474"/>
      <c r="N38" s="1474"/>
      <c r="O38" s="1474"/>
      <c r="P38" s="1474"/>
      <c r="Q38" s="1474"/>
      <c r="R38" s="1474"/>
      <c r="S38" s="1474"/>
      <c r="T38" s="1194"/>
      <c r="U38" s="5"/>
      <c r="V38" s="5"/>
      <c r="W38" s="5"/>
      <c r="X38" s="5"/>
    </row>
    <row r="39" spans="2:24" s="3" customFormat="1" ht="67.5" customHeight="1">
      <c r="B39" s="1184"/>
      <c r="C39" s="1474" t="s">
        <v>1295</v>
      </c>
      <c r="D39" s="1474"/>
      <c r="E39" s="1474"/>
      <c r="F39" s="1474"/>
      <c r="G39" s="1474"/>
      <c r="H39" s="1474"/>
      <c r="I39" s="1474"/>
      <c r="J39" s="1474"/>
      <c r="K39" s="1474"/>
      <c r="L39" s="1474"/>
      <c r="M39" s="1474"/>
      <c r="N39" s="1474"/>
      <c r="O39" s="1474"/>
      <c r="P39" s="1474"/>
      <c r="Q39" s="1474"/>
      <c r="R39" s="1474"/>
      <c r="S39" s="1474"/>
      <c r="T39" s="1194"/>
      <c r="U39" s="5"/>
      <c r="V39" s="5"/>
      <c r="W39" s="5"/>
      <c r="X39" s="5"/>
    </row>
    <row r="40" spans="2:24" s="3" customFormat="1" ht="25" customHeight="1">
      <c r="B40" s="1184"/>
      <c r="C40" s="1474" t="s">
        <v>1252</v>
      </c>
      <c r="D40" s="1474"/>
      <c r="E40" s="1474"/>
      <c r="F40" s="1474"/>
      <c r="G40" s="1474"/>
      <c r="H40" s="1474"/>
      <c r="I40" s="1474"/>
      <c r="J40" s="1474"/>
      <c r="K40" s="1474"/>
      <c r="L40" s="1474"/>
      <c r="M40" s="1474"/>
      <c r="N40" s="1474"/>
      <c r="O40" s="1474"/>
      <c r="P40" s="1474"/>
      <c r="Q40" s="1474"/>
      <c r="R40" s="1474"/>
      <c r="S40" s="1474"/>
      <c r="T40" s="1194"/>
      <c r="U40" s="5"/>
      <c r="V40" s="5"/>
      <c r="W40" s="5"/>
      <c r="X40" s="5"/>
    </row>
    <row r="41" spans="2:24" s="3" customFormat="1" ht="25" customHeight="1">
      <c r="B41" s="1184"/>
      <c r="C41" s="1474" t="s">
        <v>1253</v>
      </c>
      <c r="D41" s="1474"/>
      <c r="E41" s="1474"/>
      <c r="F41" s="1474"/>
      <c r="G41" s="1474"/>
      <c r="H41" s="1474"/>
      <c r="I41" s="1474"/>
      <c r="J41" s="1474"/>
      <c r="K41" s="1474"/>
      <c r="L41" s="1474"/>
      <c r="M41" s="1474"/>
      <c r="N41" s="1474"/>
      <c r="O41" s="1474"/>
      <c r="P41" s="1474"/>
      <c r="Q41" s="1474"/>
      <c r="R41" s="1474"/>
      <c r="S41" s="1474"/>
      <c r="T41" s="1194"/>
      <c r="U41" s="5"/>
      <c r="V41" s="5"/>
      <c r="W41" s="5"/>
      <c r="X41" s="5"/>
    </row>
    <row r="42" spans="2:24" s="3" customFormat="1" ht="25" customHeight="1">
      <c r="B42" s="1184"/>
      <c r="C42" s="1474" t="s">
        <v>1254</v>
      </c>
      <c r="D42" s="1474"/>
      <c r="E42" s="1474"/>
      <c r="F42" s="1474"/>
      <c r="G42" s="1474"/>
      <c r="H42" s="1474"/>
      <c r="I42" s="1474"/>
      <c r="J42" s="1474"/>
      <c r="K42" s="1474"/>
      <c r="L42" s="1474"/>
      <c r="M42" s="1474"/>
      <c r="N42" s="1474"/>
      <c r="O42" s="1474"/>
      <c r="P42" s="1474"/>
      <c r="Q42" s="1474"/>
      <c r="R42" s="1474"/>
      <c r="S42" s="1474"/>
      <c r="T42" s="1194"/>
      <c r="U42" s="5"/>
      <c r="V42" s="5"/>
      <c r="W42" s="5"/>
      <c r="X42" s="5"/>
    </row>
    <row r="43" spans="2:24" s="3" customFormat="1" ht="25" customHeight="1">
      <c r="B43" s="1184"/>
      <c r="C43" s="1474" t="s">
        <v>1255</v>
      </c>
      <c r="D43" s="1474"/>
      <c r="E43" s="1474"/>
      <c r="F43" s="1474"/>
      <c r="G43" s="1474"/>
      <c r="H43" s="1474"/>
      <c r="I43" s="1474"/>
      <c r="J43" s="1474"/>
      <c r="K43" s="1474"/>
      <c r="L43" s="1474"/>
      <c r="M43" s="1474"/>
      <c r="N43" s="1474"/>
      <c r="O43" s="1474"/>
      <c r="P43" s="1474"/>
      <c r="Q43" s="1474"/>
      <c r="R43" s="1474"/>
      <c r="S43" s="1474"/>
      <c r="T43" s="1194"/>
      <c r="U43" s="5"/>
      <c r="V43" s="5"/>
      <c r="W43" s="5"/>
      <c r="X43" s="5"/>
    </row>
    <row r="44" spans="2:24" s="3" customFormat="1" ht="25" customHeight="1">
      <c r="B44" s="1190"/>
      <c r="C44" s="1474" t="s">
        <v>1256</v>
      </c>
      <c r="D44" s="1474"/>
      <c r="E44" s="1474"/>
      <c r="F44" s="1474"/>
      <c r="G44" s="1474"/>
      <c r="H44" s="1474"/>
      <c r="I44" s="1474"/>
      <c r="J44" s="1474"/>
      <c r="K44" s="1474"/>
      <c r="L44" s="1474"/>
      <c r="M44" s="1474"/>
      <c r="N44" s="1474"/>
      <c r="O44" s="1474"/>
      <c r="P44" s="1474"/>
      <c r="Q44" s="1474"/>
      <c r="R44" s="1474"/>
      <c r="S44" s="1474"/>
      <c r="T44" s="1194"/>
      <c r="U44" s="5"/>
      <c r="V44" s="5"/>
      <c r="W44" s="5"/>
      <c r="X44" s="5"/>
    </row>
    <row r="45" spans="2:24" s="3" customFormat="1" ht="25" customHeight="1">
      <c r="B45" s="1190"/>
      <c r="C45" s="1474" t="s">
        <v>1257</v>
      </c>
      <c r="D45" s="1474"/>
      <c r="E45" s="1474"/>
      <c r="F45" s="1474"/>
      <c r="G45" s="1474"/>
      <c r="H45" s="1474"/>
      <c r="I45" s="1474"/>
      <c r="J45" s="1474"/>
      <c r="K45" s="1474"/>
      <c r="L45" s="1474"/>
      <c r="M45" s="1474"/>
      <c r="N45" s="1474"/>
      <c r="O45" s="1474"/>
      <c r="P45" s="1474"/>
      <c r="Q45" s="1474"/>
      <c r="R45" s="1474"/>
      <c r="S45" s="1474"/>
      <c r="T45" s="1194"/>
      <c r="U45" s="5"/>
      <c r="V45" s="5"/>
      <c r="W45" s="5"/>
      <c r="X45" s="5"/>
    </row>
    <row r="46" spans="2:24" s="3" customFormat="1" ht="25" customHeight="1">
      <c r="B46" s="1190"/>
      <c r="C46" s="1474" t="s">
        <v>1258</v>
      </c>
      <c r="D46" s="1474"/>
      <c r="E46" s="1474"/>
      <c r="F46" s="1474"/>
      <c r="G46" s="1474"/>
      <c r="H46" s="1474"/>
      <c r="I46" s="1474"/>
      <c r="J46" s="1474"/>
      <c r="K46" s="1474"/>
      <c r="L46" s="1474"/>
      <c r="M46" s="1474"/>
      <c r="N46" s="1474"/>
      <c r="O46" s="1474"/>
      <c r="P46" s="1474"/>
      <c r="Q46" s="1474"/>
      <c r="R46" s="1474"/>
      <c r="S46" s="1474"/>
      <c r="T46" s="1194"/>
      <c r="U46" s="5"/>
      <c r="V46" s="5"/>
      <c r="W46" s="5"/>
      <c r="X46" s="5"/>
    </row>
    <row r="47" spans="2:24" s="3" customFormat="1" ht="45.75" customHeight="1">
      <c r="B47" s="1190"/>
      <c r="C47" s="1474" t="s">
        <v>1296</v>
      </c>
      <c r="D47" s="1474"/>
      <c r="E47" s="1474"/>
      <c r="F47" s="1474"/>
      <c r="G47" s="1474"/>
      <c r="H47" s="1474"/>
      <c r="I47" s="1474"/>
      <c r="J47" s="1474"/>
      <c r="K47" s="1474"/>
      <c r="L47" s="1474"/>
      <c r="M47" s="1474"/>
      <c r="N47" s="1474"/>
      <c r="O47" s="1474"/>
      <c r="P47" s="1474"/>
      <c r="Q47" s="1474"/>
      <c r="R47" s="1474"/>
      <c r="S47" s="1474"/>
      <c r="T47" s="1194"/>
      <c r="U47" s="5"/>
      <c r="V47" s="5"/>
      <c r="W47" s="5"/>
      <c r="X47" s="5"/>
    </row>
    <row r="48" spans="2:24" s="3" customFormat="1" ht="25" customHeight="1">
      <c r="B48" s="1190"/>
      <c r="C48" s="1474" t="s">
        <v>1259</v>
      </c>
      <c r="D48" s="1474"/>
      <c r="E48" s="1474"/>
      <c r="F48" s="1474"/>
      <c r="G48" s="1474"/>
      <c r="H48" s="1474"/>
      <c r="I48" s="1474"/>
      <c r="J48" s="1474"/>
      <c r="K48" s="1474"/>
      <c r="L48" s="1474"/>
      <c r="M48" s="1474"/>
      <c r="N48" s="1474"/>
      <c r="O48" s="1474"/>
      <c r="P48" s="1474"/>
      <c r="Q48" s="1474"/>
      <c r="R48" s="1474"/>
      <c r="S48" s="1474"/>
      <c r="T48" s="1194"/>
      <c r="U48" s="5"/>
      <c r="V48" s="5"/>
      <c r="W48" s="5"/>
      <c r="X48" s="5"/>
    </row>
    <row r="49" spans="2:24" s="3" customFormat="1" ht="25" customHeight="1">
      <c r="B49" s="1190"/>
      <c r="C49" s="1474" t="s">
        <v>1260</v>
      </c>
      <c r="D49" s="1474"/>
      <c r="E49" s="1474"/>
      <c r="F49" s="1474"/>
      <c r="G49" s="1474"/>
      <c r="H49" s="1474"/>
      <c r="I49" s="1474"/>
      <c r="J49" s="1474"/>
      <c r="K49" s="1474"/>
      <c r="L49" s="1474"/>
      <c r="M49" s="1474"/>
      <c r="N49" s="1474"/>
      <c r="O49" s="1474"/>
      <c r="P49" s="1474"/>
      <c r="Q49" s="1474"/>
      <c r="R49" s="1474"/>
      <c r="S49" s="1474"/>
      <c r="T49" s="1194"/>
      <c r="U49" s="5"/>
      <c r="V49" s="5"/>
      <c r="W49" s="5"/>
      <c r="X49" s="5"/>
    </row>
    <row r="50" spans="2:24" s="3" customFormat="1" ht="25" customHeight="1">
      <c r="B50" s="1190"/>
      <c r="C50" s="1474" t="s">
        <v>1261</v>
      </c>
      <c r="D50" s="1474"/>
      <c r="E50" s="1474"/>
      <c r="F50" s="1474"/>
      <c r="G50" s="1474"/>
      <c r="H50" s="1474"/>
      <c r="I50" s="1474"/>
      <c r="J50" s="1474"/>
      <c r="K50" s="1474"/>
      <c r="L50" s="1474"/>
      <c r="M50" s="1474"/>
      <c r="N50" s="1474"/>
      <c r="O50" s="1474"/>
      <c r="P50" s="1474"/>
      <c r="Q50" s="1474"/>
      <c r="R50" s="1474"/>
      <c r="S50" s="1474"/>
      <c r="T50" s="1194"/>
      <c r="U50" s="5"/>
      <c r="V50" s="5"/>
      <c r="W50" s="5"/>
      <c r="X50" s="5"/>
    </row>
    <row r="51" spans="2:24" s="3" customFormat="1" ht="25" customHeight="1">
      <c r="B51" s="1190"/>
      <c r="C51" s="1474" t="s">
        <v>1262</v>
      </c>
      <c r="D51" s="1474"/>
      <c r="E51" s="1474"/>
      <c r="F51" s="1474"/>
      <c r="G51" s="1474"/>
      <c r="H51" s="1474"/>
      <c r="I51" s="1474"/>
      <c r="J51" s="1474"/>
      <c r="K51" s="1474"/>
      <c r="L51" s="1474"/>
      <c r="M51" s="1474"/>
      <c r="N51" s="1474"/>
      <c r="O51" s="1474"/>
      <c r="P51" s="1474"/>
      <c r="Q51" s="1474"/>
      <c r="R51" s="1474"/>
      <c r="S51" s="1474"/>
      <c r="T51" s="1194"/>
      <c r="U51" s="5"/>
      <c r="V51" s="5"/>
      <c r="W51" s="5"/>
      <c r="X51" s="5"/>
    </row>
    <row r="52" spans="2:24" s="3" customFormat="1" ht="25" customHeight="1">
      <c r="B52" s="1190"/>
      <c r="C52" s="1474" t="s">
        <v>1263</v>
      </c>
      <c r="D52" s="1474"/>
      <c r="E52" s="1474"/>
      <c r="F52" s="1474"/>
      <c r="G52" s="1474"/>
      <c r="H52" s="1474"/>
      <c r="I52" s="1474"/>
      <c r="J52" s="1474"/>
      <c r="K52" s="1474"/>
      <c r="L52" s="1474"/>
      <c r="M52" s="1474"/>
      <c r="N52" s="1474"/>
      <c r="O52" s="1474"/>
      <c r="P52" s="1474"/>
      <c r="Q52" s="1474"/>
      <c r="R52" s="1474"/>
      <c r="S52" s="1474"/>
      <c r="T52" s="1194"/>
      <c r="U52" s="5"/>
      <c r="V52" s="5"/>
      <c r="W52" s="5"/>
      <c r="X52" s="5"/>
    </row>
    <row r="53" spans="2:24" s="3" customFormat="1" ht="25" customHeight="1">
      <c r="B53" s="1190"/>
      <c r="C53" s="1474" t="s">
        <v>1264</v>
      </c>
      <c r="D53" s="1474"/>
      <c r="E53" s="1474"/>
      <c r="F53" s="1474"/>
      <c r="G53" s="1474"/>
      <c r="H53" s="1474"/>
      <c r="I53" s="1474"/>
      <c r="J53" s="1474"/>
      <c r="K53" s="1474"/>
      <c r="L53" s="1474"/>
      <c r="M53" s="1474"/>
      <c r="N53" s="1474"/>
      <c r="O53" s="1474"/>
      <c r="P53" s="1474"/>
      <c r="Q53" s="1474"/>
      <c r="R53" s="1474"/>
      <c r="S53" s="1474"/>
      <c r="T53" s="1194"/>
      <c r="U53" s="5"/>
      <c r="V53" s="5"/>
      <c r="W53" s="5"/>
      <c r="X53" s="5"/>
    </row>
    <row r="54" spans="2:24" s="3" customFormat="1" ht="25" customHeight="1">
      <c r="B54" s="1190"/>
      <c r="C54" s="1474" t="s">
        <v>1265</v>
      </c>
      <c r="D54" s="1474"/>
      <c r="E54" s="1474"/>
      <c r="F54" s="1474"/>
      <c r="G54" s="1474"/>
      <c r="H54" s="1474"/>
      <c r="I54" s="1474"/>
      <c r="J54" s="1474"/>
      <c r="K54" s="1474"/>
      <c r="L54" s="1474"/>
      <c r="M54" s="1474"/>
      <c r="N54" s="1474"/>
      <c r="O54" s="1474"/>
      <c r="P54" s="1474"/>
      <c r="Q54" s="1474"/>
      <c r="R54" s="1474"/>
      <c r="S54" s="1474"/>
      <c r="T54" s="1194"/>
      <c r="U54" s="5"/>
      <c r="V54" s="5"/>
      <c r="W54" s="5"/>
      <c r="X54" s="5"/>
    </row>
    <row r="55" spans="2:24" s="3" customFormat="1" ht="63" customHeight="1">
      <c r="B55" s="1190"/>
      <c r="C55" s="1474" t="s">
        <v>1297</v>
      </c>
      <c r="D55" s="1474"/>
      <c r="E55" s="1474"/>
      <c r="F55" s="1474"/>
      <c r="G55" s="1474"/>
      <c r="H55" s="1474"/>
      <c r="I55" s="1474"/>
      <c r="J55" s="1474"/>
      <c r="K55" s="1474"/>
      <c r="L55" s="1474"/>
      <c r="M55" s="1474"/>
      <c r="N55" s="1474"/>
      <c r="O55" s="1474"/>
      <c r="P55" s="1474"/>
      <c r="Q55" s="1474"/>
      <c r="R55" s="1474"/>
      <c r="S55" s="1474"/>
      <c r="T55" s="1194"/>
      <c r="U55" s="5"/>
      <c r="V55" s="5"/>
      <c r="W55" s="5"/>
      <c r="X55" s="5"/>
    </row>
    <row r="56" spans="2:24" s="3" customFormat="1" ht="25" customHeight="1">
      <c r="B56" s="1190"/>
      <c r="C56" s="1474" t="s">
        <v>1266</v>
      </c>
      <c r="D56" s="1474"/>
      <c r="E56" s="1474"/>
      <c r="F56" s="1474"/>
      <c r="G56" s="1474"/>
      <c r="H56" s="1474"/>
      <c r="I56" s="1474"/>
      <c r="J56" s="1474"/>
      <c r="K56" s="1474"/>
      <c r="L56" s="1474"/>
      <c r="M56" s="1474"/>
      <c r="N56" s="1474"/>
      <c r="O56" s="1474"/>
      <c r="P56" s="1474"/>
      <c r="Q56" s="1474"/>
      <c r="R56" s="1474"/>
      <c r="S56" s="1474"/>
      <c r="T56" s="1194"/>
      <c r="U56" s="5"/>
      <c r="V56" s="5"/>
      <c r="W56" s="5"/>
      <c r="X56" s="5"/>
    </row>
    <row r="57" spans="2:24" s="3" customFormat="1" ht="45.75" customHeight="1">
      <c r="B57" s="1190"/>
      <c r="C57" s="1474" t="s">
        <v>1267</v>
      </c>
      <c r="D57" s="1474"/>
      <c r="E57" s="1474"/>
      <c r="F57" s="1474"/>
      <c r="G57" s="1474"/>
      <c r="H57" s="1474"/>
      <c r="I57" s="1474"/>
      <c r="J57" s="1474"/>
      <c r="K57" s="1474"/>
      <c r="L57" s="1474"/>
      <c r="M57" s="1474"/>
      <c r="N57" s="1474"/>
      <c r="O57" s="1474"/>
      <c r="P57" s="1474"/>
      <c r="Q57" s="1474"/>
      <c r="R57" s="1474"/>
      <c r="S57" s="1474"/>
      <c r="T57" s="1194"/>
      <c r="U57" s="5"/>
      <c r="V57" s="5"/>
      <c r="W57" s="5"/>
      <c r="X57" s="5"/>
    </row>
    <row r="58" spans="2:24" s="3" customFormat="1" ht="25" customHeight="1">
      <c r="B58" s="1190"/>
      <c r="C58" s="1474" t="s">
        <v>1268</v>
      </c>
      <c r="D58" s="1474"/>
      <c r="E58" s="1474"/>
      <c r="F58" s="1474"/>
      <c r="G58" s="1474"/>
      <c r="H58" s="1474"/>
      <c r="I58" s="1474"/>
      <c r="J58" s="1474"/>
      <c r="K58" s="1474"/>
      <c r="L58" s="1474"/>
      <c r="M58" s="1474"/>
      <c r="N58" s="1474"/>
      <c r="O58" s="1474"/>
      <c r="P58" s="1474"/>
      <c r="Q58" s="1474"/>
      <c r="R58" s="1474"/>
      <c r="S58" s="1474"/>
      <c r="T58" s="1194"/>
      <c r="U58" s="5"/>
      <c r="V58" s="5"/>
      <c r="W58" s="5"/>
      <c r="X58" s="5"/>
    </row>
    <row r="59" spans="2:24" s="3" customFormat="1" ht="24" customHeight="1">
      <c r="B59" s="1190"/>
      <c r="C59" s="1474" t="s">
        <v>1298</v>
      </c>
      <c r="D59" s="1474"/>
      <c r="E59" s="1474"/>
      <c r="F59" s="1474"/>
      <c r="G59" s="1474"/>
      <c r="H59" s="1474"/>
      <c r="I59" s="1474"/>
      <c r="J59" s="1474"/>
      <c r="K59" s="1474"/>
      <c r="L59" s="1474"/>
      <c r="M59" s="1474"/>
      <c r="N59" s="1474"/>
      <c r="O59" s="1474"/>
      <c r="P59" s="1474"/>
      <c r="Q59" s="1474"/>
      <c r="R59" s="1474"/>
      <c r="S59" s="1474"/>
      <c r="T59" s="1194"/>
      <c r="U59" s="5"/>
      <c r="V59" s="5"/>
      <c r="W59" s="5"/>
      <c r="X59" s="5"/>
    </row>
    <row r="60" spans="2:24" s="3" customFormat="1" ht="25" customHeight="1">
      <c r="B60" s="1190"/>
      <c r="C60" s="1474" t="s">
        <v>1269</v>
      </c>
      <c r="D60" s="1474"/>
      <c r="E60" s="1474"/>
      <c r="F60" s="1474"/>
      <c r="G60" s="1474"/>
      <c r="H60" s="1474"/>
      <c r="I60" s="1474"/>
      <c r="J60" s="1474"/>
      <c r="K60" s="1474"/>
      <c r="L60" s="1474"/>
      <c r="M60" s="1474"/>
      <c r="N60" s="1474"/>
      <c r="O60" s="1474"/>
      <c r="P60" s="1474"/>
      <c r="Q60" s="1474"/>
      <c r="R60" s="1474"/>
      <c r="S60" s="1474"/>
      <c r="T60" s="1194"/>
      <c r="U60" s="5"/>
      <c r="V60" s="5"/>
      <c r="W60" s="5"/>
      <c r="X60" s="5"/>
    </row>
    <row r="61" spans="2:24" s="3" customFormat="1" ht="25" customHeight="1">
      <c r="B61" s="1190"/>
      <c r="C61" s="1474" t="s">
        <v>1270</v>
      </c>
      <c r="D61" s="1474"/>
      <c r="E61" s="1474"/>
      <c r="F61" s="1474"/>
      <c r="G61" s="1474"/>
      <c r="H61" s="1474"/>
      <c r="I61" s="1474"/>
      <c r="J61" s="1474"/>
      <c r="K61" s="1474"/>
      <c r="L61" s="1474"/>
      <c r="M61" s="1474"/>
      <c r="N61" s="1474"/>
      <c r="O61" s="1474"/>
      <c r="P61" s="1474"/>
      <c r="Q61" s="1474"/>
      <c r="R61" s="1474"/>
      <c r="S61" s="1474"/>
      <c r="T61" s="1194"/>
      <c r="U61" s="5"/>
      <c r="V61" s="5"/>
      <c r="W61" s="5"/>
      <c r="X61" s="5"/>
    </row>
    <row r="62" spans="2:24" s="3" customFormat="1" ht="39" customHeight="1">
      <c r="B62" s="1190"/>
      <c r="C62" s="1474" t="s">
        <v>1299</v>
      </c>
      <c r="D62" s="1474"/>
      <c r="E62" s="1474"/>
      <c r="F62" s="1474"/>
      <c r="G62" s="1474"/>
      <c r="H62" s="1474"/>
      <c r="I62" s="1474"/>
      <c r="J62" s="1474"/>
      <c r="K62" s="1474"/>
      <c r="L62" s="1474"/>
      <c r="M62" s="1474"/>
      <c r="N62" s="1474"/>
      <c r="O62" s="1474"/>
      <c r="P62" s="1474"/>
      <c r="Q62" s="1474"/>
      <c r="R62" s="1474"/>
      <c r="S62" s="1474"/>
      <c r="T62" s="1194"/>
      <c r="U62" s="5"/>
      <c r="V62" s="5"/>
      <c r="W62" s="5"/>
      <c r="X62" s="5"/>
    </row>
    <row r="63" spans="2:24" s="3" customFormat="1" ht="74.25" customHeight="1" thickBot="1">
      <c r="B63" s="1186"/>
      <c r="C63" s="1477" t="s">
        <v>1271</v>
      </c>
      <c r="D63" s="1477"/>
      <c r="E63" s="1477"/>
      <c r="F63" s="1477"/>
      <c r="G63" s="1477"/>
      <c r="H63" s="1477"/>
      <c r="I63" s="1477"/>
      <c r="J63" s="1477"/>
      <c r="K63" s="1477"/>
      <c r="L63" s="1477"/>
      <c r="M63" s="1477"/>
      <c r="N63" s="1477"/>
      <c r="O63" s="1477"/>
      <c r="P63" s="1477"/>
      <c r="Q63" s="1477"/>
      <c r="R63" s="1477"/>
      <c r="S63" s="1477"/>
      <c r="T63" s="1189"/>
      <c r="U63" s="5"/>
      <c r="V63" s="5"/>
      <c r="W63" s="5"/>
      <c r="X63" s="5"/>
    </row>
    <row r="64" spans="2:24" s="3" customFormat="1" ht="74.25" customHeight="1">
      <c r="B64" s="1195"/>
      <c r="C64" s="1196"/>
      <c r="D64" s="1196"/>
      <c r="E64" s="1196"/>
      <c r="F64" s="1196"/>
      <c r="G64" s="1196"/>
      <c r="H64" s="1196"/>
      <c r="I64" s="1196"/>
      <c r="J64" s="1196"/>
      <c r="K64" s="1196"/>
      <c r="L64" s="1196"/>
      <c r="M64" s="1196"/>
      <c r="N64" s="1196"/>
      <c r="O64" s="1196"/>
      <c r="P64" s="1196"/>
      <c r="Q64" s="1196"/>
      <c r="R64" s="1196"/>
      <c r="S64" s="1196"/>
      <c r="T64" s="1197"/>
      <c r="U64" s="5"/>
      <c r="V64" s="5"/>
      <c r="W64" s="5"/>
      <c r="X64" s="5"/>
    </row>
    <row r="65" spans="2:24" s="3" customFormat="1" ht="74.25" customHeight="1">
      <c r="B65" s="1191"/>
      <c r="C65" s="1187"/>
      <c r="D65" s="1187"/>
      <c r="E65" s="1187"/>
      <c r="F65" s="1187"/>
      <c r="G65" s="1187"/>
      <c r="H65" s="1187"/>
      <c r="I65" s="1187"/>
      <c r="J65" s="1187"/>
      <c r="K65" s="1187"/>
      <c r="L65" s="1187"/>
      <c r="M65" s="1187"/>
      <c r="N65" s="1187"/>
      <c r="O65" s="1187"/>
      <c r="P65" s="1187"/>
      <c r="Q65" s="1187"/>
      <c r="R65" s="1187"/>
      <c r="S65" s="1187"/>
      <c r="T65" s="1198"/>
      <c r="U65" s="5"/>
      <c r="V65" s="5"/>
      <c r="W65" s="5"/>
      <c r="X65" s="5"/>
    </row>
    <row r="66" spans="2:24" s="3" customFormat="1" ht="27.75" customHeight="1">
      <c r="B66" s="1191"/>
      <c r="C66" s="1187"/>
      <c r="D66" s="1187"/>
      <c r="E66" s="1187"/>
      <c r="F66" s="1187"/>
      <c r="G66" s="1187"/>
      <c r="H66" s="1187"/>
      <c r="I66" s="1187"/>
      <c r="J66" s="1187"/>
      <c r="K66" s="1187"/>
      <c r="L66" s="1187"/>
      <c r="M66" s="1187"/>
      <c r="N66" s="1187"/>
      <c r="O66" s="1187"/>
      <c r="P66" s="1187"/>
      <c r="Q66" s="1187"/>
      <c r="R66" s="1187"/>
      <c r="S66" s="1187"/>
      <c r="T66" s="1198"/>
      <c r="U66" s="5"/>
      <c r="V66" s="5"/>
      <c r="W66" s="5"/>
      <c r="X66" s="5"/>
    </row>
    <row r="67" spans="2:24" s="3" customFormat="1" ht="74.25" customHeight="1">
      <c r="B67" s="1191"/>
      <c r="C67" s="1187"/>
      <c r="D67" s="1187"/>
      <c r="E67" s="1187"/>
      <c r="F67" s="1187"/>
      <c r="G67" s="1187"/>
      <c r="H67" s="1187"/>
      <c r="I67" s="1187"/>
      <c r="J67" s="1187"/>
      <c r="K67" s="1187"/>
      <c r="L67" s="1187"/>
      <c r="M67" s="1187"/>
      <c r="N67" s="1187"/>
      <c r="O67" s="1187"/>
      <c r="P67" s="1187"/>
      <c r="Q67" s="1187"/>
      <c r="R67" s="1187"/>
      <c r="S67" s="1187"/>
      <c r="T67" s="1198"/>
      <c r="U67" s="5"/>
      <c r="V67" s="5"/>
      <c r="W67" s="5"/>
      <c r="X67" s="5"/>
    </row>
    <row r="68" spans="2:24" s="3" customFormat="1" ht="74.25" customHeight="1" thickBot="1">
      <c r="B68" s="1199"/>
      <c r="C68" s="1200"/>
      <c r="D68" s="1200"/>
      <c r="E68" s="1200"/>
      <c r="F68" s="1200"/>
      <c r="G68" s="1200"/>
      <c r="H68" s="1200"/>
      <c r="I68" s="1200"/>
      <c r="J68" s="1200"/>
      <c r="K68" s="1200"/>
      <c r="L68" s="1200"/>
      <c r="M68" s="1200"/>
      <c r="N68" s="1200"/>
      <c r="O68" s="1200"/>
      <c r="P68" s="1200"/>
      <c r="Q68" s="1200"/>
      <c r="R68" s="1200"/>
      <c r="S68" s="1200"/>
      <c r="T68" s="1188"/>
      <c r="U68" s="5"/>
      <c r="V68" s="5"/>
      <c r="W68" s="5"/>
      <c r="X68" s="5"/>
    </row>
    <row r="69" spans="2:24" s="3" customFormat="1" ht="74.25" customHeight="1">
      <c r="B69" s="1190"/>
      <c r="C69" s="1187"/>
      <c r="D69" s="1187"/>
      <c r="E69" s="1187"/>
      <c r="F69" s="1187"/>
      <c r="G69" s="1187"/>
      <c r="H69" s="1187"/>
      <c r="I69" s="1187"/>
      <c r="J69" s="1187"/>
      <c r="K69" s="1187"/>
      <c r="L69" s="1187"/>
      <c r="M69" s="1187"/>
      <c r="N69" s="1187"/>
      <c r="O69" s="1187"/>
      <c r="P69" s="1187"/>
      <c r="Q69" s="1187"/>
      <c r="R69" s="1187"/>
      <c r="S69" s="1187"/>
      <c r="T69" s="1194"/>
      <c r="U69" s="5"/>
      <c r="V69" s="5"/>
      <c r="W69" s="5"/>
      <c r="X69" s="5"/>
    </row>
    <row r="70" spans="2:24" s="3" customFormat="1" ht="65.25" customHeight="1">
      <c r="B70" s="1190"/>
      <c r="C70" s="1474" t="s">
        <v>1272</v>
      </c>
      <c r="D70" s="1474"/>
      <c r="E70" s="1474"/>
      <c r="F70" s="1474"/>
      <c r="G70" s="1474"/>
      <c r="H70" s="1474"/>
      <c r="I70" s="1474"/>
      <c r="J70" s="1474"/>
      <c r="K70" s="1474"/>
      <c r="L70" s="1474"/>
      <c r="M70" s="1474"/>
      <c r="N70" s="1474"/>
      <c r="O70" s="1474"/>
      <c r="P70" s="1474"/>
      <c r="Q70" s="1474"/>
      <c r="R70" s="1474"/>
      <c r="S70" s="1474"/>
      <c r="T70" s="1194"/>
      <c r="U70" s="5"/>
      <c r="V70" s="5"/>
      <c r="W70" s="5"/>
      <c r="X70" s="5"/>
    </row>
    <row r="71" spans="2:24" s="3" customFormat="1" ht="25" customHeight="1">
      <c r="B71" s="1190"/>
      <c r="C71" s="1474" t="s">
        <v>1273</v>
      </c>
      <c r="D71" s="1474"/>
      <c r="E71" s="1474"/>
      <c r="F71" s="1474"/>
      <c r="G71" s="1474"/>
      <c r="H71" s="1474"/>
      <c r="I71" s="1474"/>
      <c r="J71" s="1474"/>
      <c r="K71" s="1474"/>
      <c r="L71" s="1474"/>
      <c r="M71" s="1474"/>
      <c r="N71" s="1474"/>
      <c r="O71" s="1474"/>
      <c r="P71" s="1474"/>
      <c r="Q71" s="1474"/>
      <c r="R71" s="1474"/>
      <c r="S71" s="1474"/>
      <c r="T71" s="1194"/>
      <c r="U71" s="5"/>
      <c r="V71" s="5"/>
      <c r="W71" s="5"/>
      <c r="X71" s="5"/>
    </row>
    <row r="72" spans="2:24" s="3" customFormat="1" ht="25" customHeight="1">
      <c r="B72" s="1190"/>
      <c r="C72" s="1474" t="s">
        <v>1274</v>
      </c>
      <c r="D72" s="1474"/>
      <c r="E72" s="1474"/>
      <c r="F72" s="1474"/>
      <c r="G72" s="1474"/>
      <c r="H72" s="1474"/>
      <c r="I72" s="1474"/>
      <c r="J72" s="1474"/>
      <c r="K72" s="1474"/>
      <c r="L72" s="1474"/>
      <c r="M72" s="1474"/>
      <c r="N72" s="1474"/>
      <c r="O72" s="1474"/>
      <c r="P72" s="1474"/>
      <c r="Q72" s="1474"/>
      <c r="R72" s="1474"/>
      <c r="S72" s="1474"/>
      <c r="T72" s="1194"/>
      <c r="U72" s="5"/>
      <c r="V72" s="5"/>
      <c r="W72" s="5"/>
      <c r="X72" s="5"/>
    </row>
    <row r="73" spans="2:24" s="3" customFormat="1" ht="25" customHeight="1">
      <c r="B73" s="1190"/>
      <c r="C73" s="1474" t="s">
        <v>1275</v>
      </c>
      <c r="D73" s="1474"/>
      <c r="E73" s="1474"/>
      <c r="F73" s="1474"/>
      <c r="G73" s="1474"/>
      <c r="H73" s="1474"/>
      <c r="I73" s="1474"/>
      <c r="J73" s="1474"/>
      <c r="K73" s="1474"/>
      <c r="L73" s="1474"/>
      <c r="M73" s="1474"/>
      <c r="N73" s="1474"/>
      <c r="O73" s="1474"/>
      <c r="P73" s="1474"/>
      <c r="Q73" s="1474"/>
      <c r="R73" s="1474"/>
      <c r="S73" s="1474"/>
      <c r="T73" s="1194"/>
      <c r="U73" s="5"/>
      <c r="V73" s="5"/>
      <c r="W73" s="5"/>
      <c r="X73" s="5"/>
    </row>
    <row r="74" spans="2:24" s="3" customFormat="1" ht="18.75" customHeight="1">
      <c r="B74" s="1190"/>
      <c r="C74" s="1474" t="s">
        <v>1300</v>
      </c>
      <c r="D74" s="1474"/>
      <c r="E74" s="1474"/>
      <c r="F74" s="1474"/>
      <c r="G74" s="1474"/>
      <c r="H74" s="1474"/>
      <c r="I74" s="1474"/>
      <c r="J74" s="1474"/>
      <c r="K74" s="1474"/>
      <c r="L74" s="1474"/>
      <c r="M74" s="1474"/>
      <c r="N74" s="1474"/>
      <c r="O74" s="1474"/>
      <c r="P74" s="1474"/>
      <c r="Q74" s="1474"/>
      <c r="R74" s="1474"/>
      <c r="S74" s="1474"/>
      <c r="T74" s="1194"/>
      <c r="U74" s="5"/>
      <c r="V74" s="5"/>
      <c r="W74" s="5"/>
      <c r="X74" s="5"/>
    </row>
    <row r="75" spans="2:24" s="3" customFormat="1" ht="25" customHeight="1">
      <c r="B75" s="1190"/>
      <c r="C75" s="1474" t="s">
        <v>1276</v>
      </c>
      <c r="D75" s="1474"/>
      <c r="E75" s="1474"/>
      <c r="F75" s="1474"/>
      <c r="G75" s="1474"/>
      <c r="H75" s="1474"/>
      <c r="I75" s="1474"/>
      <c r="J75" s="1474"/>
      <c r="K75" s="1474"/>
      <c r="L75" s="1474"/>
      <c r="M75" s="1474"/>
      <c r="N75" s="1474"/>
      <c r="O75" s="1474"/>
      <c r="P75" s="1474"/>
      <c r="Q75" s="1474"/>
      <c r="R75" s="1474"/>
      <c r="S75" s="1474"/>
      <c r="T75" s="1194"/>
      <c r="U75" s="5"/>
      <c r="V75" s="5"/>
      <c r="W75" s="5"/>
      <c r="X75" s="5"/>
    </row>
    <row r="76" spans="2:24" s="3" customFormat="1" ht="45" customHeight="1">
      <c r="B76" s="1190"/>
      <c r="C76" s="1474" t="s">
        <v>1277</v>
      </c>
      <c r="D76" s="1474"/>
      <c r="E76" s="1474"/>
      <c r="F76" s="1474"/>
      <c r="G76" s="1474"/>
      <c r="H76" s="1474"/>
      <c r="I76" s="1474"/>
      <c r="J76" s="1474"/>
      <c r="K76" s="1474"/>
      <c r="L76" s="1474"/>
      <c r="M76" s="1474"/>
      <c r="N76" s="1474"/>
      <c r="O76" s="1474"/>
      <c r="P76" s="1474"/>
      <c r="Q76" s="1474"/>
      <c r="R76" s="1474"/>
      <c r="S76" s="1474"/>
      <c r="T76" s="1194"/>
      <c r="U76" s="5"/>
      <c r="V76" s="5"/>
      <c r="W76" s="5"/>
      <c r="X76" s="5"/>
    </row>
    <row r="77" spans="2:24" s="3" customFormat="1" ht="41.25" customHeight="1">
      <c r="B77" s="1190"/>
      <c r="C77" s="1474" t="s">
        <v>1301</v>
      </c>
      <c r="D77" s="1474"/>
      <c r="E77" s="1474"/>
      <c r="F77" s="1474"/>
      <c r="G77" s="1474"/>
      <c r="H77" s="1474"/>
      <c r="I77" s="1474"/>
      <c r="J77" s="1474"/>
      <c r="K77" s="1474"/>
      <c r="L77" s="1474"/>
      <c r="M77" s="1474"/>
      <c r="N77" s="1474"/>
      <c r="O77" s="1474"/>
      <c r="P77" s="1474"/>
      <c r="Q77" s="1474"/>
      <c r="R77" s="1474"/>
      <c r="S77" s="1474"/>
      <c r="T77" s="1194"/>
      <c r="U77" s="5"/>
      <c r="V77" s="5"/>
      <c r="W77" s="5"/>
      <c r="X77" s="5"/>
    </row>
    <row r="78" spans="2:24" s="3" customFormat="1" ht="45" customHeight="1">
      <c r="B78" s="1190"/>
      <c r="C78" s="1474" t="s">
        <v>1302</v>
      </c>
      <c r="D78" s="1474"/>
      <c r="E78" s="1474"/>
      <c r="F78" s="1474"/>
      <c r="G78" s="1474"/>
      <c r="H78" s="1474"/>
      <c r="I78" s="1474"/>
      <c r="J78" s="1474"/>
      <c r="K78" s="1474"/>
      <c r="L78" s="1474"/>
      <c r="M78" s="1474"/>
      <c r="N78" s="1474"/>
      <c r="O78" s="1474"/>
      <c r="P78" s="1474"/>
      <c r="Q78" s="1474"/>
      <c r="R78" s="1474"/>
      <c r="S78" s="1474"/>
      <c r="T78" s="1194"/>
      <c r="U78" s="5"/>
      <c r="V78" s="5"/>
      <c r="W78" s="5"/>
      <c r="X78" s="5"/>
    </row>
    <row r="79" spans="2:24" s="3" customFormat="1" ht="27" customHeight="1">
      <c r="B79" s="1190"/>
      <c r="C79" s="1474" t="s">
        <v>1278</v>
      </c>
      <c r="D79" s="1474"/>
      <c r="E79" s="1474"/>
      <c r="F79" s="1474"/>
      <c r="G79" s="1474"/>
      <c r="H79" s="1474"/>
      <c r="I79" s="1474"/>
      <c r="J79" s="1474"/>
      <c r="K79" s="1474"/>
      <c r="L79" s="1474"/>
      <c r="M79" s="1474"/>
      <c r="N79" s="1474"/>
      <c r="O79" s="1474"/>
      <c r="P79" s="1474"/>
      <c r="Q79" s="1474"/>
      <c r="R79" s="1474"/>
      <c r="S79" s="1474"/>
      <c r="T79" s="1194"/>
      <c r="U79" s="5"/>
      <c r="V79" s="5"/>
      <c r="W79" s="5"/>
      <c r="X79" s="5"/>
    </row>
    <row r="80" spans="2:24" s="3" customFormat="1" ht="48" customHeight="1">
      <c r="B80" s="1190"/>
      <c r="C80" s="1474" t="s">
        <v>1303</v>
      </c>
      <c r="D80" s="1474"/>
      <c r="E80" s="1474"/>
      <c r="F80" s="1474"/>
      <c r="G80" s="1474"/>
      <c r="H80" s="1474"/>
      <c r="I80" s="1474"/>
      <c r="J80" s="1474"/>
      <c r="K80" s="1474"/>
      <c r="L80" s="1474"/>
      <c r="M80" s="1474"/>
      <c r="N80" s="1474"/>
      <c r="O80" s="1474"/>
      <c r="P80" s="1474"/>
      <c r="Q80" s="1474"/>
      <c r="R80" s="1474"/>
      <c r="S80" s="1474"/>
      <c r="T80" s="1194"/>
      <c r="U80" s="5"/>
      <c r="V80" s="5"/>
      <c r="W80" s="5"/>
      <c r="X80" s="5"/>
    </row>
    <row r="81" spans="2:24" s="3" customFormat="1" ht="25" customHeight="1">
      <c r="B81" s="1190"/>
      <c r="C81" s="1474" t="s">
        <v>1279</v>
      </c>
      <c r="D81" s="1474"/>
      <c r="E81" s="1474"/>
      <c r="F81" s="1474"/>
      <c r="G81" s="1474"/>
      <c r="H81" s="1474"/>
      <c r="I81" s="1474"/>
      <c r="J81" s="1474"/>
      <c r="K81" s="1474"/>
      <c r="L81" s="1474"/>
      <c r="M81" s="1474"/>
      <c r="N81" s="1474"/>
      <c r="O81" s="1474"/>
      <c r="P81" s="1474"/>
      <c r="Q81" s="1474"/>
      <c r="R81" s="1474"/>
      <c r="S81" s="1474"/>
      <c r="T81" s="1194"/>
      <c r="U81" s="5"/>
      <c r="V81" s="5"/>
      <c r="W81" s="5"/>
      <c r="X81" s="5"/>
    </row>
    <row r="82" spans="2:24" s="3" customFormat="1" ht="25.5" customHeight="1">
      <c r="B82" s="1190"/>
      <c r="C82" s="1474" t="s">
        <v>1304</v>
      </c>
      <c r="D82" s="1474"/>
      <c r="E82" s="1474"/>
      <c r="F82" s="1474"/>
      <c r="G82" s="1474"/>
      <c r="H82" s="1474"/>
      <c r="I82" s="1474"/>
      <c r="J82" s="1474"/>
      <c r="K82" s="1474"/>
      <c r="L82" s="1474"/>
      <c r="M82" s="1474"/>
      <c r="N82" s="1474"/>
      <c r="O82" s="1474"/>
      <c r="P82" s="1474"/>
      <c r="Q82" s="1474"/>
      <c r="R82" s="1474"/>
      <c r="S82" s="1474"/>
      <c r="T82" s="1194"/>
      <c r="U82" s="5"/>
      <c r="V82" s="5"/>
      <c r="W82" s="5"/>
      <c r="X82" s="5"/>
    </row>
    <row r="83" spans="2:24" s="3" customFormat="1" ht="47.25" customHeight="1">
      <c r="B83" s="1190"/>
      <c r="C83" s="1474" t="s">
        <v>1280</v>
      </c>
      <c r="D83" s="1474"/>
      <c r="E83" s="1474"/>
      <c r="F83" s="1474"/>
      <c r="G83" s="1474"/>
      <c r="H83" s="1474"/>
      <c r="I83" s="1474"/>
      <c r="J83" s="1474"/>
      <c r="K83" s="1474"/>
      <c r="L83" s="1474"/>
      <c r="M83" s="1474"/>
      <c r="N83" s="1474"/>
      <c r="O83" s="1474"/>
      <c r="P83" s="1474"/>
      <c r="Q83" s="1474"/>
      <c r="R83" s="1474"/>
      <c r="S83" s="1474"/>
      <c r="T83" s="1194"/>
      <c r="U83" s="5"/>
      <c r="V83" s="5"/>
      <c r="W83" s="5"/>
      <c r="X83" s="5"/>
    </row>
    <row r="84" spans="2:24" s="3" customFormat="1" ht="67.5" customHeight="1">
      <c r="B84" s="1190"/>
      <c r="C84" s="1474" t="s">
        <v>1281</v>
      </c>
      <c r="D84" s="1474"/>
      <c r="E84" s="1474"/>
      <c r="F84" s="1474"/>
      <c r="G84" s="1474"/>
      <c r="H84" s="1474"/>
      <c r="I84" s="1474"/>
      <c r="J84" s="1474"/>
      <c r="K84" s="1474"/>
      <c r="L84" s="1474"/>
      <c r="M84" s="1474"/>
      <c r="N84" s="1474"/>
      <c r="O84" s="1474"/>
      <c r="P84" s="1474"/>
      <c r="Q84" s="1474"/>
      <c r="R84" s="1474"/>
      <c r="S84" s="1474"/>
      <c r="T84" s="1194"/>
      <c r="U84" s="5"/>
      <c r="V84" s="5"/>
      <c r="W84" s="5"/>
      <c r="X84" s="5"/>
    </row>
    <row r="85" spans="2:24" s="3" customFormat="1" ht="24" customHeight="1">
      <c r="B85" s="1190"/>
      <c r="C85" s="1474" t="s">
        <v>1282</v>
      </c>
      <c r="D85" s="1474"/>
      <c r="E85" s="1474"/>
      <c r="F85" s="1474"/>
      <c r="G85" s="1474"/>
      <c r="H85" s="1474"/>
      <c r="I85" s="1474"/>
      <c r="J85" s="1474"/>
      <c r="K85" s="1474"/>
      <c r="L85" s="1474"/>
      <c r="M85" s="1474"/>
      <c r="N85" s="1474"/>
      <c r="O85" s="1474"/>
      <c r="P85" s="1474"/>
      <c r="Q85" s="1474"/>
      <c r="R85" s="1474"/>
      <c r="S85" s="1474"/>
      <c r="T85" s="1194"/>
      <c r="U85" s="5"/>
      <c r="V85" s="5"/>
      <c r="W85" s="5"/>
      <c r="X85" s="5"/>
    </row>
    <row r="86" spans="2:24" s="3" customFormat="1" ht="25.5" customHeight="1">
      <c r="B86" s="1190"/>
      <c r="C86" s="1474" t="s">
        <v>1283</v>
      </c>
      <c r="D86" s="1474"/>
      <c r="E86" s="1474"/>
      <c r="F86" s="1474"/>
      <c r="G86" s="1474"/>
      <c r="H86" s="1474"/>
      <c r="I86" s="1474"/>
      <c r="J86" s="1474"/>
      <c r="K86" s="1474"/>
      <c r="L86" s="1474"/>
      <c r="M86" s="1474"/>
      <c r="N86" s="1474"/>
      <c r="O86" s="1474"/>
      <c r="P86" s="1474"/>
      <c r="Q86" s="1474"/>
      <c r="R86" s="1474"/>
      <c r="S86" s="1474"/>
      <c r="T86" s="1194"/>
      <c r="U86" s="5"/>
      <c r="V86" s="5"/>
      <c r="W86" s="5"/>
      <c r="X86" s="5"/>
    </row>
    <row r="87" spans="2:24" s="3" customFormat="1" ht="25.5" customHeight="1">
      <c r="B87" s="1190"/>
      <c r="C87" s="1187"/>
      <c r="D87" s="1187"/>
      <c r="E87" s="1187"/>
      <c r="F87" s="1187"/>
      <c r="G87" s="1187"/>
      <c r="H87" s="1187"/>
      <c r="I87" s="1187"/>
      <c r="J87" s="1187"/>
      <c r="K87" s="1187"/>
      <c r="L87" s="1187"/>
      <c r="M87" s="1187"/>
      <c r="N87" s="1187"/>
      <c r="O87" s="1187"/>
      <c r="P87" s="1187"/>
      <c r="Q87" s="1187"/>
      <c r="R87" s="1187"/>
      <c r="S87" s="1187"/>
      <c r="T87" s="1194"/>
      <c r="U87" s="5"/>
      <c r="V87" s="5"/>
      <c r="W87" s="5"/>
      <c r="X87" s="5"/>
    </row>
    <row r="88" spans="2:24" s="3" customFormat="1" ht="20.100000000000001" customHeight="1">
      <c r="B88" s="1190"/>
      <c r="C88" s="1187"/>
      <c r="D88" s="1187"/>
      <c r="E88" s="1187"/>
      <c r="F88" s="1187"/>
      <c r="G88" s="1187"/>
      <c r="H88" s="1187"/>
      <c r="I88" s="1187"/>
      <c r="J88" s="1187"/>
      <c r="K88" s="1187"/>
      <c r="L88" s="1187"/>
      <c r="M88" s="1187"/>
      <c r="N88" s="1187"/>
      <c r="O88" s="1187"/>
      <c r="P88" s="1187"/>
      <c r="Q88" s="1187"/>
      <c r="R88" s="1187"/>
      <c r="S88" s="1187"/>
      <c r="T88" s="1192"/>
      <c r="U88" s="5"/>
      <c r="V88" s="5"/>
      <c r="W88" s="5"/>
      <c r="X88" s="5"/>
    </row>
    <row r="89" spans="2:24" s="3" customFormat="1" ht="20.100000000000001" customHeight="1">
      <c r="B89" s="1190"/>
      <c r="C89" s="1191" t="s">
        <v>1284</v>
      </c>
      <c r="D89" s="1191"/>
      <c r="E89" s="1191"/>
      <c r="F89" s="1191"/>
      <c r="G89" s="1191"/>
      <c r="H89" s="1191"/>
      <c r="I89" s="1191"/>
      <c r="J89" s="1191"/>
      <c r="K89" s="1191"/>
      <c r="L89" s="1191"/>
      <c r="M89" s="1191"/>
      <c r="N89" s="1191"/>
      <c r="O89" s="1191"/>
      <c r="P89" s="1191"/>
      <c r="Q89" s="1191"/>
      <c r="R89" s="1191"/>
      <c r="S89" s="1191"/>
      <c r="T89" s="1192"/>
      <c r="U89" s="5"/>
      <c r="V89" s="5"/>
      <c r="W89" s="5"/>
      <c r="X89" s="5"/>
    </row>
    <row r="90" spans="2:24" s="3" customFormat="1" ht="25" customHeight="1">
      <c r="B90" s="1190"/>
      <c r="C90" s="1475"/>
      <c r="D90" s="1475"/>
      <c r="E90" s="1475"/>
      <c r="F90" s="1475"/>
      <c r="G90" s="1475"/>
      <c r="H90" s="1475"/>
      <c r="I90" s="1475"/>
      <c r="J90" s="1475"/>
      <c r="K90" s="1475"/>
      <c r="L90" s="1475"/>
      <c r="M90" s="1475"/>
      <c r="N90" s="1475"/>
      <c r="O90" s="1475"/>
      <c r="P90" s="1475"/>
      <c r="Q90" s="1475"/>
      <c r="R90" s="1475"/>
      <c r="S90" s="1475"/>
      <c r="T90" s="1476"/>
      <c r="U90" s="5"/>
      <c r="V90" s="5"/>
      <c r="W90" s="5"/>
      <c r="X90" s="5"/>
    </row>
    <row r="91" spans="2:24" ht="14.7" thickBot="1">
      <c r="B91" s="1201"/>
      <c r="C91" s="1202"/>
      <c r="D91" s="1202"/>
      <c r="E91" s="1202"/>
      <c r="F91" s="1202"/>
      <c r="G91" s="1202"/>
      <c r="H91" s="1202"/>
      <c r="I91" s="1202"/>
      <c r="J91" s="1202"/>
      <c r="K91" s="1202"/>
      <c r="L91" s="1202"/>
      <c r="M91" s="1202"/>
      <c r="N91" s="1202"/>
      <c r="O91" s="1202"/>
      <c r="P91" s="1202"/>
      <c r="Q91" s="1202"/>
      <c r="R91" s="1202"/>
      <c r="S91" s="1202"/>
      <c r="T91" s="1203"/>
    </row>
  </sheetData>
  <mergeCells count="75">
    <mergeCell ref="C12:S12"/>
    <mergeCell ref="C6:T6"/>
    <mergeCell ref="C8:T8"/>
    <mergeCell ref="C9:S9"/>
    <mergeCell ref="C10:S10"/>
    <mergeCell ref="C11:S11"/>
    <mergeCell ref="C24:S24"/>
    <mergeCell ref="C13:S13"/>
    <mergeCell ref="C14:S14"/>
    <mergeCell ref="C15:S15"/>
    <mergeCell ref="C16:S16"/>
    <mergeCell ref="C17:S17"/>
    <mergeCell ref="C18:S18"/>
    <mergeCell ref="C19:S19"/>
    <mergeCell ref="C20:S20"/>
    <mergeCell ref="C21:S21"/>
    <mergeCell ref="C22:S22"/>
    <mergeCell ref="C23:S23"/>
    <mergeCell ref="C36:S36"/>
    <mergeCell ref="C25:S25"/>
    <mergeCell ref="C26:S26"/>
    <mergeCell ref="C27:S27"/>
    <mergeCell ref="C28:S28"/>
    <mergeCell ref="C29:S29"/>
    <mergeCell ref="C30:S30"/>
    <mergeCell ref="C31:S31"/>
    <mergeCell ref="C32:S32"/>
    <mergeCell ref="C33:S33"/>
    <mergeCell ref="C34:S34"/>
    <mergeCell ref="C35:S35"/>
    <mergeCell ref="C48:S48"/>
    <mergeCell ref="C37:S37"/>
    <mergeCell ref="C38:S38"/>
    <mergeCell ref="C39:S39"/>
    <mergeCell ref="C40:S40"/>
    <mergeCell ref="C41:S41"/>
    <mergeCell ref="C42:S42"/>
    <mergeCell ref="C43:S43"/>
    <mergeCell ref="C44:S44"/>
    <mergeCell ref="C45:S45"/>
    <mergeCell ref="C46:S46"/>
    <mergeCell ref="C47:S47"/>
    <mergeCell ref="C60:S60"/>
    <mergeCell ref="C49:S49"/>
    <mergeCell ref="C50:S50"/>
    <mergeCell ref="C51:S51"/>
    <mergeCell ref="C52:S52"/>
    <mergeCell ref="C53:S53"/>
    <mergeCell ref="C54:S54"/>
    <mergeCell ref="C55:S55"/>
    <mergeCell ref="C56:S56"/>
    <mergeCell ref="C57:S57"/>
    <mergeCell ref="C58:S58"/>
    <mergeCell ref="C59:S59"/>
    <mergeCell ref="C78:S78"/>
    <mergeCell ref="C61:S61"/>
    <mergeCell ref="C62:S62"/>
    <mergeCell ref="C63:S63"/>
    <mergeCell ref="C70:S70"/>
    <mergeCell ref="C71:S71"/>
    <mergeCell ref="C72:S72"/>
    <mergeCell ref="C73:S73"/>
    <mergeCell ref="C74:S74"/>
    <mergeCell ref="C75:S75"/>
    <mergeCell ref="C76:S76"/>
    <mergeCell ref="C77:S77"/>
    <mergeCell ref="C85:S85"/>
    <mergeCell ref="C86:S86"/>
    <mergeCell ref="C90:T90"/>
    <mergeCell ref="C79:S79"/>
    <mergeCell ref="C80:S80"/>
    <mergeCell ref="C81:S81"/>
    <mergeCell ref="C82:S82"/>
    <mergeCell ref="C83:S83"/>
    <mergeCell ref="C84:S84"/>
  </mergeCells>
  <printOptions horizontalCentered="1"/>
  <pageMargins left="0" right="0" top="0" bottom="0" header="0" footer="0"/>
  <pageSetup paperSize="9" scale="41" fitToHeight="0" orientation="portrait" verticalDpi="4"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B1:CC104"/>
  <sheetViews>
    <sheetView topLeftCell="A25" zoomScale="82" zoomScaleNormal="82" workbookViewId="0">
      <selection activeCell="F62" sqref="F62"/>
    </sheetView>
  </sheetViews>
  <sheetFormatPr defaultColWidth="8.83984375" defaultRowHeight="18.3"/>
  <cols>
    <col min="1" max="1" width="3.15625" style="885" customWidth="1"/>
    <col min="2" max="2" width="11.83984375" style="885" customWidth="1"/>
    <col min="3" max="3" width="29.83984375" style="885" customWidth="1"/>
    <col min="4" max="4" width="17.15625" style="885" customWidth="1"/>
    <col min="5" max="5" width="27.41796875" style="885" customWidth="1"/>
    <col min="6" max="6" width="20.26171875" style="885" customWidth="1"/>
    <col min="7" max="7" width="28" style="885" customWidth="1"/>
    <col min="8" max="8" width="16.68359375" style="885" customWidth="1"/>
    <col min="9" max="9" width="20.68359375" style="885" customWidth="1"/>
    <col min="10" max="10" width="26.578125" style="885" customWidth="1"/>
    <col min="11" max="11" width="39.83984375" style="885" customWidth="1"/>
    <col min="12" max="12" width="13.68359375" style="885" customWidth="1"/>
    <col min="13" max="13" width="6.68359375" style="885" customWidth="1"/>
    <col min="14" max="14" width="44.26171875" style="885" bestFit="1" customWidth="1"/>
    <col min="15" max="27" width="8.83984375" style="885"/>
    <col min="28" max="29" width="8.83984375" style="885" customWidth="1"/>
    <col min="30" max="30" width="8.83984375" style="885"/>
    <col min="31" max="31" width="8.83984375" style="885" customWidth="1"/>
    <col min="32" max="79" width="8.83984375" style="885"/>
    <col min="80" max="80" width="13.26171875" style="885" bestFit="1" customWidth="1"/>
    <col min="81" max="81" width="53.83984375" style="885" bestFit="1" customWidth="1"/>
    <col min="82" max="16384" width="8.83984375" style="885"/>
  </cols>
  <sheetData>
    <row r="1" spans="2:81" ht="18.600000000000001" thickBot="1"/>
    <row r="2" spans="2:81">
      <c r="B2" s="886"/>
      <c r="C2" s="887"/>
      <c r="D2" s="887"/>
      <c r="E2" s="887"/>
      <c r="F2" s="888"/>
      <c r="G2" s="887"/>
      <c r="H2" s="887"/>
      <c r="I2" s="887"/>
      <c r="J2" s="887"/>
      <c r="K2" s="887"/>
      <c r="L2" s="889"/>
    </row>
    <row r="3" spans="2:81" ht="20.100000000000001" customHeight="1">
      <c r="B3" s="890"/>
      <c r="C3" s="891" t="s">
        <v>1169</v>
      </c>
      <c r="D3" s="892"/>
      <c r="E3" s="892"/>
      <c r="F3" s="893" t="str">
        <f>'[4]Deal Sheet'!C6</f>
        <v>BAFANA BAFANA</v>
      </c>
      <c r="G3" s="1488"/>
      <c r="H3" s="892"/>
      <c r="I3" s="892"/>
      <c r="J3" s="1002" t="s">
        <v>565</v>
      </c>
      <c r="K3" s="899"/>
      <c r="L3" s="900"/>
    </row>
    <row r="4" spans="2:81" ht="20.100000000000001" customHeight="1">
      <c r="B4" s="890"/>
      <c r="C4" s="892"/>
      <c r="D4" s="892"/>
      <c r="E4" s="892"/>
      <c r="F4" s="893"/>
      <c r="G4" s="1488"/>
      <c r="H4" s="892"/>
      <c r="I4" s="892"/>
      <c r="J4" s="1067" t="s">
        <v>566</v>
      </c>
      <c r="K4" s="899"/>
      <c r="L4" s="900"/>
    </row>
    <row r="5" spans="2:81" ht="20.100000000000001" customHeight="1">
      <c r="B5" s="890"/>
      <c r="C5" s="891" t="str">
        <f>IF('Data Sheet'!D23&lt;&gt;"",'Data Sheet'!D23,"")</f>
        <v>Jan Van Schalwyk</v>
      </c>
      <c r="D5" s="1079"/>
      <c r="E5" s="1079"/>
      <c r="F5" s="894"/>
      <c r="G5" s="1488"/>
      <c r="H5" s="892"/>
      <c r="I5" s="892"/>
      <c r="J5" s="1067" t="s">
        <v>568</v>
      </c>
      <c r="K5" s="899"/>
      <c r="L5" s="900"/>
    </row>
    <row r="6" spans="2:81" ht="20.100000000000001" customHeight="1">
      <c r="B6" s="890"/>
      <c r="C6" s="891" t="str">
        <f>IF('Data Sheet'!D24&lt;&gt;"",'Data Sheet'!D24,"")</f>
        <v>ABCD Transport</v>
      </c>
      <c r="D6" s="892"/>
      <c r="E6" s="892"/>
      <c r="F6" s="893"/>
      <c r="G6" s="1488"/>
      <c r="H6" s="892"/>
      <c r="I6" s="892"/>
      <c r="J6" s="1067" t="s">
        <v>569</v>
      </c>
      <c r="K6" s="899"/>
      <c r="L6" s="900"/>
    </row>
    <row r="7" spans="2:81" ht="20.100000000000001" customHeight="1">
      <c r="B7" s="890"/>
      <c r="C7" s="891" t="str">
        <f>IF('Data Sheet'!D25&lt;&gt;"",'Data Sheet'!D25,"")</f>
        <v>Unit D7 Waterford Court</v>
      </c>
      <c r="D7" s="892"/>
      <c r="E7" s="892"/>
      <c r="F7" s="892"/>
      <c r="G7" s="892"/>
      <c r="H7" s="892"/>
      <c r="I7" s="892"/>
      <c r="J7" s="1067" t="s">
        <v>570</v>
      </c>
      <c r="K7" s="899"/>
      <c r="L7" s="900"/>
    </row>
    <row r="8" spans="2:81" ht="20.100000000000001" customHeight="1">
      <c r="B8" s="890"/>
      <c r="C8" s="891" t="str">
        <f>IF('Data Sheet'!D26&lt;&gt;"",'Data Sheet'!D26,"")</f>
        <v>C/o Rabie &amp; Glover Street</v>
      </c>
      <c r="D8" s="892"/>
      <c r="E8" s="892"/>
      <c r="F8" s="892"/>
      <c r="G8" s="892"/>
      <c r="H8" s="892"/>
      <c r="I8" s="892"/>
      <c r="J8" s="1067" t="s">
        <v>571</v>
      </c>
      <c r="K8" s="899"/>
      <c r="L8" s="900"/>
      <c r="CC8" s="895"/>
    </row>
    <row r="9" spans="2:81" ht="20.100000000000001" customHeight="1">
      <c r="B9" s="890"/>
      <c r="C9" s="891" t="str">
        <f>IF('Data Sheet'!D27&lt;&gt;"",'Data Sheet'!D27,"")</f>
        <v>Lyttelton</v>
      </c>
      <c r="D9" s="892"/>
      <c r="E9" s="892"/>
      <c r="F9" s="892"/>
      <c r="G9" s="892"/>
      <c r="H9" s="892"/>
      <c r="I9" s="892"/>
      <c r="J9" s="1067" t="s">
        <v>572</v>
      </c>
      <c r="K9" s="899"/>
      <c r="L9" s="900"/>
    </row>
    <row r="10" spans="2:81" ht="20.100000000000001" customHeight="1">
      <c r="B10" s="890"/>
      <c r="C10" s="891" t="str">
        <f>IF('Data Sheet'!D28&lt;&gt;"",'Data Sheet'!D28,"")</f>
        <v>Centurion</v>
      </c>
      <c r="D10" s="892"/>
      <c r="E10" s="892"/>
      <c r="F10" s="892"/>
      <c r="G10" s="892"/>
      <c r="H10" s="892"/>
      <c r="I10" s="892"/>
      <c r="J10" s="1067">
        <v>1609</v>
      </c>
      <c r="K10" s="899"/>
      <c r="L10" s="900"/>
    </row>
    <row r="11" spans="2:81" ht="20.100000000000001" customHeight="1">
      <c r="B11" s="890"/>
      <c r="C11" s="892" t="str">
        <f>IF('[5]Data Sheet'!D29&lt;&gt;"",'[5]Data Sheet'!D29,"")</f>
        <v/>
      </c>
      <c r="D11" s="892"/>
      <c r="E11" s="892"/>
      <c r="F11" s="892"/>
      <c r="G11" s="892"/>
      <c r="H11" s="892"/>
      <c r="I11" s="892"/>
      <c r="J11" s="1067" t="s">
        <v>575</v>
      </c>
      <c r="K11" s="899"/>
      <c r="L11" s="900"/>
    </row>
    <row r="12" spans="2:81" ht="20.100000000000001" customHeight="1">
      <c r="B12" s="890"/>
      <c r="C12" s="896" t="str">
        <f>'Data Sheet'!$D$30&amp;""</f>
        <v>0157</v>
      </c>
      <c r="D12" s="892"/>
      <c r="E12" s="892"/>
      <c r="F12" s="892"/>
      <c r="G12" s="892"/>
      <c r="H12" s="892"/>
      <c r="I12" s="892"/>
      <c r="J12" s="1067" t="s">
        <v>577</v>
      </c>
      <c r="K12" s="899"/>
      <c r="L12" s="900"/>
    </row>
    <row r="13" spans="2:81" ht="18.600000000000001" customHeight="1">
      <c r="B13" s="890"/>
      <c r="C13" s="897" t="str">
        <f>"Tel:"&amp;" " &amp;IF('Data Sheet'!D32&lt;&gt;"","("&amp;LEFT('Data Sheet'!AM32,3)&amp;")"&amp;" "&amp;MID('Data Sheet'!AM32,4,3)&amp;" "&amp;RIGHT('Data Sheet'!AM32,4),"")</f>
        <v>Tel: (012) 003 1234</v>
      </c>
      <c r="D13" s="892"/>
      <c r="E13" s="892"/>
      <c r="F13" s="892"/>
      <c r="G13" s="892"/>
      <c r="H13" s="892"/>
      <c r="I13" s="892"/>
      <c r="J13" s="899"/>
      <c r="K13" s="899"/>
      <c r="L13" s="900"/>
    </row>
    <row r="14" spans="2:81" ht="19.5" customHeight="1">
      <c r="B14" s="890"/>
      <c r="C14" s="897" t="str">
        <f>"Cell:"&amp;" "&amp;IF('Data Sheet'!D33&lt;&gt;"","("&amp;LEFT('Data Sheet'!AM33,3)&amp;")"&amp;" "&amp;MID('Data Sheet'!AM33,4,3)&amp;" "&amp;RIGHT('Data Sheet'!AM33,4),"")</f>
        <v>Cell: (073) 123 4567</v>
      </c>
      <c r="D14" s="898"/>
      <c r="E14" s="892"/>
      <c r="F14" s="892"/>
      <c r="G14" s="892"/>
      <c r="H14" s="892"/>
      <c r="I14" s="892"/>
      <c r="J14" s="899"/>
      <c r="K14" s="899"/>
      <c r="L14" s="900"/>
    </row>
    <row r="15" spans="2:81" ht="18" customHeight="1">
      <c r="B15" s="890"/>
      <c r="C15" s="897" t="str">
        <f>"Fax:"&amp;" "&amp;IF('Data Sheet'!D34&lt;&gt;"","("&amp;LEFT('Data Sheet'!AM34,3)&amp;")"&amp;" "&amp;MID('Data Sheet'!AM34,4,3)&amp;" "&amp;RIGHT('Data Sheet'!AM34,4),"")</f>
        <v>Fax: (086) 669 2700</v>
      </c>
      <c r="D15" s="892"/>
      <c r="E15" s="892"/>
      <c r="F15" s="892"/>
      <c r="G15" s="892"/>
      <c r="H15" s="892"/>
      <c r="I15" s="892"/>
      <c r="J15" s="899"/>
      <c r="K15" s="899"/>
      <c r="L15" s="900"/>
    </row>
    <row r="16" spans="2:81" ht="15" customHeight="1">
      <c r="B16" s="890"/>
      <c r="C16" s="897" t="str">
        <f>"Email:"&amp;" "&amp;'Data Sheet'!D35</f>
        <v>Email: jvanschalwyk@jjt.co.za</v>
      </c>
      <c r="D16" s="892"/>
      <c r="E16" s="892"/>
      <c r="F16" s="892"/>
      <c r="G16" s="892"/>
      <c r="H16" s="892"/>
      <c r="I16" s="892"/>
      <c r="J16" s="899"/>
      <c r="K16" s="899"/>
      <c r="L16" s="900"/>
    </row>
    <row r="17" spans="2:81" ht="31.2" thickBot="1">
      <c r="B17" s="890"/>
      <c r="C17" s="892"/>
      <c r="D17" s="1489" t="s">
        <v>1170</v>
      </c>
      <c r="E17" s="1489"/>
      <c r="F17" s="1489"/>
      <c r="G17" s="1489"/>
      <c r="H17" s="1489"/>
      <c r="I17" s="1489"/>
      <c r="J17" s="1077"/>
      <c r="K17" s="1077"/>
      <c r="L17" s="901"/>
      <c r="N17" s="902"/>
      <c r="CC17" s="903"/>
    </row>
    <row r="18" spans="2:81">
      <c r="B18" s="890"/>
      <c r="C18" s="886"/>
      <c r="D18" s="887"/>
      <c r="E18" s="887"/>
      <c r="F18" s="887"/>
      <c r="G18" s="887"/>
      <c r="H18" s="887"/>
      <c r="I18" s="887"/>
      <c r="J18" s="887"/>
      <c r="K18" s="889"/>
      <c r="L18" s="901"/>
    </row>
    <row r="19" spans="2:81" ht="19.5" customHeight="1">
      <c r="B19" s="890"/>
      <c r="C19" s="904" t="s">
        <v>311</v>
      </c>
      <c r="D19" s="905">
        <f>'Data Sheet'!D7</f>
        <v>43136</v>
      </c>
      <c r="E19" s="906"/>
      <c r="F19" s="892"/>
      <c r="G19" s="1490" t="s">
        <v>1171</v>
      </c>
      <c r="H19" s="1490"/>
      <c r="I19" s="907" t="s">
        <v>1020</v>
      </c>
      <c r="J19" s="905" t="str">
        <f>'Data Sheet'!D10</f>
        <v>HARM VAN HEERDEN</v>
      </c>
      <c r="K19" s="908"/>
      <c r="L19" s="901"/>
      <c r="N19" s="909"/>
    </row>
    <row r="20" spans="2:81" ht="20.25" customHeight="1">
      <c r="B20" s="890"/>
      <c r="C20" s="904" t="s">
        <v>820</v>
      </c>
      <c r="D20" s="1492" t="str">
        <f>OTP!H10</f>
        <v>BFN50H02A5</v>
      </c>
      <c r="E20" s="1492"/>
      <c r="F20" s="892"/>
      <c r="G20" s="1490"/>
      <c r="H20" s="1490"/>
      <c r="I20" s="907" t="s">
        <v>821</v>
      </c>
      <c r="J20" s="905" t="str">
        <f>'Data Sheet'!D11</f>
        <v>060 850 8448</v>
      </c>
      <c r="K20" s="908"/>
      <c r="L20" s="901"/>
      <c r="N20" s="909"/>
    </row>
    <row r="21" spans="2:81" ht="19.5" customHeight="1" thickBot="1">
      <c r="B21" s="890"/>
      <c r="C21" s="910"/>
      <c r="D21" s="911"/>
      <c r="E21" s="911"/>
      <c r="F21" s="911"/>
      <c r="G21" s="1491"/>
      <c r="H21" s="1491"/>
      <c r="I21" s="912" t="s">
        <v>1172</v>
      </c>
      <c r="J21" s="913" t="str">
        <f>'Data Sheet'!D12</f>
        <v>Harm.vanHeerden@za.man-mn.com</v>
      </c>
      <c r="K21" s="914"/>
      <c r="L21" s="901"/>
    </row>
    <row r="22" spans="2:81">
      <c r="B22" s="890"/>
      <c r="C22" s="1078"/>
      <c r="D22" s="1078"/>
      <c r="E22" s="1078"/>
      <c r="F22" s="1078"/>
      <c r="G22" s="1078"/>
      <c r="H22" s="1078"/>
      <c r="I22" s="1078"/>
      <c r="J22" s="1078"/>
      <c r="K22" s="1078"/>
      <c r="L22" s="901"/>
    </row>
    <row r="23" spans="2:81">
      <c r="B23" s="890"/>
      <c r="C23" s="1493" t="s">
        <v>823</v>
      </c>
      <c r="D23" s="1493"/>
      <c r="E23" s="1493"/>
      <c r="F23" s="1493"/>
      <c r="G23" s="1493"/>
      <c r="H23" s="1493"/>
      <c r="I23" s="1493"/>
      <c r="J23" s="1493"/>
      <c r="K23" s="1493"/>
      <c r="L23" s="901"/>
    </row>
    <row r="24" spans="2:81" ht="18.600000000000001" thickBot="1">
      <c r="B24" s="890"/>
      <c r="C24" s="915"/>
      <c r="D24" s="1078"/>
      <c r="E24" s="1078"/>
      <c r="F24" s="1078"/>
      <c r="G24" s="1078"/>
      <c r="H24" s="1078"/>
      <c r="I24" s="1078"/>
      <c r="J24" s="1078"/>
      <c r="K24" s="1078"/>
      <c r="L24" s="901"/>
    </row>
    <row r="25" spans="2:81">
      <c r="B25" s="916"/>
      <c r="C25" s="917" t="s">
        <v>579</v>
      </c>
      <c r="D25" s="887"/>
      <c r="E25" s="887"/>
      <c r="F25" s="887"/>
      <c r="G25" s="887"/>
      <c r="H25" s="887"/>
      <c r="I25" s="887"/>
      <c r="J25" s="887"/>
      <c r="K25" s="889"/>
      <c r="L25" s="901"/>
    </row>
    <row r="26" spans="2:81">
      <c r="B26" s="916"/>
      <c r="C26" s="918" t="s">
        <v>999</v>
      </c>
      <c r="D26" s="1494" t="str">
        <f>'Deal Sheet'!$M$12</f>
        <v>TGX-26-5406X4BLS-XLX</v>
      </c>
      <c r="E26" s="1494"/>
      <c r="F26" s="919" t="s">
        <v>660</v>
      </c>
      <c r="G26" s="891" t="str">
        <f>IF('Deal Sheet'!$G$61&lt;&gt;"",'Deal Sheet'!$G$61,"Not Specified")</f>
        <v>Longhaul</v>
      </c>
      <c r="H26" s="919" t="s">
        <v>659</v>
      </c>
      <c r="I26" s="891">
        <f>'Deal Sheet'!$C$39</f>
        <v>1</v>
      </c>
      <c r="J26" s="1067" t="s">
        <v>294</v>
      </c>
      <c r="K26" s="920" t="str">
        <f>'Deal Sheet'!$M$9</f>
        <v>Standard Warranty</v>
      </c>
      <c r="L26" s="901"/>
    </row>
    <row r="27" spans="2:81" ht="18.600000000000001" thickBot="1">
      <c r="B27" s="916"/>
      <c r="C27" s="910"/>
      <c r="D27" s="921"/>
      <c r="E27" s="922"/>
      <c r="F27" s="922"/>
      <c r="G27" s="922"/>
      <c r="H27" s="911"/>
      <c r="I27" s="911"/>
      <c r="J27" s="923"/>
      <c r="K27" s="924"/>
      <c r="L27" s="901"/>
    </row>
    <row r="28" spans="2:81" ht="18.600000000000001" thickBot="1">
      <c r="B28" s="890"/>
      <c r="C28" s="925"/>
      <c r="D28" s="892"/>
      <c r="E28" s="892"/>
      <c r="F28" s="892"/>
      <c r="G28" s="892"/>
      <c r="H28" s="892"/>
      <c r="I28" s="892"/>
      <c r="J28" s="892"/>
      <c r="K28" s="892"/>
      <c r="L28" s="901"/>
    </row>
    <row r="29" spans="2:81" ht="18.600000000000001" thickBot="1">
      <c r="B29" s="916"/>
      <c r="C29" s="1495" t="s">
        <v>310</v>
      </c>
      <c r="D29" s="1496"/>
      <c r="E29" s="1080" t="s">
        <v>594</v>
      </c>
      <c r="F29" s="926" t="s">
        <v>580</v>
      </c>
      <c r="G29" s="927" t="s">
        <v>600</v>
      </c>
      <c r="H29" s="1081" t="s">
        <v>581</v>
      </c>
      <c r="I29" s="928" t="s">
        <v>664</v>
      </c>
      <c r="J29" s="1495" t="s">
        <v>1173</v>
      </c>
      <c r="K29" s="1497"/>
      <c r="L29" s="901"/>
    </row>
    <row r="30" spans="2:81" ht="15" customHeight="1">
      <c r="B30" s="916"/>
      <c r="C30" s="1498"/>
      <c r="D30" s="1494"/>
      <c r="E30" s="929"/>
      <c r="F30" s="892"/>
      <c r="G30" s="892"/>
      <c r="H30" s="1075"/>
      <c r="I30" s="930"/>
      <c r="J30" s="1499"/>
      <c r="K30" s="1500"/>
      <c r="L30" s="901"/>
      <c r="CC30" s="903"/>
    </row>
    <row r="31" spans="2:81" ht="19.5" customHeight="1">
      <c r="B31" s="916"/>
      <c r="C31" s="1484" t="s">
        <v>2</v>
      </c>
      <c r="D31" s="1485"/>
      <c r="E31" s="1072">
        <f>'Deal Sheet'!D9</f>
        <v>2250000</v>
      </c>
      <c r="F31" s="931">
        <f>IF(C31&lt;&gt;"",1,"")</f>
        <v>1</v>
      </c>
      <c r="G31" s="930">
        <f>IF(E31&lt;&gt;"",(E31*F31),"")</f>
        <v>2250000</v>
      </c>
      <c r="H31" s="1075" t="str">
        <f>IF(E31&lt;&gt;"","Y","")</f>
        <v>Y</v>
      </c>
      <c r="I31" s="1072">
        <f>IF(H31="Y",(G31*14%),IF(E31="","",0))</f>
        <v>315000.00000000006</v>
      </c>
      <c r="J31" s="1486">
        <f>IFERROR((G31+I31),"")</f>
        <v>2565000</v>
      </c>
      <c r="K31" s="1487"/>
      <c r="L31" s="901"/>
    </row>
    <row r="32" spans="2:81">
      <c r="B32" s="916"/>
      <c r="C32" s="1484" t="s">
        <v>19</v>
      </c>
      <c r="D32" s="1485"/>
      <c r="E32" s="1072">
        <f>'Deal Sheet'!D9*'Deal Sheet'!L16</f>
        <v>0</v>
      </c>
      <c r="F32" s="931">
        <f t="shared" ref="F32:F34" si="0">IF(C32&lt;&gt;"",1,"")</f>
        <v>1</v>
      </c>
      <c r="G32" s="930">
        <f>IF(E32&lt;&gt;"",(E32*F32),"")</f>
        <v>0</v>
      </c>
      <c r="H32" s="1075"/>
      <c r="I32" s="1072"/>
      <c r="J32" s="1486">
        <f>IFERROR((G32+I32),"")</f>
        <v>0</v>
      </c>
      <c r="K32" s="1487"/>
      <c r="L32" s="901"/>
    </row>
    <row r="33" spans="2:12">
      <c r="B33" s="916"/>
      <c r="C33" s="1066" t="s">
        <v>687</v>
      </c>
      <c r="D33" s="1067"/>
      <c r="E33" s="1072">
        <f>'Deal Sheet'!$M$17/'Deal Sheet'!$C$39</f>
        <v>0</v>
      </c>
      <c r="F33" s="931">
        <f t="shared" si="0"/>
        <v>1</v>
      </c>
      <c r="G33" s="930">
        <f>IF(E33&lt;&gt;"",(E33*F33),"")</f>
        <v>0</v>
      </c>
      <c r="H33" s="1075"/>
      <c r="I33" s="1072"/>
      <c r="J33" s="1486">
        <f>IFERROR((G33+I33),"")</f>
        <v>0</v>
      </c>
      <c r="K33" s="1487"/>
      <c r="L33" s="901"/>
    </row>
    <row r="34" spans="2:12">
      <c r="B34" s="916"/>
      <c r="C34" s="1066" t="s">
        <v>587</v>
      </c>
      <c r="D34" s="1067"/>
      <c r="E34" s="1072">
        <f>E31-E32-E33</f>
        <v>2250000</v>
      </c>
      <c r="F34" s="931">
        <f t="shared" si="0"/>
        <v>1</v>
      </c>
      <c r="G34" s="930">
        <f>IF(E34&lt;&gt;"",(E34*F34),"")</f>
        <v>2250000</v>
      </c>
      <c r="H34" s="1075" t="str">
        <f>IF(E34&lt;&gt;"","Y","")</f>
        <v>Y</v>
      </c>
      <c r="I34" s="1072">
        <f>IF(H34="Y",(G34*14%),IF(E34="","",0))</f>
        <v>315000.00000000006</v>
      </c>
      <c r="J34" s="1486">
        <f>IFERROR((G34+I34),"")</f>
        <v>2565000</v>
      </c>
      <c r="K34" s="1487"/>
      <c r="L34" s="901"/>
    </row>
    <row r="35" spans="2:12">
      <c r="B35" s="916"/>
      <c r="C35" s="1501"/>
      <c r="D35" s="1502"/>
      <c r="E35" s="1082"/>
      <c r="F35" s="931"/>
      <c r="G35" s="892"/>
      <c r="H35" s="1075"/>
      <c r="I35" s="1072"/>
      <c r="J35" s="1486"/>
      <c r="K35" s="1487"/>
      <c r="L35" s="901"/>
    </row>
    <row r="36" spans="2:12" ht="24">
      <c r="B36" s="916"/>
      <c r="C36" s="1503" t="s">
        <v>430</v>
      </c>
      <c r="D36" s="1504"/>
      <c r="E36" s="1082"/>
      <c r="F36" s="931"/>
      <c r="G36" s="892"/>
      <c r="H36" s="1075"/>
      <c r="I36" s="1072" t="str">
        <f t="shared" ref="I36:I37" si="1">IF(H36="Y",(E36*14%),IF(E36="","",0))</f>
        <v/>
      </c>
      <c r="J36" s="1486"/>
      <c r="K36" s="1487"/>
      <c r="L36" s="901"/>
    </row>
    <row r="37" spans="2:12">
      <c r="B37" s="916"/>
      <c r="C37" s="1501"/>
      <c r="D37" s="1502"/>
      <c r="E37" s="1082"/>
      <c r="F37" s="931"/>
      <c r="G37" s="892"/>
      <c r="H37" s="1075"/>
      <c r="I37" s="1072" t="str">
        <f t="shared" si="1"/>
        <v/>
      </c>
      <c r="J37" s="1486"/>
      <c r="K37" s="1487"/>
      <c r="L37" s="901"/>
    </row>
    <row r="38" spans="2:12">
      <c r="B38" s="916"/>
      <c r="C38" s="1484" t="str">
        <f>IF('Deal Sheet'!I23="","",'Deal Sheet'!I23)</f>
        <v/>
      </c>
      <c r="D38" s="1485"/>
      <c r="E38" s="1072" t="str">
        <f>IF('Deal Sheet'!M23="","",'Deal Sheet'!M23)</f>
        <v/>
      </c>
      <c r="F38" s="931" t="str">
        <f t="shared" ref="F38:F52" si="2">IF(C38&lt;&gt;"",1,"")</f>
        <v/>
      </c>
      <c r="G38" s="930" t="str">
        <f>IF(E38&lt;&gt;"",(E38*F38),"")</f>
        <v/>
      </c>
      <c r="H38" s="1075" t="str">
        <f>IF(C38="","",IF(ISNUMBER(SEARCH("licens",C38)),"N","Y"))</f>
        <v/>
      </c>
      <c r="I38" s="1072" t="str">
        <f>IF(H38="Y",(G38*14%),IF(E38="","",0))</f>
        <v/>
      </c>
      <c r="J38" s="1486" t="str">
        <f t="shared" ref="J38:J52" si="3">IFERROR((G38+I38),"")</f>
        <v/>
      </c>
      <c r="K38" s="1487"/>
      <c r="L38" s="901"/>
    </row>
    <row r="39" spans="2:12">
      <c r="B39" s="916"/>
      <c r="C39" s="1484" t="str">
        <f>IF('Deal Sheet'!I24="","",'Deal Sheet'!I24)</f>
        <v/>
      </c>
      <c r="D39" s="1485"/>
      <c r="E39" s="1072" t="str">
        <f>IF('Deal Sheet'!M24="","",'Deal Sheet'!M24)</f>
        <v/>
      </c>
      <c r="F39" s="931" t="str">
        <f t="shared" si="2"/>
        <v/>
      </c>
      <c r="G39" s="930" t="str">
        <f t="shared" ref="G39:G52" si="4">IF(E39&lt;&gt;"",(E39*F39),"")</f>
        <v/>
      </c>
      <c r="H39" s="1075" t="str">
        <f t="shared" ref="H39:H52" si="5">IF(C39="","",IF(ISNUMBER(SEARCH("licens",C39)),"N","Y"))</f>
        <v/>
      </c>
      <c r="I39" s="1072" t="str">
        <f t="shared" ref="I39:I52" si="6">IF(H39="Y",(G39*14%),IF(E39="","",0))</f>
        <v/>
      </c>
      <c r="J39" s="1486" t="str">
        <f t="shared" si="3"/>
        <v/>
      </c>
      <c r="K39" s="1487"/>
      <c r="L39" s="901"/>
    </row>
    <row r="40" spans="2:12">
      <c r="B40" s="916"/>
      <c r="C40" s="1484" t="str">
        <f>IF('Deal Sheet'!I25="","",'Deal Sheet'!I25)</f>
        <v/>
      </c>
      <c r="D40" s="1485"/>
      <c r="E40" s="1072" t="str">
        <f>IF('Deal Sheet'!M25="","",'Deal Sheet'!M25)</f>
        <v/>
      </c>
      <c r="F40" s="931" t="str">
        <f t="shared" si="2"/>
        <v/>
      </c>
      <c r="G40" s="930" t="str">
        <f t="shared" si="4"/>
        <v/>
      </c>
      <c r="H40" s="1075" t="str">
        <f t="shared" si="5"/>
        <v/>
      </c>
      <c r="I40" s="1072" t="str">
        <f t="shared" si="6"/>
        <v/>
      </c>
      <c r="J40" s="1486" t="str">
        <f t="shared" si="3"/>
        <v/>
      </c>
      <c r="K40" s="1487"/>
      <c r="L40" s="901"/>
    </row>
    <row r="41" spans="2:12">
      <c r="B41" s="916"/>
      <c r="C41" s="1484" t="str">
        <f>IF('Deal Sheet'!I26="","",'Deal Sheet'!I26)</f>
        <v/>
      </c>
      <c r="D41" s="1485"/>
      <c r="E41" s="1072" t="str">
        <f>IF('Deal Sheet'!M26="","",'Deal Sheet'!M26)</f>
        <v/>
      </c>
      <c r="F41" s="931" t="str">
        <f t="shared" si="2"/>
        <v/>
      </c>
      <c r="G41" s="930" t="str">
        <f t="shared" si="4"/>
        <v/>
      </c>
      <c r="H41" s="1075" t="str">
        <f t="shared" si="5"/>
        <v/>
      </c>
      <c r="I41" s="1072" t="str">
        <f t="shared" si="6"/>
        <v/>
      </c>
      <c r="J41" s="1486" t="str">
        <f t="shared" si="3"/>
        <v/>
      </c>
      <c r="K41" s="1487"/>
      <c r="L41" s="901"/>
    </row>
    <row r="42" spans="2:12">
      <c r="B42" s="916"/>
      <c r="C42" s="1484" t="str">
        <f>IF('Deal Sheet'!I27="","",'Deal Sheet'!I27)</f>
        <v/>
      </c>
      <c r="D42" s="1485"/>
      <c r="E42" s="1072" t="str">
        <f>IF('Deal Sheet'!M27="","",'Deal Sheet'!M27)</f>
        <v/>
      </c>
      <c r="F42" s="931" t="str">
        <f t="shared" si="2"/>
        <v/>
      </c>
      <c r="G42" s="930" t="str">
        <f t="shared" si="4"/>
        <v/>
      </c>
      <c r="H42" s="1075" t="str">
        <f t="shared" si="5"/>
        <v/>
      </c>
      <c r="I42" s="1072" t="str">
        <f t="shared" si="6"/>
        <v/>
      </c>
      <c r="J42" s="1486" t="str">
        <f t="shared" si="3"/>
        <v/>
      </c>
      <c r="K42" s="1487"/>
      <c r="L42" s="901"/>
    </row>
    <row r="43" spans="2:12">
      <c r="B43" s="916"/>
      <c r="C43" s="1484" t="str">
        <f>IF('Deal Sheet'!I28="","",'Deal Sheet'!I28)</f>
        <v/>
      </c>
      <c r="D43" s="1485"/>
      <c r="E43" s="1072" t="str">
        <f>IF('Deal Sheet'!M28="","",'Deal Sheet'!M28)</f>
        <v/>
      </c>
      <c r="F43" s="931" t="str">
        <f t="shared" si="2"/>
        <v/>
      </c>
      <c r="G43" s="930" t="str">
        <f t="shared" si="4"/>
        <v/>
      </c>
      <c r="H43" s="1075" t="str">
        <f t="shared" si="5"/>
        <v/>
      </c>
      <c r="I43" s="1072" t="str">
        <f t="shared" si="6"/>
        <v/>
      </c>
      <c r="J43" s="1486" t="str">
        <f>IFERROR((G43+I43),"")</f>
        <v/>
      </c>
      <c r="K43" s="1487"/>
      <c r="L43" s="901"/>
    </row>
    <row r="44" spans="2:12">
      <c r="B44" s="916"/>
      <c r="C44" s="1484" t="str">
        <f>IF('Deal Sheet'!I29="","",'Deal Sheet'!I29)</f>
        <v/>
      </c>
      <c r="D44" s="1485"/>
      <c r="E44" s="1072" t="str">
        <f>IF('Deal Sheet'!M29="","",'Deal Sheet'!M29)</f>
        <v/>
      </c>
      <c r="F44" s="931" t="str">
        <f t="shared" si="2"/>
        <v/>
      </c>
      <c r="G44" s="930" t="str">
        <f t="shared" si="4"/>
        <v/>
      </c>
      <c r="H44" s="1075" t="str">
        <f t="shared" si="5"/>
        <v/>
      </c>
      <c r="I44" s="1072" t="str">
        <f t="shared" si="6"/>
        <v/>
      </c>
      <c r="J44" s="1486" t="str">
        <f t="shared" si="3"/>
        <v/>
      </c>
      <c r="K44" s="1487"/>
      <c r="L44" s="901"/>
    </row>
    <row r="45" spans="2:12">
      <c r="B45" s="916"/>
      <c r="C45" s="1484" t="str">
        <f>IF('Deal Sheet'!I30="","",'Deal Sheet'!I30)</f>
        <v/>
      </c>
      <c r="D45" s="1485"/>
      <c r="E45" s="1072" t="str">
        <f>IF('Deal Sheet'!M30="","",'Deal Sheet'!M30)</f>
        <v/>
      </c>
      <c r="F45" s="931" t="str">
        <f t="shared" si="2"/>
        <v/>
      </c>
      <c r="G45" s="930" t="str">
        <f t="shared" si="4"/>
        <v/>
      </c>
      <c r="H45" s="1075" t="str">
        <f t="shared" si="5"/>
        <v/>
      </c>
      <c r="I45" s="1072" t="str">
        <f t="shared" si="6"/>
        <v/>
      </c>
      <c r="J45" s="1486" t="str">
        <f t="shared" si="3"/>
        <v/>
      </c>
      <c r="K45" s="1487"/>
      <c r="L45" s="901"/>
    </row>
    <row r="46" spans="2:12">
      <c r="B46" s="916"/>
      <c r="C46" s="1484" t="str">
        <f>IF('Deal Sheet'!I31="","",'Deal Sheet'!I31)</f>
        <v/>
      </c>
      <c r="D46" s="1485"/>
      <c r="E46" s="1072" t="str">
        <f>IF('Deal Sheet'!M31="","",'Deal Sheet'!M31)</f>
        <v/>
      </c>
      <c r="F46" s="931" t="str">
        <f t="shared" si="2"/>
        <v/>
      </c>
      <c r="G46" s="930" t="str">
        <f t="shared" si="4"/>
        <v/>
      </c>
      <c r="H46" s="1075" t="str">
        <f t="shared" si="5"/>
        <v/>
      </c>
      <c r="I46" s="1072" t="str">
        <f t="shared" si="6"/>
        <v/>
      </c>
      <c r="J46" s="1486" t="str">
        <f t="shared" si="3"/>
        <v/>
      </c>
      <c r="K46" s="1487"/>
      <c r="L46" s="901"/>
    </row>
    <row r="47" spans="2:12">
      <c r="B47" s="916"/>
      <c r="C47" s="1484" t="str">
        <f>IF('Deal Sheet'!I32="","",'Deal Sheet'!I32)</f>
        <v/>
      </c>
      <c r="D47" s="1485"/>
      <c r="E47" s="1072" t="str">
        <f>IF('Deal Sheet'!M32="","",'Deal Sheet'!M32)</f>
        <v/>
      </c>
      <c r="F47" s="931" t="str">
        <f t="shared" si="2"/>
        <v/>
      </c>
      <c r="G47" s="930" t="str">
        <f t="shared" si="4"/>
        <v/>
      </c>
      <c r="H47" s="1075" t="str">
        <f t="shared" si="5"/>
        <v/>
      </c>
      <c r="I47" s="1072" t="str">
        <f t="shared" si="6"/>
        <v/>
      </c>
      <c r="J47" s="1486" t="str">
        <f t="shared" si="3"/>
        <v/>
      </c>
      <c r="K47" s="1487"/>
      <c r="L47" s="901"/>
    </row>
    <row r="48" spans="2:12">
      <c r="B48" s="916"/>
      <c r="C48" s="1484" t="str">
        <f>IF('Deal Sheet'!I33="","",'Deal Sheet'!I33)</f>
        <v/>
      </c>
      <c r="D48" s="1485"/>
      <c r="E48" s="1072" t="str">
        <f>IF('Deal Sheet'!M33="","",'Deal Sheet'!M33)</f>
        <v/>
      </c>
      <c r="F48" s="931" t="str">
        <f t="shared" si="2"/>
        <v/>
      </c>
      <c r="G48" s="930" t="str">
        <f t="shared" si="4"/>
        <v/>
      </c>
      <c r="H48" s="1075" t="str">
        <f t="shared" si="5"/>
        <v/>
      </c>
      <c r="I48" s="1072" t="str">
        <f t="shared" si="6"/>
        <v/>
      </c>
      <c r="J48" s="1486" t="str">
        <f t="shared" si="3"/>
        <v/>
      </c>
      <c r="K48" s="1487"/>
      <c r="L48" s="901"/>
    </row>
    <row r="49" spans="2:81">
      <c r="B49" s="916"/>
      <c r="C49" s="1484" t="str">
        <f>IF('Deal Sheet'!I34="","",'Deal Sheet'!I34)</f>
        <v/>
      </c>
      <c r="D49" s="1485"/>
      <c r="E49" s="1072" t="str">
        <f>IF('Deal Sheet'!M34="","",'Deal Sheet'!M34)</f>
        <v/>
      </c>
      <c r="F49" s="931" t="str">
        <f t="shared" si="2"/>
        <v/>
      </c>
      <c r="G49" s="930" t="str">
        <f t="shared" si="4"/>
        <v/>
      </c>
      <c r="H49" s="1075" t="str">
        <f t="shared" si="5"/>
        <v/>
      </c>
      <c r="I49" s="1072" t="str">
        <f t="shared" si="6"/>
        <v/>
      </c>
      <c r="J49" s="1486" t="str">
        <f t="shared" si="3"/>
        <v/>
      </c>
      <c r="K49" s="1487"/>
      <c r="L49" s="901"/>
    </row>
    <row r="50" spans="2:81">
      <c r="B50" s="916"/>
      <c r="C50" s="1484" t="str">
        <f>IF('Deal Sheet'!I35="","",'Deal Sheet'!I35)</f>
        <v/>
      </c>
      <c r="D50" s="1485"/>
      <c r="E50" s="1072" t="str">
        <f>IF('Deal Sheet'!M35="","",'Deal Sheet'!M35)</f>
        <v/>
      </c>
      <c r="F50" s="931" t="str">
        <f t="shared" si="2"/>
        <v/>
      </c>
      <c r="G50" s="930" t="str">
        <f t="shared" si="4"/>
        <v/>
      </c>
      <c r="H50" s="1075" t="str">
        <f t="shared" si="5"/>
        <v/>
      </c>
      <c r="I50" s="1072" t="str">
        <f t="shared" si="6"/>
        <v/>
      </c>
      <c r="J50" s="1486" t="str">
        <f t="shared" si="3"/>
        <v/>
      </c>
      <c r="K50" s="1487"/>
      <c r="L50" s="901"/>
    </row>
    <row r="51" spans="2:81">
      <c r="B51" s="916"/>
      <c r="C51" s="1484" t="str">
        <f>IF('Deal Sheet'!I36="","",'Deal Sheet'!I36)</f>
        <v/>
      </c>
      <c r="D51" s="1485"/>
      <c r="E51" s="1072" t="str">
        <f>IF('Deal Sheet'!M36="","",'Deal Sheet'!M36)</f>
        <v/>
      </c>
      <c r="F51" s="931" t="str">
        <f t="shared" si="2"/>
        <v/>
      </c>
      <c r="G51" s="930" t="str">
        <f t="shared" si="4"/>
        <v/>
      </c>
      <c r="H51" s="1075" t="str">
        <f t="shared" si="5"/>
        <v/>
      </c>
      <c r="I51" s="1072" t="str">
        <f t="shared" si="6"/>
        <v/>
      </c>
      <c r="J51" s="1486" t="str">
        <f t="shared" si="3"/>
        <v/>
      </c>
      <c r="K51" s="1487"/>
      <c r="L51" s="901"/>
    </row>
    <row r="52" spans="2:81">
      <c r="B52" s="916"/>
      <c r="C52" s="1484" t="str">
        <f>IF('Deal Sheet'!I37="","",'Deal Sheet'!I37)</f>
        <v/>
      </c>
      <c r="D52" s="1485"/>
      <c r="E52" s="1072" t="str">
        <f>IF('Deal Sheet'!M37="","",'Deal Sheet'!M37)</f>
        <v/>
      </c>
      <c r="F52" s="931" t="str">
        <f t="shared" si="2"/>
        <v/>
      </c>
      <c r="G52" s="930" t="str">
        <f t="shared" si="4"/>
        <v/>
      </c>
      <c r="H52" s="1075" t="str">
        <f t="shared" si="5"/>
        <v/>
      </c>
      <c r="I52" s="1072" t="str">
        <f t="shared" si="6"/>
        <v/>
      </c>
      <c r="J52" s="1486" t="str">
        <f t="shared" si="3"/>
        <v/>
      </c>
      <c r="K52" s="1487"/>
      <c r="L52" s="901"/>
    </row>
    <row r="53" spans="2:81" ht="14.5" customHeight="1" thickBot="1">
      <c r="B53" s="916"/>
      <c r="C53" s="1484"/>
      <c r="D53" s="1485"/>
      <c r="E53" s="1073"/>
      <c r="F53" s="931"/>
      <c r="G53" s="892"/>
      <c r="H53" s="932"/>
      <c r="I53" s="1072"/>
      <c r="J53" s="1505"/>
      <c r="K53" s="1506"/>
      <c r="L53" s="901"/>
      <c r="M53" s="933"/>
    </row>
    <row r="54" spans="2:81" ht="15" customHeight="1">
      <c r="B54" s="916"/>
      <c r="C54" s="1507" t="s">
        <v>1173</v>
      </c>
      <c r="D54" s="1508"/>
      <c r="E54" s="1511">
        <f>SUM(E34:E52)</f>
        <v>2250000</v>
      </c>
      <c r="F54" s="1513">
        <v>1</v>
      </c>
      <c r="G54" s="1515">
        <f>SUM(G34:G52)</f>
        <v>2250000</v>
      </c>
      <c r="H54" s="1517"/>
      <c r="I54" s="1519">
        <f>SUM(I34:I53)</f>
        <v>315000.00000000006</v>
      </c>
      <c r="J54" s="1521">
        <f>SUM(J34:K53)</f>
        <v>2565000</v>
      </c>
      <c r="K54" s="1522"/>
      <c r="L54" s="901"/>
      <c r="M54" s="934"/>
    </row>
    <row r="55" spans="2:81" ht="15" customHeight="1" thickBot="1">
      <c r="B55" s="916"/>
      <c r="C55" s="1509"/>
      <c r="D55" s="1510"/>
      <c r="E55" s="1512"/>
      <c r="F55" s="1514"/>
      <c r="G55" s="1516"/>
      <c r="H55" s="1518"/>
      <c r="I55" s="1520"/>
      <c r="J55" s="1523"/>
      <c r="K55" s="1524"/>
      <c r="L55" s="901"/>
      <c r="M55" s="934"/>
    </row>
    <row r="56" spans="2:81" ht="18.600000000000001" thickBot="1">
      <c r="B56" s="890"/>
      <c r="C56" s="935"/>
      <c r="D56" s="936"/>
      <c r="E56" s="937"/>
      <c r="F56" s="937"/>
      <c r="G56" s="936"/>
      <c r="H56" s="1076"/>
      <c r="I56" s="937"/>
      <c r="J56" s="937"/>
      <c r="K56" s="937"/>
      <c r="L56" s="901"/>
      <c r="M56" s="933"/>
    </row>
    <row r="57" spans="2:81">
      <c r="B57" s="916"/>
      <c r="C57" s="938" t="s">
        <v>1174</v>
      </c>
      <c r="D57" s="1069"/>
      <c r="E57" s="939"/>
      <c r="F57" s="939"/>
      <c r="G57" s="1069"/>
      <c r="H57" s="940"/>
      <c r="I57" s="939"/>
      <c r="J57" s="939"/>
      <c r="K57" s="941"/>
      <c r="L57" s="901"/>
    </row>
    <row r="58" spans="2:81" ht="18.600000000000001" thickBot="1">
      <c r="B58" s="916"/>
      <c r="C58" s="942"/>
      <c r="D58" s="943"/>
      <c r="E58" s="937"/>
      <c r="F58" s="937"/>
      <c r="G58" s="1076"/>
      <c r="H58" s="1076"/>
      <c r="I58" s="937"/>
      <c r="J58" s="937"/>
      <c r="K58" s="944"/>
      <c r="L58" s="901"/>
      <c r="CC58" s="903"/>
    </row>
    <row r="59" spans="2:81" ht="18.600000000000001" thickBot="1">
      <c r="B59" s="916"/>
      <c r="C59" s="1525" t="s">
        <v>1175</v>
      </c>
      <c r="D59" s="1526"/>
      <c r="E59" s="1526"/>
      <c r="F59" s="1527"/>
      <c r="G59" s="1076"/>
      <c r="H59" s="1525" t="s">
        <v>1176</v>
      </c>
      <c r="I59" s="1526"/>
      <c r="J59" s="1526"/>
      <c r="K59" s="1527"/>
      <c r="L59" s="901"/>
    </row>
    <row r="60" spans="2:81">
      <c r="B60" s="916"/>
      <c r="C60" s="886"/>
      <c r="D60" s="887"/>
      <c r="E60" s="887"/>
      <c r="F60" s="889"/>
      <c r="G60" s="1076"/>
      <c r="H60" s="886"/>
      <c r="I60" s="887"/>
      <c r="J60" s="887"/>
      <c r="K60" s="889"/>
      <c r="L60" s="901"/>
    </row>
    <row r="61" spans="2:81">
      <c r="B61" s="916"/>
      <c r="C61" s="1484" t="s">
        <v>1177</v>
      </c>
      <c r="D61" s="1485"/>
      <c r="E61" s="919"/>
      <c r="F61" s="945" t="str">
        <f>'Deal Sheet'!D70</f>
        <v>12 MONTHS</v>
      </c>
      <c r="G61" s="1076"/>
      <c r="H61" s="1484" t="s">
        <v>1177</v>
      </c>
      <c r="I61" s="1485"/>
      <c r="J61" s="919"/>
      <c r="K61" s="946" t="str">
        <f>'Deal Sheet'!E70</f>
        <v>36 MONTHS</v>
      </c>
      <c r="L61" s="901"/>
    </row>
    <row r="62" spans="2:81">
      <c r="B62" s="916"/>
      <c r="C62" s="1484" t="s">
        <v>1207</v>
      </c>
      <c r="D62" s="1485"/>
      <c r="E62" s="947" t="str">
        <f>IF(F61="Combination","Entire Vehicle","")</f>
        <v/>
      </c>
      <c r="F62" s="945" t="str">
        <f>'Deal Sheet'!D71</f>
        <v>UNLIMITED</v>
      </c>
      <c r="G62" s="1076"/>
      <c r="H62" s="1484" t="s">
        <v>1207</v>
      </c>
      <c r="I62" s="1485"/>
      <c r="J62" s="947" t="str">
        <f>IF(K61="Combination","Entire Vehicle","")</f>
        <v/>
      </c>
      <c r="K62" s="945" t="str">
        <f>'Deal Sheet'!E71</f>
        <v>450 000 KM</v>
      </c>
      <c r="L62" s="901"/>
    </row>
    <row r="63" spans="2:81" ht="18.600000000000001" thickBot="1">
      <c r="B63" s="916"/>
      <c r="C63" s="1528"/>
      <c r="D63" s="1529"/>
      <c r="E63" s="948" t="str">
        <f>IF(F61="Combination","Driveline","")</f>
        <v/>
      </c>
      <c r="F63" s="949"/>
      <c r="G63" s="1076"/>
      <c r="H63" s="1528"/>
      <c r="I63" s="1529"/>
      <c r="J63" s="948" t="str">
        <f>IF(K61="Combination","Driveline","")</f>
        <v/>
      </c>
      <c r="K63" s="949"/>
      <c r="L63" s="901"/>
    </row>
    <row r="64" spans="2:81" ht="18.600000000000001" thickBot="1">
      <c r="B64" s="916"/>
      <c r="C64" s="1070"/>
      <c r="D64" s="1071"/>
      <c r="E64" s="950"/>
      <c r="F64" s="950"/>
      <c r="G64" s="951"/>
      <c r="H64" s="951"/>
      <c r="I64" s="950"/>
      <c r="J64" s="950"/>
      <c r="K64" s="952"/>
      <c r="L64" s="901"/>
    </row>
    <row r="65" spans="2:12" ht="18.600000000000001" thickBot="1">
      <c r="B65" s="890"/>
      <c r="C65" s="936"/>
      <c r="D65" s="936"/>
      <c r="E65" s="937"/>
      <c r="F65" s="937"/>
      <c r="G65" s="1076"/>
      <c r="H65" s="1076"/>
      <c r="I65" s="937"/>
      <c r="J65" s="937"/>
      <c r="K65" s="937"/>
      <c r="L65" s="901"/>
    </row>
    <row r="66" spans="2:12">
      <c r="B66" s="890"/>
      <c r="C66" s="953" t="s">
        <v>582</v>
      </c>
      <c r="D66" s="1069"/>
      <c r="E66" s="939"/>
      <c r="F66" s="939"/>
      <c r="G66" s="940"/>
      <c r="H66" s="940"/>
      <c r="I66" s="939"/>
      <c r="J66" s="939"/>
      <c r="K66" s="941"/>
      <c r="L66" s="901"/>
    </row>
    <row r="67" spans="2:12" ht="18.600000000000001" thickBot="1">
      <c r="B67" s="890"/>
      <c r="C67" s="954" t="s">
        <v>598</v>
      </c>
      <c r="D67" s="911"/>
      <c r="E67" s="955" t="str">
        <f>IF('Deal Sheet'!E43&lt;&gt;"",'Deal Sheet'!E43,"N/A")</f>
        <v>N/A</v>
      </c>
      <c r="F67" s="911"/>
      <c r="G67" s="911"/>
      <c r="H67" s="1068" t="s">
        <v>603</v>
      </c>
      <c r="I67" s="1068"/>
      <c r="J67" s="911"/>
      <c r="K67" s="1074">
        <f>IF('Deal Sheet'!G43&lt;&gt;"",'Deal Sheet'!G43,0)</f>
        <v>0</v>
      </c>
      <c r="L67" s="901"/>
    </row>
    <row r="68" spans="2:12" ht="18.600000000000001" thickBot="1">
      <c r="B68" s="890"/>
      <c r="C68" s="1071"/>
      <c r="D68" s="936"/>
      <c r="E68" s="937"/>
      <c r="F68" s="937"/>
      <c r="G68" s="1076"/>
      <c r="H68" s="1076"/>
      <c r="I68" s="937"/>
      <c r="J68" s="937"/>
      <c r="K68" s="937"/>
      <c r="L68" s="901"/>
    </row>
    <row r="69" spans="2:12" ht="18.600000000000001" thickBot="1">
      <c r="B69" s="890"/>
      <c r="C69" s="886"/>
      <c r="D69" s="887"/>
      <c r="E69" s="887"/>
      <c r="F69" s="887"/>
      <c r="G69" s="887"/>
      <c r="H69" s="887"/>
      <c r="I69" s="887"/>
      <c r="J69" s="887"/>
      <c r="K69" s="889"/>
      <c r="L69" s="901"/>
    </row>
    <row r="70" spans="2:12">
      <c r="B70" s="890"/>
      <c r="C70" s="956" t="s">
        <v>1178</v>
      </c>
      <c r="D70" s="957"/>
      <c r="E70" s="957"/>
      <c r="F70" s="958"/>
      <c r="G70" s="957"/>
      <c r="H70" s="957"/>
      <c r="I70" s="957"/>
      <c r="J70" s="957"/>
      <c r="K70" s="959"/>
      <c r="L70" s="901"/>
    </row>
    <row r="71" spans="2:12" ht="18.600000000000001" thickBot="1">
      <c r="B71" s="890"/>
      <c r="C71" s="890"/>
      <c r="D71" s="892"/>
      <c r="E71" s="892"/>
      <c r="F71" s="892"/>
      <c r="G71" s="892"/>
      <c r="H71" s="892"/>
      <c r="I71" s="892"/>
      <c r="J71" s="892"/>
      <c r="K71" s="901"/>
      <c r="L71" s="901"/>
    </row>
    <row r="72" spans="2:12" ht="18.600000000000001" thickBot="1">
      <c r="B72" s="890"/>
      <c r="C72" s="1525" t="s">
        <v>599</v>
      </c>
      <c r="D72" s="1526"/>
      <c r="E72" s="1526"/>
      <c r="F72" s="1527"/>
      <c r="G72" s="892"/>
      <c r="H72" s="1530" t="str">
        <f>IF('[4]Deal Sheet'!C47="None","Trade Back Details",'[4]Deal Sheet'!C47&amp;" "&amp;"Details")</f>
        <v>Trade Back Details</v>
      </c>
      <c r="I72" s="1531"/>
      <c r="J72" s="1531"/>
      <c r="K72" s="1532"/>
      <c r="L72" s="901"/>
    </row>
    <row r="73" spans="2:12">
      <c r="B73" s="890"/>
      <c r="C73" s="886"/>
      <c r="D73" s="887"/>
      <c r="E73" s="887"/>
      <c r="F73" s="889"/>
      <c r="G73" s="892"/>
      <c r="H73" s="886" t="s">
        <v>601</v>
      </c>
      <c r="I73" s="887"/>
      <c r="J73" s="887"/>
      <c r="K73" s="960">
        <f>'Deal Sheet'!G46</f>
        <v>0</v>
      </c>
      <c r="L73" s="901"/>
    </row>
    <row r="74" spans="2:12">
      <c r="B74" s="890"/>
      <c r="C74" s="890" t="s">
        <v>586</v>
      </c>
      <c r="D74" s="892"/>
      <c r="E74" s="892"/>
      <c r="F74" s="946" t="str">
        <f>'ServiceCare Form'!D24</f>
        <v>3-Month ServiceCare® Trial</v>
      </c>
      <c r="G74" s="892"/>
      <c r="H74" s="1066" t="s">
        <v>584</v>
      </c>
      <c r="I74" s="1067"/>
      <c r="J74" s="919"/>
      <c r="K74" s="946" t="str">
        <f>IF('Deal Sheet'!E47&lt;&gt;"",'Deal Sheet'!E47,"")</f>
        <v/>
      </c>
      <c r="L74" s="901"/>
    </row>
    <row r="75" spans="2:12">
      <c r="B75" s="890"/>
      <c r="C75" s="890" t="s">
        <v>584</v>
      </c>
      <c r="D75" s="892"/>
      <c r="E75" s="892"/>
      <c r="F75" s="946" t="str">
        <f>'ServiceCare Form'!D20</f>
        <v>3 Months Trial</v>
      </c>
      <c r="G75" s="892"/>
      <c r="H75" s="1066" t="s">
        <v>1208</v>
      </c>
      <c r="I75" s="1067"/>
      <c r="J75" s="919"/>
      <c r="K75" s="946" t="str">
        <f>IF([0]!STM&lt;&gt;"",[0]!STM,"")</f>
        <v/>
      </c>
      <c r="L75" s="901"/>
    </row>
    <row r="76" spans="2:12" ht="18.600000000000001" thickBot="1">
      <c r="B76" s="890"/>
      <c r="C76" s="910"/>
      <c r="D76" s="911"/>
      <c r="E76" s="911"/>
      <c r="F76" s="1074"/>
      <c r="G76" s="892"/>
      <c r="H76" s="910" t="s">
        <v>1162</v>
      </c>
      <c r="I76" s="911"/>
      <c r="J76" s="911"/>
      <c r="K76" s="961" t="str">
        <f>IF('Deal Sheet'!D46="None","",IF(AND('Deal Sheet'!D46&lt;&gt;"None",'Deal Sheet'!G48=0),'Deal Sheet'!$G50,'Deal Sheet'!G48))</f>
        <v/>
      </c>
      <c r="L76" s="901"/>
    </row>
    <row r="77" spans="2:12" ht="18.600000000000001" thickBot="1">
      <c r="B77" s="890"/>
      <c r="C77" s="890"/>
      <c r="D77" s="892"/>
      <c r="E77" s="892"/>
      <c r="F77" s="892"/>
      <c r="G77" s="892"/>
      <c r="H77" s="892"/>
      <c r="I77" s="892"/>
      <c r="J77" s="892"/>
      <c r="K77" s="901"/>
      <c r="L77" s="901"/>
    </row>
    <row r="78" spans="2:12" ht="18.600000000000001" thickBot="1">
      <c r="B78" s="890"/>
      <c r="C78" s="1525" t="s">
        <v>585</v>
      </c>
      <c r="D78" s="1526"/>
      <c r="E78" s="1526"/>
      <c r="F78" s="1527"/>
      <c r="G78" s="892"/>
      <c r="H78" s="1525" t="s">
        <v>655</v>
      </c>
      <c r="I78" s="1526"/>
      <c r="J78" s="1526"/>
      <c r="K78" s="1527"/>
      <c r="L78" s="901"/>
    </row>
    <row r="79" spans="2:12">
      <c r="B79" s="890"/>
      <c r="C79" s="1066" t="s">
        <v>586</v>
      </c>
      <c r="D79" s="1067"/>
      <c r="E79" s="892"/>
      <c r="F79" s="946" t="str">
        <f>'Deal Sheet'!RM</f>
        <v>None</v>
      </c>
      <c r="G79" s="892"/>
      <c r="H79" s="886"/>
      <c r="I79" s="887"/>
      <c r="J79" s="887"/>
      <c r="K79" s="889"/>
      <c r="L79" s="901"/>
    </row>
    <row r="80" spans="2:12">
      <c r="B80" s="890"/>
      <c r="C80" s="1066" t="s">
        <v>584</v>
      </c>
      <c r="D80" s="1067"/>
      <c r="E80" s="892"/>
      <c r="F80" s="946" t="str">
        <f>IF([0]!RMP="","",[0]!RMP)</f>
        <v/>
      </c>
      <c r="G80" s="892"/>
      <c r="H80" s="1484" t="s">
        <v>45</v>
      </c>
      <c r="I80" s="1485"/>
      <c r="J80" s="919"/>
      <c r="K80" s="946" t="str">
        <f>'Deal Sheet'!F63</f>
        <v>None</v>
      </c>
      <c r="L80" s="901"/>
    </row>
    <row r="81" spans="2:12">
      <c r="B81" s="890"/>
      <c r="C81" s="1484" t="s">
        <v>1209</v>
      </c>
      <c r="D81" s="1485"/>
      <c r="E81" s="892"/>
      <c r="F81" s="946" t="str">
        <f>IF([0]!RMM="","",[0]!RMM)</f>
        <v/>
      </c>
      <c r="G81" s="892"/>
      <c r="H81" s="1484" t="str">
        <f>IF(K81="","","Term &amp; Mileage")</f>
        <v/>
      </c>
      <c r="I81" s="1485"/>
      <c r="J81" s="947" t="str">
        <f>IF(K80="Combination","Entire Vehicle","")</f>
        <v/>
      </c>
      <c r="K81" s="945" t="str">
        <f>IF(OR('Deal Sheet'!F63="Entire Vehicle",'Deal Sheet'!F63="Combination"),'Deal Sheet'!D65&amp;" / "&amp;'Deal Sheet'!D66,"")</f>
        <v/>
      </c>
      <c r="L81" s="901"/>
    </row>
    <row r="82" spans="2:12" ht="21.75" customHeight="1" thickBot="1">
      <c r="B82" s="890"/>
      <c r="C82" s="910" t="s">
        <v>1210</v>
      </c>
      <c r="D82" s="911"/>
      <c r="E82" s="911"/>
      <c r="F82" s="1008" t="str">
        <f>IFERROR(IF(AND('Deal Sheet'!F53&lt;&gt;"None",'Deal Sheet'!G57&lt;&gt;0),('Deal Sheet'!G57/'Deal Sheet'!N55),IF(AND('Deal Sheet'!F53&lt;&gt;"None",'Deal Sheet'!F55&lt;&gt;0),('Deal Sheet'!F55/'Deal Sheet'!N55),('Deal Sheet'!G57/'Deal Sheet'!N55))),"")</f>
        <v/>
      </c>
      <c r="G82" s="911"/>
      <c r="H82" s="1528" t="str">
        <f>IF(K82="","","Term &amp; Mileage")</f>
        <v/>
      </c>
      <c r="I82" s="1529"/>
      <c r="J82" s="948" t="str">
        <f>IF(K80="Combination","Driveline","")</f>
        <v/>
      </c>
      <c r="K82" s="949" t="str">
        <f>IF(OR('Deal Sheet'!F63="Driveline",'Deal Sheet'!F63="Combination"),'Deal Sheet'!E65&amp;" / "&amp;'Deal Sheet'!E66,"")</f>
        <v/>
      </c>
      <c r="L82" s="901"/>
    </row>
    <row r="83" spans="2:12" ht="18.600000000000001" thickBot="1">
      <c r="B83" s="890"/>
      <c r="C83" s="892"/>
      <c r="D83" s="892"/>
      <c r="E83" s="892"/>
      <c r="F83" s="892"/>
      <c r="G83" s="892"/>
      <c r="H83" s="892"/>
      <c r="I83" s="892"/>
      <c r="J83" s="892"/>
      <c r="K83" s="892"/>
      <c r="L83" s="901"/>
    </row>
    <row r="84" spans="2:12">
      <c r="B84" s="890"/>
      <c r="C84" s="953" t="s">
        <v>1179</v>
      </c>
      <c r="D84" s="962"/>
      <c r="E84" s="962"/>
      <c r="F84" s="963"/>
      <c r="G84" s="963"/>
      <c r="H84" s="963"/>
      <c r="I84" s="963"/>
      <c r="J84" s="963"/>
      <c r="K84" s="964"/>
      <c r="L84" s="901"/>
    </row>
    <row r="85" spans="2:12" ht="21.75" customHeight="1">
      <c r="B85" s="890"/>
      <c r="C85" s="890" t="s">
        <v>1180</v>
      </c>
      <c r="D85" s="892"/>
      <c r="E85" s="1076"/>
      <c r="F85" s="892"/>
      <c r="G85" s="965"/>
      <c r="H85" s="965"/>
      <c r="I85" s="965"/>
      <c r="J85" s="965"/>
      <c r="K85" s="966"/>
      <c r="L85" s="901"/>
    </row>
    <row r="86" spans="2:12" s="969" customFormat="1" ht="18.75" customHeight="1">
      <c r="B86" s="967"/>
      <c r="C86" s="1542" t="s">
        <v>1181</v>
      </c>
      <c r="D86" s="1543"/>
      <c r="E86" s="1543"/>
      <c r="F86" s="1543"/>
      <c r="G86" s="1543"/>
      <c r="H86" s="1543"/>
      <c r="I86" s="1543"/>
      <c r="J86" s="1543"/>
      <c r="K86" s="1544"/>
      <c r="L86" s="968"/>
    </row>
    <row r="87" spans="2:12" ht="15.75" customHeight="1">
      <c r="B87" s="890"/>
      <c r="C87" s="890" t="s">
        <v>1182</v>
      </c>
      <c r="D87" s="892"/>
      <c r="E87" s="892" t="str">
        <f>IF('[5]Data Sheet'!I54="","",'[5]Data Sheet'!I54)</f>
        <v/>
      </c>
      <c r="F87" s="892"/>
      <c r="G87" s="965"/>
      <c r="H87" s="965"/>
      <c r="I87" s="965"/>
      <c r="J87" s="965" t="str">
        <f>IF('[5]Data Sheet'!AW18="","",'[5]Data Sheet'!AW18)</f>
        <v/>
      </c>
      <c r="K87" s="966"/>
      <c r="L87" s="901"/>
    </row>
    <row r="88" spans="2:12" ht="18.75" customHeight="1">
      <c r="B88" s="890"/>
      <c r="C88" s="1545" t="s">
        <v>1183</v>
      </c>
      <c r="D88" s="1546"/>
      <c r="E88" s="1546"/>
      <c r="F88" s="1546"/>
      <c r="G88" s="1546"/>
      <c r="H88" s="1546"/>
      <c r="I88" s="1546"/>
      <c r="J88" s="1546"/>
      <c r="K88" s="1547"/>
      <c r="L88" s="901"/>
    </row>
    <row r="89" spans="2:12" ht="14.5" customHeight="1">
      <c r="B89" s="890"/>
      <c r="C89" s="890" t="s">
        <v>1184</v>
      </c>
      <c r="D89" s="892"/>
      <c r="E89" s="892"/>
      <c r="F89" s="892"/>
      <c r="G89" s="965"/>
      <c r="H89" s="965"/>
      <c r="I89" s="965"/>
      <c r="J89" s="965"/>
      <c r="K89" s="966"/>
      <c r="L89" s="901"/>
    </row>
    <row r="90" spans="2:12" ht="14.5" customHeight="1">
      <c r="B90" s="890"/>
      <c r="C90" s="1533" t="s">
        <v>1185</v>
      </c>
      <c r="D90" s="1534"/>
      <c r="E90" s="1534"/>
      <c r="F90" s="1534"/>
      <c r="G90" s="1534"/>
      <c r="H90" s="1534"/>
      <c r="I90" s="1534"/>
      <c r="J90" s="1534"/>
      <c r="K90" s="1535"/>
      <c r="L90" s="901"/>
    </row>
    <row r="91" spans="2:12">
      <c r="B91" s="890"/>
      <c r="C91" s="1533"/>
      <c r="D91" s="1534"/>
      <c r="E91" s="1534"/>
      <c r="F91" s="1534"/>
      <c r="G91" s="1534"/>
      <c r="H91" s="1534"/>
      <c r="I91" s="1534"/>
      <c r="J91" s="1534"/>
      <c r="K91" s="1535"/>
      <c r="L91" s="901"/>
    </row>
    <row r="92" spans="2:12">
      <c r="B92" s="890"/>
      <c r="C92" s="970" t="s">
        <v>47</v>
      </c>
      <c r="D92" s="971"/>
      <c r="E92" s="892"/>
      <c r="F92" s="892"/>
      <c r="G92" s="892"/>
      <c r="H92" s="892"/>
      <c r="I92" s="892"/>
      <c r="J92" s="892"/>
      <c r="K92" s="901"/>
      <c r="L92" s="901"/>
    </row>
    <row r="93" spans="2:12" ht="18.75" customHeight="1">
      <c r="B93" s="890"/>
      <c r="C93" s="1536" t="s">
        <v>1186</v>
      </c>
      <c r="D93" s="1537"/>
      <c r="E93" s="1537"/>
      <c r="F93" s="1537"/>
      <c r="G93" s="1537"/>
      <c r="H93" s="1537"/>
      <c r="I93" s="1537"/>
      <c r="J93" s="1537"/>
      <c r="K93" s="1538"/>
      <c r="L93" s="901"/>
    </row>
    <row r="94" spans="2:12" ht="22.9" customHeight="1">
      <c r="B94" s="890"/>
      <c r="C94" s="1536"/>
      <c r="D94" s="1537"/>
      <c r="E94" s="1537"/>
      <c r="F94" s="1537"/>
      <c r="G94" s="1537"/>
      <c r="H94" s="1537"/>
      <c r="I94" s="1537"/>
      <c r="J94" s="1537"/>
      <c r="K94" s="1538"/>
      <c r="L94" s="901"/>
    </row>
    <row r="95" spans="2:12" ht="13.15" customHeight="1">
      <c r="B95" s="890"/>
      <c r="C95" s="1536"/>
      <c r="D95" s="1537"/>
      <c r="E95" s="1537"/>
      <c r="F95" s="1537"/>
      <c r="G95" s="1537"/>
      <c r="H95" s="1537"/>
      <c r="I95" s="1537"/>
      <c r="J95" s="1537"/>
      <c r="K95" s="1538"/>
      <c r="L95" s="901"/>
    </row>
    <row r="96" spans="2:12" ht="23.25" customHeight="1">
      <c r="B96" s="890"/>
      <c r="C96" s="1536"/>
      <c r="D96" s="1537"/>
      <c r="E96" s="1537"/>
      <c r="F96" s="1537"/>
      <c r="G96" s="1537"/>
      <c r="H96" s="1537"/>
      <c r="I96" s="1537"/>
      <c r="J96" s="1537"/>
      <c r="K96" s="1538"/>
      <c r="L96" s="901"/>
    </row>
    <row r="97" spans="2:12" ht="14.5" customHeight="1">
      <c r="B97" s="890"/>
      <c r="C97" s="972" t="s">
        <v>1187</v>
      </c>
      <c r="D97" s="1078"/>
      <c r="E97" s="1078"/>
      <c r="F97" s="1078"/>
      <c r="G97" s="1078"/>
      <c r="H97" s="1078"/>
      <c r="I97" s="1078"/>
      <c r="J97" s="1078"/>
      <c r="K97" s="973"/>
      <c r="L97" s="901"/>
    </row>
    <row r="98" spans="2:12" ht="13.9" customHeight="1">
      <c r="B98" s="890"/>
      <c r="C98" s="1536" t="s">
        <v>1188</v>
      </c>
      <c r="D98" s="1537"/>
      <c r="E98" s="1537"/>
      <c r="F98" s="1537"/>
      <c r="G98" s="1537"/>
      <c r="H98" s="1537"/>
      <c r="I98" s="1537"/>
      <c r="J98" s="1537"/>
      <c r="K98" s="1538"/>
      <c r="L98" s="901"/>
    </row>
    <row r="99" spans="2:12" ht="14.5" customHeight="1">
      <c r="B99" s="890"/>
      <c r="C99" s="1536"/>
      <c r="D99" s="1537"/>
      <c r="E99" s="1537"/>
      <c r="F99" s="1537"/>
      <c r="G99" s="1537"/>
      <c r="H99" s="1537"/>
      <c r="I99" s="1537"/>
      <c r="J99" s="1537"/>
      <c r="K99" s="1538"/>
      <c r="L99" s="901"/>
    </row>
    <row r="100" spans="2:12" ht="15" customHeight="1" thickBot="1">
      <c r="B100" s="890"/>
      <c r="C100" s="1539"/>
      <c r="D100" s="1540"/>
      <c r="E100" s="1540"/>
      <c r="F100" s="1540"/>
      <c r="G100" s="1540"/>
      <c r="H100" s="1540"/>
      <c r="I100" s="1540"/>
      <c r="J100" s="1540"/>
      <c r="K100" s="1541"/>
      <c r="L100" s="901"/>
    </row>
    <row r="101" spans="2:12" ht="2.5" customHeight="1">
      <c r="B101" s="890"/>
      <c r="C101" s="892"/>
      <c r="D101" s="892"/>
      <c r="E101" s="892"/>
      <c r="F101" s="892"/>
      <c r="G101" s="892"/>
      <c r="H101" s="892"/>
      <c r="I101" s="892"/>
      <c r="J101" s="892"/>
      <c r="K101" s="892"/>
      <c r="L101" s="901"/>
    </row>
    <row r="102" spans="2:12" ht="18.600000000000001" thickBot="1">
      <c r="B102" s="910"/>
      <c r="C102" s="911"/>
      <c r="D102" s="911"/>
      <c r="E102" s="911"/>
      <c r="F102" s="911"/>
      <c r="G102" s="911"/>
      <c r="H102" s="911"/>
      <c r="I102" s="911"/>
      <c r="J102" s="911"/>
      <c r="K102" s="911"/>
      <c r="L102" s="924"/>
    </row>
    <row r="103" spans="2:12">
      <c r="C103" s="892"/>
      <c r="D103" s="892"/>
      <c r="E103" s="892"/>
      <c r="F103" s="892"/>
      <c r="G103" s="892"/>
      <c r="H103" s="892"/>
      <c r="I103" s="892"/>
      <c r="J103" s="892"/>
      <c r="K103" s="892"/>
      <c r="L103" s="892"/>
    </row>
    <row r="104" spans="2:12">
      <c r="C104" s="892"/>
      <c r="D104" s="892"/>
      <c r="E104" s="892"/>
      <c r="F104" s="892"/>
      <c r="G104" s="892"/>
      <c r="H104" s="892"/>
      <c r="I104" s="892"/>
      <c r="J104" s="892"/>
      <c r="K104" s="892"/>
      <c r="L104" s="892"/>
    </row>
  </sheetData>
  <sheetProtection algorithmName="SHA-512" hashValue="yXGWf7NYBE0tkkaBS/7UXrqEn0EnmlPooohU2GOpL78UgdVSFwA2G3qF09Sk3O1s8co9R2iQLuBT93lNIIpuGQ==" saltValue="gbctdNhFp7f8JMED+ducUQ==" spinCount="100000" sheet="1" objects="1" scenarios="1"/>
  <mergeCells count="82">
    <mergeCell ref="C90:K91"/>
    <mergeCell ref="C93:K96"/>
    <mergeCell ref="C98:K100"/>
    <mergeCell ref="H80:I80"/>
    <mergeCell ref="C81:D81"/>
    <mergeCell ref="H81:I81"/>
    <mergeCell ref="H82:I82"/>
    <mergeCell ref="C86:K86"/>
    <mergeCell ref="C88:K88"/>
    <mergeCell ref="C63:D63"/>
    <mergeCell ref="H63:I63"/>
    <mergeCell ref="C72:F72"/>
    <mergeCell ref="H72:K72"/>
    <mergeCell ref="C78:F78"/>
    <mergeCell ref="H78:K78"/>
    <mergeCell ref="J54:K55"/>
    <mergeCell ref="C59:F59"/>
    <mergeCell ref="H59:K59"/>
    <mergeCell ref="C61:D61"/>
    <mergeCell ref="H61:I61"/>
    <mergeCell ref="C62:D62"/>
    <mergeCell ref="H62:I62"/>
    <mergeCell ref="C54:D55"/>
    <mergeCell ref="E54:E55"/>
    <mergeCell ref="F54:F55"/>
    <mergeCell ref="G54:G55"/>
    <mergeCell ref="H54:H55"/>
    <mergeCell ref="I54:I55"/>
    <mergeCell ref="C51:D51"/>
    <mergeCell ref="J51:K51"/>
    <mergeCell ref="C52:D52"/>
    <mergeCell ref="J52:K52"/>
    <mergeCell ref="C53:D53"/>
    <mergeCell ref="J53:K53"/>
    <mergeCell ref="C48:D48"/>
    <mergeCell ref="J48:K48"/>
    <mergeCell ref="C49:D49"/>
    <mergeCell ref="J49:K49"/>
    <mergeCell ref="C50:D50"/>
    <mergeCell ref="J50:K50"/>
    <mergeCell ref="C45:D45"/>
    <mergeCell ref="J45:K45"/>
    <mergeCell ref="C46:D46"/>
    <mergeCell ref="J46:K46"/>
    <mergeCell ref="C47:D47"/>
    <mergeCell ref="J47:K47"/>
    <mergeCell ref="C42:D42"/>
    <mergeCell ref="J42:K42"/>
    <mergeCell ref="C43:D43"/>
    <mergeCell ref="J43:K43"/>
    <mergeCell ref="C44:D44"/>
    <mergeCell ref="J44:K44"/>
    <mergeCell ref="C39:D39"/>
    <mergeCell ref="J39:K39"/>
    <mergeCell ref="C40:D40"/>
    <mergeCell ref="J40:K40"/>
    <mergeCell ref="C41:D41"/>
    <mergeCell ref="J41:K41"/>
    <mergeCell ref="C36:D36"/>
    <mergeCell ref="J36:K36"/>
    <mergeCell ref="C37:D37"/>
    <mergeCell ref="J37:K37"/>
    <mergeCell ref="C38:D38"/>
    <mergeCell ref="J38:K38"/>
    <mergeCell ref="C32:D32"/>
    <mergeCell ref="J32:K32"/>
    <mergeCell ref="J33:K33"/>
    <mergeCell ref="J34:K34"/>
    <mergeCell ref="C35:D35"/>
    <mergeCell ref="J35:K35"/>
    <mergeCell ref="C31:D31"/>
    <mergeCell ref="J31:K31"/>
    <mergeCell ref="G3:G6"/>
    <mergeCell ref="D17:I17"/>
    <mergeCell ref="G19:H21"/>
    <mergeCell ref="D20:E20"/>
    <mergeCell ref="C23:K23"/>
    <mergeCell ref="D26:E26"/>
    <mergeCell ref="C29:D29"/>
    <mergeCell ref="J29:K29"/>
    <mergeCell ref="C30:D30"/>
    <mergeCell ref="J30:K30"/>
  </mergeCells>
  <printOptions horizontalCentered="1" verticalCentered="1"/>
  <pageMargins left="0" right="0" top="0" bottom="0" header="0.31496062992125984" footer="0.31496062992125984"/>
  <pageSetup paperSize="9" scale="41" fitToHeight="0" orientation="portrait" verticalDpi="4"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pageSetUpPr autoPageBreaks="0" fitToPage="1"/>
  </sheetPr>
  <dimension ref="B2:AC173"/>
  <sheetViews>
    <sheetView showGridLines="0" showOutlineSymbols="0" topLeftCell="A43" zoomScale="80" zoomScaleNormal="80" workbookViewId="0">
      <selection activeCell="G16" sqref="G16"/>
    </sheetView>
  </sheetViews>
  <sheetFormatPr defaultColWidth="11.68359375" defaultRowHeight="15"/>
  <cols>
    <col min="1" max="1" width="5.26171875" style="384" customWidth="1"/>
    <col min="2" max="2" width="6.26171875" style="384" customWidth="1"/>
    <col min="3" max="3" width="9" style="384" customWidth="1"/>
    <col min="4" max="4" width="15.41796875" style="384" customWidth="1"/>
    <col min="5" max="5" width="29.578125" style="384" bestFit="1" customWidth="1"/>
    <col min="6" max="6" width="9.578125" style="384" customWidth="1"/>
    <col min="7" max="7" width="21.68359375" style="384" customWidth="1"/>
    <col min="8" max="8" width="19.578125" style="358" customWidth="1"/>
    <col min="9" max="9" width="23" style="384" customWidth="1"/>
    <col min="10" max="10" width="19.26171875" style="384" customWidth="1"/>
    <col min="11" max="11" width="23" style="384" customWidth="1"/>
    <col min="12" max="16384" width="11.68359375" style="384"/>
  </cols>
  <sheetData>
    <row r="2" spans="2:29" ht="15.3" thickBot="1"/>
    <row r="3" spans="2:29" s="356" customFormat="1" ht="30.75" customHeight="1" thickBot="1">
      <c r="B3" s="218"/>
      <c r="C3" s="1549" t="s">
        <v>1189</v>
      </c>
      <c r="D3" s="1550"/>
      <c r="E3" s="1550"/>
      <c r="F3" s="1550"/>
      <c r="G3" s="1550"/>
      <c r="H3" s="1550"/>
      <c r="I3" s="1550"/>
      <c r="J3" s="1550"/>
      <c r="K3" s="1551"/>
    </row>
    <row r="4" spans="2:29" s="356" customFormat="1" ht="21" customHeight="1">
      <c r="B4" s="218"/>
      <c r="C4" s="974"/>
      <c r="D4" s="974"/>
      <c r="E4" s="974"/>
      <c r="F4" s="974"/>
      <c r="G4" s="974"/>
      <c r="H4" s="974"/>
      <c r="I4" s="974"/>
      <c r="J4" s="1135" t="s">
        <v>1190</v>
      </c>
      <c r="K4" s="1135" t="str">
        <f>OTP!$H$10</f>
        <v>BFN50H02A5</v>
      </c>
    </row>
    <row r="5" spans="2:29" s="356" customFormat="1" ht="30.75" customHeight="1">
      <c r="B5" s="975">
        <v>1</v>
      </c>
      <c r="C5" s="976" t="s">
        <v>1191</v>
      </c>
      <c r="D5" s="976"/>
      <c r="G5" s="357"/>
      <c r="H5" s="358"/>
      <c r="I5" s="359"/>
      <c r="J5" s="360"/>
      <c r="K5" s="360"/>
      <c r="AC5" s="977" t="s">
        <v>552</v>
      </c>
    </row>
    <row r="6" spans="2:29" s="219" customFormat="1" ht="15" customHeight="1">
      <c r="H6" s="224"/>
      <c r="AC6" s="219" t="s">
        <v>553</v>
      </c>
    </row>
    <row r="7" spans="2:29" s="219" customFormat="1" ht="20.100000000000001" customHeight="1">
      <c r="C7" s="1552" t="s">
        <v>1192</v>
      </c>
      <c r="D7" s="1552"/>
      <c r="E7" s="1552"/>
      <c r="F7" s="1552"/>
      <c r="G7" s="1552"/>
      <c r="H7" s="1552"/>
      <c r="I7" s="1552"/>
      <c r="J7" s="1552"/>
      <c r="K7" s="1552"/>
    </row>
    <row r="8" spans="2:29" s="219" customFormat="1" ht="20.100000000000001" customHeight="1">
      <c r="C8" s="1552"/>
      <c r="D8" s="1552"/>
      <c r="E8" s="1552"/>
      <c r="F8" s="1552"/>
      <c r="G8" s="1552"/>
      <c r="H8" s="1552"/>
      <c r="I8" s="1552"/>
      <c r="J8" s="1552"/>
      <c r="K8" s="1552"/>
    </row>
    <row r="9" spans="2:29" s="219" customFormat="1" ht="20.100000000000001" customHeight="1">
      <c r="H9" s="224"/>
    </row>
    <row r="10" spans="2:29" s="238" customFormat="1" ht="20.100000000000001" customHeight="1">
      <c r="C10" s="219" t="s">
        <v>1193</v>
      </c>
      <c r="D10" s="240"/>
      <c r="E10" s="240"/>
      <c r="F10" s="241"/>
      <c r="H10" s="242"/>
      <c r="I10" s="241"/>
    </row>
    <row r="11" spans="2:29" s="238" customFormat="1" ht="15" customHeight="1" thickBot="1">
      <c r="C11" s="219"/>
      <c r="D11" s="240"/>
      <c r="E11" s="240"/>
      <c r="F11" s="241"/>
      <c r="H11" s="242"/>
      <c r="I11" s="241"/>
    </row>
    <row r="12" spans="2:29" s="368" customFormat="1" ht="66" customHeight="1" thickBot="1">
      <c r="B12" s="362"/>
      <c r="C12" s="363" t="s">
        <v>557</v>
      </c>
      <c r="D12" s="364" t="s">
        <v>27</v>
      </c>
      <c r="E12" s="365" t="s">
        <v>1</v>
      </c>
      <c r="F12" s="366" t="s">
        <v>28</v>
      </c>
      <c r="G12" s="364" t="s">
        <v>117</v>
      </c>
      <c r="H12" s="364" t="s">
        <v>546</v>
      </c>
      <c r="I12" s="364" t="s">
        <v>547</v>
      </c>
      <c r="J12" s="364" t="s">
        <v>536</v>
      </c>
      <c r="K12" s="364" t="s">
        <v>548</v>
      </c>
    </row>
    <row r="13" spans="2:29" s="372" customFormat="1" ht="50.1" customHeight="1">
      <c r="B13" s="369"/>
      <c r="C13" s="1160">
        <v>1</v>
      </c>
      <c r="D13" s="1161" t="str">
        <f>IF('Trade Ins'!C12="","",'Trade Ins'!C12)</f>
        <v/>
      </c>
      <c r="E13" s="1161" t="str">
        <f>IF('Trade Ins'!D12="","",'Trade Ins'!D12)</f>
        <v/>
      </c>
      <c r="F13" s="1162" t="str">
        <f>IF('Trade Ins'!E12="","",'Trade Ins'!E12)</f>
        <v/>
      </c>
      <c r="G13" s="1161" t="str">
        <f>IF('Trade Ins'!F12="","",'Trade Ins'!F12)</f>
        <v/>
      </c>
      <c r="H13" s="1161" t="str">
        <f>IF('Trade Ins'!G12="","",'Trade Ins'!G12)</f>
        <v/>
      </c>
      <c r="I13" s="1163">
        <f>IF('Trade Ins'!H12="","",'Trade Ins'!H12)</f>
        <v>0</v>
      </c>
      <c r="J13" s="1163">
        <f>IF('Trade Ins'!I12="","",'Trade Ins'!I12)</f>
        <v>0</v>
      </c>
      <c r="K13" s="1164" t="str">
        <f>IF('Trade Ins'!J12="","",'Trade Ins'!J12)</f>
        <v/>
      </c>
    </row>
    <row r="14" spans="2:29" s="374" customFormat="1" ht="50.1" customHeight="1">
      <c r="B14" s="373"/>
      <c r="C14" s="1156">
        <v>2</v>
      </c>
      <c r="D14" s="1157" t="str">
        <f>IF('Trade Ins'!C13="","",'Trade Ins'!C13)</f>
        <v/>
      </c>
      <c r="E14" s="1157" t="str">
        <f>IF('Trade Ins'!D13="","",'Trade Ins'!D13)</f>
        <v/>
      </c>
      <c r="F14" s="1158" t="str">
        <f>IF('Trade Ins'!E13="","",'Trade Ins'!E13)</f>
        <v/>
      </c>
      <c r="G14" s="1157" t="str">
        <f>IF('Trade Ins'!F13="","",'Trade Ins'!F13)</f>
        <v/>
      </c>
      <c r="H14" s="1157" t="str">
        <f>IF('Trade Ins'!G13="","",'Trade Ins'!G13)</f>
        <v/>
      </c>
      <c r="I14" s="1159">
        <f>IF('Trade Ins'!H13="","",'Trade Ins'!H13)</f>
        <v>0</v>
      </c>
      <c r="J14" s="1159">
        <f>IF('Trade Ins'!I13="","",'Trade Ins'!I13)</f>
        <v>0</v>
      </c>
      <c r="K14" s="1165" t="str">
        <f>IF('Trade Ins'!J13="","",'Trade Ins'!J13)</f>
        <v/>
      </c>
    </row>
    <row r="15" spans="2:29" s="374" customFormat="1" ht="50.1" customHeight="1">
      <c r="B15" s="373"/>
      <c r="C15" s="1156">
        <v>3</v>
      </c>
      <c r="D15" s="1157" t="str">
        <f>IF('Trade Ins'!C14="","",'Trade Ins'!C14)</f>
        <v/>
      </c>
      <c r="E15" s="1157" t="str">
        <f>IF('Trade Ins'!D14="","",'Trade Ins'!D14)</f>
        <v/>
      </c>
      <c r="F15" s="1158" t="str">
        <f>IF('Trade Ins'!E14="","",'Trade Ins'!E14)</f>
        <v/>
      </c>
      <c r="G15" s="1157" t="str">
        <f>IF('Trade Ins'!F14="","",'Trade Ins'!F14)</f>
        <v/>
      </c>
      <c r="H15" s="1157" t="str">
        <f>IF('Trade Ins'!G14="","",'Trade Ins'!G14)</f>
        <v/>
      </c>
      <c r="I15" s="1159">
        <f>IF('Trade Ins'!H14="","",'Trade Ins'!H14)</f>
        <v>0</v>
      </c>
      <c r="J15" s="1159">
        <f>IF('Trade Ins'!I14="","",'Trade Ins'!I14)</f>
        <v>0</v>
      </c>
      <c r="K15" s="1165">
        <f>IF('Trade Ins'!J14="","",'Trade Ins'!J14)</f>
        <v>0</v>
      </c>
    </row>
    <row r="16" spans="2:29" s="374" customFormat="1" ht="50.1" customHeight="1">
      <c r="B16" s="373"/>
      <c r="C16" s="1156">
        <v>4</v>
      </c>
      <c r="D16" s="1157" t="str">
        <f>IF('Trade Ins'!C15="","",'Trade Ins'!C15)</f>
        <v/>
      </c>
      <c r="E16" s="1157" t="str">
        <f>IF('Trade Ins'!D15="","",'Trade Ins'!D15)</f>
        <v/>
      </c>
      <c r="F16" s="1158" t="str">
        <f>IF('Trade Ins'!E15="","",'Trade Ins'!E15)</f>
        <v/>
      </c>
      <c r="G16" s="1157" t="str">
        <f>IF('Trade Ins'!F15="","",'Trade Ins'!F15)</f>
        <v/>
      </c>
      <c r="H16" s="1157" t="str">
        <f>IF('Trade Ins'!G15="","",'Trade Ins'!G15)</f>
        <v/>
      </c>
      <c r="I16" s="1159">
        <f>IF('Trade Ins'!H15="","",'Trade Ins'!H15)</f>
        <v>0</v>
      </c>
      <c r="J16" s="1159">
        <f>IF('Trade Ins'!I15="","",'Trade Ins'!I15)</f>
        <v>0</v>
      </c>
      <c r="K16" s="1165">
        <f>IF('Trade Ins'!J15="","",'Trade Ins'!J15)</f>
        <v>0</v>
      </c>
    </row>
    <row r="17" spans="2:11" s="374" customFormat="1" ht="50.1" customHeight="1">
      <c r="B17" s="373"/>
      <c r="C17" s="1156">
        <v>5</v>
      </c>
      <c r="D17" s="1157" t="str">
        <f>IF('Trade Ins'!C16="","",'Trade Ins'!C16)</f>
        <v/>
      </c>
      <c r="E17" s="1157" t="str">
        <f>IF('Trade Ins'!D16="","",'Trade Ins'!D16)</f>
        <v/>
      </c>
      <c r="F17" s="1158" t="str">
        <f>IF('Trade Ins'!E16="","",'Trade Ins'!E16)</f>
        <v/>
      </c>
      <c r="G17" s="1157" t="str">
        <f>IF('Trade Ins'!F16="","",'Trade Ins'!F16)</f>
        <v/>
      </c>
      <c r="H17" s="1157" t="str">
        <f>IF('Trade Ins'!G16="","",'Trade Ins'!G16)</f>
        <v/>
      </c>
      <c r="I17" s="1159">
        <f>IF('Trade Ins'!H16="","",'Trade Ins'!H16)</f>
        <v>0</v>
      </c>
      <c r="J17" s="1159">
        <f>IF('Trade Ins'!I16="","",'Trade Ins'!I16)</f>
        <v>0</v>
      </c>
      <c r="K17" s="1165">
        <f>IF('Trade Ins'!J16="","",'Trade Ins'!J16)</f>
        <v>0</v>
      </c>
    </row>
    <row r="18" spans="2:11" s="374" customFormat="1" ht="50.1" customHeight="1">
      <c r="B18" s="373"/>
      <c r="C18" s="1156">
        <v>6</v>
      </c>
      <c r="D18" s="1157" t="str">
        <f>IF('Trade Ins'!C17="","",'Trade Ins'!C17)</f>
        <v/>
      </c>
      <c r="E18" s="1157" t="str">
        <f>IF('Trade Ins'!D17="","",'Trade Ins'!D17)</f>
        <v/>
      </c>
      <c r="F18" s="1158" t="str">
        <f>IF('Trade Ins'!E17="","",'Trade Ins'!E17)</f>
        <v/>
      </c>
      <c r="G18" s="1157" t="str">
        <f>IF('Trade Ins'!F17="","",'Trade Ins'!F17)</f>
        <v/>
      </c>
      <c r="H18" s="1157" t="str">
        <f>IF('Trade Ins'!G17="","",'Trade Ins'!G17)</f>
        <v/>
      </c>
      <c r="I18" s="1159">
        <f>IF('Trade Ins'!H17="","",'Trade Ins'!H17)</f>
        <v>0</v>
      </c>
      <c r="J18" s="1159">
        <f>IF('Trade Ins'!I17="","",'Trade Ins'!I17)</f>
        <v>0</v>
      </c>
      <c r="K18" s="1165">
        <f>IF('Trade Ins'!J17="","",'Trade Ins'!J17)</f>
        <v>0</v>
      </c>
    </row>
    <row r="19" spans="2:11" s="374" customFormat="1" ht="50.1" customHeight="1">
      <c r="B19" s="373"/>
      <c r="C19" s="1156">
        <v>7</v>
      </c>
      <c r="D19" s="1157" t="str">
        <f>IF('Trade Ins'!C18="","",'Trade Ins'!C18)</f>
        <v/>
      </c>
      <c r="E19" s="1157" t="str">
        <f>IF('Trade Ins'!D18="","",'Trade Ins'!D18)</f>
        <v/>
      </c>
      <c r="F19" s="1158" t="str">
        <f>IF('Trade Ins'!E18="","",'Trade Ins'!E18)</f>
        <v/>
      </c>
      <c r="G19" s="1157" t="str">
        <f>IF('Trade Ins'!F18="","",'Trade Ins'!F18)</f>
        <v/>
      </c>
      <c r="H19" s="1157" t="str">
        <f>IF('Trade Ins'!G18="","",'Trade Ins'!G18)</f>
        <v/>
      </c>
      <c r="I19" s="1159">
        <f>IF('Trade Ins'!H18="","",'Trade Ins'!H18)</f>
        <v>0</v>
      </c>
      <c r="J19" s="1159">
        <f>IF('Trade Ins'!I18="","",'Trade Ins'!I18)</f>
        <v>0</v>
      </c>
      <c r="K19" s="1165">
        <f>IF('Trade Ins'!J18="","",'Trade Ins'!J18)</f>
        <v>0</v>
      </c>
    </row>
    <row r="20" spans="2:11" s="374" customFormat="1" ht="50.1" customHeight="1">
      <c r="B20" s="373"/>
      <c r="C20" s="1156">
        <v>8</v>
      </c>
      <c r="D20" s="1157" t="str">
        <f>IF('Trade Ins'!C19="","",'Trade Ins'!C19)</f>
        <v/>
      </c>
      <c r="E20" s="1157" t="str">
        <f>IF('Trade Ins'!D19="","",'Trade Ins'!D19)</f>
        <v/>
      </c>
      <c r="F20" s="1158" t="str">
        <f>IF('Trade Ins'!E19="","",'Trade Ins'!E19)</f>
        <v/>
      </c>
      <c r="G20" s="1157" t="str">
        <f>IF('Trade Ins'!F19="","",'Trade Ins'!F19)</f>
        <v/>
      </c>
      <c r="H20" s="1157" t="str">
        <f>IF('Trade Ins'!G19="","",'Trade Ins'!G19)</f>
        <v/>
      </c>
      <c r="I20" s="1159">
        <f>IF('Trade Ins'!H19="","",'Trade Ins'!H19)</f>
        <v>0</v>
      </c>
      <c r="J20" s="1159">
        <f>IF('Trade Ins'!I19="","",'Trade Ins'!I19)</f>
        <v>0</v>
      </c>
      <c r="K20" s="1165">
        <f>IF('Trade Ins'!J19="","",'Trade Ins'!J19)</f>
        <v>0</v>
      </c>
    </row>
    <row r="21" spans="2:11" s="374" customFormat="1" ht="50.1" customHeight="1">
      <c r="B21" s="373"/>
      <c r="C21" s="1156">
        <v>9</v>
      </c>
      <c r="D21" s="1157" t="str">
        <f>IF('Trade Ins'!C20="","",'Trade Ins'!C20)</f>
        <v/>
      </c>
      <c r="E21" s="1157" t="str">
        <f>IF('Trade Ins'!D20="","",'Trade Ins'!D20)</f>
        <v/>
      </c>
      <c r="F21" s="1158" t="str">
        <f>IF('Trade Ins'!E20="","",'Trade Ins'!E20)</f>
        <v/>
      </c>
      <c r="G21" s="1157" t="str">
        <f>IF('Trade Ins'!F20="","",'Trade Ins'!F20)</f>
        <v/>
      </c>
      <c r="H21" s="1157" t="str">
        <f>IF('Trade Ins'!G20="","",'Trade Ins'!G20)</f>
        <v/>
      </c>
      <c r="I21" s="1159">
        <f>IF('Trade Ins'!H20="","",'Trade Ins'!H20)</f>
        <v>0</v>
      </c>
      <c r="J21" s="1159">
        <f>IF('Trade Ins'!I20="","",'Trade Ins'!I20)</f>
        <v>0</v>
      </c>
      <c r="K21" s="1165">
        <f>IF('Trade Ins'!J20="","",'Trade Ins'!J20)</f>
        <v>0</v>
      </c>
    </row>
    <row r="22" spans="2:11" s="374" customFormat="1" ht="50.1" customHeight="1">
      <c r="B22" s="373"/>
      <c r="C22" s="1156">
        <v>10</v>
      </c>
      <c r="D22" s="1157" t="str">
        <f>IF('Trade Ins'!C21="","",'Trade Ins'!C21)</f>
        <v/>
      </c>
      <c r="E22" s="1157" t="str">
        <f>IF('Trade Ins'!D21="","",'Trade Ins'!D21)</f>
        <v/>
      </c>
      <c r="F22" s="1158" t="str">
        <f>IF('Trade Ins'!E21="","",'Trade Ins'!E21)</f>
        <v/>
      </c>
      <c r="G22" s="1157" t="str">
        <f>IF('Trade Ins'!F21="","",'Trade Ins'!F21)</f>
        <v/>
      </c>
      <c r="H22" s="1157" t="str">
        <f>IF('Trade Ins'!G21="","",'Trade Ins'!G21)</f>
        <v/>
      </c>
      <c r="I22" s="1159">
        <f>IF('Trade Ins'!H21="","",'Trade Ins'!H21)</f>
        <v>0</v>
      </c>
      <c r="J22" s="1159">
        <f>IF('Trade Ins'!I21="","",'Trade Ins'!I21)</f>
        <v>0</v>
      </c>
      <c r="K22" s="1165">
        <f>IF('Trade Ins'!J21="","",'Trade Ins'!J21)</f>
        <v>0</v>
      </c>
    </row>
    <row r="23" spans="2:11" s="374" customFormat="1" ht="50.1" customHeight="1">
      <c r="B23" s="373"/>
      <c r="C23" s="1156">
        <v>11</v>
      </c>
      <c r="D23" s="1157" t="str">
        <f>IF('Trade Ins'!C22="","",'Trade Ins'!C22)</f>
        <v/>
      </c>
      <c r="E23" s="1157" t="str">
        <f>IF('Trade Ins'!D22="","",'Trade Ins'!D22)</f>
        <v/>
      </c>
      <c r="F23" s="1158" t="str">
        <f>IF('Trade Ins'!E22="","",'Trade Ins'!E22)</f>
        <v/>
      </c>
      <c r="G23" s="1157" t="str">
        <f>IF('Trade Ins'!F22="","",'Trade Ins'!F22)</f>
        <v/>
      </c>
      <c r="H23" s="1157" t="str">
        <f>IF('Trade Ins'!G22="","",'Trade Ins'!G22)</f>
        <v/>
      </c>
      <c r="I23" s="1159">
        <f>IF('Trade Ins'!H22="","",'Trade Ins'!H22)</f>
        <v>0</v>
      </c>
      <c r="J23" s="1159">
        <f>IF('Trade Ins'!I22="","",'Trade Ins'!I22)</f>
        <v>0</v>
      </c>
      <c r="K23" s="1165">
        <f>IF('Trade Ins'!J22="","",'Trade Ins'!J22)</f>
        <v>0</v>
      </c>
    </row>
    <row r="24" spans="2:11" s="374" customFormat="1" ht="50.1" customHeight="1">
      <c r="B24" s="373"/>
      <c r="C24" s="1156">
        <v>12</v>
      </c>
      <c r="D24" s="1157" t="str">
        <f>IF('Trade Ins'!C23="","",'Trade Ins'!C23)</f>
        <v/>
      </c>
      <c r="E24" s="1157" t="str">
        <f>IF('Trade Ins'!D23="","",'Trade Ins'!D23)</f>
        <v/>
      </c>
      <c r="F24" s="1158" t="str">
        <f>IF('Trade Ins'!E23="","",'Trade Ins'!E23)</f>
        <v/>
      </c>
      <c r="G24" s="1157" t="str">
        <f>IF('Trade Ins'!F23="","",'Trade Ins'!F23)</f>
        <v/>
      </c>
      <c r="H24" s="1157" t="str">
        <f>IF('Trade Ins'!G23="","",'Trade Ins'!G23)</f>
        <v/>
      </c>
      <c r="I24" s="1159">
        <f>IF('Trade Ins'!H23="","",'Trade Ins'!H23)</f>
        <v>0</v>
      </c>
      <c r="J24" s="1159">
        <f>IF('Trade Ins'!I23="","",'Trade Ins'!I23)</f>
        <v>0</v>
      </c>
      <c r="K24" s="1165">
        <f>IF('Trade Ins'!J23="","",'Trade Ins'!J23)</f>
        <v>0</v>
      </c>
    </row>
    <row r="25" spans="2:11" s="374" customFormat="1" ht="50.1" customHeight="1">
      <c r="B25" s="373"/>
      <c r="C25" s="1156">
        <v>13</v>
      </c>
      <c r="D25" s="1157" t="str">
        <f>IF('Trade Ins'!C24="","",'Trade Ins'!C24)</f>
        <v/>
      </c>
      <c r="E25" s="1157" t="str">
        <f>IF('Trade Ins'!D24="","",'Trade Ins'!D24)</f>
        <v/>
      </c>
      <c r="F25" s="1158" t="str">
        <f>IF('Trade Ins'!E24="","",'Trade Ins'!E24)</f>
        <v/>
      </c>
      <c r="G25" s="1157" t="str">
        <f>IF('Trade Ins'!F24="","",'Trade Ins'!F24)</f>
        <v/>
      </c>
      <c r="H25" s="1157" t="str">
        <f>IF('Trade Ins'!G24="","",'Trade Ins'!G24)</f>
        <v/>
      </c>
      <c r="I25" s="1159">
        <f>IF('Trade Ins'!H24="","",'Trade Ins'!H24)</f>
        <v>0</v>
      </c>
      <c r="J25" s="1159">
        <f>IF('Trade Ins'!I24="","",'Trade Ins'!I24)</f>
        <v>0</v>
      </c>
      <c r="K25" s="1165">
        <f>IF('Trade Ins'!J24="","",'Trade Ins'!J24)</f>
        <v>0</v>
      </c>
    </row>
    <row r="26" spans="2:11" s="374" customFormat="1" ht="50.1" customHeight="1">
      <c r="B26" s="373"/>
      <c r="C26" s="1156">
        <v>14</v>
      </c>
      <c r="D26" s="1157" t="str">
        <f>IF('Trade Ins'!C25="","",'Trade Ins'!C25)</f>
        <v/>
      </c>
      <c r="E26" s="1157" t="str">
        <f>IF('Trade Ins'!D25="","",'Trade Ins'!D25)</f>
        <v/>
      </c>
      <c r="F26" s="1158" t="str">
        <f>IF('Trade Ins'!E25="","",'Trade Ins'!E25)</f>
        <v/>
      </c>
      <c r="G26" s="1157" t="str">
        <f>IF('Trade Ins'!F25="","",'Trade Ins'!F25)</f>
        <v/>
      </c>
      <c r="H26" s="1157" t="str">
        <f>IF('Trade Ins'!G25="","",'Trade Ins'!G25)</f>
        <v/>
      </c>
      <c r="I26" s="1159">
        <f>IF('Trade Ins'!H25="","",'Trade Ins'!H25)</f>
        <v>0</v>
      </c>
      <c r="J26" s="1159">
        <f>IF('Trade Ins'!I25="","",'Trade Ins'!I25)</f>
        <v>0</v>
      </c>
      <c r="K26" s="1165">
        <f>IF('Trade Ins'!J25="","",'Trade Ins'!J25)</f>
        <v>0</v>
      </c>
    </row>
    <row r="27" spans="2:11" s="374" customFormat="1" ht="50.1" customHeight="1">
      <c r="B27" s="373"/>
      <c r="C27" s="1156">
        <v>15</v>
      </c>
      <c r="D27" s="1157" t="str">
        <f>IF('Trade Ins'!C26="","",'Trade Ins'!C26)</f>
        <v/>
      </c>
      <c r="E27" s="1157" t="str">
        <f>IF('Trade Ins'!D26="","",'Trade Ins'!D26)</f>
        <v/>
      </c>
      <c r="F27" s="1158" t="str">
        <f>IF('Trade Ins'!E26="","",'Trade Ins'!E26)</f>
        <v/>
      </c>
      <c r="G27" s="1157" t="str">
        <f>IF('Trade Ins'!F26="","",'Trade Ins'!F26)</f>
        <v/>
      </c>
      <c r="H27" s="1157" t="str">
        <f>IF('Trade Ins'!G26="","",'Trade Ins'!G26)</f>
        <v/>
      </c>
      <c r="I27" s="1159">
        <f>IF('Trade Ins'!H26="","",'Trade Ins'!H26)</f>
        <v>0</v>
      </c>
      <c r="J27" s="1159">
        <f>IF('Trade Ins'!I26="","",'Trade Ins'!I26)</f>
        <v>0</v>
      </c>
      <c r="K27" s="1165">
        <f>IF('Trade Ins'!J26="","",'Trade Ins'!J26)</f>
        <v>0</v>
      </c>
    </row>
    <row r="28" spans="2:11" s="374" customFormat="1" ht="50.1" customHeight="1">
      <c r="B28" s="373"/>
      <c r="C28" s="1156">
        <v>16</v>
      </c>
      <c r="D28" s="1157" t="str">
        <f>IF('Trade Ins'!C27="","",'Trade Ins'!C27)</f>
        <v/>
      </c>
      <c r="E28" s="1157" t="str">
        <f>IF('Trade Ins'!D27="","",'Trade Ins'!D27)</f>
        <v/>
      </c>
      <c r="F28" s="1158" t="str">
        <f>IF('Trade Ins'!E27="","",'Trade Ins'!E27)</f>
        <v/>
      </c>
      <c r="G28" s="1157" t="str">
        <f>IF('Trade Ins'!F27="","",'Trade Ins'!F27)</f>
        <v/>
      </c>
      <c r="H28" s="1157" t="str">
        <f>IF('Trade Ins'!G27="","",'Trade Ins'!G27)</f>
        <v/>
      </c>
      <c r="I28" s="1159">
        <f>IF('Trade Ins'!H27="","",'Trade Ins'!H27)</f>
        <v>0</v>
      </c>
      <c r="J28" s="1159">
        <f>IF('Trade Ins'!I27="","",'Trade Ins'!I27)</f>
        <v>0</v>
      </c>
      <c r="K28" s="1165">
        <f>IF('Trade Ins'!J27="","",'Trade Ins'!J27)</f>
        <v>0</v>
      </c>
    </row>
    <row r="29" spans="2:11" s="374" customFormat="1" ht="50.1" customHeight="1">
      <c r="B29" s="373"/>
      <c r="C29" s="1156">
        <v>17</v>
      </c>
      <c r="D29" s="1157" t="str">
        <f>IF('Trade Ins'!C28="","",'Trade Ins'!C28)</f>
        <v/>
      </c>
      <c r="E29" s="1157" t="str">
        <f>IF('Trade Ins'!D28="","",'Trade Ins'!D28)</f>
        <v/>
      </c>
      <c r="F29" s="1158" t="str">
        <f>IF('Trade Ins'!E28="","",'Trade Ins'!E28)</f>
        <v/>
      </c>
      <c r="G29" s="1157" t="str">
        <f>IF('Trade Ins'!F28="","",'Trade Ins'!F28)</f>
        <v/>
      </c>
      <c r="H29" s="1157" t="str">
        <f>IF('Trade Ins'!G28="","",'Trade Ins'!G28)</f>
        <v/>
      </c>
      <c r="I29" s="1159">
        <f>IF('Trade Ins'!H28="","",'Trade Ins'!H28)</f>
        <v>0</v>
      </c>
      <c r="J29" s="1159">
        <f>IF('Trade Ins'!I28="","",'Trade Ins'!I28)</f>
        <v>0</v>
      </c>
      <c r="K29" s="1165">
        <f>IF('Trade Ins'!J28="","",'Trade Ins'!J28)</f>
        <v>0</v>
      </c>
    </row>
    <row r="30" spans="2:11" s="374" customFormat="1" ht="50.1" customHeight="1">
      <c r="B30" s="373"/>
      <c r="C30" s="1156">
        <v>18</v>
      </c>
      <c r="D30" s="1157" t="str">
        <f>IF('Trade Ins'!C29="","",'Trade Ins'!C29)</f>
        <v/>
      </c>
      <c r="E30" s="1157" t="str">
        <f>IF('Trade Ins'!D29="","",'Trade Ins'!D29)</f>
        <v/>
      </c>
      <c r="F30" s="1158" t="str">
        <f>IF('Trade Ins'!E29="","",'Trade Ins'!E29)</f>
        <v/>
      </c>
      <c r="G30" s="1157" t="str">
        <f>IF('Trade Ins'!F29="","",'Trade Ins'!F29)</f>
        <v/>
      </c>
      <c r="H30" s="1157" t="str">
        <f>IF('Trade Ins'!G29="","",'Trade Ins'!G29)</f>
        <v/>
      </c>
      <c r="I30" s="1159">
        <f>IF('Trade Ins'!H29="","",'Trade Ins'!H29)</f>
        <v>0</v>
      </c>
      <c r="J30" s="1159">
        <f>IF('Trade Ins'!I29="","",'Trade Ins'!I29)</f>
        <v>0</v>
      </c>
      <c r="K30" s="1165">
        <f>IF('Trade Ins'!J29="","",'Trade Ins'!J29)</f>
        <v>0</v>
      </c>
    </row>
    <row r="31" spans="2:11" s="374" customFormat="1" ht="50.1" customHeight="1">
      <c r="B31" s="373"/>
      <c r="C31" s="1156">
        <v>19</v>
      </c>
      <c r="D31" s="1157" t="str">
        <f>IF('Trade Ins'!C30="","",'Trade Ins'!C30)</f>
        <v/>
      </c>
      <c r="E31" s="1157" t="str">
        <f>IF('Trade Ins'!D30="","",'Trade Ins'!D30)</f>
        <v/>
      </c>
      <c r="F31" s="1158" t="str">
        <f>IF('Trade Ins'!E30="","",'Trade Ins'!E30)</f>
        <v/>
      </c>
      <c r="G31" s="1157" t="str">
        <f>IF('Trade Ins'!F30="","",'Trade Ins'!F30)</f>
        <v/>
      </c>
      <c r="H31" s="1157" t="str">
        <f>IF('Trade Ins'!G30="","",'Trade Ins'!G30)</f>
        <v/>
      </c>
      <c r="I31" s="1159">
        <f>IF('Trade Ins'!H30="","",'Trade Ins'!H30)</f>
        <v>0</v>
      </c>
      <c r="J31" s="1159">
        <f>IF('Trade Ins'!I30="","",'Trade Ins'!I30)</f>
        <v>0</v>
      </c>
      <c r="K31" s="1165">
        <f>IF('Trade Ins'!J30="","",'Trade Ins'!J30)</f>
        <v>0</v>
      </c>
    </row>
    <row r="32" spans="2:11" s="374" customFormat="1" ht="50.1" customHeight="1" thickBot="1">
      <c r="B32" s="373"/>
      <c r="C32" s="1166">
        <v>20</v>
      </c>
      <c r="D32" s="1167" t="str">
        <f>IF('Trade Ins'!C31="","",'Trade Ins'!C31)</f>
        <v/>
      </c>
      <c r="E32" s="1167" t="str">
        <f>IF('Trade Ins'!D31="","",'Trade Ins'!D31)</f>
        <v/>
      </c>
      <c r="F32" s="1168" t="str">
        <f>IF('Trade Ins'!E31="","",'Trade Ins'!E31)</f>
        <v/>
      </c>
      <c r="G32" s="1167" t="str">
        <f>IF('Trade Ins'!F31="","",'Trade Ins'!F31)</f>
        <v/>
      </c>
      <c r="H32" s="1167" t="str">
        <f>IF('Trade Ins'!G31="","",'Trade Ins'!G31)</f>
        <v/>
      </c>
      <c r="I32" s="1169">
        <f>IF('Trade Ins'!H31="","",'Trade Ins'!H31)</f>
        <v>0</v>
      </c>
      <c r="J32" s="1169">
        <f>IF('Trade Ins'!I31="","",'Trade Ins'!I31)</f>
        <v>0</v>
      </c>
      <c r="K32" s="1170">
        <f>IF('Trade Ins'!J31="","",'Trade Ins'!J31)</f>
        <v>0</v>
      </c>
    </row>
    <row r="33" spans="2:11" s="379" customFormat="1" ht="50.1" customHeight="1" thickBot="1">
      <c r="B33" s="375"/>
      <c r="C33" s="978" t="s">
        <v>539</v>
      </c>
      <c r="D33" s="979" t="e">
        <f>#REF!</f>
        <v>#REF!</v>
      </c>
      <c r="E33" s="1258" t="s">
        <v>550</v>
      </c>
      <c r="F33" s="1259"/>
      <c r="G33" s="1259"/>
      <c r="H33" s="1260"/>
      <c r="I33" s="376">
        <f>SUM(I7:I32)</f>
        <v>0</v>
      </c>
      <c r="J33" s="377">
        <f>SUM(J7:J32)</f>
        <v>0</v>
      </c>
      <c r="K33" s="377">
        <f>SUM(K7:K32)</f>
        <v>0</v>
      </c>
    </row>
    <row r="34" spans="2:11">
      <c r="F34" s="392"/>
    </row>
    <row r="35" spans="2:11">
      <c r="F35" s="392"/>
    </row>
    <row r="36" spans="2:11">
      <c r="F36" s="392"/>
      <c r="J36" s="1136" t="s">
        <v>1190</v>
      </c>
      <c r="K36" s="1136" t="str">
        <f>OTP!$H$10</f>
        <v>BFN50H02A5</v>
      </c>
    </row>
    <row r="37" spans="2:11" s="982" customFormat="1" ht="20.100000000000001" customHeight="1">
      <c r="B37" s="980">
        <v>2</v>
      </c>
      <c r="C37" s="1553" t="s">
        <v>826</v>
      </c>
      <c r="D37" s="1553"/>
      <c r="E37" s="1553"/>
      <c r="F37" s="1553"/>
      <c r="G37" s="1553"/>
      <c r="H37" s="981"/>
    </row>
    <row r="38" spans="2:11" s="982" customFormat="1" ht="20.100000000000001" customHeight="1">
      <c r="B38" s="980"/>
      <c r="C38" s="1554" t="s">
        <v>827</v>
      </c>
      <c r="D38" s="1554"/>
      <c r="E38" s="1554"/>
      <c r="F38" s="1554"/>
      <c r="G38" s="1554"/>
      <c r="H38" s="1554"/>
      <c r="I38" s="1554"/>
      <c r="J38" s="1554"/>
      <c r="K38" s="1554"/>
    </row>
    <row r="39" spans="2:11" s="982" customFormat="1" ht="20.100000000000001" customHeight="1">
      <c r="B39" s="983"/>
      <c r="C39" s="1554"/>
      <c r="D39" s="1554"/>
      <c r="E39" s="1554"/>
      <c r="F39" s="1554"/>
      <c r="G39" s="1554"/>
      <c r="H39" s="1554"/>
      <c r="I39" s="1554"/>
      <c r="J39" s="1554"/>
      <c r="K39" s="1554"/>
    </row>
    <row r="40" spans="2:11" s="982" customFormat="1" ht="20.100000000000001" customHeight="1">
      <c r="B40" s="983"/>
      <c r="C40" s="1554"/>
      <c r="D40" s="1554"/>
      <c r="E40" s="1554"/>
      <c r="F40" s="1554"/>
      <c r="G40" s="1554"/>
      <c r="H40" s="1554"/>
      <c r="I40" s="1554"/>
      <c r="J40" s="1554"/>
      <c r="K40" s="1554"/>
    </row>
    <row r="41" spans="2:11" s="982" customFormat="1" ht="20.100000000000001" customHeight="1">
      <c r="B41" s="983"/>
      <c r="C41" s="984" t="s">
        <v>828</v>
      </c>
      <c r="D41" s="3"/>
      <c r="E41" s="3"/>
      <c r="F41" s="3"/>
      <c r="G41" s="3"/>
      <c r="H41" s="985"/>
    </row>
    <row r="42" spans="2:11" s="982" customFormat="1" ht="20.100000000000001" customHeight="1">
      <c r="B42" s="983"/>
      <c r="C42" s="1548" t="s">
        <v>829</v>
      </c>
      <c r="D42" s="1548"/>
      <c r="E42" s="1548"/>
      <c r="F42" s="1548"/>
      <c r="G42" s="1548"/>
      <c r="H42" s="986"/>
    </row>
    <row r="43" spans="2:11" s="982" customFormat="1" ht="20.100000000000001" customHeight="1">
      <c r="B43" s="983"/>
      <c r="C43" s="1555" t="s">
        <v>830</v>
      </c>
      <c r="D43" s="1555"/>
      <c r="E43" s="1555"/>
      <c r="F43" s="1555"/>
      <c r="G43" s="1555"/>
      <c r="H43" s="987"/>
    </row>
    <row r="44" spans="2:11" s="982" customFormat="1" ht="20.100000000000001" customHeight="1">
      <c r="B44" s="983"/>
      <c r="C44" s="1548" t="s">
        <v>831</v>
      </c>
      <c r="D44" s="1548"/>
      <c r="E44" s="1548"/>
      <c r="F44" s="1548"/>
      <c r="G44" s="1548"/>
      <c r="H44" s="986"/>
    </row>
    <row r="45" spans="2:11" s="982" customFormat="1" ht="20.100000000000001" customHeight="1">
      <c r="B45" s="983"/>
      <c r="C45" s="1548" t="s">
        <v>832</v>
      </c>
      <c r="D45" s="1548"/>
      <c r="E45" s="1548"/>
      <c r="F45" s="1548"/>
      <c r="G45" s="1548"/>
      <c r="H45" s="986"/>
    </row>
    <row r="46" spans="2:11" s="982" customFormat="1" ht="20.100000000000001" customHeight="1">
      <c r="B46" s="983"/>
      <c r="C46" s="1548" t="s">
        <v>833</v>
      </c>
      <c r="D46" s="1548"/>
      <c r="E46" s="1548"/>
      <c r="F46" s="1548"/>
      <c r="G46" s="1548"/>
      <c r="H46" s="986"/>
    </row>
    <row r="47" spans="2:11" s="982" customFormat="1" ht="20.100000000000001" customHeight="1">
      <c r="B47" s="983"/>
      <c r="C47" s="1555" t="s">
        <v>834</v>
      </c>
      <c r="D47" s="1555"/>
      <c r="E47" s="1555"/>
      <c r="F47" s="1555"/>
      <c r="G47" s="1555"/>
      <c r="H47" s="987"/>
    </row>
    <row r="48" spans="2:11" s="982" customFormat="1" ht="20.100000000000001" customHeight="1">
      <c r="B48" s="980"/>
      <c r="C48" s="988"/>
      <c r="D48" s="3"/>
      <c r="E48" s="3"/>
      <c r="F48" s="3"/>
      <c r="G48" s="3"/>
      <c r="H48" s="985"/>
    </row>
    <row r="49" spans="2:11" s="982" customFormat="1" ht="20.100000000000001" customHeight="1">
      <c r="B49" s="980"/>
      <c r="C49" s="1553" t="s">
        <v>835</v>
      </c>
      <c r="D49" s="1553"/>
      <c r="E49" s="1553"/>
      <c r="F49" s="1553"/>
      <c r="G49" s="1553"/>
      <c r="H49" s="981"/>
    </row>
    <row r="50" spans="2:11" s="982" customFormat="1" ht="42" customHeight="1">
      <c r="B50" s="983"/>
      <c r="C50" s="1556" t="s">
        <v>836</v>
      </c>
      <c r="D50" s="1556"/>
      <c r="E50" s="1556"/>
      <c r="F50" s="1556"/>
      <c r="G50" s="1556"/>
      <c r="H50" s="1556"/>
      <c r="I50" s="1556"/>
      <c r="J50" s="1556"/>
      <c r="K50" s="1556"/>
    </row>
    <row r="51" spans="2:11" s="982" customFormat="1" ht="20.100000000000001" customHeight="1">
      <c r="B51" s="983"/>
      <c r="C51" s="1556" t="s">
        <v>837</v>
      </c>
      <c r="D51" s="1556"/>
      <c r="E51" s="1556"/>
      <c r="F51" s="1556"/>
      <c r="G51" s="1556"/>
      <c r="H51" s="1556"/>
      <c r="I51" s="1556"/>
      <c r="J51" s="1556"/>
      <c r="K51" s="1556"/>
    </row>
    <row r="52" spans="2:11" s="982" customFormat="1" ht="20.100000000000001" customHeight="1">
      <c r="B52" s="983"/>
      <c r="C52" s="1548" t="s">
        <v>838</v>
      </c>
      <c r="D52" s="1548"/>
      <c r="E52" s="1548"/>
      <c r="F52" s="1548"/>
      <c r="G52" s="1548"/>
      <c r="H52" s="986"/>
    </row>
    <row r="53" spans="2:11" s="982" customFormat="1" ht="20.100000000000001" customHeight="1">
      <c r="B53" s="983"/>
      <c r="C53" s="1548" t="s">
        <v>839</v>
      </c>
      <c r="D53" s="1548"/>
      <c r="E53" s="1548"/>
      <c r="F53" s="1548"/>
      <c r="G53" s="1548"/>
      <c r="H53" s="986"/>
    </row>
    <row r="54" spans="2:11" s="982" customFormat="1" ht="20.100000000000001" customHeight="1">
      <c r="B54" s="983"/>
      <c r="C54" s="1548" t="s">
        <v>840</v>
      </c>
      <c r="D54" s="1548"/>
      <c r="E54" s="1548"/>
      <c r="F54" s="1548"/>
      <c r="G54" s="1548"/>
      <c r="H54" s="986"/>
    </row>
    <row r="55" spans="2:11" s="982" customFormat="1" ht="20.100000000000001" customHeight="1">
      <c r="B55" s="983"/>
      <c r="C55" s="1548" t="s">
        <v>841</v>
      </c>
      <c r="D55" s="1548"/>
      <c r="E55" s="1548"/>
      <c r="F55" s="1548"/>
      <c r="G55" s="1548"/>
      <c r="H55" s="986"/>
    </row>
    <row r="56" spans="2:11" s="982" customFormat="1" ht="20.100000000000001" customHeight="1">
      <c r="B56" s="983"/>
      <c r="C56" s="989"/>
      <c r="D56" s="989"/>
      <c r="E56" s="989"/>
      <c r="F56" s="989"/>
      <c r="G56" s="989"/>
      <c r="H56" s="986"/>
    </row>
    <row r="57" spans="2:11" s="982" customFormat="1" ht="20.100000000000001" customHeight="1">
      <c r="B57" s="980"/>
      <c r="C57" s="1553" t="s">
        <v>842</v>
      </c>
      <c r="D57" s="1553"/>
      <c r="E57" s="1553"/>
      <c r="F57" s="1553"/>
      <c r="G57" s="1553"/>
      <c r="H57" s="981"/>
    </row>
    <row r="58" spans="2:11" s="982" customFormat="1" ht="20.100000000000001" customHeight="1">
      <c r="B58" s="980"/>
      <c r="C58" s="1556" t="s">
        <v>843</v>
      </c>
      <c r="D58" s="1556"/>
      <c r="E58" s="1556"/>
      <c r="F58" s="1556"/>
      <c r="G58" s="1556"/>
      <c r="H58" s="1556"/>
      <c r="I58" s="1556"/>
      <c r="J58" s="1556"/>
      <c r="K58" s="1556"/>
    </row>
    <row r="59" spans="2:11" s="982" customFormat="1" ht="20.100000000000001" customHeight="1">
      <c r="B59" s="983"/>
      <c r="C59" s="1556"/>
      <c r="D59" s="1556"/>
      <c r="E59" s="1556"/>
      <c r="F59" s="1556"/>
      <c r="G59" s="1556"/>
      <c r="H59" s="1556"/>
      <c r="I59" s="1556"/>
      <c r="J59" s="1556"/>
      <c r="K59" s="1556"/>
    </row>
    <row r="60" spans="2:11" s="982" customFormat="1" ht="20.100000000000001" customHeight="1">
      <c r="B60" s="983" t="s">
        <v>844</v>
      </c>
      <c r="C60" s="988"/>
      <c r="D60" s="3"/>
      <c r="E60" s="3"/>
      <c r="F60" s="3"/>
      <c r="G60" s="3"/>
      <c r="H60" s="985"/>
    </row>
    <row r="61" spans="2:11" s="982" customFormat="1" ht="20.100000000000001" customHeight="1">
      <c r="B61" s="980"/>
      <c r="C61" s="1553" t="s">
        <v>845</v>
      </c>
      <c r="D61" s="1553"/>
      <c r="E61" s="1553"/>
      <c r="F61" s="1553"/>
      <c r="G61" s="1553"/>
      <c r="H61" s="981"/>
    </row>
    <row r="62" spans="2:11" s="982" customFormat="1" ht="20.100000000000001" customHeight="1">
      <c r="B62" s="983"/>
      <c r="C62" s="1556" t="s">
        <v>846</v>
      </c>
      <c r="D62" s="1556"/>
      <c r="E62" s="1556"/>
      <c r="F62" s="1556"/>
      <c r="G62" s="1556"/>
      <c r="H62" s="1556"/>
      <c r="I62" s="1556"/>
      <c r="J62" s="1556"/>
      <c r="K62" s="1556"/>
    </row>
    <row r="63" spans="2:11" s="982" customFormat="1" ht="20.100000000000001" customHeight="1">
      <c r="B63" s="983"/>
      <c r="C63" s="1548" t="s">
        <v>847</v>
      </c>
      <c r="D63" s="1548"/>
      <c r="E63" s="1548"/>
      <c r="F63" s="1548"/>
      <c r="G63" s="1548"/>
      <c r="H63" s="986"/>
    </row>
    <row r="64" spans="2:11" s="982" customFormat="1" ht="20.100000000000001" customHeight="1">
      <c r="B64" s="983"/>
      <c r="C64" s="1548" t="s">
        <v>848</v>
      </c>
      <c r="D64" s="1548"/>
      <c r="E64" s="1548"/>
      <c r="F64" s="1548"/>
      <c r="G64" s="1548"/>
      <c r="H64" s="986"/>
    </row>
    <row r="65" spans="2:11" s="982" customFormat="1" ht="20.100000000000001" customHeight="1">
      <c r="B65" s="983"/>
      <c r="C65" s="1548" t="s">
        <v>849</v>
      </c>
      <c r="D65" s="1548"/>
      <c r="E65" s="1548"/>
      <c r="F65" s="1548"/>
      <c r="G65" s="1548"/>
      <c r="H65" s="986"/>
    </row>
    <row r="66" spans="2:11" s="982" customFormat="1" ht="20.100000000000001" customHeight="1">
      <c r="B66" s="983"/>
      <c r="C66" s="1548" t="s">
        <v>850</v>
      </c>
      <c r="D66" s="1548"/>
      <c r="E66" s="1548"/>
      <c r="F66" s="1548"/>
      <c r="G66" s="1548"/>
      <c r="H66" s="986"/>
    </row>
    <row r="67" spans="2:11" s="982" customFormat="1" ht="20.100000000000001" customHeight="1">
      <c r="B67" s="983"/>
      <c r="C67" s="1548" t="s">
        <v>851</v>
      </c>
      <c r="D67" s="1548"/>
      <c r="E67" s="1548"/>
      <c r="F67" s="1548"/>
      <c r="G67" s="1548"/>
      <c r="H67" s="986"/>
    </row>
    <row r="68" spans="2:11" s="982" customFormat="1" ht="20.100000000000001" customHeight="1">
      <c r="B68" s="983"/>
      <c r="C68" s="1556" t="s">
        <v>852</v>
      </c>
      <c r="D68" s="1556"/>
      <c r="E68" s="1556"/>
      <c r="F68" s="1556"/>
      <c r="G68" s="1556"/>
      <c r="H68" s="1556"/>
      <c r="I68" s="1556"/>
      <c r="J68" s="1556"/>
      <c r="K68" s="1556"/>
    </row>
    <row r="69" spans="2:11" s="982" customFormat="1" ht="20.100000000000001" customHeight="1">
      <c r="B69" s="983"/>
      <c r="C69" s="1548" t="s">
        <v>853</v>
      </c>
      <c r="D69" s="1548"/>
      <c r="E69" s="1548"/>
      <c r="F69" s="1548"/>
      <c r="G69" s="1548"/>
      <c r="H69" s="986"/>
    </row>
    <row r="70" spans="2:11" s="982" customFormat="1" ht="20.100000000000001" customHeight="1">
      <c r="B70" s="983"/>
      <c r="C70" s="989"/>
      <c r="D70" s="990"/>
      <c r="E70" s="990"/>
      <c r="F70" s="990"/>
      <c r="G70" s="990"/>
      <c r="H70" s="991"/>
    </row>
    <row r="71" spans="2:11" s="982" customFormat="1" ht="20.100000000000001" customHeight="1">
      <c r="B71" s="983"/>
      <c r="C71" s="1556" t="s">
        <v>854</v>
      </c>
      <c r="D71" s="1556"/>
      <c r="E71" s="1556"/>
      <c r="F71" s="1556"/>
      <c r="G71" s="1556"/>
      <c r="H71" s="1556"/>
      <c r="I71" s="1556"/>
      <c r="J71" s="1556"/>
      <c r="K71" s="1556"/>
    </row>
    <row r="72" spans="2:11" s="982" customFormat="1" ht="20.100000000000001" customHeight="1">
      <c r="B72" s="983"/>
      <c r="C72" s="989"/>
      <c r="D72" s="990"/>
      <c r="E72" s="990"/>
      <c r="F72" s="990"/>
      <c r="G72" s="990"/>
      <c r="H72" s="991"/>
    </row>
    <row r="73" spans="2:11" s="982" customFormat="1" ht="20.100000000000001" customHeight="1">
      <c r="B73" s="983"/>
      <c r="C73" s="1548" t="s">
        <v>855</v>
      </c>
      <c r="D73" s="1548"/>
      <c r="E73" s="1548"/>
      <c r="F73" s="1548"/>
      <c r="G73" s="1548"/>
      <c r="H73" s="986"/>
    </row>
    <row r="74" spans="2:11" s="982" customFormat="1" ht="20.100000000000001" customHeight="1">
      <c r="B74" s="983"/>
      <c r="C74" s="1548" t="s">
        <v>856</v>
      </c>
      <c r="D74" s="1548"/>
      <c r="E74" s="1548"/>
      <c r="F74" s="1548"/>
      <c r="G74" s="1548"/>
      <c r="H74" s="986"/>
    </row>
    <row r="75" spans="2:11" s="982" customFormat="1" ht="20.100000000000001" customHeight="1">
      <c r="B75" s="983"/>
      <c r="C75" s="1548" t="s">
        <v>857</v>
      </c>
      <c r="D75" s="1548"/>
      <c r="E75" s="1548"/>
      <c r="F75" s="1548"/>
      <c r="G75" s="1548"/>
      <c r="H75" s="986"/>
    </row>
    <row r="76" spans="2:11" s="982" customFormat="1" ht="20.100000000000001" customHeight="1">
      <c r="B76" s="983"/>
      <c r="C76" s="1548" t="s">
        <v>858</v>
      </c>
      <c r="D76" s="1548"/>
      <c r="E76" s="1548"/>
      <c r="F76" s="1548"/>
      <c r="G76" s="1548"/>
      <c r="H76" s="986"/>
    </row>
    <row r="77" spans="2:11" s="982" customFormat="1" ht="20.100000000000001" customHeight="1">
      <c r="B77" s="983"/>
      <c r="C77" s="1556" t="s">
        <v>859</v>
      </c>
      <c r="D77" s="1556"/>
      <c r="E77" s="1556"/>
      <c r="F77" s="1556"/>
      <c r="G77" s="1556"/>
      <c r="H77" s="1556"/>
      <c r="I77" s="1556"/>
      <c r="J77" s="1556"/>
      <c r="K77" s="1556"/>
    </row>
    <row r="78" spans="2:11" s="982" customFormat="1" ht="20.100000000000001" customHeight="1">
      <c r="B78" s="983"/>
      <c r="C78" s="1555" t="s">
        <v>860</v>
      </c>
      <c r="D78" s="1555"/>
      <c r="E78" s="1555"/>
      <c r="F78" s="1555"/>
      <c r="G78" s="1555"/>
      <c r="H78" s="1555"/>
      <c r="I78" s="1555"/>
      <c r="J78" s="1555"/>
      <c r="K78" s="1555"/>
    </row>
    <row r="79" spans="2:11" s="982" customFormat="1" ht="20.100000000000001" customHeight="1">
      <c r="B79" s="983"/>
      <c r="C79" s="1555"/>
      <c r="D79" s="1555"/>
      <c r="E79" s="1555"/>
      <c r="F79" s="1555"/>
      <c r="G79" s="1555"/>
      <c r="H79" s="1555"/>
      <c r="I79" s="1555"/>
      <c r="J79" s="1555"/>
      <c r="K79" s="1555"/>
    </row>
    <row r="80" spans="2:11" s="982" customFormat="1" ht="20.100000000000001" customHeight="1">
      <c r="B80" s="983"/>
      <c r="C80" s="992"/>
      <c r="D80" s="992"/>
      <c r="E80" s="992"/>
      <c r="F80" s="992"/>
      <c r="G80" s="992"/>
      <c r="H80" s="992"/>
      <c r="I80" s="992"/>
      <c r="J80" s="992"/>
      <c r="K80" s="992"/>
    </row>
    <row r="81" spans="2:11" s="982" customFormat="1" ht="20.100000000000001" customHeight="1">
      <c r="B81" s="980">
        <v>3</v>
      </c>
      <c r="C81" s="1553" t="s">
        <v>861</v>
      </c>
      <c r="D81" s="1553"/>
      <c r="E81" s="1553"/>
      <c r="F81" s="1553"/>
      <c r="G81" s="1553"/>
      <c r="H81" s="981"/>
    </row>
    <row r="82" spans="2:11" s="982" customFormat="1" ht="36.75" customHeight="1">
      <c r="B82" s="983"/>
      <c r="C82" s="1556" t="s">
        <v>862</v>
      </c>
      <c r="D82" s="1556"/>
      <c r="E82" s="1556"/>
      <c r="F82" s="1556"/>
      <c r="G82" s="1556"/>
      <c r="H82" s="1556"/>
      <c r="I82" s="1556"/>
      <c r="J82" s="1556"/>
      <c r="K82" s="1556"/>
    </row>
    <row r="83" spans="2:11" s="982" customFormat="1" ht="20.100000000000001" customHeight="1">
      <c r="B83" s="983"/>
      <c r="C83" s="1556"/>
      <c r="D83" s="1556"/>
      <c r="E83" s="1556"/>
      <c r="F83" s="1556"/>
      <c r="G83" s="1556"/>
      <c r="H83" s="1556"/>
      <c r="I83" s="1556"/>
      <c r="J83" s="1556"/>
      <c r="K83" s="1556"/>
    </row>
    <row r="84" spans="2:11" s="982" customFormat="1" ht="20.100000000000001" customHeight="1">
      <c r="B84" s="980"/>
      <c r="C84" s="992"/>
      <c r="D84" s="992"/>
      <c r="E84" s="992"/>
      <c r="F84" s="992"/>
      <c r="G84" s="992"/>
      <c r="H84" s="987"/>
    </row>
    <row r="85" spans="2:11" s="982" customFormat="1" ht="20.100000000000001" customHeight="1">
      <c r="B85" s="980">
        <v>4</v>
      </c>
      <c r="C85" s="1553" t="s">
        <v>863</v>
      </c>
      <c r="D85" s="1553"/>
      <c r="E85" s="1553"/>
      <c r="F85" s="1553"/>
      <c r="G85" s="1553"/>
      <c r="H85" s="981"/>
    </row>
    <row r="86" spans="2:11" s="982" customFormat="1" ht="20.100000000000001" customHeight="1">
      <c r="B86" s="983"/>
      <c r="C86" s="988"/>
      <c r="D86" s="3"/>
      <c r="E86" s="3"/>
      <c r="F86" s="3"/>
      <c r="G86" s="3"/>
      <c r="H86" s="985"/>
    </row>
    <row r="87" spans="2:11" s="982" customFormat="1" ht="36" customHeight="1">
      <c r="B87" s="983"/>
      <c r="C87" s="1556" t="s">
        <v>864</v>
      </c>
      <c r="D87" s="1556"/>
      <c r="E87" s="1556"/>
      <c r="F87" s="1556"/>
      <c r="G87" s="1556"/>
      <c r="H87" s="1556"/>
      <c r="I87" s="1556"/>
      <c r="J87" s="1556"/>
      <c r="K87" s="1556"/>
    </row>
    <row r="88" spans="2:11" s="982" customFormat="1" ht="20.100000000000001" customHeight="1">
      <c r="B88" s="983"/>
      <c r="C88" s="988"/>
      <c r="D88" s="3"/>
      <c r="E88" s="3"/>
      <c r="F88" s="3"/>
      <c r="G88" s="3"/>
      <c r="H88" s="985"/>
    </row>
    <row r="89" spans="2:11" s="982" customFormat="1" ht="31.5" customHeight="1">
      <c r="B89" s="983"/>
      <c r="C89" s="1556" t="s">
        <v>865</v>
      </c>
      <c r="D89" s="1556"/>
      <c r="E89" s="1556"/>
      <c r="F89" s="1556"/>
      <c r="G89" s="1556"/>
      <c r="H89" s="1556"/>
      <c r="I89" s="1556"/>
      <c r="J89" s="1556"/>
      <c r="K89" s="1556"/>
    </row>
    <row r="90" spans="2:11" s="982" customFormat="1" ht="20.100000000000001" customHeight="1">
      <c r="B90" s="983"/>
      <c r="C90" s="988"/>
      <c r="D90" s="3"/>
      <c r="E90" s="3"/>
      <c r="F90" s="3"/>
      <c r="G90" s="3"/>
      <c r="H90" s="985"/>
    </row>
    <row r="91" spans="2:11" s="982" customFormat="1" ht="20.100000000000001" customHeight="1">
      <c r="B91" s="983"/>
      <c r="C91" s="1548" t="s">
        <v>866</v>
      </c>
      <c r="D91" s="1548"/>
      <c r="E91" s="1548"/>
      <c r="F91" s="1548"/>
      <c r="G91" s="1548"/>
      <c r="H91" s="986"/>
    </row>
    <row r="92" spans="2:11" s="982" customFormat="1" ht="20.100000000000001" customHeight="1">
      <c r="B92" s="983"/>
      <c r="C92" s="1548" t="s">
        <v>867</v>
      </c>
      <c r="D92" s="1548"/>
      <c r="E92" s="1548"/>
      <c r="F92" s="1548"/>
      <c r="G92" s="1548"/>
      <c r="H92" s="986"/>
    </row>
    <row r="93" spans="2:11" s="982" customFormat="1" ht="20.100000000000001" customHeight="1">
      <c r="B93" s="983"/>
      <c r="C93" s="1548" t="s">
        <v>868</v>
      </c>
      <c r="D93" s="1548"/>
      <c r="E93" s="1548"/>
      <c r="F93" s="1548"/>
      <c r="G93" s="1548"/>
      <c r="H93" s="986"/>
    </row>
    <row r="94" spans="2:11" s="982" customFormat="1" ht="20.100000000000001" customHeight="1">
      <c r="B94" s="983"/>
      <c r="C94" s="1548" t="s">
        <v>869</v>
      </c>
      <c r="D94" s="1548"/>
      <c r="E94" s="1548"/>
      <c r="F94" s="1548"/>
      <c r="G94" s="1548"/>
      <c r="H94" s="986"/>
    </row>
    <row r="95" spans="2:11" s="982" customFormat="1" ht="20.100000000000001" customHeight="1">
      <c r="B95" s="983"/>
      <c r="C95" s="1548" t="s">
        <v>870</v>
      </c>
      <c r="D95" s="1548"/>
      <c r="E95" s="1548"/>
      <c r="F95" s="1548"/>
      <c r="G95" s="1548"/>
      <c r="H95" s="986"/>
    </row>
    <row r="96" spans="2:11" s="982" customFormat="1" ht="20.100000000000001" customHeight="1">
      <c r="B96" s="983"/>
      <c r="C96" s="1548" t="s">
        <v>871</v>
      </c>
      <c r="D96" s="1548"/>
      <c r="E96" s="1548"/>
      <c r="F96" s="1548"/>
      <c r="G96" s="1548"/>
      <c r="H96" s="986"/>
    </row>
    <row r="97" spans="2:11" s="982" customFormat="1" ht="20.100000000000001" customHeight="1">
      <c r="B97" s="983"/>
      <c r="C97" s="989"/>
      <c r="D97" s="989"/>
      <c r="E97" s="989"/>
      <c r="F97" s="989"/>
      <c r="G97" s="989"/>
      <c r="H97" s="986"/>
    </row>
    <row r="98" spans="2:11" s="982" customFormat="1" ht="76.5" customHeight="1">
      <c r="B98" s="1556" t="s">
        <v>872</v>
      </c>
      <c r="C98" s="1556"/>
      <c r="D98" s="1556"/>
      <c r="E98" s="1556"/>
      <c r="F98" s="1556"/>
      <c r="G98" s="1556"/>
      <c r="H98" s="1556"/>
      <c r="I98" s="1556"/>
      <c r="J98" s="1556"/>
      <c r="K98" s="1556"/>
    </row>
    <row r="99" spans="2:11" s="982" customFormat="1" ht="33.75" customHeight="1">
      <c r="B99" s="1556" t="s">
        <v>873</v>
      </c>
      <c r="C99" s="1556"/>
      <c r="D99" s="1556"/>
      <c r="E99" s="1556"/>
      <c r="F99" s="1556"/>
      <c r="G99" s="1556"/>
      <c r="H99" s="1556"/>
      <c r="I99" s="1556"/>
      <c r="J99" s="1556"/>
      <c r="K99" s="1556"/>
    </row>
    <row r="100" spans="2:11" s="982" customFormat="1" ht="20.100000000000001" customHeight="1">
      <c r="B100" s="993"/>
      <c r="C100" s="993"/>
      <c r="D100" s="993"/>
      <c r="E100" s="993"/>
      <c r="F100" s="993"/>
      <c r="G100" s="993"/>
      <c r="H100" s="994"/>
    </row>
    <row r="101" spans="2:11" s="982" customFormat="1" ht="27" customHeight="1">
      <c r="B101" s="1556" t="s">
        <v>874</v>
      </c>
      <c r="C101" s="1556"/>
      <c r="D101" s="1556"/>
      <c r="E101" s="1556"/>
      <c r="F101" s="1556"/>
      <c r="G101" s="1556"/>
      <c r="H101" s="1556"/>
      <c r="I101" s="1556"/>
      <c r="J101" s="1556"/>
      <c r="K101" s="1556"/>
    </row>
    <row r="102" spans="2:11" s="982" customFormat="1" ht="20.100000000000001" customHeight="1">
      <c r="B102" s="993"/>
      <c r="C102" s="992"/>
      <c r="D102" s="992"/>
      <c r="E102" s="992"/>
      <c r="F102" s="992"/>
      <c r="G102" s="992"/>
      <c r="H102" s="987"/>
    </row>
    <row r="103" spans="2:11" s="982" customFormat="1" ht="20.100000000000001" customHeight="1">
      <c r="B103" s="1556" t="s">
        <v>875</v>
      </c>
      <c r="C103" s="1556"/>
      <c r="D103" s="1556"/>
      <c r="E103" s="1556"/>
      <c r="F103" s="1556"/>
      <c r="G103" s="1556"/>
      <c r="H103" s="994"/>
    </row>
    <row r="104" spans="2:11" s="982" customFormat="1" ht="20.100000000000001" customHeight="1">
      <c r="B104" s="993"/>
      <c r="C104" s="993"/>
      <c r="D104" s="993"/>
      <c r="E104" s="993"/>
      <c r="F104" s="993"/>
      <c r="G104" s="993"/>
      <c r="H104" s="994"/>
    </row>
    <row r="105" spans="2:11" s="982" customFormat="1" ht="20.100000000000001" customHeight="1">
      <c r="B105" s="1556" t="s">
        <v>876</v>
      </c>
      <c r="C105" s="1556"/>
      <c r="D105" s="1556"/>
      <c r="E105" s="1556"/>
      <c r="F105" s="1556"/>
      <c r="G105" s="1556"/>
      <c r="H105" s="1556"/>
      <c r="I105" s="1556"/>
      <c r="J105" s="1556"/>
      <c r="K105" s="1556"/>
    </row>
    <row r="106" spans="2:11" s="982" customFormat="1" ht="20.100000000000001" customHeight="1">
      <c r="B106" s="993"/>
      <c r="C106" s="992"/>
      <c r="D106" s="992"/>
      <c r="E106" s="992"/>
      <c r="F106" s="992"/>
      <c r="G106" s="992"/>
      <c r="H106" s="987"/>
    </row>
    <row r="107" spans="2:11" s="982" customFormat="1" ht="20.100000000000001" customHeight="1">
      <c r="B107" s="1548" t="s">
        <v>877</v>
      </c>
      <c r="C107" s="1548"/>
      <c r="D107" s="1548"/>
      <c r="E107" s="1548"/>
      <c r="F107" s="1548"/>
      <c r="G107" s="1548"/>
      <c r="H107" s="986"/>
    </row>
    <row r="108" spans="2:11" s="982" customFormat="1" ht="20.100000000000001" customHeight="1">
      <c r="B108" s="1553" t="s">
        <v>819</v>
      </c>
      <c r="C108" s="1553"/>
      <c r="D108" s="1553"/>
      <c r="E108" s="1553"/>
      <c r="F108" s="1553"/>
      <c r="G108" s="1553"/>
      <c r="H108" s="981"/>
    </row>
    <row r="109" spans="2:11" s="982" customFormat="1" ht="20.100000000000001" customHeight="1">
      <c r="B109" s="989"/>
      <c r="C109" s="989"/>
      <c r="D109" s="989"/>
      <c r="E109" s="989"/>
      <c r="F109" s="989"/>
      <c r="G109" s="989"/>
      <c r="H109" s="986"/>
    </row>
    <row r="110" spans="2:11" s="982" customFormat="1" ht="20.100000000000001" customHeight="1">
      <c r="B110" s="989"/>
      <c r="C110" s="989"/>
      <c r="D110" s="989"/>
      <c r="E110" s="989"/>
      <c r="F110" s="989"/>
      <c r="G110" s="989"/>
      <c r="H110" s="986"/>
    </row>
    <row r="111" spans="2:11" s="982" customFormat="1" ht="20.100000000000001" customHeight="1">
      <c r="B111" s="989"/>
      <c r="C111" s="989"/>
      <c r="D111" s="989"/>
      <c r="E111" s="989"/>
      <c r="F111" s="989"/>
      <c r="G111" s="989"/>
      <c r="H111" s="986"/>
    </row>
    <row r="112" spans="2:11" s="982" customFormat="1" ht="20.100000000000001" customHeight="1">
      <c r="B112" s="989"/>
      <c r="C112" s="989"/>
      <c r="D112" s="989"/>
      <c r="E112" s="989"/>
      <c r="F112" s="989"/>
      <c r="G112" s="989"/>
      <c r="H112" s="986"/>
    </row>
    <row r="113" spans="2:11" s="982" customFormat="1" ht="20.100000000000001" customHeight="1">
      <c r="B113" s="989"/>
      <c r="C113" s="989"/>
      <c r="D113" s="989"/>
      <c r="E113" s="989"/>
      <c r="F113" s="989"/>
      <c r="G113" s="989"/>
      <c r="H113" s="986"/>
    </row>
    <row r="114" spans="2:11" s="982" customFormat="1" ht="20.100000000000001" customHeight="1">
      <c r="B114" s="1557"/>
      <c r="C114" s="1557"/>
      <c r="D114" s="989"/>
      <c r="G114" s="989"/>
      <c r="H114" s="1557" t="str">
        <f>'[5]Deal Sheet'!$C$5</f>
        <v>STEWART BAXTER</v>
      </c>
      <c r="I114" s="1557"/>
    </row>
    <row r="115" spans="2:11" s="982" customFormat="1" ht="20.100000000000001" customHeight="1">
      <c r="B115" s="1557" t="s">
        <v>122</v>
      </c>
      <c r="C115" s="1557"/>
      <c r="D115" s="989"/>
      <c r="G115" s="989"/>
      <c r="H115" s="1557" t="s">
        <v>214</v>
      </c>
      <c r="I115" s="1557"/>
    </row>
    <row r="116" spans="2:11" s="982" customFormat="1" ht="40" customHeight="1">
      <c r="B116" s="989"/>
      <c r="C116" s="989"/>
      <c r="D116" s="989"/>
      <c r="E116" s="989"/>
      <c r="F116" s="989"/>
      <c r="G116" s="989"/>
      <c r="H116" s="986"/>
    </row>
    <row r="117" spans="2:11" ht="22.5" customHeight="1">
      <c r="B117" s="422"/>
      <c r="C117" s="418"/>
      <c r="D117"/>
      <c r="E117"/>
      <c r="F117"/>
      <c r="G117"/>
      <c r="H117" s="995"/>
      <c r="J117" s="1136" t="s">
        <v>1190</v>
      </c>
      <c r="K117" s="1136" t="str">
        <f>OTP!$H$10</f>
        <v>BFN50H02A5</v>
      </c>
    </row>
    <row r="118" spans="2:11" ht="40" customHeight="1">
      <c r="B118" s="878"/>
      <c r="C118" s="1558" t="s">
        <v>878</v>
      </c>
      <c r="D118" s="1559"/>
      <c r="E118" s="1560" t="str">
        <f>Quotation!D20</f>
        <v>BFN50H02A5</v>
      </c>
      <c r="F118" s="1561"/>
      <c r="G118" s="1561"/>
      <c r="H118" s="996"/>
    </row>
    <row r="119" spans="2:11" ht="40" customHeight="1">
      <c r="B119" s="878"/>
      <c r="C119" s="1558" t="s">
        <v>1194</v>
      </c>
      <c r="D119" s="1559"/>
      <c r="E119" s="1561" t="str">
        <f>Quotation!D26</f>
        <v>TGX-26-5406X4BLS-XLX</v>
      </c>
      <c r="F119" s="1561"/>
      <c r="G119" s="1561"/>
      <c r="H119" s="997"/>
    </row>
    <row r="120" spans="2:11" ht="40" customHeight="1">
      <c r="B120" s="878"/>
      <c r="C120" s="1558" t="s">
        <v>824</v>
      </c>
      <c r="D120" s="1559"/>
      <c r="E120" s="1561">
        <f>Quotation!I26</f>
        <v>1</v>
      </c>
      <c r="F120" s="1561"/>
      <c r="G120" s="1561"/>
      <c r="H120" s="998"/>
    </row>
    <row r="121" spans="2:11" ht="40" customHeight="1">
      <c r="B121" s="878"/>
      <c r="C121" s="1558" t="s">
        <v>538</v>
      </c>
      <c r="D121" s="1559"/>
      <c r="E121" s="1561" t="str">
        <f>Quotation!C6</f>
        <v>ABCD Transport</v>
      </c>
      <c r="F121" s="1561"/>
      <c r="G121" s="1561"/>
      <c r="H121" s="998"/>
    </row>
    <row r="122" spans="2:11" ht="40" customHeight="1">
      <c r="B122" s="878"/>
      <c r="C122" s="419"/>
      <c r="D122" s="419"/>
      <c r="E122" s="419"/>
      <c r="F122" s="419"/>
      <c r="G122" s="419"/>
      <c r="H122" s="998"/>
    </row>
    <row r="123" spans="2:11" ht="40" customHeight="1">
      <c r="B123" s="878"/>
      <c r="C123" s="420" t="s">
        <v>879</v>
      </c>
      <c r="D123" s="419"/>
      <c r="E123" s="419"/>
      <c r="F123" s="419"/>
      <c r="G123" s="419"/>
      <c r="H123" s="998"/>
    </row>
    <row r="124" spans="2:11" ht="40" customHeight="1">
      <c r="B124" s="878"/>
      <c r="C124" s="419"/>
      <c r="D124" s="419"/>
      <c r="E124" s="419"/>
      <c r="F124" s="419"/>
      <c r="G124" s="419"/>
      <c r="H124" s="998"/>
    </row>
    <row r="125" spans="2:11" ht="40" customHeight="1">
      <c r="B125" s="878"/>
      <c r="C125" s="1562"/>
      <c r="D125" s="1562"/>
      <c r="E125" s="1562"/>
      <c r="F125" s="1562"/>
      <c r="G125" s="1562"/>
      <c r="H125" s="1563"/>
      <c r="I125" s="1564"/>
      <c r="J125" s="1565"/>
      <c r="K125" s="1565"/>
    </row>
    <row r="126" spans="2:11" ht="40" customHeight="1">
      <c r="B126" s="878"/>
      <c r="C126" s="1566" t="s">
        <v>30</v>
      </c>
      <c r="D126" s="1566"/>
      <c r="E126" s="1566"/>
      <c r="F126" s="1566"/>
      <c r="G126" s="1566"/>
      <c r="H126" s="1567" t="s">
        <v>31</v>
      </c>
      <c r="I126" s="1566"/>
      <c r="J126" s="1566" t="s">
        <v>29</v>
      </c>
      <c r="K126" s="1566"/>
    </row>
    <row r="127" spans="2:11" ht="40" customHeight="1">
      <c r="B127" s="421"/>
      <c r="C127" s="421"/>
      <c r="D127" s="421"/>
      <c r="E127" s="421"/>
      <c r="F127" s="421"/>
      <c r="G127" s="421"/>
      <c r="H127" s="996"/>
    </row>
    <row r="128" spans="2:11" ht="40" customHeight="1">
      <c r="B128" s="421"/>
      <c r="C128" s="421"/>
      <c r="D128" s="421"/>
      <c r="E128" s="421"/>
      <c r="F128" s="421"/>
      <c r="G128" s="421"/>
      <c r="H128" s="996"/>
    </row>
    <row r="129" spans="2:11" ht="40" customHeight="1">
      <c r="B129" s="421"/>
      <c r="C129" s="421"/>
      <c r="D129" s="421"/>
      <c r="E129" s="421"/>
      <c r="F129" s="421"/>
      <c r="G129" s="421"/>
      <c r="H129" s="996"/>
    </row>
    <row r="130" spans="2:11" ht="40" customHeight="1">
      <c r="B130" s="876"/>
      <c r="C130" s="1569" t="s">
        <v>880</v>
      </c>
      <c r="D130" s="1569"/>
      <c r="E130" s="876"/>
      <c r="F130" s="876"/>
      <c r="G130" s="876"/>
      <c r="H130" s="999"/>
    </row>
    <row r="131" spans="2:11" ht="40" customHeight="1">
      <c r="B131" s="421"/>
      <c r="C131" s="1564"/>
      <c r="D131" s="1564"/>
      <c r="E131" s="1564"/>
      <c r="F131" s="1564"/>
      <c r="G131" s="1564"/>
      <c r="H131" s="1564"/>
      <c r="I131" s="1564"/>
      <c r="J131" s="1564"/>
      <c r="K131" s="1564"/>
    </row>
    <row r="132" spans="2:11" ht="40" customHeight="1">
      <c r="B132" s="876"/>
      <c r="C132" s="1570"/>
      <c r="D132" s="1570"/>
      <c r="E132" s="1570"/>
      <c r="F132" s="1570"/>
      <c r="G132" s="1570"/>
      <c r="H132" s="1570"/>
      <c r="I132" s="1570"/>
      <c r="J132" s="1570"/>
      <c r="K132" s="1570"/>
    </row>
    <row r="133" spans="2:11" ht="40" customHeight="1">
      <c r="B133" s="421"/>
      <c r="C133" s="1564"/>
      <c r="D133" s="1564"/>
      <c r="E133" s="1564"/>
      <c r="F133" s="1564"/>
      <c r="G133" s="1564"/>
      <c r="H133" s="1564"/>
      <c r="I133" s="1564"/>
      <c r="J133" s="1564"/>
      <c r="K133" s="1564"/>
    </row>
    <row r="134" spans="2:11" ht="40" customHeight="1">
      <c r="B134" s="876"/>
      <c r="C134" s="1564"/>
      <c r="D134" s="1564"/>
      <c r="E134" s="1564"/>
      <c r="F134" s="1564"/>
      <c r="G134" s="1564"/>
      <c r="H134" s="1564"/>
      <c r="I134" s="1564"/>
      <c r="J134" s="1564"/>
      <c r="K134" s="1564"/>
    </row>
    <row r="135" spans="2:11" ht="40" customHeight="1">
      <c r="B135" s="421"/>
      <c r="C135" s="1564"/>
      <c r="D135" s="1564"/>
      <c r="E135" s="1564"/>
      <c r="F135" s="1564"/>
      <c r="G135" s="1564"/>
      <c r="H135" s="1564"/>
      <c r="I135" s="1564"/>
      <c r="J135" s="1564"/>
      <c r="K135" s="1564"/>
    </row>
    <row r="136" spans="2:11" ht="40" customHeight="1">
      <c r="B136" s="421"/>
      <c r="C136" s="1564"/>
      <c r="D136" s="1564"/>
      <c r="E136" s="1564"/>
      <c r="F136" s="1564"/>
      <c r="G136" s="1564"/>
      <c r="H136" s="1564"/>
      <c r="I136" s="1564"/>
      <c r="J136" s="1564"/>
      <c r="K136" s="1564"/>
    </row>
    <row r="137" spans="2:11" ht="40" customHeight="1">
      <c r="B137" s="876"/>
      <c r="C137" s="1570"/>
      <c r="D137" s="1570"/>
      <c r="E137" s="1570"/>
      <c r="F137" s="1570"/>
      <c r="G137" s="1570"/>
      <c r="H137" s="1570"/>
      <c r="I137" s="1570"/>
      <c r="J137" s="1570"/>
      <c r="K137" s="1570"/>
    </row>
    <row r="138" spans="2:11" ht="40" customHeight="1">
      <c r="B138" s="421"/>
      <c r="C138" s="1564"/>
      <c r="D138" s="1564"/>
      <c r="E138" s="1564"/>
      <c r="F138" s="1564"/>
      <c r="G138" s="1564"/>
      <c r="H138" s="1564"/>
      <c r="I138" s="1564"/>
      <c r="J138" s="1564"/>
      <c r="K138" s="1564"/>
    </row>
    <row r="139" spans="2:11" ht="40" customHeight="1">
      <c r="B139" s="876"/>
      <c r="C139" s="1564"/>
      <c r="D139" s="1564"/>
      <c r="E139" s="1564"/>
      <c r="F139" s="1564"/>
      <c r="G139" s="1564"/>
      <c r="H139" s="1564"/>
      <c r="I139" s="1564"/>
      <c r="J139" s="1564"/>
      <c r="K139" s="1564"/>
    </row>
    <row r="140" spans="2:11" ht="40" customHeight="1">
      <c r="B140" s="421"/>
      <c r="C140" s="1564"/>
      <c r="D140" s="1564"/>
      <c r="E140" s="1564"/>
      <c r="F140" s="1564"/>
      <c r="G140" s="1564"/>
      <c r="H140" s="1564"/>
      <c r="I140" s="1564"/>
      <c r="J140" s="1564"/>
      <c r="K140" s="1564"/>
    </row>
    <row r="141" spans="2:11" ht="40" customHeight="1">
      <c r="B141" s="876"/>
      <c r="C141" s="877"/>
      <c r="D141" s="877"/>
      <c r="E141" s="877"/>
      <c r="F141" s="877"/>
      <c r="G141" s="877"/>
      <c r="H141" s="1000"/>
    </row>
    <row r="142" spans="2:11" ht="20.100000000000001" customHeight="1">
      <c r="B142" s="421"/>
      <c r="C142" s="421"/>
      <c r="D142" s="421"/>
      <c r="E142" s="421"/>
      <c r="F142" s="421"/>
      <c r="G142" s="421"/>
      <c r="H142" s="996"/>
    </row>
    <row r="143" spans="2:11" ht="20.100000000000001" customHeight="1">
      <c r="B143" s="876"/>
      <c r="C143" s="1568" t="s">
        <v>881</v>
      </c>
      <c r="D143" s="1568"/>
      <c r="E143" s="1568"/>
      <c r="F143" s="877"/>
      <c r="G143" s="877"/>
      <c r="H143" s="1000"/>
    </row>
    <row r="144" spans="2:11" ht="20.100000000000001" customHeight="1">
      <c r="B144" s="419"/>
      <c r="C144" s="419"/>
      <c r="D144" s="419"/>
      <c r="E144" s="419"/>
      <c r="F144" s="419"/>
      <c r="G144" s="419"/>
      <c r="H144" s="998"/>
    </row>
    <row r="145" spans="2:8" ht="15" customHeight="1">
      <c r="B145" s="875"/>
      <c r="C145" s="875"/>
      <c r="D145" s="875"/>
      <c r="E145" s="875"/>
      <c r="F145" s="875"/>
      <c r="G145" s="875"/>
      <c r="H145" s="1001"/>
    </row>
    <row r="146" spans="2:8" ht="15" customHeight="1">
      <c r="B146" s="419"/>
      <c r="C146" s="419"/>
      <c r="D146" s="419"/>
      <c r="E146" s="419"/>
      <c r="F146" s="419"/>
      <c r="G146" s="419"/>
      <c r="H146" s="998"/>
    </row>
    <row r="147" spans="2:8" ht="15" customHeight="1">
      <c r="B147" s="419"/>
      <c r="C147" s="419"/>
      <c r="D147" s="419"/>
      <c r="E147" s="419"/>
      <c r="F147" s="419"/>
      <c r="G147" s="419"/>
      <c r="H147" s="998"/>
    </row>
    <row r="148" spans="2:8" ht="15" customHeight="1">
      <c r="B148" s="419"/>
      <c r="C148" s="419"/>
      <c r="D148" s="419"/>
      <c r="E148" s="419"/>
      <c r="F148" s="419"/>
      <c r="G148" s="419"/>
      <c r="H148" s="998"/>
    </row>
    <row r="149" spans="2:8" ht="15" customHeight="1">
      <c r="B149" s="419"/>
      <c r="C149" s="419"/>
      <c r="D149" s="419"/>
      <c r="E149" s="419"/>
      <c r="F149" s="419"/>
      <c r="G149" s="419"/>
      <c r="H149" s="998"/>
    </row>
    <row r="150" spans="2:8" ht="15" customHeight="1">
      <c r="C150" s="380"/>
      <c r="D150" s="380"/>
      <c r="E150" s="380"/>
      <c r="F150" s="385"/>
      <c r="G150" s="380"/>
      <c r="H150" s="382"/>
    </row>
    <row r="151" spans="2:8" ht="15" customHeight="1">
      <c r="C151" s="380"/>
      <c r="D151" s="380"/>
      <c r="E151" s="380"/>
      <c r="F151" s="385"/>
      <c r="G151" s="380"/>
      <c r="H151" s="382"/>
    </row>
    <row r="152" spans="2:8" ht="15" customHeight="1">
      <c r="C152" s="380"/>
      <c r="D152" s="380"/>
      <c r="E152" s="380"/>
      <c r="F152" s="385"/>
      <c r="G152" s="380"/>
      <c r="H152" s="382"/>
    </row>
    <row r="153" spans="2:8" ht="15" customHeight="1">
      <c r="C153" s="380"/>
      <c r="D153" s="380"/>
      <c r="E153" s="380"/>
      <c r="F153" s="385"/>
      <c r="G153" s="380"/>
      <c r="H153" s="382"/>
    </row>
    <row r="154" spans="2:8" ht="15" customHeight="1">
      <c r="C154" s="380"/>
      <c r="D154" s="380"/>
      <c r="E154" s="380"/>
      <c r="F154" s="385"/>
      <c r="G154" s="380"/>
      <c r="H154" s="382"/>
    </row>
    <row r="155" spans="2:8" ht="15" customHeight="1">
      <c r="C155" s="380"/>
      <c r="D155" s="380"/>
      <c r="E155" s="380"/>
      <c r="F155" s="385"/>
      <c r="G155" s="380"/>
      <c r="H155" s="382"/>
    </row>
    <row r="156" spans="2:8" ht="15" customHeight="1">
      <c r="C156" s="380"/>
      <c r="D156" s="380"/>
      <c r="E156" s="380"/>
      <c r="F156" s="385"/>
      <c r="G156" s="380"/>
      <c r="H156" s="382"/>
    </row>
    <row r="157" spans="2:8" ht="15" customHeight="1">
      <c r="C157" s="380"/>
      <c r="D157" s="380"/>
      <c r="E157" s="380"/>
      <c r="F157" s="385"/>
      <c r="G157" s="380"/>
      <c r="H157" s="382"/>
    </row>
    <row r="158" spans="2:8" ht="15" customHeight="1">
      <c r="C158" s="380"/>
      <c r="D158" s="380"/>
      <c r="E158" s="380"/>
      <c r="F158" s="385"/>
      <c r="G158" s="380"/>
      <c r="H158" s="382"/>
    </row>
    <row r="159" spans="2:8" ht="15" customHeight="1">
      <c r="C159" s="380"/>
      <c r="D159" s="380"/>
      <c r="E159" s="380"/>
      <c r="F159" s="385"/>
      <c r="G159" s="380"/>
      <c r="H159" s="382"/>
    </row>
    <row r="160" spans="2:8" ht="15" customHeight="1">
      <c r="C160" s="380"/>
      <c r="D160" s="380"/>
      <c r="E160" s="380"/>
      <c r="F160" s="380"/>
      <c r="G160" s="380"/>
      <c r="H160" s="382"/>
    </row>
    <row r="161" spans="3:8" ht="15" customHeight="1">
      <c r="C161" s="380"/>
      <c r="D161" s="380"/>
      <c r="E161" s="380"/>
      <c r="F161" s="380"/>
      <c r="G161" s="380"/>
      <c r="H161" s="382"/>
    </row>
    <row r="162" spans="3:8" ht="15" customHeight="1">
      <c r="C162" s="380"/>
      <c r="D162" s="380"/>
      <c r="E162" s="380"/>
      <c r="F162" s="380"/>
      <c r="G162" s="380"/>
      <c r="H162" s="382"/>
    </row>
    <row r="163" spans="3:8" ht="15" customHeight="1">
      <c r="C163" s="380"/>
      <c r="D163" s="380"/>
      <c r="E163" s="380"/>
      <c r="F163" s="380"/>
      <c r="G163" s="380"/>
      <c r="H163" s="382"/>
    </row>
    <row r="164" spans="3:8" ht="15" customHeight="1">
      <c r="C164" s="380"/>
      <c r="D164" s="380"/>
      <c r="E164" s="380"/>
      <c r="F164" s="380"/>
      <c r="G164" s="380"/>
      <c r="H164" s="382"/>
    </row>
    <row r="165" spans="3:8" ht="15" customHeight="1">
      <c r="C165" s="380"/>
      <c r="D165" s="380"/>
      <c r="E165" s="380"/>
      <c r="F165" s="380"/>
      <c r="G165" s="380"/>
      <c r="H165" s="382"/>
    </row>
    <row r="166" spans="3:8" ht="15" customHeight="1">
      <c r="C166" s="380"/>
      <c r="D166" s="380"/>
      <c r="E166" s="380"/>
      <c r="F166" s="380"/>
      <c r="G166" s="380"/>
      <c r="H166" s="382"/>
    </row>
    <row r="167" spans="3:8" ht="15" customHeight="1">
      <c r="C167" s="380"/>
      <c r="D167" s="380"/>
      <c r="E167" s="380"/>
      <c r="F167" s="380"/>
      <c r="G167" s="380"/>
      <c r="H167" s="382"/>
    </row>
    <row r="168" spans="3:8" ht="15" customHeight="1">
      <c r="C168" s="380"/>
      <c r="D168" s="380"/>
      <c r="E168" s="380"/>
      <c r="F168" s="380"/>
      <c r="G168" s="380"/>
      <c r="H168" s="382"/>
    </row>
    <row r="169" spans="3:8" ht="15" customHeight="1">
      <c r="C169" s="380"/>
      <c r="D169" s="380"/>
      <c r="E169" s="380"/>
      <c r="F169" s="380"/>
      <c r="G169" s="380"/>
      <c r="H169" s="382"/>
    </row>
    <row r="170" spans="3:8">
      <c r="C170" s="380"/>
      <c r="D170" s="380"/>
      <c r="E170" s="380"/>
      <c r="F170" s="380"/>
      <c r="G170" s="380"/>
      <c r="H170" s="382"/>
    </row>
    <row r="171" spans="3:8">
      <c r="C171" s="380"/>
      <c r="D171" s="380"/>
      <c r="E171" s="380"/>
      <c r="F171" s="380"/>
      <c r="G171" s="380"/>
      <c r="H171" s="382"/>
    </row>
    <row r="172" spans="3:8">
      <c r="C172" s="380"/>
      <c r="D172" s="380"/>
      <c r="E172" s="380"/>
      <c r="F172" s="380"/>
      <c r="G172" s="380"/>
      <c r="H172" s="382"/>
    </row>
    <row r="173" spans="3:8">
      <c r="C173" s="380"/>
      <c r="D173" s="380"/>
      <c r="E173" s="380"/>
      <c r="F173" s="380"/>
      <c r="G173" s="380"/>
      <c r="H173" s="382"/>
    </row>
  </sheetData>
  <sheetProtection algorithmName="SHA-512" hashValue="vIB2fuVt5+SmJ8vM8udV4G0E+16tvUc8ZFc8rqnvH85ZQHn8rJAr/ZlOouf9QSe9g4WKjbspyV8Psk8kEK+Buw==" saltValue="K4E2xUzU7lB7AkPY6PmHjQ==" spinCount="100000" sheet="1" objects="1" scenarios="1"/>
  <mergeCells count="84">
    <mergeCell ref="C143:E143"/>
    <mergeCell ref="C130:D130"/>
    <mergeCell ref="C131:K131"/>
    <mergeCell ref="C132:K132"/>
    <mergeCell ref="C133:K133"/>
    <mergeCell ref="C134:K134"/>
    <mergeCell ref="C135:K135"/>
    <mergeCell ref="C136:K136"/>
    <mergeCell ref="C137:K137"/>
    <mergeCell ref="C138:K138"/>
    <mergeCell ref="C139:K139"/>
    <mergeCell ref="C140:K140"/>
    <mergeCell ref="C125:G125"/>
    <mergeCell ref="H125:I125"/>
    <mergeCell ref="J125:K125"/>
    <mergeCell ref="C126:G126"/>
    <mergeCell ref="H126:I126"/>
    <mergeCell ref="J126:K126"/>
    <mergeCell ref="C119:D119"/>
    <mergeCell ref="E119:G119"/>
    <mergeCell ref="C120:D120"/>
    <mergeCell ref="E120:G120"/>
    <mergeCell ref="C121:D121"/>
    <mergeCell ref="E121:G121"/>
    <mergeCell ref="B114:C114"/>
    <mergeCell ref="H114:I114"/>
    <mergeCell ref="B115:C115"/>
    <mergeCell ref="H115:I115"/>
    <mergeCell ref="C118:D118"/>
    <mergeCell ref="E118:G118"/>
    <mergeCell ref="B108:G108"/>
    <mergeCell ref="C92:G92"/>
    <mergeCell ref="C93:G93"/>
    <mergeCell ref="C94:G94"/>
    <mergeCell ref="C95:G95"/>
    <mergeCell ref="C96:G96"/>
    <mergeCell ref="B98:K98"/>
    <mergeCell ref="B99:K99"/>
    <mergeCell ref="B101:K101"/>
    <mergeCell ref="B103:G103"/>
    <mergeCell ref="B105:K105"/>
    <mergeCell ref="B107:G107"/>
    <mergeCell ref="C91:G91"/>
    <mergeCell ref="C73:G73"/>
    <mergeCell ref="C74:G74"/>
    <mergeCell ref="C75:G75"/>
    <mergeCell ref="C76:G76"/>
    <mergeCell ref="C77:K77"/>
    <mergeCell ref="C78:K79"/>
    <mergeCell ref="C81:G81"/>
    <mergeCell ref="C82:K83"/>
    <mergeCell ref="C85:G85"/>
    <mergeCell ref="C87:K87"/>
    <mergeCell ref="C89:K89"/>
    <mergeCell ref="C71:K71"/>
    <mergeCell ref="C57:G57"/>
    <mergeCell ref="C58:K59"/>
    <mergeCell ref="C61:G61"/>
    <mergeCell ref="C62:K62"/>
    <mergeCell ref="C63:G63"/>
    <mergeCell ref="C64:G64"/>
    <mergeCell ref="C65:G65"/>
    <mergeCell ref="C66:G66"/>
    <mergeCell ref="C67:G67"/>
    <mergeCell ref="C68:K68"/>
    <mergeCell ref="C69:G69"/>
    <mergeCell ref="C55:G55"/>
    <mergeCell ref="C43:G43"/>
    <mergeCell ref="C44:G44"/>
    <mergeCell ref="C45:G45"/>
    <mergeCell ref="C46:G46"/>
    <mergeCell ref="C47:G47"/>
    <mergeCell ref="C49:G49"/>
    <mergeCell ref="C50:K50"/>
    <mergeCell ref="C51:K51"/>
    <mergeCell ref="C52:G52"/>
    <mergeCell ref="C53:G53"/>
    <mergeCell ref="C54:G54"/>
    <mergeCell ref="C42:G42"/>
    <mergeCell ref="C3:K3"/>
    <mergeCell ref="C7:K8"/>
    <mergeCell ref="E33:H33"/>
    <mergeCell ref="C37:G37"/>
    <mergeCell ref="C38:K40"/>
  </mergeCells>
  <printOptions horizontalCentered="1"/>
  <pageMargins left="0" right="0" top="0" bottom="0" header="0" footer="0"/>
  <pageSetup paperSize="9" scale="47" orientation="portrait" verticalDpi="4" r:id="rId1"/>
  <headerFooter alignWithMargins="0">
    <oddFooter>&amp;L&amp;BMAN Truck and Bus Confidential&amp;B&amp;C&amp;D&amp;RPage &amp;P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pageSetUpPr fitToPage="1"/>
  </sheetPr>
  <dimension ref="B1:BM102"/>
  <sheetViews>
    <sheetView zoomScaleNormal="100" workbookViewId="0">
      <selection activeCell="S2" sqref="S2:U31"/>
    </sheetView>
  </sheetViews>
  <sheetFormatPr defaultColWidth="8.83984375" defaultRowHeight="12.3"/>
  <cols>
    <col min="1" max="1" width="8.83984375" style="278"/>
    <col min="2" max="2" width="8.15625" style="278" customWidth="1"/>
    <col min="3" max="3" width="26.68359375" style="278" customWidth="1"/>
    <col min="4" max="4" width="11.68359375" style="278" customWidth="1"/>
    <col min="5" max="5" width="14.68359375" style="278" customWidth="1"/>
    <col min="6" max="6" width="18.41796875" style="278" customWidth="1"/>
    <col min="7" max="7" width="3.41796875" style="278" customWidth="1"/>
    <col min="8" max="9" width="13.26171875" style="278" customWidth="1"/>
    <col min="10" max="10" width="8.41796875" style="278" customWidth="1"/>
    <col min="11" max="11" width="8.83984375" style="278" customWidth="1"/>
    <col min="12" max="12" width="20.26171875" style="278" customWidth="1"/>
    <col min="13" max="13" width="27.15625" style="278" customWidth="1"/>
    <col min="14" max="14" width="8.15625" style="278" customWidth="1"/>
    <col min="15" max="15" width="14.578125" style="325" bestFit="1" customWidth="1"/>
    <col min="16" max="16" width="7.68359375" style="325" customWidth="1"/>
    <col min="17" max="17" width="10.15625" style="325" customWidth="1"/>
    <col min="18" max="18" width="8.83984375" style="325"/>
    <col min="19" max="19" width="8.83984375" style="492"/>
    <col min="20" max="21" width="9.578125" style="492" customWidth="1"/>
    <col min="22" max="65" width="8.83984375" style="325"/>
    <col min="66" max="16384" width="8.83984375" style="278"/>
  </cols>
  <sheetData>
    <row r="1" spans="2:29" ht="12.6" thickBot="1">
      <c r="S1" s="492" t="s">
        <v>1010</v>
      </c>
      <c r="T1" s="492" t="s">
        <v>1011</v>
      </c>
      <c r="U1" s="492" t="s">
        <v>1012</v>
      </c>
      <c r="AA1" s="492"/>
      <c r="AB1" s="492"/>
      <c r="AC1" s="492"/>
    </row>
    <row r="2" spans="2:29">
      <c r="B2" s="284"/>
      <c r="C2" s="266"/>
      <c r="D2" s="266"/>
      <c r="E2" s="266"/>
      <c r="F2" s="266"/>
      <c r="G2" s="266"/>
      <c r="H2" s="266"/>
      <c r="I2" s="266"/>
      <c r="J2" s="266"/>
      <c r="K2" s="266"/>
      <c r="L2" s="266"/>
      <c r="M2" s="266"/>
      <c r="N2" s="267"/>
      <c r="S2" s="492">
        <v>25</v>
      </c>
      <c r="T2" s="492" t="str">
        <f>IFERROR(VLOOKUP(R26,'Month of Invoicing'!$BS$17:$BT$42,2,FALSE),"")</f>
        <v>TBATG0X1</v>
      </c>
      <c r="U2" s="492" t="s">
        <v>1213</v>
      </c>
      <c r="AA2" s="492"/>
      <c r="AB2" s="492"/>
      <c r="AC2" s="492"/>
    </row>
    <row r="3" spans="2:29" ht="16.5">
      <c r="B3" s="270"/>
      <c r="C3" s="583" t="s">
        <v>567</v>
      </c>
      <c r="D3" s="268"/>
      <c r="E3" s="268"/>
      <c r="F3" s="268"/>
      <c r="G3" s="268"/>
      <c r="H3" s="268"/>
      <c r="I3" s="268"/>
      <c r="J3" s="268"/>
      <c r="K3" s="268"/>
      <c r="L3" s="294" t="s">
        <v>565</v>
      </c>
      <c r="M3" s="579"/>
      <c r="N3" s="269"/>
      <c r="Q3" s="325" t="s">
        <v>52</v>
      </c>
      <c r="S3" s="492">
        <v>27</v>
      </c>
      <c r="T3" s="492" t="str">
        <f>IFERROR(VLOOKUP(R27,'Month of Invoicing'!$BS$17:$BT$42,2,FALSE),"")</f>
        <v/>
      </c>
      <c r="U3" s="492" t="s">
        <v>200</v>
      </c>
      <c r="AA3" s="492"/>
      <c r="AB3" s="492"/>
      <c r="AC3" s="492"/>
    </row>
    <row r="4" spans="2:29">
      <c r="B4" s="270"/>
      <c r="C4" s="268"/>
      <c r="D4" s="268"/>
      <c r="E4" s="268"/>
      <c r="F4" s="268"/>
      <c r="G4" s="268"/>
      <c r="H4" s="268"/>
      <c r="I4" s="268"/>
      <c r="J4" s="268"/>
      <c r="K4" s="268"/>
      <c r="L4" s="579" t="s">
        <v>566</v>
      </c>
      <c r="M4" s="579"/>
      <c r="N4" s="269"/>
      <c r="Q4" s="325" t="s">
        <v>51</v>
      </c>
      <c r="S4" s="492">
        <v>2</v>
      </c>
      <c r="T4" s="492" t="str">
        <f>IFERROR(VLOOKUP(R28,'Month of Invoicing'!$BS$17:$BT$42,2,FALSE),"")</f>
        <v/>
      </c>
      <c r="U4" s="492" t="s">
        <v>200</v>
      </c>
      <c r="AA4" s="492"/>
      <c r="AB4" s="492"/>
      <c r="AC4" s="492"/>
    </row>
    <row r="5" spans="2:29">
      <c r="B5" s="270"/>
      <c r="C5" s="583" t="str">
        <f>IF('Data Sheet'!D23&lt;&gt;"",'Data Sheet'!D23,"")</f>
        <v>Jan Van Schalwyk</v>
      </c>
      <c r="D5" s="581"/>
      <c r="E5" s="581"/>
      <c r="F5" s="581"/>
      <c r="G5" s="268"/>
      <c r="H5" s="268"/>
      <c r="I5" s="268"/>
      <c r="J5" s="268"/>
      <c r="K5" s="268"/>
      <c r="L5" s="579" t="s">
        <v>568</v>
      </c>
      <c r="M5" s="579"/>
      <c r="N5" s="269"/>
      <c r="Q5" s="325" t="s">
        <v>1005</v>
      </c>
      <c r="S5" s="492">
        <v>17</v>
      </c>
      <c r="T5" s="492" t="str">
        <f>IFERROR(VLOOKUP(R29,'Month of Invoicing'!$BS$17:$BT$42,2,FALSE),"")</f>
        <v/>
      </c>
      <c r="U5" s="492" t="s">
        <v>200</v>
      </c>
      <c r="AA5" s="492"/>
      <c r="AB5" s="492"/>
      <c r="AC5" s="492"/>
    </row>
    <row r="6" spans="2:29">
      <c r="B6" s="270"/>
      <c r="C6" s="583" t="str">
        <f>IF('Data Sheet'!D24&lt;&gt;"",'Data Sheet'!D24,"")</f>
        <v>ABCD Transport</v>
      </c>
      <c r="D6" s="268"/>
      <c r="E6" s="268"/>
      <c r="F6" s="268"/>
      <c r="G6" s="268"/>
      <c r="H6" s="268"/>
      <c r="I6" s="268"/>
      <c r="J6" s="268"/>
      <c r="K6" s="268"/>
      <c r="L6" s="579" t="s">
        <v>569</v>
      </c>
      <c r="M6" s="579"/>
      <c r="N6" s="269"/>
      <c r="S6" s="492">
        <v>19</v>
      </c>
      <c r="T6" s="492" t="str">
        <f>IFERROR(VLOOKUP(R30,'Month of Invoicing'!$BS$17:$BT$42,2,FALSE),"")</f>
        <v/>
      </c>
      <c r="U6" s="492" t="s">
        <v>200</v>
      </c>
      <c r="AA6" s="492"/>
      <c r="AB6" s="492"/>
      <c r="AC6" s="492"/>
    </row>
    <row r="7" spans="2:29">
      <c r="B7" s="270"/>
      <c r="C7" s="579" t="str">
        <f>IF('Data Sheet'!D25&lt;&gt;"",'Data Sheet'!D25,"")</f>
        <v>Unit D7 Waterford Court</v>
      </c>
      <c r="D7" s="268"/>
      <c r="E7" s="268"/>
      <c r="F7" s="268"/>
      <c r="G7" s="268"/>
      <c r="H7" s="268"/>
      <c r="I7" s="268"/>
      <c r="J7" s="268"/>
      <c r="K7" s="268"/>
      <c r="L7" s="579" t="s">
        <v>570</v>
      </c>
      <c r="M7" s="579"/>
      <c r="N7" s="269"/>
      <c r="S7" s="492">
        <v>8</v>
      </c>
      <c r="T7" s="492" t="str">
        <f>IFERROR(VLOOKUP(R31,'Month of Invoicing'!$BS$17:$BT$42,2,FALSE),"")</f>
        <v/>
      </c>
      <c r="U7" s="492" t="s">
        <v>200</v>
      </c>
      <c r="AA7" s="492"/>
      <c r="AB7" s="492"/>
      <c r="AC7" s="492"/>
    </row>
    <row r="8" spans="2:29">
      <c r="B8" s="270"/>
      <c r="C8" s="579" t="str">
        <f>IF('Data Sheet'!D26&lt;&gt;"",'Data Sheet'!D26,"")</f>
        <v>C/o Rabie &amp; Glover Street</v>
      </c>
      <c r="D8" s="268"/>
      <c r="E8" s="268"/>
      <c r="F8" s="268"/>
      <c r="G8" s="268"/>
      <c r="H8" s="268"/>
      <c r="I8" s="268"/>
      <c r="J8" s="268"/>
      <c r="K8" s="268"/>
      <c r="L8" s="579" t="s">
        <v>571</v>
      </c>
      <c r="M8" s="579"/>
      <c r="N8" s="269"/>
      <c r="S8" s="492">
        <v>21</v>
      </c>
      <c r="T8" s="492" t="str">
        <f>IFERROR(VLOOKUP(R32,'Month of Invoicing'!$BS$17:$BT$42,2,FALSE),"")</f>
        <v/>
      </c>
      <c r="U8" s="492" t="s">
        <v>200</v>
      </c>
      <c r="AA8" s="492"/>
      <c r="AB8" s="492"/>
      <c r="AC8" s="492"/>
    </row>
    <row r="9" spans="2:29" ht="12.6">
      <c r="B9" s="270"/>
      <c r="C9" s="579" t="str">
        <f>IF('Data Sheet'!D27&lt;&gt;"",'Data Sheet'!D27,"")</f>
        <v>Lyttelton</v>
      </c>
      <c r="D9" s="268"/>
      <c r="E9" s="286" t="s">
        <v>596</v>
      </c>
      <c r="F9" s="287" t="str">
        <f>IF('Data Sheet'!D32&lt;&gt;"","("&amp;LEFT('Data Sheet'!AM32,3)&amp;")"&amp;" "&amp;MID('Data Sheet'!AM32,4,3)&amp;" "&amp;RIGHT('Data Sheet'!AM32,4),"")</f>
        <v>(012) 003 1234</v>
      </c>
      <c r="G9" s="268"/>
      <c r="H9" s="286" t="s">
        <v>311</v>
      </c>
      <c r="I9" s="265">
        <f>'Data Sheet'!D7</f>
        <v>43136</v>
      </c>
      <c r="J9" s="265"/>
      <c r="K9" s="268"/>
      <c r="L9" s="579" t="s">
        <v>572</v>
      </c>
      <c r="M9" s="579"/>
      <c r="N9" s="269"/>
      <c r="S9" s="492">
        <v>9</v>
      </c>
      <c r="T9" s="492" t="str">
        <f>IFERROR(VLOOKUP(R33,'Month of Invoicing'!$BS$17:$BT$42,2,FALSE),"")</f>
        <v/>
      </c>
      <c r="U9" s="492" t="s">
        <v>200</v>
      </c>
      <c r="AA9" s="492"/>
      <c r="AB9" s="492"/>
      <c r="AC9" s="492"/>
    </row>
    <row r="10" spans="2:29" ht="12.6">
      <c r="B10" s="270"/>
      <c r="C10" s="579" t="str">
        <f>IF('Data Sheet'!D28&lt;&gt;"",'Data Sheet'!D28,"")</f>
        <v>Centurion</v>
      </c>
      <c r="D10" s="268"/>
      <c r="E10" s="286" t="s">
        <v>573</v>
      </c>
      <c r="F10" s="268" t="str">
        <f>IF('Data Sheet'!D33&lt;&gt;"","("&amp;LEFT('Data Sheet'!AM33,3)&amp;")"&amp;" "&amp;MID('Data Sheet'!AM33,4,3)&amp;" "&amp;RIGHT('Data Sheet'!AM33,4),"")</f>
        <v>(073) 123 4567</v>
      </c>
      <c r="G10" s="268"/>
      <c r="H10" s="286" t="s">
        <v>677</v>
      </c>
      <c r="I10" s="635" t="str">
        <f>'Data Sheet'!D8</f>
        <v>BFN50H02A5</v>
      </c>
      <c r="J10" s="271"/>
      <c r="K10" s="268"/>
      <c r="L10" s="579">
        <v>1609</v>
      </c>
      <c r="M10" s="579"/>
      <c r="N10" s="269"/>
      <c r="S10" s="492">
        <v>4</v>
      </c>
      <c r="T10" s="492" t="str">
        <f>IFERROR(VLOOKUP(R34,'Month of Invoicing'!$BS$17:$BT$42,2,FALSE),"")</f>
        <v/>
      </c>
      <c r="U10" s="492" t="s">
        <v>200</v>
      </c>
      <c r="AA10" s="492"/>
      <c r="AB10" s="492"/>
      <c r="AC10" s="492"/>
    </row>
    <row r="11" spans="2:29" ht="12.6">
      <c r="B11" s="270"/>
      <c r="C11" s="268" t="str">
        <f>IF('Data Sheet'!D29&lt;&gt;"",'Data Sheet'!D29,"")</f>
        <v/>
      </c>
      <c r="D11" s="268"/>
      <c r="E11" s="286" t="s">
        <v>574</v>
      </c>
      <c r="F11" s="268" t="str">
        <f>IF('Data Sheet'!D34&lt;&gt;"","("&amp;LEFT('Data Sheet'!AM34,3)&amp;")"&amp;" "&amp;MID('Data Sheet'!AM34,4,3)&amp;" "&amp;RIGHT('Data Sheet'!AM34,4),"")</f>
        <v>(086) 669 2700</v>
      </c>
      <c r="G11" s="268"/>
      <c r="H11" s="268"/>
      <c r="I11" s="268"/>
      <c r="J11" s="268"/>
      <c r="K11" s="268"/>
      <c r="L11" s="579" t="s">
        <v>575</v>
      </c>
      <c r="M11" s="579"/>
      <c r="N11" s="269"/>
      <c r="S11" s="492">
        <v>23</v>
      </c>
      <c r="T11" s="492" t="str">
        <f>IFERROR(VLOOKUP(R35,'Month of Invoicing'!$BS$17:$BT$42,2,FALSE),"")</f>
        <v/>
      </c>
      <c r="U11" s="492" t="s">
        <v>200</v>
      </c>
      <c r="AA11" s="492"/>
      <c r="AB11" s="492"/>
      <c r="AC11" s="492"/>
    </row>
    <row r="12" spans="2:29" ht="12.6">
      <c r="B12" s="270"/>
      <c r="C12" s="299" t="str">
        <f>'Data Sheet'!$D$30&amp;""</f>
        <v>0157</v>
      </c>
      <c r="D12" s="268"/>
      <c r="E12" s="286" t="s">
        <v>576</v>
      </c>
      <c r="F12" s="300" t="str">
        <f>'Data Sheet'!D35</f>
        <v>jvanschalwyk@jjt.co.za</v>
      </c>
      <c r="G12" s="268"/>
      <c r="H12" s="268"/>
      <c r="I12" s="268"/>
      <c r="J12" s="268"/>
      <c r="K12" s="268"/>
      <c r="L12" s="579" t="s">
        <v>577</v>
      </c>
      <c r="M12" s="579"/>
      <c r="N12" s="269"/>
      <c r="S12" s="492">
        <v>22</v>
      </c>
      <c r="T12" s="492" t="str">
        <f>IFERROR(VLOOKUP(R36,'Month of Invoicing'!$BS$17:$BT$42,2,FALSE),"")</f>
        <v/>
      </c>
      <c r="U12" s="492" t="s">
        <v>200</v>
      </c>
      <c r="AA12" s="492"/>
      <c r="AB12" s="492"/>
      <c r="AC12" s="492"/>
    </row>
    <row r="13" spans="2:29" ht="12.6" thickBot="1">
      <c r="B13" s="270"/>
      <c r="C13" s="268"/>
      <c r="D13" s="268"/>
      <c r="E13" s="268"/>
      <c r="F13" s="268"/>
      <c r="G13" s="268"/>
      <c r="H13" s="268"/>
      <c r="I13" s="268"/>
      <c r="J13" s="268"/>
      <c r="K13" s="268"/>
      <c r="L13" s="268"/>
      <c r="M13" s="268"/>
      <c r="N13" s="269"/>
      <c r="S13" s="492">
        <v>11</v>
      </c>
      <c r="T13" s="492" t="str">
        <f>IFERROR(VLOOKUP(R37,'Month of Invoicing'!$BS$17:$BT$42,2,FALSE),"")</f>
        <v/>
      </c>
      <c r="U13" s="492" t="s">
        <v>200</v>
      </c>
      <c r="AA13" s="492"/>
      <c r="AB13" s="492"/>
      <c r="AC13" s="492"/>
    </row>
    <row r="14" spans="2:29" ht="22.8" thickBot="1">
      <c r="B14" s="270"/>
      <c r="C14" s="1350" t="s">
        <v>1035</v>
      </c>
      <c r="D14" s="1351"/>
      <c r="E14" s="1351"/>
      <c r="F14" s="1351"/>
      <c r="G14" s="1351"/>
      <c r="H14" s="1351"/>
      <c r="I14" s="1351"/>
      <c r="J14" s="1351"/>
      <c r="K14" s="1351"/>
      <c r="L14" s="1351"/>
      <c r="M14" s="1352"/>
      <c r="N14" s="269"/>
      <c r="P14" s="696"/>
      <c r="S14" s="492">
        <v>13</v>
      </c>
      <c r="T14" s="492" t="str">
        <f>IFERROR(VLOOKUP(R38,'Month of Invoicing'!$BS$17:$BT$42,2,FALSE),"")</f>
        <v/>
      </c>
      <c r="U14" s="492" t="s">
        <v>200</v>
      </c>
      <c r="AA14" s="492"/>
      <c r="AB14" s="492"/>
      <c r="AC14" s="492"/>
    </row>
    <row r="15" spans="2:29" ht="12.6" thickBot="1">
      <c r="B15" s="270"/>
      <c r="C15" s="268"/>
      <c r="D15" s="268"/>
      <c r="E15" s="268"/>
      <c r="F15" s="268"/>
      <c r="G15" s="268"/>
      <c r="H15" s="268"/>
      <c r="I15" s="268"/>
      <c r="J15" s="268"/>
      <c r="K15" s="268"/>
      <c r="L15" s="268"/>
      <c r="M15" s="268"/>
      <c r="N15" s="269"/>
      <c r="S15" s="492">
        <v>30</v>
      </c>
      <c r="T15" s="492" t="str">
        <f>IFERROR(VLOOKUP(R39,'Month of Invoicing'!$BS$17:$BT$42,2,FALSE),"")</f>
        <v/>
      </c>
      <c r="U15" s="492" t="s">
        <v>200</v>
      </c>
      <c r="AA15" s="492"/>
      <c r="AB15" s="492"/>
      <c r="AC15" s="492"/>
    </row>
    <row r="16" spans="2:29" ht="13.15" customHeight="1">
      <c r="B16" s="293"/>
      <c r="C16" s="1575" t="s">
        <v>998</v>
      </c>
      <c r="D16" s="1577">
        <v>43101</v>
      </c>
      <c r="E16" s="1578"/>
      <c r="F16" s="1579"/>
      <c r="G16" s="566"/>
      <c r="H16" s="604"/>
      <c r="I16" s="1585" t="s">
        <v>1040</v>
      </c>
      <c r="J16" s="1585"/>
      <c r="K16" s="1585"/>
      <c r="L16" s="1584">
        <f>Quotation!J54</f>
        <v>2565000</v>
      </c>
      <c r="M16" s="609"/>
      <c r="N16" s="269"/>
      <c r="P16" s="697"/>
      <c r="S16" s="492">
        <v>10</v>
      </c>
      <c r="T16" s="492" t="str">
        <f>IFERROR(VLOOKUP(R40,'Month of Invoicing'!$BS$17:$BT$42,2,FALSE),"")</f>
        <v/>
      </c>
      <c r="U16" s="492" t="s">
        <v>200</v>
      </c>
      <c r="AA16" s="492"/>
      <c r="AB16" s="492"/>
      <c r="AC16" s="492"/>
    </row>
    <row r="17" spans="2:65" ht="13.9" customHeight="1" thickBot="1">
      <c r="B17" s="293"/>
      <c r="C17" s="1576"/>
      <c r="D17" s="1580"/>
      <c r="E17" s="1581"/>
      <c r="F17" s="1582"/>
      <c r="G17" s="1573" t="s">
        <v>1061</v>
      </c>
      <c r="H17" s="1574"/>
      <c r="I17" s="1585"/>
      <c r="J17" s="1585"/>
      <c r="K17" s="1585"/>
      <c r="L17" s="1584"/>
      <c r="M17" s="610" t="s">
        <v>1022</v>
      </c>
      <c r="N17" s="269"/>
      <c r="P17" s="697"/>
      <c r="S17" s="492">
        <v>14</v>
      </c>
      <c r="T17" s="492" t="str">
        <f>IFERROR(VLOOKUP(R41,'Month of Invoicing'!$BS$17:$BT$42,2,FALSE),"")</f>
        <v/>
      </c>
      <c r="U17" s="492" t="s">
        <v>200</v>
      </c>
      <c r="AA17" s="492"/>
      <c r="AB17" s="492"/>
      <c r="AC17" s="492"/>
    </row>
    <row r="18" spans="2:65" ht="13.9" customHeight="1" thickBot="1">
      <c r="B18" s="270"/>
      <c r="C18" s="580"/>
      <c r="D18" s="580"/>
      <c r="E18" s="580"/>
      <c r="F18" s="580"/>
      <c r="G18" s="580"/>
      <c r="H18" s="580"/>
      <c r="I18" s="580"/>
      <c r="J18" s="580"/>
      <c r="K18" s="580"/>
      <c r="L18" s="580"/>
      <c r="M18" s="580"/>
      <c r="N18" s="269"/>
      <c r="P18" s="567"/>
      <c r="S18" s="492">
        <v>1</v>
      </c>
      <c r="T18" s="492" t="str">
        <f>IFERROR(VLOOKUP(R42,'Month of Invoicing'!$BS$17:$BT$42,2,FALSE),"")</f>
        <v/>
      </c>
      <c r="U18" s="492" t="s">
        <v>200</v>
      </c>
      <c r="AA18" s="492"/>
      <c r="AB18" s="492"/>
      <c r="AC18" s="492"/>
    </row>
    <row r="19" spans="2:65" s="280" customFormat="1" ht="10.15" customHeight="1">
      <c r="B19" s="289"/>
      <c r="C19" s="303" t="s">
        <v>579</v>
      </c>
      <c r="D19" s="266"/>
      <c r="E19" s="266"/>
      <c r="F19" s="266"/>
      <c r="G19" s="266"/>
      <c r="H19" s="266"/>
      <c r="I19" s="266"/>
      <c r="J19" s="266"/>
      <c r="K19" s="266"/>
      <c r="L19" s="266"/>
      <c r="M19" s="267"/>
      <c r="N19" s="290"/>
      <c r="O19" s="567"/>
      <c r="P19" s="567"/>
      <c r="Q19" s="567"/>
      <c r="R19" s="567"/>
      <c r="S19" s="492">
        <v>16</v>
      </c>
      <c r="T19" s="492" t="str">
        <f>IFERROR(VLOOKUP(R43,'Month of Invoicing'!$BS$17:$BT$42,2,FALSE),"")</f>
        <v/>
      </c>
      <c r="U19" s="492" t="s">
        <v>200</v>
      </c>
      <c r="V19" s="567"/>
      <c r="W19" s="567"/>
      <c r="X19" s="567"/>
      <c r="Y19" s="325"/>
      <c r="Z19" s="325"/>
      <c r="AA19" s="492"/>
      <c r="AB19" s="492"/>
      <c r="AC19" s="492"/>
      <c r="AD19" s="325"/>
      <c r="AE19" s="567"/>
      <c r="AF19" s="567"/>
      <c r="AG19" s="567"/>
      <c r="AH19" s="567"/>
      <c r="AI19" s="567"/>
      <c r="AJ19" s="567"/>
      <c r="AK19" s="567"/>
      <c r="AL19" s="567"/>
      <c r="AM19" s="567"/>
      <c r="AN19" s="567"/>
      <c r="AO19" s="567"/>
      <c r="AP19" s="567"/>
      <c r="AQ19" s="567"/>
      <c r="AR19" s="567"/>
      <c r="AS19" s="567"/>
      <c r="AT19" s="567"/>
      <c r="AU19" s="567"/>
      <c r="AV19" s="567"/>
      <c r="AW19" s="567"/>
      <c r="AX19" s="567"/>
      <c r="AY19" s="567"/>
      <c r="AZ19" s="567"/>
      <c r="BA19" s="567"/>
      <c r="BB19" s="567"/>
      <c r="BC19" s="567"/>
      <c r="BD19" s="567"/>
      <c r="BE19" s="567"/>
      <c r="BF19" s="567"/>
      <c r="BG19" s="567"/>
      <c r="BH19" s="567"/>
      <c r="BI19" s="567"/>
      <c r="BJ19" s="567"/>
      <c r="BK19" s="567"/>
      <c r="BL19" s="567"/>
      <c r="BM19" s="567"/>
    </row>
    <row r="20" spans="2:65" s="280" customFormat="1" ht="10.15" customHeight="1">
      <c r="B20" s="289"/>
      <c r="C20" s="301" t="s">
        <v>999</v>
      </c>
      <c r="D20" s="1583" t="str">
        <f>'Deal Sheet'!M12</f>
        <v>TGX-26-5406X4BLS-XLX</v>
      </c>
      <c r="E20" s="1583"/>
      <c r="F20" s="333" t="s">
        <v>660</v>
      </c>
      <c r="G20" s="588" t="str">
        <f>IF('Deal Sheet'!$G$61&lt;&gt;"",'Deal Sheet'!$G$61,"Not Specified")</f>
        <v>Longhaul</v>
      </c>
      <c r="H20" s="607"/>
      <c r="I20" s="302"/>
      <c r="J20" s="302" t="s">
        <v>659</v>
      </c>
      <c r="K20" s="588">
        <f>30-COUNTBLANK(H26:H55)</f>
        <v>1</v>
      </c>
      <c r="L20" s="304" t="s">
        <v>294</v>
      </c>
      <c r="M20" s="305" t="str">
        <f>'Deal Sheet'!M9</f>
        <v>Standard Warranty</v>
      </c>
      <c r="N20" s="290"/>
      <c r="O20" s="567"/>
      <c r="P20" s="567"/>
      <c r="Q20" s="567"/>
      <c r="R20" s="567"/>
      <c r="S20" s="492">
        <v>5</v>
      </c>
      <c r="T20" s="492" t="str">
        <f>IFERROR(VLOOKUP(R44,'Month of Invoicing'!$BS$17:$BT$42,2,FALSE),"")</f>
        <v/>
      </c>
      <c r="U20" s="492" t="s">
        <v>200</v>
      </c>
      <c r="V20" s="567"/>
      <c r="W20" s="567"/>
      <c r="X20" s="567"/>
      <c r="Y20" s="325"/>
      <c r="Z20" s="325"/>
      <c r="AA20" s="492"/>
      <c r="AB20" s="492"/>
      <c r="AC20" s="492"/>
      <c r="AD20" s="325"/>
      <c r="AE20" s="567"/>
      <c r="AF20" s="567"/>
      <c r="AG20" s="567"/>
      <c r="AH20" s="567"/>
      <c r="AI20" s="567"/>
      <c r="AJ20" s="567"/>
      <c r="AK20" s="567"/>
      <c r="AL20" s="567"/>
      <c r="AM20" s="567"/>
      <c r="AN20" s="567"/>
      <c r="AO20" s="567"/>
      <c r="AP20" s="567"/>
      <c r="AQ20" s="567"/>
      <c r="AR20" s="567"/>
      <c r="AS20" s="567"/>
      <c r="AT20" s="567"/>
      <c r="AU20" s="567"/>
      <c r="AV20" s="567"/>
      <c r="AW20" s="567"/>
      <c r="AX20" s="567"/>
      <c r="AY20" s="567"/>
      <c r="AZ20" s="567"/>
      <c r="BA20" s="567"/>
      <c r="BB20" s="567"/>
      <c r="BC20" s="567"/>
      <c r="BD20" s="567"/>
      <c r="BE20" s="567"/>
      <c r="BF20" s="567"/>
      <c r="BG20" s="567"/>
      <c r="BH20" s="567"/>
      <c r="BI20" s="567"/>
      <c r="BJ20" s="567"/>
      <c r="BK20" s="567"/>
      <c r="BL20" s="567"/>
      <c r="BM20" s="567"/>
    </row>
    <row r="21" spans="2:65" s="280" customFormat="1" ht="12.6" thickBot="1">
      <c r="B21" s="289"/>
      <c r="C21" s="272"/>
      <c r="D21" s="273"/>
      <c r="E21" s="274"/>
      <c r="F21" s="274"/>
      <c r="G21" s="274"/>
      <c r="H21" s="275"/>
      <c r="I21" s="275"/>
      <c r="J21" s="275"/>
      <c r="K21" s="275"/>
      <c r="L21" s="276"/>
      <c r="M21" s="277"/>
      <c r="N21" s="290"/>
      <c r="O21" s="567"/>
      <c r="P21" s="567"/>
      <c r="Q21" s="567"/>
      <c r="R21" s="567"/>
      <c r="S21" s="492">
        <v>18</v>
      </c>
      <c r="T21" s="492" t="str">
        <f>IFERROR(VLOOKUP(R45,'Month of Invoicing'!$BS$17:$BT$42,2,FALSE),"")</f>
        <v/>
      </c>
      <c r="U21" s="492" t="s">
        <v>200</v>
      </c>
      <c r="V21" s="567"/>
      <c r="W21" s="567"/>
      <c r="X21" s="567"/>
      <c r="Y21" s="325"/>
      <c r="Z21" s="325"/>
      <c r="AA21" s="492"/>
      <c r="AB21" s="492"/>
      <c r="AC21" s="492"/>
      <c r="AD21" s="325"/>
      <c r="AE21" s="567"/>
      <c r="AF21" s="567"/>
      <c r="AG21" s="567"/>
      <c r="AH21" s="567"/>
      <c r="AI21" s="567"/>
      <c r="AJ21" s="567"/>
      <c r="AK21" s="567"/>
      <c r="AL21" s="567"/>
      <c r="AM21" s="567"/>
      <c r="AN21" s="567"/>
      <c r="AO21" s="567"/>
      <c r="AP21" s="567"/>
      <c r="AQ21" s="567"/>
      <c r="AR21" s="567"/>
      <c r="AS21" s="567"/>
      <c r="AT21" s="567"/>
      <c r="AU21" s="567"/>
      <c r="AV21" s="567"/>
      <c r="AW21" s="567"/>
      <c r="AX21" s="567"/>
      <c r="AY21" s="567"/>
      <c r="AZ21" s="567"/>
      <c r="BA21" s="567"/>
      <c r="BB21" s="567"/>
      <c r="BC21" s="567"/>
      <c r="BD21" s="567"/>
      <c r="BE21" s="567"/>
      <c r="BF21" s="567"/>
      <c r="BG21" s="567"/>
      <c r="BH21" s="567"/>
      <c r="BI21" s="567"/>
      <c r="BJ21" s="567"/>
      <c r="BK21" s="567"/>
      <c r="BL21" s="567"/>
      <c r="BM21" s="567"/>
    </row>
    <row r="22" spans="2:65" ht="12.6" thickBot="1">
      <c r="B22" s="270"/>
      <c r="C22" s="268"/>
      <c r="D22" s="268"/>
      <c r="E22" s="268"/>
      <c r="F22" s="268"/>
      <c r="G22" s="268"/>
      <c r="H22" s="268"/>
      <c r="I22" s="268"/>
      <c r="J22" s="268"/>
      <c r="K22" s="268"/>
      <c r="L22" s="268"/>
      <c r="M22" s="268"/>
      <c r="N22" s="269"/>
      <c r="S22" s="492">
        <v>28</v>
      </c>
      <c r="T22" s="492" t="str">
        <f>IFERROR(VLOOKUP(R46,'Month of Invoicing'!$BS$17:$BT$42,2,FALSE),"")</f>
        <v/>
      </c>
      <c r="U22" s="492" t="s">
        <v>200</v>
      </c>
    </row>
    <row r="23" spans="2:65" ht="14.5" customHeight="1">
      <c r="B23" s="270"/>
      <c r="C23" s="1330" t="s">
        <v>1032</v>
      </c>
      <c r="D23" s="1331"/>
      <c r="E23" s="1331"/>
      <c r="F23" s="1332"/>
      <c r="G23" s="268"/>
      <c r="H23" s="1311" t="s">
        <v>1009</v>
      </c>
      <c r="I23" s="1312"/>
      <c r="J23" s="1312"/>
      <c r="K23" s="1312"/>
      <c r="L23" s="1312"/>
      <c r="M23" s="1313"/>
      <c r="N23" s="541"/>
      <c r="S23" s="492">
        <v>20</v>
      </c>
      <c r="T23" s="492" t="str">
        <f>IFERROR(VLOOKUP(R47,'Month of Invoicing'!$BS$17:$BT$42,2,FALSE),"")</f>
        <v/>
      </c>
      <c r="U23" s="492" t="s">
        <v>200</v>
      </c>
    </row>
    <row r="24" spans="2:65">
      <c r="B24" s="270"/>
      <c r="C24" s="270" t="s">
        <v>1033</v>
      </c>
      <c r="D24" s="268"/>
      <c r="E24" s="1344" t="str">
        <f>'Deal Sheet'!C4</f>
        <v>HARM VAN HEERDEN</v>
      </c>
      <c r="F24" s="1345"/>
      <c r="G24" s="268"/>
      <c r="H24" s="529" t="s">
        <v>1036</v>
      </c>
      <c r="I24" s="1307" t="s">
        <v>1037</v>
      </c>
      <c r="J24" s="1308"/>
      <c r="K24" s="1307" t="s">
        <v>1038</v>
      </c>
      <c r="L24" s="1308"/>
      <c r="M24" s="321" t="s">
        <v>1008</v>
      </c>
      <c r="N24" s="269"/>
      <c r="P24" s="698">
        <f>D16</f>
        <v>43101</v>
      </c>
      <c r="S24" s="492">
        <v>12</v>
      </c>
      <c r="T24" s="492" t="str">
        <f>IFERROR(VLOOKUP(R48,'Month of Invoicing'!$BS$17:$BT$42,2,FALSE),"")</f>
        <v/>
      </c>
      <c r="U24" s="492" t="s">
        <v>200</v>
      </c>
    </row>
    <row r="25" spans="2:65">
      <c r="B25" s="270"/>
      <c r="C25" s="270" t="s">
        <v>313</v>
      </c>
      <c r="D25" s="268"/>
      <c r="E25" s="1344" t="str">
        <f>'Deal Sheet'!C5</f>
        <v>MAN Bloemfontein</v>
      </c>
      <c r="F25" s="1345"/>
      <c r="G25" s="268"/>
      <c r="H25" s="309">
        <v>0</v>
      </c>
      <c r="I25" s="1346"/>
      <c r="J25" s="1347"/>
      <c r="K25" s="1348"/>
      <c r="L25" s="1349"/>
      <c r="M25" s="322"/>
      <c r="N25" s="269"/>
      <c r="P25" s="734"/>
      <c r="S25" s="492">
        <v>26</v>
      </c>
      <c r="T25" s="492" t="str">
        <f>IFERROR(VLOOKUP(R49,'Month of Invoicing'!$BS$17:$BT$42,2,FALSE),"")</f>
        <v/>
      </c>
      <c r="U25" s="492" t="s">
        <v>200</v>
      </c>
    </row>
    <row r="26" spans="2:65" ht="12.6" thickBot="1">
      <c r="B26" s="270"/>
      <c r="C26" s="272"/>
      <c r="D26" s="275"/>
      <c r="E26" s="275"/>
      <c r="F26" s="277"/>
      <c r="G26" s="268"/>
      <c r="H26" s="1057" t="str">
        <f>U2</f>
        <v>TBATG0X1</v>
      </c>
      <c r="I26" s="1571" t="str">
        <f>IFERROR(IF(H26&lt;&gt;"",VLOOKUP(H26,'Warranty Registration'!$H$26:$M$55,2,FALSE),""),"")</f>
        <v>AAM30X3423PX4353</v>
      </c>
      <c r="J26" s="1572"/>
      <c r="K26" s="1571" t="str">
        <f>IFERROR(IF(H26&lt;&gt;"",VLOOKUP(H26,'Warranty Registration'!$H$26:$M$55,4,FALSE),""),"")</f>
        <v>DE32X546</v>
      </c>
      <c r="L26" s="1572"/>
      <c r="M26" s="1058">
        <f>IFERROR(IF(H26&lt;&gt;"",VLOOKUP(H26,'Warranty Registration'!$H$26:$M$55,6,FALSE),""),"")</f>
        <v>43143</v>
      </c>
      <c r="N26" s="608"/>
      <c r="Q26" s="325">
        <v>1</v>
      </c>
      <c r="R26" s="699" t="str">
        <f>Q26&amp;$D$16</f>
        <v>143101</v>
      </c>
      <c r="S26" s="492">
        <v>3</v>
      </c>
      <c r="T26" s="492" t="str">
        <f>IFERROR(VLOOKUP(R50,'Month of Invoicing'!$BS$17:$BT$42,2,FALSE),"")</f>
        <v/>
      </c>
      <c r="U26" s="492" t="s">
        <v>200</v>
      </c>
    </row>
    <row r="27" spans="2:65" ht="15" customHeight="1" thickBot="1">
      <c r="B27" s="270"/>
      <c r="C27" s="268"/>
      <c r="D27" s="268"/>
      <c r="E27" s="268"/>
      <c r="F27" s="268"/>
      <c r="G27" s="308"/>
      <c r="H27" s="1057" t="str">
        <f t="shared" ref="H27:H55" si="0">U3</f>
        <v/>
      </c>
      <c r="I27" s="1571" t="str">
        <f>IFERROR(IF(H27&lt;&gt;"",VLOOKUP(H27,'Warranty Registration'!$H$26:$M$55,2,FALSE),""),"")</f>
        <v/>
      </c>
      <c r="J27" s="1586"/>
      <c r="K27" s="1571" t="str">
        <f>IFERROR(IF(H27&lt;&gt;"",VLOOKUP(H27,'Warranty Registration'!$H$26:$M$55,4,FALSE),""),"")</f>
        <v/>
      </c>
      <c r="L27" s="1572"/>
      <c r="M27" s="1058" t="str">
        <f>IFERROR(IF(H27&lt;&gt;"",VLOOKUP(H27,'Warranty Registration'!$H$26:$M$55,6,FALSE),""),"")</f>
        <v/>
      </c>
      <c r="N27" s="269"/>
      <c r="Q27" s="325">
        <v>2</v>
      </c>
      <c r="R27" s="699" t="str">
        <f t="shared" ref="R27:R55" si="1">Q27&amp;$D$16</f>
        <v>243101</v>
      </c>
      <c r="S27" s="492">
        <v>29</v>
      </c>
      <c r="T27" s="492" t="str">
        <f>IFERROR(VLOOKUP(R51,'Month of Invoicing'!$BS$17:$BT$42,2,FALSE),"")</f>
        <v/>
      </c>
      <c r="U27" s="492" t="s">
        <v>200</v>
      </c>
    </row>
    <row r="28" spans="2:65" ht="15" customHeight="1">
      <c r="B28" s="270"/>
      <c r="C28" s="1330" t="s">
        <v>1001</v>
      </c>
      <c r="D28" s="1331"/>
      <c r="E28" s="1331"/>
      <c r="F28" s="1332"/>
      <c r="G28" s="268"/>
      <c r="H28" s="1057" t="str">
        <f t="shared" si="0"/>
        <v/>
      </c>
      <c r="I28" s="1571" t="str">
        <f>IFERROR(IF(H28&lt;&gt;"",VLOOKUP(H28,'Warranty Registration'!$H$26:$M$55,2,FALSE),""),"")</f>
        <v/>
      </c>
      <c r="J28" s="1572"/>
      <c r="K28" s="1571" t="str">
        <f>IFERROR(IF(H28&lt;&gt;"",VLOOKUP(H28,'Warranty Registration'!$H$26:$M$55,4,FALSE),""),"")</f>
        <v/>
      </c>
      <c r="L28" s="1572"/>
      <c r="M28" s="1058" t="str">
        <f>IFERROR(IF(H28&lt;&gt;"",VLOOKUP(H28,'Warranty Registration'!$H$26:$M$55,6,FALSE),""),"")</f>
        <v/>
      </c>
      <c r="N28" s="269"/>
      <c r="Q28" s="325">
        <v>3</v>
      </c>
      <c r="R28" s="699" t="str">
        <f t="shared" si="1"/>
        <v>343101</v>
      </c>
      <c r="S28" s="492">
        <v>15</v>
      </c>
      <c r="T28" s="492" t="str">
        <f>IFERROR(VLOOKUP(R52,'Month of Invoicing'!$BS$17:$BT$42,2,FALSE),"")</f>
        <v/>
      </c>
      <c r="U28" s="492" t="s">
        <v>200</v>
      </c>
    </row>
    <row r="29" spans="2:65">
      <c r="B29" s="270"/>
      <c r="C29" s="270"/>
      <c r="D29" s="268"/>
      <c r="E29" s="268"/>
      <c r="F29" s="269"/>
      <c r="G29" s="268"/>
      <c r="H29" s="1057" t="str">
        <f t="shared" si="0"/>
        <v/>
      </c>
      <c r="I29" s="1571" t="str">
        <f>IFERROR(IF(H29&lt;&gt;"",VLOOKUP(H29,'Warranty Registration'!$H$26:$M$55,2,FALSE),""),"")</f>
        <v/>
      </c>
      <c r="J29" s="1572"/>
      <c r="K29" s="1571" t="str">
        <f>IFERROR(IF(H29&lt;&gt;"",VLOOKUP(H29,'Warranty Registration'!$H$26:$M$55,4,FALSE),""),"")</f>
        <v/>
      </c>
      <c r="L29" s="1572"/>
      <c r="M29" s="1058" t="str">
        <f>IFERROR(IF(H29&lt;&gt;"",VLOOKUP(H29,'Warranty Registration'!$H$26:$M$55,6,FALSE),""),"")</f>
        <v/>
      </c>
      <c r="N29" s="269"/>
      <c r="Q29" s="325">
        <v>4</v>
      </c>
      <c r="R29" s="699" t="str">
        <f t="shared" si="1"/>
        <v>443101</v>
      </c>
      <c r="S29" s="492">
        <v>6</v>
      </c>
      <c r="T29" s="492" t="str">
        <f>IFERROR(VLOOKUP(R53,'Month of Invoicing'!$BS$17:$BT$42,2,FALSE),"")</f>
        <v/>
      </c>
      <c r="U29" s="492" t="s">
        <v>200</v>
      </c>
    </row>
    <row r="30" spans="2:65">
      <c r="B30" s="270"/>
      <c r="C30" s="270" t="s">
        <v>588</v>
      </c>
      <c r="D30" s="268"/>
      <c r="E30" s="1344" t="str">
        <f>'Data Sheet'!D39</f>
        <v>Customer Direct Payment</v>
      </c>
      <c r="F30" s="1345"/>
      <c r="G30" s="268"/>
      <c r="H30" s="1057" t="str">
        <f t="shared" si="0"/>
        <v/>
      </c>
      <c r="I30" s="1571" t="str">
        <f>IFERROR(IF(H30&lt;&gt;"",VLOOKUP(H30,'Warranty Registration'!$H$26:$M$55,2,FALSE),""),"")</f>
        <v/>
      </c>
      <c r="J30" s="1572"/>
      <c r="K30" s="1571" t="str">
        <f>IFERROR(IF(H30&lt;&gt;"",VLOOKUP(H30,'Warranty Registration'!$H$26:$M$55,4,FALSE),""),"")</f>
        <v/>
      </c>
      <c r="L30" s="1572"/>
      <c r="M30" s="1058" t="str">
        <f>IFERROR(IF(H30&lt;&gt;"",VLOOKUP(H30,'Warranty Registration'!$H$26:$M$55,6,FALSE),""),"")</f>
        <v/>
      </c>
      <c r="N30" s="269"/>
      <c r="Q30" s="325">
        <v>5</v>
      </c>
      <c r="R30" s="699" t="str">
        <f t="shared" si="1"/>
        <v>543101</v>
      </c>
      <c r="S30" s="492">
        <v>24</v>
      </c>
      <c r="T30" s="492" t="str">
        <f>IFERROR(VLOOKUP(R54,'Month of Invoicing'!$BS$17:$BT$42,2,FALSE),"")</f>
        <v/>
      </c>
      <c r="U30" s="492" t="s">
        <v>200</v>
      </c>
    </row>
    <row r="31" spans="2:65">
      <c r="B31" s="270"/>
      <c r="C31" s="270" t="s">
        <v>627</v>
      </c>
      <c r="D31" s="268"/>
      <c r="E31" s="1344" t="str">
        <f>'Data Sheet'!D40</f>
        <v>Absa</v>
      </c>
      <c r="F31" s="1345"/>
      <c r="G31" s="268"/>
      <c r="H31" s="1057" t="str">
        <f t="shared" si="0"/>
        <v/>
      </c>
      <c r="I31" s="1571" t="str">
        <f>IFERROR(IF(H31&lt;&gt;"",VLOOKUP(H31,'Warranty Registration'!$H$26:$M$55,2,FALSE),""),"")</f>
        <v/>
      </c>
      <c r="J31" s="1572"/>
      <c r="K31" s="1571" t="str">
        <f>IFERROR(IF(H31&lt;&gt;"",VLOOKUP(H31,'Warranty Registration'!$H$26:$M$55,4,FALSE),""),"")</f>
        <v/>
      </c>
      <c r="L31" s="1572"/>
      <c r="M31" s="1058" t="str">
        <f>IFERROR(IF(H31&lt;&gt;"",VLOOKUP(H31,'Warranty Registration'!$H$26:$M$55,6,FALSE),""),"")</f>
        <v/>
      </c>
      <c r="N31" s="269"/>
      <c r="Q31" s="325">
        <v>6</v>
      </c>
      <c r="R31" s="699" t="str">
        <f t="shared" si="1"/>
        <v>643101</v>
      </c>
      <c r="S31" s="492">
        <v>7</v>
      </c>
      <c r="T31" s="492" t="str">
        <f>IFERROR(VLOOKUP(R55,'Month of Invoicing'!$BS$17:$BT$42,2,FALSE),"")</f>
        <v/>
      </c>
      <c r="U31" s="492" t="s">
        <v>200</v>
      </c>
    </row>
    <row r="32" spans="2:65">
      <c r="B32" s="270"/>
      <c r="C32" s="270" t="s">
        <v>628</v>
      </c>
      <c r="D32" s="268"/>
      <c r="E32" s="1344" t="str">
        <f>'Data Sheet'!D41</f>
        <v>Gerrie Nel</v>
      </c>
      <c r="F32" s="1345"/>
      <c r="G32" s="268"/>
      <c r="H32" s="1057" t="str">
        <f t="shared" si="0"/>
        <v/>
      </c>
      <c r="I32" s="1571" t="str">
        <f>IFERROR(IF(H32&lt;&gt;"",VLOOKUP(H32,'Warranty Registration'!$H$26:$M$55,2,FALSE),""),"")</f>
        <v/>
      </c>
      <c r="J32" s="1572"/>
      <c r="K32" s="1571" t="str">
        <f>IFERROR(IF(H32&lt;&gt;"",VLOOKUP(H32,'Warranty Registration'!$H$26:$M$55,4,FALSE),""),"")</f>
        <v/>
      </c>
      <c r="L32" s="1572"/>
      <c r="M32" s="1058" t="str">
        <f>IFERROR(IF(H32&lt;&gt;"",VLOOKUP(H32,'Warranty Registration'!$H$26:$M$55,6,FALSE),""),"")</f>
        <v/>
      </c>
      <c r="N32" s="269"/>
      <c r="Q32" s="325">
        <v>7</v>
      </c>
      <c r="R32" s="699" t="str">
        <f t="shared" si="1"/>
        <v>743101</v>
      </c>
    </row>
    <row r="33" spans="2:18">
      <c r="B33" s="270"/>
      <c r="C33" s="270" t="s">
        <v>629</v>
      </c>
      <c r="D33" s="268"/>
      <c r="E33" s="1344" t="str">
        <f>'Data Sheet'!D42</f>
        <v>012 6444 700</v>
      </c>
      <c r="F33" s="1345"/>
      <c r="G33" s="268"/>
      <c r="H33" s="1057" t="str">
        <f t="shared" si="0"/>
        <v/>
      </c>
      <c r="I33" s="1571" t="str">
        <f>IFERROR(IF(H33&lt;&gt;"",VLOOKUP(H33,'Warranty Registration'!$H$26:$M$55,2,FALSE),""),"")</f>
        <v/>
      </c>
      <c r="J33" s="1572"/>
      <c r="K33" s="1571" t="str">
        <f>IFERROR(IF(H33&lt;&gt;"",VLOOKUP(H33,'Warranty Registration'!$H$26:$M$55,4,FALSE),""),"")</f>
        <v/>
      </c>
      <c r="L33" s="1572"/>
      <c r="M33" s="1058" t="str">
        <f>IFERROR(IF(H33&lt;&gt;"",VLOOKUP(H33,'Warranty Registration'!$H$26:$M$55,6,FALSE),""),"")</f>
        <v/>
      </c>
      <c r="N33" s="269"/>
      <c r="Q33" s="325">
        <v>8</v>
      </c>
      <c r="R33" s="699" t="str">
        <f t="shared" si="1"/>
        <v>843101</v>
      </c>
    </row>
    <row r="34" spans="2:18" ht="15" customHeight="1">
      <c r="B34" s="270"/>
      <c r="C34" s="270"/>
      <c r="D34" s="268"/>
      <c r="E34" s="530"/>
      <c r="F34" s="534"/>
      <c r="G34" s="268"/>
      <c r="H34" s="1057" t="str">
        <f t="shared" si="0"/>
        <v/>
      </c>
      <c r="I34" s="1571" t="str">
        <f>IFERROR(IF(H34&lt;&gt;"",VLOOKUP(H34,'Warranty Registration'!$H$26:$M$55,2,FALSE),""),"")</f>
        <v/>
      </c>
      <c r="J34" s="1572"/>
      <c r="K34" s="1571" t="str">
        <f>IFERROR(IF(H34&lt;&gt;"",VLOOKUP(H34,'Warranty Registration'!$H$26:$M$55,4,FALSE),""),"")</f>
        <v/>
      </c>
      <c r="L34" s="1572"/>
      <c r="M34" s="1058" t="str">
        <f>IFERROR(IF(H34&lt;&gt;"",VLOOKUP(H34,'Warranty Registration'!$H$26:$M$55,6,FALSE),""),"")</f>
        <v/>
      </c>
      <c r="N34" s="269"/>
      <c r="Q34" s="325">
        <v>9</v>
      </c>
      <c r="R34" s="699" t="str">
        <f t="shared" si="1"/>
        <v>943101</v>
      </c>
    </row>
    <row r="35" spans="2:18">
      <c r="B35" s="270"/>
      <c r="C35" s="270" t="s">
        <v>630</v>
      </c>
      <c r="D35" s="268"/>
      <c r="E35" s="1344" t="str">
        <f>'Data Sheet'!D44</f>
        <v>Absa Lyttelton Branch</v>
      </c>
      <c r="F35" s="1345"/>
      <c r="G35" s="268"/>
      <c r="H35" s="1057" t="str">
        <f t="shared" si="0"/>
        <v/>
      </c>
      <c r="I35" s="1571" t="str">
        <f>IFERROR(IF(H35&lt;&gt;"",VLOOKUP(H35,'Warranty Registration'!$H$26:$M$55,2,FALSE),""),"")</f>
        <v/>
      </c>
      <c r="J35" s="1572"/>
      <c r="K35" s="1571" t="str">
        <f>IFERROR(IF(H35&lt;&gt;"",VLOOKUP(H35,'Warranty Registration'!$H$26:$M$55,4,FALSE),""),"")</f>
        <v/>
      </c>
      <c r="L35" s="1572"/>
      <c r="M35" s="1058" t="str">
        <f>IFERROR(IF(H35&lt;&gt;"",VLOOKUP(H35,'Warranty Registration'!$H$26:$M$55,6,FALSE),""),"")</f>
        <v/>
      </c>
      <c r="N35" s="269"/>
      <c r="Q35" s="325">
        <v>10</v>
      </c>
      <c r="R35" s="699" t="str">
        <f t="shared" si="1"/>
        <v>1043101</v>
      </c>
    </row>
    <row r="36" spans="2:18">
      <c r="B36" s="270"/>
      <c r="C36" s="270"/>
      <c r="D36" s="268"/>
      <c r="E36" s="1344" t="str">
        <f>'Data Sheet'!D45</f>
        <v>110 Cantonments Road</v>
      </c>
      <c r="F36" s="1345"/>
      <c r="G36" s="268"/>
      <c r="H36" s="1057" t="str">
        <f t="shared" si="0"/>
        <v/>
      </c>
      <c r="I36" s="1571" t="str">
        <f>IFERROR(IF(H36&lt;&gt;"",VLOOKUP(H36,'Warranty Registration'!$H$26:$M$55,2,FALSE),""),"")</f>
        <v/>
      </c>
      <c r="J36" s="1572"/>
      <c r="K36" s="1571" t="str">
        <f>IFERROR(IF(H36&lt;&gt;"",VLOOKUP(H36,'Warranty Registration'!$H$26:$M$55,4,FALSE),""),"")</f>
        <v/>
      </c>
      <c r="L36" s="1572"/>
      <c r="M36" s="1058" t="str">
        <f>IFERROR(IF(H36&lt;&gt;"",VLOOKUP(H36,'Warranty Registration'!$H$26:$M$55,6,FALSE),""),"")</f>
        <v/>
      </c>
      <c r="N36" s="269"/>
      <c r="Q36" s="325">
        <v>11</v>
      </c>
      <c r="R36" s="699" t="str">
        <f t="shared" si="1"/>
        <v>1143101</v>
      </c>
    </row>
    <row r="37" spans="2:18">
      <c r="B37" s="270"/>
      <c r="C37" s="270"/>
      <c r="D37" s="268"/>
      <c r="E37" s="1344" t="str">
        <f>'Data Sheet'!D46</f>
        <v>Lyttelton</v>
      </c>
      <c r="F37" s="1345"/>
      <c r="G37" s="268"/>
      <c r="H37" s="1057" t="str">
        <f t="shared" si="0"/>
        <v/>
      </c>
      <c r="I37" s="1571" t="str">
        <f>IFERROR(IF(H37&lt;&gt;"",VLOOKUP(H37,'Warranty Registration'!$H$26:$M$55,2,FALSE),""),"")</f>
        <v/>
      </c>
      <c r="J37" s="1572"/>
      <c r="K37" s="1571" t="str">
        <f>IFERROR(IF(H37&lt;&gt;"",VLOOKUP(H37,'Warranty Registration'!$H$26:$M$55,4,FALSE),""),"")</f>
        <v/>
      </c>
      <c r="L37" s="1572"/>
      <c r="M37" s="1058" t="str">
        <f>IFERROR(IF(H37&lt;&gt;"",VLOOKUP(H37,'Warranty Registration'!$H$26:$M$55,6,FALSE),""),"")</f>
        <v/>
      </c>
      <c r="N37" s="269"/>
      <c r="Q37" s="325">
        <v>12</v>
      </c>
      <c r="R37" s="699" t="str">
        <f t="shared" si="1"/>
        <v>1243101</v>
      </c>
    </row>
    <row r="38" spans="2:18">
      <c r="B38" s="270"/>
      <c r="C38" s="270"/>
      <c r="D38" s="268"/>
      <c r="E38" s="1344" t="str">
        <f>'Data Sheet'!D47</f>
        <v>Centurion</v>
      </c>
      <c r="F38" s="1345"/>
      <c r="G38" s="268"/>
      <c r="H38" s="1057" t="str">
        <f t="shared" si="0"/>
        <v/>
      </c>
      <c r="I38" s="1571" t="str">
        <f>IFERROR(IF(H38&lt;&gt;"",VLOOKUP(H38,'Warranty Registration'!$H$26:$M$55,2,FALSE),""),"")</f>
        <v/>
      </c>
      <c r="J38" s="1572"/>
      <c r="K38" s="1571" t="str">
        <f>IFERROR(IF(H38&lt;&gt;"",VLOOKUP(H38,'Warranty Registration'!$H$26:$M$55,4,FALSE),""),"")</f>
        <v/>
      </c>
      <c r="L38" s="1572"/>
      <c r="M38" s="1058" t="str">
        <f>IFERROR(IF(H38&lt;&gt;"",VLOOKUP(H38,'Warranty Registration'!$H$26:$M$55,6,FALSE),""),"")</f>
        <v/>
      </c>
      <c r="N38" s="269"/>
      <c r="Q38" s="325">
        <v>13</v>
      </c>
      <c r="R38" s="699" t="str">
        <f t="shared" si="1"/>
        <v>1343101</v>
      </c>
    </row>
    <row r="39" spans="2:18" ht="14.5" customHeight="1">
      <c r="B39" s="270"/>
      <c r="C39" s="270" t="s">
        <v>612</v>
      </c>
      <c r="D39" s="268"/>
      <c r="E39" s="1596" t="str">
        <f>'Data Sheet'!D49</f>
        <v>0157</v>
      </c>
      <c r="F39" s="1345"/>
      <c r="G39" s="268"/>
      <c r="H39" s="1057" t="str">
        <f t="shared" si="0"/>
        <v/>
      </c>
      <c r="I39" s="1571" t="str">
        <f>IFERROR(IF(H39&lt;&gt;"",VLOOKUP(H39,'Warranty Registration'!$H$26:$M$55,2,FALSE),""),"")</f>
        <v/>
      </c>
      <c r="J39" s="1572"/>
      <c r="K39" s="1571" t="str">
        <f>IFERROR(IF(H39&lt;&gt;"",VLOOKUP(H39,'Warranty Registration'!$H$26:$M$55,4,FALSE),""),"")</f>
        <v/>
      </c>
      <c r="L39" s="1572"/>
      <c r="M39" s="1058" t="str">
        <f>IFERROR(IF(H39&lt;&gt;"",VLOOKUP(H39,'Warranty Registration'!$H$26:$M$55,6,FALSE),""),"")</f>
        <v/>
      </c>
      <c r="N39" s="269"/>
      <c r="Q39" s="325">
        <v>14</v>
      </c>
      <c r="R39" s="699" t="str">
        <f t="shared" si="1"/>
        <v>1443101</v>
      </c>
    </row>
    <row r="40" spans="2:18" ht="14.5" customHeight="1">
      <c r="B40" s="270"/>
      <c r="C40" s="270"/>
      <c r="D40" s="268"/>
      <c r="E40" s="268"/>
      <c r="F40" s="269"/>
      <c r="G40" s="268"/>
      <c r="H40" s="1057" t="str">
        <f t="shared" si="0"/>
        <v/>
      </c>
      <c r="I40" s="1571" t="str">
        <f>IFERROR(IF(H40&lt;&gt;"",VLOOKUP(H40,'Warranty Registration'!$H$26:$M$55,2,FALSE),""),"")</f>
        <v/>
      </c>
      <c r="J40" s="1572"/>
      <c r="K40" s="1571" t="str">
        <f>IFERROR(IF(H40&lt;&gt;"",VLOOKUP(H40,'Warranty Registration'!$H$26:$M$55,4,FALSE),""),"")</f>
        <v/>
      </c>
      <c r="L40" s="1572"/>
      <c r="M40" s="1058" t="str">
        <f>IFERROR(IF(H40&lt;&gt;"",VLOOKUP(H40,'Warranty Registration'!$H$26:$M$55,6,FALSE),""),"")</f>
        <v/>
      </c>
      <c r="N40" s="269"/>
      <c r="Q40" s="325">
        <v>15</v>
      </c>
      <c r="R40" s="699" t="str">
        <f t="shared" si="1"/>
        <v>1543101</v>
      </c>
    </row>
    <row r="41" spans="2:18">
      <c r="B41" s="270"/>
      <c r="C41" s="270" t="s">
        <v>635</v>
      </c>
      <c r="D41" s="268"/>
      <c r="E41" s="1596">
        <f>'Data Sheet'!D51</f>
        <v>45402730456</v>
      </c>
      <c r="F41" s="1595"/>
      <c r="G41" s="268"/>
      <c r="H41" s="1057" t="str">
        <f t="shared" si="0"/>
        <v/>
      </c>
      <c r="I41" s="1571" t="str">
        <f>IFERROR(IF(H41&lt;&gt;"",VLOOKUP(H41,'Warranty Registration'!$H$26:$M$55,2,FALSE),""),"")</f>
        <v/>
      </c>
      <c r="J41" s="1572"/>
      <c r="K41" s="1571" t="str">
        <f>IFERROR(IF(H41&lt;&gt;"",VLOOKUP(H41,'Warranty Registration'!$H$26:$M$55,4,FALSE),""),"")</f>
        <v/>
      </c>
      <c r="L41" s="1572"/>
      <c r="M41" s="1058" t="str">
        <f>IFERROR(IF(H41&lt;&gt;"",VLOOKUP(H41,'Warranty Registration'!$H$26:$M$55,6,FALSE),""),"")</f>
        <v/>
      </c>
      <c r="N41" s="269"/>
      <c r="Q41" s="325">
        <v>16</v>
      </c>
      <c r="R41" s="699" t="str">
        <f t="shared" si="1"/>
        <v>1643101</v>
      </c>
    </row>
    <row r="42" spans="2:18">
      <c r="B42" s="270"/>
      <c r="C42" s="270" t="s">
        <v>589</v>
      </c>
      <c r="D42" s="268"/>
      <c r="E42" s="1596" t="str">
        <f>'Data Sheet'!D52</f>
        <v>30 days</v>
      </c>
      <c r="F42" s="1595"/>
      <c r="G42" s="268"/>
      <c r="H42" s="1057" t="str">
        <f t="shared" si="0"/>
        <v/>
      </c>
      <c r="I42" s="1571" t="str">
        <f>IFERROR(IF(H42&lt;&gt;"",VLOOKUP(H42,'Warranty Registration'!$H$26:$M$55,2,FALSE),""),"")</f>
        <v/>
      </c>
      <c r="J42" s="1572"/>
      <c r="K42" s="1571" t="str">
        <f>IFERROR(IF(H42&lt;&gt;"",VLOOKUP(H42,'Warranty Registration'!$H$26:$M$55,4,FALSE),""),"")</f>
        <v/>
      </c>
      <c r="L42" s="1572"/>
      <c r="M42" s="1058" t="str">
        <f>IFERROR(IF(H42&lt;&gt;"",VLOOKUP(H42,'Warranty Registration'!$H$26:$M$55,6,FALSE),""),"")</f>
        <v/>
      </c>
      <c r="N42" s="269"/>
      <c r="Q42" s="325">
        <v>17</v>
      </c>
      <c r="R42" s="699" t="str">
        <f t="shared" si="1"/>
        <v>1743101</v>
      </c>
    </row>
    <row r="43" spans="2:18" ht="14.5" customHeight="1">
      <c r="B43" s="270"/>
      <c r="C43" s="270" t="s">
        <v>637</v>
      </c>
      <c r="D43" s="268"/>
      <c r="E43" s="1596" t="str">
        <f>'Data Sheet'!D53</f>
        <v>Yes</v>
      </c>
      <c r="F43" s="1595"/>
      <c r="G43" s="268"/>
      <c r="H43" s="1057" t="str">
        <f t="shared" si="0"/>
        <v/>
      </c>
      <c r="I43" s="1571" t="str">
        <f>IFERROR(IF(H43&lt;&gt;"",VLOOKUP(H43,'Warranty Registration'!$H$26:$M$55,2,FALSE),""),"")</f>
        <v/>
      </c>
      <c r="J43" s="1572"/>
      <c r="K43" s="1571" t="str">
        <f>IFERROR(IF(H43&lt;&gt;"",VLOOKUP(H43,'Warranty Registration'!$H$26:$M$55,4,FALSE),""),"")</f>
        <v/>
      </c>
      <c r="L43" s="1572"/>
      <c r="M43" s="1058" t="str">
        <f>IFERROR(IF(H43&lt;&gt;"",VLOOKUP(H43,'Warranty Registration'!$H$26:$M$55,6,FALSE),""),"")</f>
        <v/>
      </c>
      <c r="N43" s="269"/>
      <c r="Q43" s="325">
        <v>18</v>
      </c>
      <c r="R43" s="699" t="str">
        <f t="shared" si="1"/>
        <v>1843101</v>
      </c>
    </row>
    <row r="44" spans="2:18">
      <c r="B44" s="270"/>
      <c r="C44" s="270" t="s">
        <v>638</v>
      </c>
      <c r="D44" s="268"/>
      <c r="E44" s="1596" t="str">
        <f>'Data Sheet'!D54</f>
        <v>N/A</v>
      </c>
      <c r="F44" s="1595"/>
      <c r="G44" s="268"/>
      <c r="H44" s="1057" t="str">
        <f t="shared" si="0"/>
        <v/>
      </c>
      <c r="I44" s="1571" t="str">
        <f>IFERROR(IF(H44&lt;&gt;"",VLOOKUP(H44,'Warranty Registration'!$H$26:$M$55,2,FALSE),""),"")</f>
        <v/>
      </c>
      <c r="J44" s="1572"/>
      <c r="K44" s="1571" t="str">
        <f>IFERROR(IF(H44&lt;&gt;"",VLOOKUP(H44,'Warranty Registration'!$H$26:$M$55,4,FALSE),""),"")</f>
        <v/>
      </c>
      <c r="L44" s="1572"/>
      <c r="M44" s="1058" t="str">
        <f>IFERROR(IF(H44&lt;&gt;"",VLOOKUP(H44,'Warranty Registration'!$H$26:$M$55,6,FALSE),""),"")</f>
        <v/>
      </c>
      <c r="N44" s="269"/>
      <c r="Q44" s="325">
        <v>19</v>
      </c>
      <c r="R44" s="699" t="str">
        <f t="shared" si="1"/>
        <v>1943101</v>
      </c>
    </row>
    <row r="45" spans="2:18" ht="14.5" customHeight="1">
      <c r="B45" s="270"/>
      <c r="C45" s="270" t="s">
        <v>1000</v>
      </c>
      <c r="D45" s="268"/>
      <c r="E45" s="1611">
        <f>'Release Request'!E34</f>
        <v>43092</v>
      </c>
      <c r="F45" s="1612"/>
      <c r="G45" s="268"/>
      <c r="H45" s="1057" t="str">
        <f t="shared" si="0"/>
        <v/>
      </c>
      <c r="I45" s="1571" t="str">
        <f>IFERROR(IF(H45&lt;&gt;"",VLOOKUP(H45,'Warranty Registration'!$H$26:$M$55,2,FALSE),""),"")</f>
        <v/>
      </c>
      <c r="J45" s="1572"/>
      <c r="K45" s="1571" t="str">
        <f>IFERROR(IF(H45&lt;&gt;"",VLOOKUP(H45,'Warranty Registration'!$H$26:$M$55,4,FALSE),""),"")</f>
        <v/>
      </c>
      <c r="L45" s="1572"/>
      <c r="M45" s="1058" t="str">
        <f>IFERROR(IF(H45&lt;&gt;"",VLOOKUP(H45,'Warranty Registration'!$H$26:$M$55,6,FALSE),""),"")</f>
        <v/>
      </c>
      <c r="N45" s="269"/>
      <c r="Q45" s="325">
        <v>20</v>
      </c>
      <c r="R45" s="699" t="str">
        <f t="shared" si="1"/>
        <v>2043101</v>
      </c>
    </row>
    <row r="46" spans="2:18" ht="14.5" customHeight="1" thickBot="1">
      <c r="B46" s="270"/>
      <c r="C46" s="573"/>
      <c r="D46" s="274"/>
      <c r="E46" s="274"/>
      <c r="F46" s="574"/>
      <c r="G46" s="268"/>
      <c r="H46" s="1057" t="str">
        <f t="shared" si="0"/>
        <v/>
      </c>
      <c r="I46" s="1571" t="str">
        <f>IFERROR(IF(H46&lt;&gt;"",VLOOKUP(H46,'Warranty Registration'!$H$26:$M$55,2,FALSE),""),"")</f>
        <v/>
      </c>
      <c r="J46" s="1572"/>
      <c r="K46" s="1571" t="str">
        <f>IFERROR(IF(H46&lt;&gt;"",VLOOKUP(H46,'Warranty Registration'!$H$26:$M$55,4,FALSE),""),"")</f>
        <v/>
      </c>
      <c r="L46" s="1572"/>
      <c r="M46" s="1058" t="str">
        <f>IFERROR(IF(H46&lt;&gt;"",VLOOKUP(H46,'Warranty Registration'!$H$26:$M$55,6,FALSE),""),"")</f>
        <v/>
      </c>
      <c r="N46" s="269"/>
      <c r="Q46" s="325">
        <v>21</v>
      </c>
      <c r="R46" s="699" t="str">
        <f t="shared" si="1"/>
        <v>2143101</v>
      </c>
    </row>
    <row r="47" spans="2:18" ht="14.5" customHeight="1" thickBot="1">
      <c r="B47" s="270"/>
      <c r="C47" s="268"/>
      <c r="D47" s="268"/>
      <c r="E47" s="268"/>
      <c r="F47" s="268"/>
      <c r="G47" s="268"/>
      <c r="H47" s="1057" t="str">
        <f t="shared" si="0"/>
        <v/>
      </c>
      <c r="I47" s="1571" t="str">
        <f>IFERROR(IF(H47&lt;&gt;"",VLOOKUP(H47,'Warranty Registration'!$H$26:$M$55,2,FALSE),""),"")</f>
        <v/>
      </c>
      <c r="J47" s="1572"/>
      <c r="K47" s="1571" t="str">
        <f>IFERROR(IF(H47&lt;&gt;"",VLOOKUP(H47,'Warranty Registration'!$H$26:$M$55,4,FALSE),""),"")</f>
        <v/>
      </c>
      <c r="L47" s="1572"/>
      <c r="M47" s="1058" t="str">
        <f>IFERROR(IF(H47&lt;&gt;"",VLOOKUP(H47,'Warranty Registration'!$H$26:$M$55,6,FALSE),""),"")</f>
        <v/>
      </c>
      <c r="N47" s="269"/>
      <c r="Q47" s="325">
        <v>22</v>
      </c>
      <c r="R47" s="699" t="str">
        <f t="shared" si="1"/>
        <v>2243101</v>
      </c>
    </row>
    <row r="48" spans="2:18" ht="14.5" customHeight="1">
      <c r="B48" s="270"/>
      <c r="C48" s="589" t="s">
        <v>1025</v>
      </c>
      <c r="D48" s="590"/>
      <c r="E48" s="590"/>
      <c r="F48" s="591"/>
      <c r="G48" s="268"/>
      <c r="H48" s="1057" t="str">
        <f t="shared" si="0"/>
        <v/>
      </c>
      <c r="I48" s="1571" t="str">
        <f>IFERROR(IF(H48&lt;&gt;"",VLOOKUP(H48,'Warranty Registration'!$H$26:$M$55,2,FALSE),""),"")</f>
        <v/>
      </c>
      <c r="J48" s="1572"/>
      <c r="K48" s="1571" t="str">
        <f>IFERROR(IF(H48&lt;&gt;"",VLOOKUP(H48,'Warranty Registration'!$H$26:$M$55,4,FALSE),""),"")</f>
        <v/>
      </c>
      <c r="L48" s="1572"/>
      <c r="M48" s="1058" t="str">
        <f>IFERROR(IF(H48&lt;&gt;"",VLOOKUP(H48,'Warranty Registration'!$H$26:$M$55,6,FALSE),""),"")</f>
        <v/>
      </c>
      <c r="N48" s="269"/>
      <c r="Q48" s="325">
        <v>23</v>
      </c>
      <c r="R48" s="699" t="str">
        <f t="shared" si="1"/>
        <v>2343101</v>
      </c>
    </row>
    <row r="49" spans="2:18">
      <c r="B49" s="270"/>
      <c r="C49" s="578"/>
      <c r="D49" s="579"/>
      <c r="E49" s="579"/>
      <c r="F49" s="575"/>
      <c r="G49" s="268"/>
      <c r="H49" s="1057" t="str">
        <f t="shared" si="0"/>
        <v/>
      </c>
      <c r="I49" s="1571" t="str">
        <f>IFERROR(IF(H49&lt;&gt;"",VLOOKUP(H49,'Warranty Registration'!$H$26:$M$55,2,FALSE),""),"")</f>
        <v/>
      </c>
      <c r="J49" s="1572"/>
      <c r="K49" s="1571" t="str">
        <f>IFERROR(IF(H49&lt;&gt;"",VLOOKUP(H49,'Warranty Registration'!$H$26:$M$55,4,FALSE),""),"")</f>
        <v/>
      </c>
      <c r="L49" s="1572"/>
      <c r="M49" s="1058" t="str">
        <f>IFERROR(IF(H49&lt;&gt;"",VLOOKUP(H49,'Warranty Registration'!$H$26:$M$55,6,FALSE),""),"")</f>
        <v/>
      </c>
      <c r="N49" s="269"/>
      <c r="Q49" s="325">
        <v>24</v>
      </c>
      <c r="R49" s="699" t="str">
        <f t="shared" si="1"/>
        <v>2443101</v>
      </c>
    </row>
    <row r="50" spans="2:18" ht="14.5" customHeight="1">
      <c r="B50" s="270"/>
      <c r="C50" s="1593" t="s">
        <v>1026</v>
      </c>
      <c r="D50" s="1594"/>
      <c r="E50" s="1594"/>
      <c r="F50" s="1595"/>
      <c r="G50" s="268"/>
      <c r="H50" s="1057" t="str">
        <f t="shared" si="0"/>
        <v/>
      </c>
      <c r="I50" s="1571" t="str">
        <f>IFERROR(IF(H50&lt;&gt;"",VLOOKUP(H50,'Warranty Registration'!$H$26:$M$55,2,FALSE),""),"")</f>
        <v/>
      </c>
      <c r="J50" s="1572"/>
      <c r="K50" s="1571" t="str">
        <f>IFERROR(IF(H50&lt;&gt;"",VLOOKUP(H50,'Warranty Registration'!$H$26:$M$55,4,FALSE),""),"")</f>
        <v/>
      </c>
      <c r="L50" s="1572"/>
      <c r="M50" s="1058" t="str">
        <f>IFERROR(IF(H50&lt;&gt;"",VLOOKUP(H50,'Warranty Registration'!$H$26:$M$55,6,FALSE),""),"")</f>
        <v/>
      </c>
      <c r="N50" s="285"/>
      <c r="Q50" s="325">
        <v>25</v>
      </c>
      <c r="R50" s="699" t="str">
        <f t="shared" si="1"/>
        <v>2543101</v>
      </c>
    </row>
    <row r="51" spans="2:18" ht="15" customHeight="1">
      <c r="B51" s="270"/>
      <c r="C51" s="1593" t="s">
        <v>1027</v>
      </c>
      <c r="D51" s="1594"/>
      <c r="E51" s="1594"/>
      <c r="F51" s="1595"/>
      <c r="G51" s="268"/>
      <c r="H51" s="1057" t="str">
        <f t="shared" si="0"/>
        <v/>
      </c>
      <c r="I51" s="1571" t="str">
        <f>IFERROR(IF(H51&lt;&gt;"",VLOOKUP(H51,'Warranty Registration'!$H$26:$M$55,2,FALSE),""),"")</f>
        <v/>
      </c>
      <c r="J51" s="1572"/>
      <c r="K51" s="1571" t="str">
        <f>IFERROR(IF(H51&lt;&gt;"",VLOOKUP(H51,'Warranty Registration'!$H$26:$M$55,4,FALSE),""),"")</f>
        <v/>
      </c>
      <c r="L51" s="1572"/>
      <c r="M51" s="1058" t="str">
        <f>IFERROR(IF(H51&lt;&gt;"",VLOOKUP(H51,'Warranty Registration'!$H$26:$M$55,6,FALSE),""),"")</f>
        <v/>
      </c>
      <c r="N51" s="542"/>
      <c r="Q51" s="325">
        <v>26</v>
      </c>
      <c r="R51" s="699" t="str">
        <f t="shared" si="1"/>
        <v>2643101</v>
      </c>
    </row>
    <row r="52" spans="2:18" ht="15" customHeight="1">
      <c r="B52" s="270"/>
      <c r="C52" s="1593" t="s">
        <v>1028</v>
      </c>
      <c r="D52" s="1594"/>
      <c r="E52" s="1594"/>
      <c r="F52" s="1595"/>
      <c r="G52" s="268"/>
      <c r="H52" s="1057" t="str">
        <f t="shared" si="0"/>
        <v/>
      </c>
      <c r="I52" s="1571" t="str">
        <f>IFERROR(IF(H52&lt;&gt;"",VLOOKUP(H52,'Warranty Registration'!$H$26:$M$55,2,FALSE),""),"")</f>
        <v/>
      </c>
      <c r="J52" s="1572"/>
      <c r="K52" s="1571" t="str">
        <f>IFERROR(IF(H52&lt;&gt;"",VLOOKUP(H52,'Warranty Registration'!$H$26:$M$55,4,FALSE),""),"")</f>
        <v/>
      </c>
      <c r="L52" s="1572"/>
      <c r="M52" s="1058" t="str">
        <f>IFERROR(IF(H52&lt;&gt;"",VLOOKUP(H52,'Warranty Registration'!$H$26:$M$55,6,FALSE),""),"")</f>
        <v/>
      </c>
      <c r="N52" s="543"/>
      <c r="Q52" s="325">
        <v>27</v>
      </c>
      <c r="R52" s="699" t="str">
        <f t="shared" si="1"/>
        <v>2743101</v>
      </c>
    </row>
    <row r="53" spans="2:18" ht="14.5" customHeight="1">
      <c r="B53" s="270"/>
      <c r="C53" s="1593" t="s">
        <v>1029</v>
      </c>
      <c r="D53" s="1594"/>
      <c r="E53" s="1594"/>
      <c r="F53" s="1595"/>
      <c r="G53" s="268"/>
      <c r="H53" s="1057" t="str">
        <f t="shared" si="0"/>
        <v/>
      </c>
      <c r="I53" s="1571" t="str">
        <f>IFERROR(IF(H53&lt;&gt;"",VLOOKUP(H53,'Warranty Registration'!$H$26:$M$55,2,FALSE),""),"")</f>
        <v/>
      </c>
      <c r="J53" s="1572"/>
      <c r="K53" s="1571" t="str">
        <f>IFERROR(IF(H53&lt;&gt;"",VLOOKUP(H53,'Warranty Registration'!$H$26:$M$55,4,FALSE),""),"")</f>
        <v/>
      </c>
      <c r="L53" s="1572"/>
      <c r="M53" s="1058" t="str">
        <f>IFERROR(IF(H53&lt;&gt;"",VLOOKUP(H53,'Warranty Registration'!$H$26:$M$55,6,FALSE),""),"")</f>
        <v/>
      </c>
      <c r="N53" s="285"/>
      <c r="Q53" s="325">
        <v>28</v>
      </c>
      <c r="R53" s="699" t="str">
        <f t="shared" si="1"/>
        <v>2843101</v>
      </c>
    </row>
    <row r="54" spans="2:18" ht="14.5" customHeight="1">
      <c r="B54" s="270"/>
      <c r="C54" s="1593" t="s">
        <v>1030</v>
      </c>
      <c r="D54" s="1594"/>
      <c r="E54" s="1594"/>
      <c r="F54" s="1595"/>
      <c r="G54" s="268"/>
      <c r="H54" s="1057" t="str">
        <f t="shared" si="0"/>
        <v/>
      </c>
      <c r="I54" s="1571" t="str">
        <f>IFERROR(IF(H54&lt;&gt;"",VLOOKUP(H54,'Warranty Registration'!$H$26:$M$55,2,FALSE),""),"")</f>
        <v/>
      </c>
      <c r="J54" s="1572"/>
      <c r="K54" s="1571" t="str">
        <f>IFERROR(IF(H54&lt;&gt;"",VLOOKUP(H54,'Warranty Registration'!$H$26:$M$55,4,FALSE),""),"")</f>
        <v/>
      </c>
      <c r="L54" s="1572"/>
      <c r="M54" s="1058" t="str">
        <f>IFERROR(IF(H54&lt;&gt;"",VLOOKUP(H54,'Warranty Registration'!$H$26:$M$55,6,FALSE),""),"")</f>
        <v/>
      </c>
      <c r="N54" s="269"/>
      <c r="Q54" s="325">
        <v>29</v>
      </c>
      <c r="R54" s="699" t="str">
        <f t="shared" si="1"/>
        <v>2943101</v>
      </c>
    </row>
    <row r="55" spans="2:18" ht="14.5" customHeight="1">
      <c r="B55" s="270"/>
      <c r="C55" s="1593" t="s">
        <v>1031</v>
      </c>
      <c r="D55" s="1594"/>
      <c r="E55" s="1594"/>
      <c r="F55" s="1595"/>
      <c r="G55" s="268"/>
      <c r="H55" s="1057" t="str">
        <f t="shared" si="0"/>
        <v/>
      </c>
      <c r="I55" s="1571" t="str">
        <f>IFERROR(IF(H55&lt;&gt;"",VLOOKUP(H55,'Warranty Registration'!$H$26:$M$55,2,FALSE),""),"")</f>
        <v/>
      </c>
      <c r="J55" s="1572"/>
      <c r="K55" s="1571" t="str">
        <f>IFERROR(IF(H55&lt;&gt;"",VLOOKUP(H55,'Warranty Registration'!$H$26:$M$55,4,FALSE),""),"")</f>
        <v/>
      </c>
      <c r="L55" s="1572"/>
      <c r="M55" s="1058" t="str">
        <f>IFERROR(IF(H55&lt;&gt;"",VLOOKUP(H55,'Warranty Registration'!$H$26:$M$55,6,FALSE),""),"")</f>
        <v/>
      </c>
      <c r="N55" s="269"/>
      <c r="Q55" s="325">
        <v>30</v>
      </c>
      <c r="R55" s="699" t="str">
        <f t="shared" si="1"/>
        <v>3043101</v>
      </c>
    </row>
    <row r="56" spans="2:18" ht="14.5" customHeight="1" thickBot="1">
      <c r="B56" s="270"/>
      <c r="C56" s="586"/>
      <c r="D56" s="587"/>
      <c r="E56" s="587"/>
      <c r="F56" s="576"/>
      <c r="G56" s="268"/>
      <c r="H56" s="311"/>
      <c r="I56" s="1377"/>
      <c r="J56" s="1378"/>
      <c r="K56" s="1377"/>
      <c r="L56" s="1378"/>
      <c r="M56" s="517"/>
      <c r="N56" s="269"/>
    </row>
    <row r="57" spans="2:18" ht="12.6" thickBot="1">
      <c r="B57" s="270"/>
      <c r="C57" s="283"/>
      <c r="D57" s="283"/>
      <c r="E57" s="281"/>
      <c r="F57" s="281"/>
      <c r="G57" s="341"/>
      <c r="H57" s="341"/>
      <c r="I57" s="341"/>
      <c r="J57" s="341"/>
      <c r="K57" s="281"/>
      <c r="L57" s="281"/>
      <c r="M57" s="281"/>
      <c r="N57" s="269"/>
    </row>
    <row r="58" spans="2:18" ht="12.6" thickBot="1">
      <c r="B58" s="270"/>
      <c r="C58" s="1330" t="s">
        <v>1023</v>
      </c>
      <c r="D58" s="1331"/>
      <c r="E58" s="1331"/>
      <c r="F58" s="1332"/>
      <c r="G58" s="341"/>
      <c r="H58" s="1608" t="s">
        <v>1021</v>
      </c>
      <c r="I58" s="1609"/>
      <c r="J58" s="1609"/>
      <c r="K58" s="1609"/>
      <c r="L58" s="1609"/>
      <c r="M58" s="1610"/>
      <c r="N58" s="269"/>
    </row>
    <row r="59" spans="2:18" ht="14.5" customHeight="1">
      <c r="B59" s="270"/>
      <c r="C59" s="584" t="s">
        <v>1020</v>
      </c>
      <c r="D59" s="1375"/>
      <c r="E59" s="1375"/>
      <c r="F59" s="1376"/>
      <c r="G59" s="341"/>
      <c r="H59" s="1605"/>
      <c r="I59" s="1606"/>
      <c r="J59" s="1606"/>
      <c r="K59" s="1606"/>
      <c r="L59" s="1606"/>
      <c r="M59" s="1607"/>
      <c r="N59" s="269"/>
    </row>
    <row r="60" spans="2:18">
      <c r="B60" s="270"/>
      <c r="C60" s="535"/>
      <c r="D60" s="1375"/>
      <c r="E60" s="1375"/>
      <c r="F60" s="1376"/>
      <c r="G60" s="341"/>
      <c r="H60" s="1590"/>
      <c r="I60" s="1591"/>
      <c r="J60" s="1591"/>
      <c r="K60" s="1591"/>
      <c r="L60" s="1591"/>
      <c r="M60" s="1592"/>
      <c r="N60" s="269"/>
    </row>
    <row r="61" spans="2:18">
      <c r="B61" s="270"/>
      <c r="C61" s="535" t="s">
        <v>1019</v>
      </c>
      <c r="D61" s="1381"/>
      <c r="E61" s="1381"/>
      <c r="F61" s="1382"/>
      <c r="G61" s="341"/>
      <c r="H61" s="1587"/>
      <c r="I61" s="1588"/>
      <c r="J61" s="1588"/>
      <c r="K61" s="1588"/>
      <c r="L61" s="1588"/>
      <c r="M61" s="1589"/>
      <c r="N61" s="269"/>
    </row>
    <row r="62" spans="2:18">
      <c r="B62" s="270"/>
      <c r="C62" s="535"/>
      <c r="D62" s="1381"/>
      <c r="E62" s="1381"/>
      <c r="F62" s="1382"/>
      <c r="G62" s="341"/>
      <c r="H62" s="1590"/>
      <c r="I62" s="1591"/>
      <c r="J62" s="1591"/>
      <c r="K62" s="1591"/>
      <c r="L62" s="1591"/>
      <c r="M62" s="1592"/>
      <c r="N62" s="269"/>
    </row>
    <row r="63" spans="2:18">
      <c r="B63" s="270"/>
      <c r="C63" s="535" t="s">
        <v>311</v>
      </c>
      <c r="D63" s="1597"/>
      <c r="E63" s="1597"/>
      <c r="F63" s="1598"/>
      <c r="G63" s="341"/>
      <c r="H63" s="1587"/>
      <c r="I63" s="1588"/>
      <c r="J63" s="1588"/>
      <c r="K63" s="1588"/>
      <c r="L63" s="1588"/>
      <c r="M63" s="1589"/>
      <c r="N63" s="269"/>
    </row>
    <row r="64" spans="2:18" ht="12.6" thickBot="1">
      <c r="B64" s="270"/>
      <c r="C64" s="272"/>
      <c r="D64" s="275"/>
      <c r="E64" s="275"/>
      <c r="F64" s="277"/>
      <c r="G64" s="341"/>
      <c r="H64" s="1590"/>
      <c r="I64" s="1591"/>
      <c r="J64" s="1591"/>
      <c r="K64" s="1591"/>
      <c r="L64" s="1591"/>
      <c r="M64" s="1592"/>
      <c r="N64" s="269"/>
    </row>
    <row r="65" spans="2:14" ht="12.6" thickBot="1">
      <c r="B65" s="270"/>
      <c r="C65" s="268"/>
      <c r="D65" s="539"/>
      <c r="E65" s="539"/>
      <c r="F65" s="539"/>
      <c r="G65" s="268"/>
      <c r="H65" s="1587"/>
      <c r="I65" s="1588"/>
      <c r="J65" s="1588"/>
      <c r="K65" s="1588"/>
      <c r="L65" s="1588"/>
      <c r="M65" s="1589"/>
      <c r="N65" s="269"/>
    </row>
    <row r="66" spans="2:14">
      <c r="B66" s="270"/>
      <c r="C66" s="1602" t="s">
        <v>1039</v>
      </c>
      <c r="D66" s="1603"/>
      <c r="E66" s="1603"/>
      <c r="F66" s="1604"/>
      <c r="G66" s="341"/>
      <c r="H66" s="1590"/>
      <c r="I66" s="1591"/>
      <c r="J66" s="1591"/>
      <c r="K66" s="1591"/>
      <c r="L66" s="1591"/>
      <c r="M66" s="1592"/>
      <c r="N66" s="269"/>
    </row>
    <row r="67" spans="2:14">
      <c r="B67" s="270"/>
      <c r="C67" s="584" t="s">
        <v>1020</v>
      </c>
      <c r="D67" s="1368"/>
      <c r="E67" s="1368"/>
      <c r="F67" s="1369"/>
      <c r="G67" s="268"/>
      <c r="H67" s="1587"/>
      <c r="I67" s="1588"/>
      <c r="J67" s="1588"/>
      <c r="K67" s="1588"/>
      <c r="L67" s="1588"/>
      <c r="M67" s="1589"/>
      <c r="N67" s="269"/>
    </row>
    <row r="68" spans="2:14" ht="18" customHeight="1">
      <c r="B68" s="270"/>
      <c r="C68" s="569"/>
      <c r="D68" s="1368"/>
      <c r="E68" s="1368"/>
      <c r="F68" s="1369"/>
      <c r="G68" s="545"/>
      <c r="H68" s="1590"/>
      <c r="I68" s="1591"/>
      <c r="J68" s="1591"/>
      <c r="K68" s="1591"/>
      <c r="L68" s="1591"/>
      <c r="M68" s="1592"/>
      <c r="N68" s="269"/>
    </row>
    <row r="69" spans="2:14">
      <c r="B69" s="270"/>
      <c r="C69" s="569"/>
      <c r="D69" s="1368"/>
      <c r="E69" s="1368"/>
      <c r="F69" s="1369"/>
      <c r="G69" s="544"/>
      <c r="H69" s="1587"/>
      <c r="I69" s="1588"/>
      <c r="J69" s="1588"/>
      <c r="K69" s="1588"/>
      <c r="L69" s="1588"/>
      <c r="M69" s="1589"/>
      <c r="N69" s="269"/>
    </row>
    <row r="70" spans="2:14">
      <c r="B70" s="270"/>
      <c r="C70" s="584" t="s">
        <v>1019</v>
      </c>
      <c r="D70" s="592"/>
      <c r="E70" s="592"/>
      <c r="F70" s="593"/>
      <c r="G70" s="562"/>
      <c r="H70" s="1590"/>
      <c r="I70" s="1591"/>
      <c r="J70" s="1591"/>
      <c r="K70" s="1591"/>
      <c r="L70" s="1591"/>
      <c r="M70" s="1592"/>
      <c r="N70" s="269"/>
    </row>
    <row r="71" spans="2:14">
      <c r="B71" s="270"/>
      <c r="C71" s="569"/>
      <c r="D71" s="562"/>
      <c r="E71" s="562"/>
      <c r="F71" s="570"/>
      <c r="G71" s="562"/>
      <c r="H71" s="1587"/>
      <c r="I71" s="1588"/>
      <c r="J71" s="1588"/>
      <c r="K71" s="1588"/>
      <c r="L71" s="1588"/>
      <c r="M71" s="1589"/>
      <c r="N71" s="269"/>
    </row>
    <row r="72" spans="2:14">
      <c r="B72" s="270"/>
      <c r="C72" s="270" t="s">
        <v>311</v>
      </c>
      <c r="D72" s="582"/>
      <c r="E72" s="582"/>
      <c r="F72" s="594"/>
      <c r="G72" s="562"/>
      <c r="H72" s="1590"/>
      <c r="I72" s="1591"/>
      <c r="J72" s="1591"/>
      <c r="K72" s="1591"/>
      <c r="L72" s="1591"/>
      <c r="M72" s="1592"/>
      <c r="N72" s="269"/>
    </row>
    <row r="73" spans="2:14" ht="12.6" thickBot="1">
      <c r="B73" s="270"/>
      <c r="C73" s="272"/>
      <c r="D73" s="275"/>
      <c r="E73" s="275"/>
      <c r="F73" s="277"/>
      <c r="G73" s="562"/>
      <c r="H73" s="1587"/>
      <c r="I73" s="1588"/>
      <c r="J73" s="1588"/>
      <c r="K73" s="1588"/>
      <c r="L73" s="1588"/>
      <c r="M73" s="1589"/>
      <c r="N73" s="269"/>
    </row>
    <row r="74" spans="2:14">
      <c r="B74" s="270"/>
      <c r="C74" s="268"/>
      <c r="D74" s="268"/>
      <c r="E74" s="268"/>
      <c r="F74" s="268"/>
      <c r="G74" s="268"/>
      <c r="H74" s="1590"/>
      <c r="I74" s="1591"/>
      <c r="J74" s="1591"/>
      <c r="K74" s="1591"/>
      <c r="L74" s="1591"/>
      <c r="M74" s="1592"/>
      <c r="N74" s="269"/>
    </row>
    <row r="75" spans="2:14" ht="12.6" thickBot="1">
      <c r="B75" s="270"/>
      <c r="C75" s="268"/>
      <c r="D75" s="268"/>
      <c r="E75" s="268"/>
      <c r="F75" s="268"/>
      <c r="G75" s="268"/>
      <c r="H75" s="1599"/>
      <c r="I75" s="1600"/>
      <c r="J75" s="1600"/>
      <c r="K75" s="1600"/>
      <c r="L75" s="1600"/>
      <c r="M75" s="1601"/>
      <c r="N75" s="269"/>
    </row>
    <row r="76" spans="2:14" ht="12.6" thickBot="1">
      <c r="B76" s="272"/>
      <c r="C76" s="275"/>
      <c r="D76" s="275"/>
      <c r="E76" s="275"/>
      <c r="F76" s="275"/>
      <c r="G76" s="275"/>
      <c r="H76" s="275"/>
      <c r="I76" s="275"/>
      <c r="J76" s="275"/>
      <c r="K76" s="275"/>
      <c r="L76" s="275"/>
      <c r="M76" s="275"/>
      <c r="N76" s="277"/>
    </row>
    <row r="77" spans="2:14">
      <c r="B77" s="268"/>
      <c r="C77" s="268"/>
      <c r="D77" s="268"/>
      <c r="E77" s="268"/>
      <c r="F77" s="268"/>
      <c r="G77" s="268"/>
      <c r="H77" s="268"/>
      <c r="I77" s="268"/>
      <c r="J77" s="268"/>
      <c r="K77" s="268"/>
      <c r="L77" s="268"/>
      <c r="M77" s="268"/>
      <c r="N77" s="268"/>
    </row>
    <row r="78" spans="2:14">
      <c r="B78" s="268"/>
      <c r="C78" s="268"/>
      <c r="D78" s="268"/>
      <c r="E78" s="268"/>
      <c r="F78" s="268"/>
      <c r="G78" s="268"/>
      <c r="H78" s="268"/>
      <c r="I78" s="268"/>
      <c r="J78" s="268"/>
      <c r="K78" s="268"/>
      <c r="L78" s="268"/>
      <c r="M78" s="268"/>
      <c r="N78" s="268"/>
    </row>
    <row r="79" spans="2:14">
      <c r="B79" s="268"/>
      <c r="C79" s="268"/>
      <c r="D79" s="268"/>
      <c r="E79" s="268"/>
      <c r="F79" s="268"/>
      <c r="G79" s="268"/>
      <c r="H79" s="268"/>
      <c r="I79" s="268"/>
      <c r="J79" s="268"/>
      <c r="K79" s="268"/>
      <c r="L79" s="268"/>
      <c r="M79" s="268"/>
      <c r="N79" s="268"/>
    </row>
    <row r="80" spans="2:14" ht="15" customHeight="1">
      <c r="B80" s="268"/>
      <c r="C80" s="268"/>
      <c r="D80" s="268"/>
      <c r="E80" s="268"/>
      <c r="F80" s="268"/>
      <c r="G80" s="268"/>
      <c r="H80" s="268"/>
      <c r="I80" s="268"/>
      <c r="J80" s="268"/>
      <c r="K80" s="268"/>
      <c r="L80" s="268"/>
      <c r="M80" s="268"/>
      <c r="N80" s="268"/>
    </row>
    <row r="81" spans="2:17">
      <c r="B81" s="268"/>
      <c r="C81" s="268"/>
      <c r="D81" s="268"/>
      <c r="E81" s="268"/>
      <c r="F81" s="268"/>
      <c r="G81" s="268"/>
      <c r="H81" s="268"/>
      <c r="I81" s="268"/>
      <c r="J81" s="268"/>
      <c r="K81" s="268"/>
      <c r="L81" s="268"/>
      <c r="M81" s="268"/>
      <c r="N81" s="268"/>
    </row>
    <row r="82" spans="2:17" ht="14.5" customHeight="1">
      <c r="B82" s="268"/>
      <c r="C82" s="268"/>
      <c r="D82" s="268"/>
      <c r="E82" s="268"/>
      <c r="F82" s="268"/>
      <c r="G82" s="268"/>
      <c r="H82" s="268"/>
      <c r="I82" s="268"/>
      <c r="J82" s="268"/>
      <c r="K82" s="268"/>
      <c r="L82" s="268"/>
      <c r="M82" s="268"/>
      <c r="N82" s="268"/>
      <c r="O82" s="700"/>
      <c r="Q82" s="700"/>
    </row>
    <row r="83" spans="2:17" ht="14.5" customHeight="1">
      <c r="B83" s="268"/>
      <c r="C83" s="268"/>
      <c r="D83" s="268"/>
      <c r="E83" s="268"/>
      <c r="F83" s="268"/>
      <c r="G83" s="268"/>
      <c r="H83" s="268"/>
      <c r="I83" s="268"/>
      <c r="J83" s="268"/>
      <c r="K83" s="268"/>
      <c r="L83" s="268"/>
      <c r="M83" s="268"/>
      <c r="N83" s="268"/>
    </row>
    <row r="84" spans="2:17" ht="14.5" customHeight="1">
      <c r="B84" s="268"/>
      <c r="C84" s="268"/>
      <c r="D84" s="268"/>
      <c r="E84" s="268"/>
      <c r="F84" s="268"/>
      <c r="G84" s="268"/>
      <c r="H84" s="268"/>
      <c r="I84" s="268"/>
      <c r="J84" s="268"/>
      <c r="K84" s="268"/>
      <c r="L84" s="268"/>
      <c r="M84" s="268"/>
      <c r="N84" s="268"/>
    </row>
    <row r="85" spans="2:17" ht="14.5" customHeight="1">
      <c r="B85" s="268"/>
      <c r="C85" s="291"/>
      <c r="D85" s="268"/>
      <c r="E85" s="268"/>
      <c r="F85" s="268"/>
      <c r="G85" s="268"/>
      <c r="H85" s="268"/>
      <c r="I85" s="268"/>
      <c r="J85" s="268"/>
      <c r="K85" s="268"/>
      <c r="L85" s="268"/>
      <c r="M85" s="268"/>
      <c r="N85" s="268"/>
    </row>
    <row r="86" spans="2:17" ht="14.5" customHeight="1">
      <c r="B86" s="268"/>
      <c r="C86" s="268"/>
      <c r="D86" s="268"/>
      <c r="E86" s="268"/>
      <c r="F86" s="268"/>
      <c r="G86" s="268"/>
      <c r="H86" s="268"/>
      <c r="I86" s="268"/>
      <c r="J86" s="268"/>
      <c r="K86" s="268"/>
      <c r="L86" s="268"/>
      <c r="M86" s="268"/>
      <c r="N86" s="268"/>
    </row>
    <row r="87" spans="2:17" ht="14.5" customHeight="1">
      <c r="B87" s="268"/>
      <c r="C87" s="1354"/>
      <c r="D87" s="1354"/>
      <c r="E87" s="1354"/>
      <c r="F87" s="1354"/>
      <c r="G87" s="268"/>
      <c r="H87" s="268"/>
      <c r="I87" s="268"/>
      <c r="J87" s="268"/>
      <c r="K87" s="268"/>
      <c r="L87" s="268"/>
      <c r="M87" s="268"/>
      <c r="N87" s="268"/>
    </row>
    <row r="88" spans="2:17">
      <c r="B88" s="268"/>
      <c r="C88" s="1354"/>
      <c r="D88" s="1354"/>
      <c r="E88" s="1354"/>
      <c r="F88" s="1354"/>
      <c r="G88" s="268"/>
      <c r="H88" s="268"/>
      <c r="I88" s="268"/>
      <c r="J88" s="268"/>
      <c r="K88" s="268"/>
      <c r="L88" s="268"/>
      <c r="M88" s="268"/>
      <c r="N88" s="268"/>
    </row>
    <row r="89" spans="2:17">
      <c r="B89" s="268"/>
      <c r="C89" s="1354"/>
      <c r="D89" s="1354"/>
      <c r="E89" s="1354"/>
      <c r="F89" s="1354"/>
      <c r="G89" s="268"/>
      <c r="H89" s="268"/>
      <c r="I89" s="268"/>
      <c r="J89" s="268"/>
      <c r="K89" s="268"/>
      <c r="L89" s="268"/>
      <c r="M89" s="268"/>
      <c r="N89" s="268"/>
    </row>
    <row r="90" spans="2:17" ht="14.5" customHeight="1">
      <c r="B90" s="268"/>
      <c r="C90" s="1354"/>
      <c r="D90" s="1354"/>
      <c r="E90" s="1354"/>
      <c r="F90" s="1354"/>
      <c r="G90" s="1354"/>
      <c r="H90" s="1354"/>
      <c r="I90" s="1354"/>
      <c r="J90" s="1354"/>
      <c r="K90" s="1354"/>
      <c r="L90" s="547"/>
      <c r="M90" s="547"/>
      <c r="N90" s="268"/>
    </row>
    <row r="91" spans="2:17">
      <c r="B91" s="268"/>
      <c r="C91" s="1354"/>
      <c r="D91" s="1354"/>
      <c r="E91" s="1354"/>
      <c r="F91" s="1354"/>
      <c r="G91" s="1354"/>
      <c r="H91" s="1354"/>
      <c r="I91" s="1354"/>
      <c r="J91" s="1354"/>
      <c r="K91" s="1354"/>
      <c r="L91" s="547"/>
      <c r="M91" s="547"/>
      <c r="N91" s="268"/>
    </row>
    <row r="92" spans="2:17" ht="13.15" customHeight="1">
      <c r="B92" s="268"/>
      <c r="C92" s="1354"/>
      <c r="D92" s="1354"/>
      <c r="E92" s="1354"/>
      <c r="F92" s="1354"/>
      <c r="G92" s="1354"/>
      <c r="H92" s="1354"/>
      <c r="I92" s="1354"/>
      <c r="J92" s="1354"/>
      <c r="K92" s="1354"/>
      <c r="L92" s="547"/>
      <c r="M92" s="547"/>
      <c r="N92" s="268"/>
    </row>
    <row r="93" spans="2:17" ht="42" customHeight="1">
      <c r="B93" s="268"/>
      <c r="C93" s="1354"/>
      <c r="D93" s="1354"/>
      <c r="E93" s="1354"/>
      <c r="F93" s="1354"/>
      <c r="G93" s="1354"/>
      <c r="H93" s="1354"/>
      <c r="I93" s="1354"/>
      <c r="J93" s="1354"/>
      <c r="K93" s="1354"/>
      <c r="L93" s="547"/>
      <c r="M93" s="547"/>
      <c r="N93" s="268"/>
    </row>
    <row r="94" spans="2:17" ht="14.5" customHeight="1">
      <c r="B94" s="268"/>
      <c r="C94" s="268"/>
      <c r="D94" s="268"/>
      <c r="E94" s="292"/>
      <c r="F94" s="268"/>
      <c r="G94" s="1354"/>
      <c r="H94" s="1354"/>
      <c r="I94" s="1354"/>
      <c r="J94" s="1354"/>
      <c r="K94" s="1354"/>
      <c r="L94" s="547"/>
      <c r="M94" s="547"/>
      <c r="N94" s="268"/>
    </row>
    <row r="95" spans="2:17" ht="13.9" customHeight="1">
      <c r="B95" s="268"/>
      <c r="C95" s="268"/>
      <c r="D95" s="268"/>
      <c r="E95" s="268"/>
      <c r="F95" s="268"/>
      <c r="G95" s="1354"/>
      <c r="H95" s="1354"/>
      <c r="I95" s="1354"/>
      <c r="J95" s="1354"/>
      <c r="K95" s="1354"/>
      <c r="L95" s="547"/>
      <c r="M95" s="547"/>
      <c r="N95" s="268"/>
    </row>
    <row r="96" spans="2:17" ht="14.5" customHeight="1">
      <c r="B96" s="268"/>
      <c r="C96" s="268"/>
      <c r="D96" s="268"/>
      <c r="E96" s="268"/>
      <c r="F96" s="268"/>
      <c r="G96" s="1354"/>
      <c r="H96" s="1354"/>
      <c r="I96" s="1354"/>
      <c r="J96" s="1354"/>
      <c r="K96" s="1354"/>
      <c r="L96" s="547"/>
      <c r="M96" s="547"/>
      <c r="N96" s="268"/>
    </row>
    <row r="97" spans="2:14" ht="15" customHeight="1">
      <c r="B97" s="268"/>
      <c r="C97" s="268"/>
      <c r="D97" s="268"/>
      <c r="E97" s="268"/>
      <c r="F97" s="268"/>
      <c r="G97" s="268"/>
      <c r="H97" s="268"/>
      <c r="I97" s="268"/>
      <c r="J97" s="268"/>
      <c r="K97" s="268"/>
      <c r="L97" s="268"/>
      <c r="M97" s="268"/>
      <c r="N97" s="268"/>
    </row>
    <row r="98" spans="2:14" ht="2.5" customHeight="1">
      <c r="B98" s="268"/>
      <c r="C98" s="268"/>
      <c r="D98" s="268"/>
      <c r="E98" s="268"/>
      <c r="F98" s="268"/>
      <c r="G98" s="268"/>
      <c r="H98" s="268"/>
      <c r="I98" s="268"/>
      <c r="J98" s="268"/>
      <c r="K98" s="268"/>
      <c r="L98" s="268"/>
      <c r="M98" s="268"/>
      <c r="N98" s="268"/>
    </row>
    <row r="99" spans="2:14">
      <c r="B99" s="268"/>
      <c r="C99" s="268"/>
      <c r="D99" s="268"/>
      <c r="E99" s="268"/>
      <c r="F99" s="268"/>
      <c r="G99" s="268"/>
      <c r="H99" s="268"/>
      <c r="I99" s="268"/>
      <c r="J99" s="268"/>
      <c r="K99" s="268"/>
      <c r="L99" s="268"/>
      <c r="M99" s="268"/>
      <c r="N99" s="268"/>
    </row>
    <row r="100" spans="2:14">
      <c r="G100" s="268"/>
      <c r="H100" s="268"/>
      <c r="I100" s="268"/>
      <c r="J100" s="268"/>
      <c r="K100" s="268"/>
      <c r="L100" s="268"/>
      <c r="M100" s="268"/>
    </row>
    <row r="101" spans="2:14">
      <c r="G101" s="268"/>
      <c r="H101" s="268"/>
      <c r="I101" s="268"/>
      <c r="J101" s="268"/>
      <c r="K101" s="268"/>
      <c r="L101" s="268"/>
      <c r="M101" s="268"/>
    </row>
    <row r="102" spans="2:14">
      <c r="G102" s="268"/>
      <c r="H102" s="268"/>
      <c r="I102" s="268"/>
      <c r="J102" s="268"/>
      <c r="K102" s="268"/>
      <c r="L102" s="268"/>
      <c r="M102" s="268"/>
    </row>
  </sheetData>
  <sheetProtection algorithmName="SHA-512" hashValue="UuVWCcFQBcWc/ZD8xaoCDx9c+x1eBfvGWxA/e/JE+BPhCpP8tOAz8q9EeJTgWEhzW3/FQzoVl8psh6/3FqX47g==" saltValue="qeY2PLfdpAamREb5KuxPLg==" spinCount="100000" sheet="1" objects="1" scenarios="1"/>
  <sortState ref="S2:U31">
    <sortCondition sortBy="cellColor" ref="U2:U31" dxfId="3"/>
  </sortState>
  <mergeCells count="117">
    <mergeCell ref="H59:M60"/>
    <mergeCell ref="H61:M62"/>
    <mergeCell ref="H58:M58"/>
    <mergeCell ref="C58:F58"/>
    <mergeCell ref="C50:F50"/>
    <mergeCell ref="C51:F51"/>
    <mergeCell ref="C52:F52"/>
    <mergeCell ref="C53:F53"/>
    <mergeCell ref="E41:F41"/>
    <mergeCell ref="E43:F43"/>
    <mergeCell ref="E44:F44"/>
    <mergeCell ref="E45:F45"/>
    <mergeCell ref="K54:L54"/>
    <mergeCell ref="K55:L55"/>
    <mergeCell ref="K56:L56"/>
    <mergeCell ref="K52:L52"/>
    <mergeCell ref="K41:L41"/>
    <mergeCell ref="K42:L42"/>
    <mergeCell ref="I51:J51"/>
    <mergeCell ref="I43:J43"/>
    <mergeCell ref="I44:J44"/>
    <mergeCell ref="I45:J45"/>
    <mergeCell ref="K48:L48"/>
    <mergeCell ref="K49:L49"/>
    <mergeCell ref="H75:M75"/>
    <mergeCell ref="C87:D93"/>
    <mergeCell ref="E87:F93"/>
    <mergeCell ref="G90:K96"/>
    <mergeCell ref="C66:F66"/>
    <mergeCell ref="D67:F69"/>
    <mergeCell ref="H65:M66"/>
    <mergeCell ref="H67:M68"/>
    <mergeCell ref="H69:M70"/>
    <mergeCell ref="H71:M72"/>
    <mergeCell ref="H73:M74"/>
    <mergeCell ref="H63:M64"/>
    <mergeCell ref="C54:F54"/>
    <mergeCell ref="C55:F55"/>
    <mergeCell ref="E42:F42"/>
    <mergeCell ref="D59:F60"/>
    <mergeCell ref="D61:F62"/>
    <mergeCell ref="D63:F63"/>
    <mergeCell ref="E37:F37"/>
    <mergeCell ref="E38:F38"/>
    <mergeCell ref="E39:F39"/>
    <mergeCell ref="I46:J46"/>
    <mergeCell ref="I47:J47"/>
    <mergeCell ref="I38:J38"/>
    <mergeCell ref="I39:J39"/>
    <mergeCell ref="I40:J40"/>
    <mergeCell ref="I41:J41"/>
    <mergeCell ref="I42:J42"/>
    <mergeCell ref="I37:J37"/>
    <mergeCell ref="I53:J53"/>
    <mergeCell ref="I54:J54"/>
    <mergeCell ref="I55:J55"/>
    <mergeCell ref="I56:J56"/>
    <mergeCell ref="I52:J52"/>
    <mergeCell ref="K53:L53"/>
    <mergeCell ref="E30:F30"/>
    <mergeCell ref="E31:F31"/>
    <mergeCell ref="E32:F32"/>
    <mergeCell ref="C28:F28"/>
    <mergeCell ref="C23:F23"/>
    <mergeCell ref="E24:F24"/>
    <mergeCell ref="E25:F25"/>
    <mergeCell ref="I24:J24"/>
    <mergeCell ref="K24:L24"/>
    <mergeCell ref="I26:J26"/>
    <mergeCell ref="I27:J27"/>
    <mergeCell ref="I25:J25"/>
    <mergeCell ref="K32:L32"/>
    <mergeCell ref="K25:L25"/>
    <mergeCell ref="E33:F33"/>
    <mergeCell ref="E35:F35"/>
    <mergeCell ref="E36:F36"/>
    <mergeCell ref="I28:J28"/>
    <mergeCell ref="I29:J29"/>
    <mergeCell ref="I30:J30"/>
    <mergeCell ref="I31:J31"/>
    <mergeCell ref="I32:J32"/>
    <mergeCell ref="C14:M14"/>
    <mergeCell ref="C16:C17"/>
    <mergeCell ref="D16:F17"/>
    <mergeCell ref="D20:E20"/>
    <mergeCell ref="L16:L17"/>
    <mergeCell ref="I16:K17"/>
    <mergeCell ref="I33:J33"/>
    <mergeCell ref="I34:J34"/>
    <mergeCell ref="I35:J35"/>
    <mergeCell ref="I36:J36"/>
    <mergeCell ref="K26:L26"/>
    <mergeCell ref="K27:L27"/>
    <mergeCell ref="K28:L28"/>
    <mergeCell ref="K29:L29"/>
    <mergeCell ref="K30:L30"/>
    <mergeCell ref="K31:L31"/>
    <mergeCell ref="K50:L50"/>
    <mergeCell ref="K51:L51"/>
    <mergeCell ref="K43:L43"/>
    <mergeCell ref="K44:L44"/>
    <mergeCell ref="K45:L45"/>
    <mergeCell ref="K46:L46"/>
    <mergeCell ref="K47:L47"/>
    <mergeCell ref="G17:H17"/>
    <mergeCell ref="K33:L33"/>
    <mergeCell ref="K34:L34"/>
    <mergeCell ref="K35:L35"/>
    <mergeCell ref="K36:L36"/>
    <mergeCell ref="K37:L37"/>
    <mergeCell ref="I48:J48"/>
    <mergeCell ref="I49:J49"/>
    <mergeCell ref="I50:J50"/>
    <mergeCell ref="K38:L38"/>
    <mergeCell ref="K39:L39"/>
    <mergeCell ref="K40:L40"/>
    <mergeCell ref="H23:M23"/>
  </mergeCells>
  <conditionalFormatting sqref="AD1:AD1048576">
    <cfRule type="notContainsBlanks" dxfId="2" priority="6">
      <formula>LEN(TRIM(AD1))&gt;0</formula>
    </cfRule>
  </conditionalFormatting>
  <conditionalFormatting sqref="AC1:AC1048576">
    <cfRule type="notContainsBlanks" dxfId="1" priority="2">
      <formula>LEN(TRIM(AC1))&gt;0</formula>
    </cfRule>
  </conditionalFormatting>
  <conditionalFormatting sqref="U1:U1048576">
    <cfRule type="notContainsBlanks" dxfId="0" priority="1">
      <formula>LEN(TRIM(U1))&gt;0</formula>
    </cfRule>
  </conditionalFormatting>
  <hyperlinks>
    <hyperlink ref="F12" r:id="rId1" display="jvanschalwyk@jjt.co.za" xr:uid="{00000000-0004-0000-0B00-000000000000}"/>
  </hyperlinks>
  <printOptions horizontalCentered="1" verticalCentered="1"/>
  <pageMargins left="0" right="0" top="0" bottom="0" header="0" footer="0"/>
  <pageSetup paperSize="9" scale="57" fitToHeight="2" orientation="portrait" verticalDpi="4"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0000000}">
          <x14:formula1>
            <xm:f>'Data Sheet'!$BK$11:$BK$20</xm:f>
          </x14:formula1>
          <xm:sqref>D16:F17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B1:BM102"/>
  <sheetViews>
    <sheetView zoomScaleNormal="100" workbookViewId="0">
      <selection activeCell="F9" sqref="F9"/>
    </sheetView>
  </sheetViews>
  <sheetFormatPr defaultColWidth="8.83984375" defaultRowHeight="12.3"/>
  <cols>
    <col min="1" max="1" width="8.83984375" style="278"/>
    <col min="2" max="2" width="8.15625" style="278" customWidth="1"/>
    <col min="3" max="3" width="26.68359375" style="278" customWidth="1"/>
    <col min="4" max="4" width="11.68359375" style="278" customWidth="1"/>
    <col min="5" max="5" width="14.68359375" style="278" customWidth="1"/>
    <col min="6" max="6" width="18.41796875" style="278" customWidth="1"/>
    <col min="7" max="7" width="4.68359375" style="278" customWidth="1"/>
    <col min="8" max="8" width="13.26171875" style="278" customWidth="1"/>
    <col min="9" max="9" width="10.578125" style="278" customWidth="1"/>
    <col min="10" max="10" width="14" style="278" customWidth="1"/>
    <col min="11" max="11" width="5.68359375" style="278" customWidth="1"/>
    <col min="12" max="12" width="19" style="278" customWidth="1"/>
    <col min="13" max="13" width="26.68359375" style="278" customWidth="1"/>
    <col min="14" max="14" width="8.15625" style="278" customWidth="1"/>
    <col min="15" max="15" width="14.578125" style="325" bestFit="1" customWidth="1"/>
    <col min="16" max="16" width="7.68359375" style="325" customWidth="1"/>
    <col min="17" max="17" width="10.15625" style="325" customWidth="1"/>
    <col min="18" max="18" width="8.83984375" style="325"/>
    <col min="19" max="19" width="8.83984375" style="492"/>
    <col min="20" max="21" width="9.578125" style="492" customWidth="1"/>
    <col min="22" max="33" width="8.83984375" style="325"/>
    <col min="34" max="63" width="8.83984375" style="278"/>
    <col min="64" max="65" width="8.83984375" style="325"/>
    <col min="66" max="16384" width="8.83984375" style="278"/>
  </cols>
  <sheetData>
    <row r="1" spans="2:21" ht="12.6" thickBot="1">
      <c r="S1" s="492" t="s">
        <v>1010</v>
      </c>
      <c r="T1" s="492" t="s">
        <v>1011</v>
      </c>
      <c r="U1" s="492" t="s">
        <v>1012</v>
      </c>
    </row>
    <row r="2" spans="2:21">
      <c r="B2" s="284"/>
      <c r="C2" s="266"/>
      <c r="D2" s="266"/>
      <c r="E2" s="266"/>
      <c r="F2" s="266"/>
      <c r="G2" s="266"/>
      <c r="H2" s="266"/>
      <c r="I2" s="266"/>
      <c r="J2" s="266"/>
      <c r="K2" s="266"/>
      <c r="L2" s="266"/>
      <c r="M2" s="266"/>
      <c r="N2" s="267"/>
      <c r="S2" s="492">
        <v>1</v>
      </c>
      <c r="T2" s="492" t="str">
        <f>IFERROR(VLOOKUP(R26,'Month of Invoicing'!$BS$17:$BT$42,2,FALSE),"")</f>
        <v>TBATG0X1</v>
      </c>
      <c r="U2" s="492" t="s">
        <v>1018</v>
      </c>
    </row>
    <row r="3" spans="2:21" ht="16.5">
      <c r="B3" s="270"/>
      <c r="C3" s="554" t="s">
        <v>567</v>
      </c>
      <c r="D3" s="268"/>
      <c r="E3" s="268"/>
      <c r="F3" s="268"/>
      <c r="G3" s="268"/>
      <c r="H3" s="268"/>
      <c r="I3" s="268"/>
      <c r="J3" s="268"/>
      <c r="K3" s="268"/>
      <c r="L3" s="294" t="s">
        <v>565</v>
      </c>
      <c r="M3" s="552"/>
      <c r="N3" s="269"/>
      <c r="Q3" s="325" t="s">
        <v>52</v>
      </c>
      <c r="S3" s="492">
        <v>25</v>
      </c>
      <c r="T3" s="492" t="str">
        <f>IFERROR(VLOOKUP(R27,'Month of Invoicing'!$BS$17:$BT$42,2,FALSE),"")</f>
        <v/>
      </c>
      <c r="U3" s="492" t="s">
        <v>1017</v>
      </c>
    </row>
    <row r="4" spans="2:21">
      <c r="B4" s="270"/>
      <c r="C4" s="268"/>
      <c r="D4" s="268"/>
      <c r="E4" s="268"/>
      <c r="F4" s="268"/>
      <c r="G4" s="268"/>
      <c r="H4" s="268"/>
      <c r="I4" s="268"/>
      <c r="J4" s="268"/>
      <c r="K4" s="268"/>
      <c r="L4" s="552" t="s">
        <v>566</v>
      </c>
      <c r="M4" s="552"/>
      <c r="N4" s="269"/>
      <c r="Q4" s="325" t="s">
        <v>51</v>
      </c>
      <c r="S4" s="492">
        <v>3</v>
      </c>
      <c r="T4" s="492" t="str">
        <f>IFERROR(VLOOKUP(R28,'Month of Invoicing'!$BS$17:$BT$42,2,FALSE),"")</f>
        <v/>
      </c>
      <c r="U4" s="492" t="s">
        <v>1016</v>
      </c>
    </row>
    <row r="5" spans="2:21">
      <c r="B5" s="270"/>
      <c r="C5" s="554" t="str">
        <f>IF('Data Sheet'!D23&lt;&gt;"",'Data Sheet'!D23,"")</f>
        <v>Jan Van Schalwyk</v>
      </c>
      <c r="D5" s="555"/>
      <c r="E5" s="555"/>
      <c r="F5" s="555"/>
      <c r="G5" s="268"/>
      <c r="H5" s="268"/>
      <c r="I5" s="268"/>
      <c r="J5" s="268"/>
      <c r="K5" s="268"/>
      <c r="L5" s="552" t="s">
        <v>568</v>
      </c>
      <c r="M5" s="552"/>
      <c r="N5" s="269"/>
      <c r="Q5" s="325" t="s">
        <v>1005</v>
      </c>
      <c r="S5" s="492">
        <v>2</v>
      </c>
      <c r="T5" s="492" t="str">
        <f>IFERROR(VLOOKUP(R29,'Month of Invoicing'!$BS$17:$BT$42,2,FALSE),"")</f>
        <v/>
      </c>
      <c r="U5" s="492" t="s">
        <v>1015</v>
      </c>
    </row>
    <row r="6" spans="2:21">
      <c r="B6" s="270"/>
      <c r="C6" s="554" t="str">
        <f>IF('Data Sheet'!D24&lt;&gt;"",'Data Sheet'!D24,"")</f>
        <v>ABCD Transport</v>
      </c>
      <c r="D6" s="268"/>
      <c r="E6" s="268"/>
      <c r="F6" s="268"/>
      <c r="G6" s="268"/>
      <c r="H6" s="268"/>
      <c r="I6" s="268"/>
      <c r="J6" s="268"/>
      <c r="K6" s="268"/>
      <c r="L6" s="552" t="s">
        <v>569</v>
      </c>
      <c r="M6" s="552"/>
      <c r="N6" s="269"/>
      <c r="S6" s="492">
        <v>10</v>
      </c>
      <c r="T6" s="492" t="str">
        <f>IFERROR(VLOOKUP(R30,'Month of Invoicing'!$BS$17:$BT$42,2,FALSE),"")</f>
        <v/>
      </c>
      <c r="U6" s="492" t="s">
        <v>1014</v>
      </c>
    </row>
    <row r="7" spans="2:21">
      <c r="B7" s="270"/>
      <c r="C7" s="552" t="str">
        <f>IF('Data Sheet'!D25&lt;&gt;"",'Data Sheet'!D25,"")</f>
        <v>Unit D7 Waterford Court</v>
      </c>
      <c r="D7" s="268"/>
      <c r="E7" s="268"/>
      <c r="F7" s="268"/>
      <c r="G7" s="268"/>
      <c r="H7" s="268"/>
      <c r="I7" s="268"/>
      <c r="J7" s="268"/>
      <c r="K7" s="268"/>
      <c r="L7" s="552" t="s">
        <v>570</v>
      </c>
      <c r="M7" s="552"/>
      <c r="N7" s="269"/>
      <c r="S7" s="492">
        <v>17</v>
      </c>
      <c r="T7" s="492" t="str">
        <f>IFERROR(VLOOKUP(R31,'Month of Invoicing'!$BS$17:$BT$42,2,FALSE),"")</f>
        <v/>
      </c>
      <c r="U7" s="492" t="s">
        <v>1013</v>
      </c>
    </row>
    <row r="8" spans="2:21">
      <c r="B8" s="270"/>
      <c r="C8" s="552" t="str">
        <f>IF('Data Sheet'!D26&lt;&gt;"",'Data Sheet'!D26,"")</f>
        <v>C/o Rabie &amp; Glover Street</v>
      </c>
      <c r="D8" s="268"/>
      <c r="E8" s="268"/>
      <c r="F8" s="268"/>
      <c r="G8" s="268"/>
      <c r="H8" s="268"/>
      <c r="I8" s="268"/>
      <c r="J8" s="268"/>
      <c r="K8" s="268"/>
      <c r="L8" s="552" t="s">
        <v>571</v>
      </c>
      <c r="M8" s="552"/>
      <c r="N8" s="269"/>
      <c r="S8" s="492">
        <v>13</v>
      </c>
      <c r="T8" s="492" t="str">
        <f>IFERROR(VLOOKUP(R32,'Month of Invoicing'!$BS$17:$BT$42,2,FALSE),"")</f>
        <v/>
      </c>
      <c r="U8" s="492" t="s">
        <v>200</v>
      </c>
    </row>
    <row r="9" spans="2:21" ht="12.6">
      <c r="B9" s="270"/>
      <c r="C9" s="552" t="str">
        <f>IF('Data Sheet'!D27&lt;&gt;"",'Data Sheet'!D27,"")</f>
        <v>Lyttelton</v>
      </c>
      <c r="D9" s="268"/>
      <c r="E9" s="286" t="s">
        <v>596</v>
      </c>
      <c r="F9" s="287" t="str">
        <f>IF('Data Sheet'!D32&lt;&gt;"","("&amp;LEFT('Data Sheet'!AM32,3)&amp;")"&amp;" "&amp;MID('Data Sheet'!AM32,4,3)&amp;" "&amp;RIGHT('Data Sheet'!AM32,4),"")</f>
        <v>(012) 003 1234</v>
      </c>
      <c r="H9" s="286" t="s">
        <v>311</v>
      </c>
      <c r="I9" s="265">
        <f>'Data Sheet'!D7</f>
        <v>43136</v>
      </c>
      <c r="J9" s="268"/>
      <c r="K9" s="268"/>
      <c r="L9" s="552" t="s">
        <v>572</v>
      </c>
      <c r="M9" s="552"/>
      <c r="N9" s="269"/>
      <c r="S9" s="492">
        <v>12</v>
      </c>
      <c r="T9" s="492" t="str">
        <f>IFERROR(VLOOKUP(R33,'Month of Invoicing'!$BS$17:$BT$42,2,FALSE),"")</f>
        <v/>
      </c>
      <c r="U9" s="492" t="s">
        <v>200</v>
      </c>
    </row>
    <row r="10" spans="2:21" ht="12.6">
      <c r="B10" s="270"/>
      <c r="C10" s="552" t="str">
        <f>IF('Data Sheet'!D28&lt;&gt;"",'Data Sheet'!D28,"")</f>
        <v>Centurion</v>
      </c>
      <c r="D10" s="268"/>
      <c r="E10" s="286" t="s">
        <v>573</v>
      </c>
      <c r="F10" s="268" t="str">
        <f>IF('Data Sheet'!D33&lt;&gt;"","("&amp;LEFT('Data Sheet'!AM33,3)&amp;")"&amp;" "&amp;MID('Data Sheet'!AM33,4,3)&amp;" "&amp;RIGHT('Data Sheet'!AM33,4),"")</f>
        <v>(073) 123 4567</v>
      </c>
      <c r="H10" s="286" t="s">
        <v>677</v>
      </c>
      <c r="I10" s="271" t="str">
        <f>'Data Sheet'!D8</f>
        <v>BFN50H02A5</v>
      </c>
      <c r="J10" s="268"/>
      <c r="K10" s="268"/>
      <c r="L10" s="552">
        <v>1609</v>
      </c>
      <c r="M10" s="552"/>
      <c r="N10" s="269"/>
      <c r="S10" s="492">
        <v>5</v>
      </c>
      <c r="T10" s="492" t="str">
        <f>IFERROR(VLOOKUP(R34,'Month of Invoicing'!$BS$17:$BT$42,2,FALSE),"")</f>
        <v/>
      </c>
      <c r="U10" s="492" t="s">
        <v>200</v>
      </c>
    </row>
    <row r="11" spans="2:21" ht="12.6">
      <c r="B11" s="270"/>
      <c r="C11" s="268" t="str">
        <f>IF('Data Sheet'!D29&lt;&gt;"",'Data Sheet'!D29,"")</f>
        <v/>
      </c>
      <c r="D11" s="268"/>
      <c r="E11" s="286" t="s">
        <v>574</v>
      </c>
      <c r="F11" s="268" t="str">
        <f>IF('Data Sheet'!D34&lt;&gt;"","("&amp;LEFT('Data Sheet'!AM34,3)&amp;")"&amp;" "&amp;MID('Data Sheet'!AM34,4,3)&amp;" "&amp;RIGHT('Data Sheet'!AM34,4),"")</f>
        <v>(086) 669 2700</v>
      </c>
      <c r="G11" s="268"/>
      <c r="H11" s="268"/>
      <c r="I11" s="268"/>
      <c r="J11" s="268"/>
      <c r="K11" s="268"/>
      <c r="L11" s="552" t="s">
        <v>575</v>
      </c>
      <c r="M11" s="552"/>
      <c r="N11" s="269"/>
      <c r="S11" s="492">
        <v>29</v>
      </c>
      <c r="T11" s="492" t="str">
        <f>IFERROR(VLOOKUP(R35,'Month of Invoicing'!$BS$17:$BT$42,2,FALSE),"")</f>
        <v/>
      </c>
      <c r="U11" s="492" t="s">
        <v>200</v>
      </c>
    </row>
    <row r="12" spans="2:21" ht="12.6">
      <c r="B12" s="270"/>
      <c r="C12" s="299" t="str">
        <f>'Data Sheet'!$D$30&amp;""</f>
        <v>0157</v>
      </c>
      <c r="D12" s="268"/>
      <c r="E12" s="286" t="s">
        <v>576</v>
      </c>
      <c r="F12" s="300" t="str">
        <f>'Data Sheet'!D35</f>
        <v>jvanschalwyk@jjt.co.za</v>
      </c>
      <c r="G12" s="268"/>
      <c r="H12" s="268"/>
      <c r="I12" s="268"/>
      <c r="J12" s="268"/>
      <c r="K12" s="268"/>
      <c r="L12" s="552" t="s">
        <v>577</v>
      </c>
      <c r="M12" s="552"/>
      <c r="N12" s="269"/>
      <c r="S12" s="492">
        <v>16</v>
      </c>
      <c r="T12" s="492" t="str">
        <f>IFERROR(VLOOKUP(R36,'Month of Invoicing'!$BS$17:$BT$42,2,FALSE),"")</f>
        <v/>
      </c>
      <c r="U12" s="492" t="s">
        <v>200</v>
      </c>
    </row>
    <row r="13" spans="2:21" ht="12.6" thickBot="1">
      <c r="B13" s="270"/>
      <c r="C13" s="268"/>
      <c r="D13" s="268"/>
      <c r="E13" s="268"/>
      <c r="F13" s="268"/>
      <c r="G13" s="268"/>
      <c r="H13" s="268"/>
      <c r="I13" s="268"/>
      <c r="J13" s="268"/>
      <c r="K13" s="268"/>
      <c r="L13" s="268"/>
      <c r="M13" s="268"/>
      <c r="N13" s="269"/>
      <c r="S13" s="492">
        <v>9</v>
      </c>
      <c r="T13" s="492" t="str">
        <f>IFERROR(VLOOKUP(R37,'Month of Invoicing'!$BS$17:$BT$42,2,FALSE),"")</f>
        <v/>
      </c>
      <c r="U13" s="492" t="s">
        <v>200</v>
      </c>
    </row>
    <row r="14" spans="2:21" ht="22.8" thickBot="1">
      <c r="B14" s="270"/>
      <c r="C14" s="1350" t="s">
        <v>1034</v>
      </c>
      <c r="D14" s="1351"/>
      <c r="E14" s="1351"/>
      <c r="F14" s="1351"/>
      <c r="G14" s="1351"/>
      <c r="H14" s="1351"/>
      <c r="I14" s="1351"/>
      <c r="J14" s="1351"/>
      <c r="K14" s="1351"/>
      <c r="L14" s="1351"/>
      <c r="M14" s="1352"/>
      <c r="N14" s="269"/>
      <c r="P14" s="696"/>
      <c r="S14" s="492">
        <v>8</v>
      </c>
      <c r="T14" s="492" t="str">
        <f>IFERROR(VLOOKUP(R38,'Month of Invoicing'!$BS$17:$BT$42,2,FALSE),"")</f>
        <v/>
      </c>
      <c r="U14" s="492" t="s">
        <v>200</v>
      </c>
    </row>
    <row r="15" spans="2:21" ht="12.6" thickBot="1">
      <c r="B15" s="270"/>
      <c r="C15" s="268"/>
      <c r="D15" s="268"/>
      <c r="E15" s="268"/>
      <c r="F15" s="268"/>
      <c r="G15" s="268"/>
      <c r="H15" s="268"/>
      <c r="I15" s="268"/>
      <c r="J15" s="268"/>
      <c r="K15" s="268"/>
      <c r="L15" s="268"/>
      <c r="M15" s="268"/>
      <c r="N15" s="269"/>
      <c r="S15" s="492">
        <v>21</v>
      </c>
      <c r="T15" s="492" t="str">
        <f>IFERROR(VLOOKUP(R39,'Month of Invoicing'!$BS$17:$BT$42,2,FALSE),"")</f>
        <v/>
      </c>
      <c r="U15" s="492" t="s">
        <v>200</v>
      </c>
    </row>
    <row r="16" spans="2:21" ht="13.15" customHeight="1">
      <c r="B16" s="293"/>
      <c r="C16" s="1575" t="s">
        <v>998</v>
      </c>
      <c r="D16" s="1620">
        <f>'Invoicing Request'!D16</f>
        <v>43101</v>
      </c>
      <c r="E16" s="1621"/>
      <c r="F16" s="1622"/>
      <c r="G16" s="564"/>
      <c r="I16" s="1585"/>
      <c r="J16" s="1585"/>
      <c r="K16" s="1585"/>
      <c r="L16" s="1626"/>
      <c r="M16" s="605"/>
      <c r="N16" s="269"/>
      <c r="P16" s="697"/>
      <c r="S16" s="492">
        <v>23</v>
      </c>
      <c r="T16" s="492" t="str">
        <f>IFERROR(VLOOKUP(R40,'Month of Invoicing'!$BS$17:$BT$42,2,FALSE),"")</f>
        <v/>
      </c>
      <c r="U16" s="492" t="s">
        <v>200</v>
      </c>
    </row>
    <row r="17" spans="2:65" ht="13.9" customHeight="1" thickBot="1">
      <c r="B17" s="293"/>
      <c r="C17" s="1576"/>
      <c r="D17" s="1623"/>
      <c r="E17" s="1624"/>
      <c r="F17" s="1625"/>
      <c r="G17" s="564"/>
      <c r="I17" s="1585"/>
      <c r="J17" s="1585"/>
      <c r="K17" s="1585"/>
      <c r="L17" s="1626"/>
      <c r="M17" s="606"/>
      <c r="N17" s="269"/>
      <c r="P17" s="697"/>
      <c r="S17" s="492">
        <v>24</v>
      </c>
      <c r="T17" s="492" t="str">
        <f>IFERROR(VLOOKUP(R41,'Month of Invoicing'!$BS$17:$BT$42,2,FALSE),"")</f>
        <v/>
      </c>
      <c r="U17" s="492" t="s">
        <v>200</v>
      </c>
    </row>
    <row r="18" spans="2:65" ht="12.6" thickBot="1">
      <c r="B18" s="270"/>
      <c r="C18" s="556"/>
      <c r="D18" s="556"/>
      <c r="E18" s="556"/>
      <c r="F18" s="556"/>
      <c r="G18" s="556"/>
      <c r="H18" s="556"/>
      <c r="I18" s="556"/>
      <c r="J18" s="580"/>
      <c r="K18" s="580"/>
      <c r="L18" s="556"/>
      <c r="M18" s="556"/>
      <c r="N18" s="269"/>
      <c r="P18" s="567"/>
      <c r="S18" s="492">
        <v>19</v>
      </c>
      <c r="T18" s="492" t="str">
        <f>IFERROR(VLOOKUP(R42,'Month of Invoicing'!$BS$17:$BT$42,2,FALSE),"")</f>
        <v/>
      </c>
      <c r="U18" s="492" t="s">
        <v>200</v>
      </c>
    </row>
    <row r="19" spans="2:65" s="280" customFormat="1" ht="10.15" customHeight="1">
      <c r="B19" s="289"/>
      <c r="C19" s="303" t="s">
        <v>579</v>
      </c>
      <c r="D19" s="266"/>
      <c r="E19" s="266"/>
      <c r="F19" s="266"/>
      <c r="G19" s="266"/>
      <c r="H19" s="266"/>
      <c r="I19" s="266"/>
      <c r="J19" s="266"/>
      <c r="K19" s="266"/>
      <c r="L19" s="266"/>
      <c r="M19" s="267"/>
      <c r="N19" s="290"/>
      <c r="O19" s="567"/>
      <c r="P19" s="567"/>
      <c r="Q19" s="567"/>
      <c r="R19" s="567"/>
      <c r="S19" s="492">
        <v>18</v>
      </c>
      <c r="T19" s="492" t="str">
        <f>IFERROR(VLOOKUP(R43,'Month of Invoicing'!$BS$17:$BT$42,2,FALSE),"")</f>
        <v/>
      </c>
      <c r="U19" s="492" t="s">
        <v>200</v>
      </c>
      <c r="V19" s="567"/>
      <c r="W19" s="567"/>
      <c r="X19" s="567"/>
      <c r="Y19" s="567"/>
      <c r="Z19" s="567"/>
      <c r="AA19" s="567"/>
      <c r="AB19" s="567"/>
      <c r="AC19" s="567"/>
      <c r="AD19" s="567"/>
      <c r="AE19" s="567"/>
      <c r="AF19" s="567"/>
      <c r="AG19" s="567"/>
      <c r="BL19" s="567"/>
      <c r="BM19" s="567"/>
    </row>
    <row r="20" spans="2:65" s="280" customFormat="1" ht="10.15" customHeight="1">
      <c r="B20" s="289"/>
      <c r="C20" s="301" t="s">
        <v>999</v>
      </c>
      <c r="D20" s="1583" t="str">
        <f>'Deal Sheet'!M12</f>
        <v>TGX-26-5406X4BLS-XLX</v>
      </c>
      <c r="E20" s="1583"/>
      <c r="F20" s="333" t="s">
        <v>660</v>
      </c>
      <c r="G20" s="565" t="str">
        <f>IF('Deal Sheet'!$G$61&lt;&gt;"",'Deal Sheet'!$G$61,"Not Specified")</f>
        <v>Longhaul</v>
      </c>
      <c r="I20" s="302" t="s">
        <v>659</v>
      </c>
      <c r="J20" s="565">
        <f>30-COUNTBLANK(H26:H55)</f>
        <v>1</v>
      </c>
      <c r="L20" s="304" t="s">
        <v>294</v>
      </c>
      <c r="M20" s="305" t="str">
        <f>'Deal Sheet'!M9</f>
        <v>Standard Warranty</v>
      </c>
      <c r="N20" s="290"/>
      <c r="O20" s="567"/>
      <c r="P20" s="567"/>
      <c r="Q20" s="567"/>
      <c r="R20" s="567"/>
      <c r="S20" s="492">
        <v>4</v>
      </c>
      <c r="T20" s="492" t="str">
        <f>IFERROR(VLOOKUP(R44,'Month of Invoicing'!$BS$17:$BT$42,2,FALSE),"")</f>
        <v/>
      </c>
      <c r="U20" s="492" t="s">
        <v>200</v>
      </c>
      <c r="V20" s="567"/>
      <c r="W20" s="567"/>
      <c r="X20" s="567"/>
      <c r="Y20" s="567"/>
      <c r="Z20" s="567"/>
      <c r="AA20" s="567"/>
      <c r="AB20" s="567"/>
      <c r="AC20" s="567"/>
      <c r="AD20" s="567"/>
      <c r="AE20" s="567"/>
      <c r="AF20" s="567"/>
      <c r="AG20" s="567"/>
      <c r="BL20" s="567"/>
      <c r="BM20" s="567"/>
    </row>
    <row r="21" spans="2:65" s="280" customFormat="1" ht="12.6" thickBot="1">
      <c r="B21" s="289"/>
      <c r="C21" s="272"/>
      <c r="D21" s="273"/>
      <c r="E21" s="274"/>
      <c r="F21" s="274"/>
      <c r="G21" s="274"/>
      <c r="H21" s="275"/>
      <c r="I21" s="275"/>
      <c r="J21" s="275"/>
      <c r="K21" s="275"/>
      <c r="L21" s="276"/>
      <c r="M21" s="277"/>
      <c r="N21" s="290"/>
      <c r="O21" s="567"/>
      <c r="P21" s="567"/>
      <c r="Q21" s="567"/>
      <c r="R21" s="567"/>
      <c r="S21" s="492">
        <v>14</v>
      </c>
      <c r="T21" s="492" t="str">
        <f>IFERROR(VLOOKUP(R45,'Month of Invoicing'!$BS$17:$BT$42,2,FALSE),"")</f>
        <v/>
      </c>
      <c r="U21" s="492" t="s">
        <v>200</v>
      </c>
      <c r="V21" s="567"/>
      <c r="W21" s="567"/>
      <c r="X21" s="567"/>
      <c r="Y21" s="567"/>
      <c r="Z21" s="567"/>
      <c r="AA21" s="567"/>
      <c r="AB21" s="567"/>
      <c r="AC21" s="567"/>
      <c r="AD21" s="567"/>
      <c r="AE21" s="567"/>
      <c r="AF21" s="567"/>
      <c r="AG21" s="567"/>
      <c r="BL21" s="567"/>
      <c r="BM21" s="567"/>
    </row>
    <row r="22" spans="2:65" ht="12.6" thickBot="1">
      <c r="B22" s="270"/>
      <c r="C22" s="268"/>
      <c r="D22" s="268"/>
      <c r="E22" s="268"/>
      <c r="F22" s="268"/>
      <c r="G22" s="268"/>
      <c r="H22" s="268"/>
      <c r="I22" s="268"/>
      <c r="J22" s="268"/>
      <c r="K22" s="268"/>
      <c r="L22" s="268"/>
      <c r="M22" s="268"/>
      <c r="N22" s="269"/>
      <c r="S22" s="492">
        <v>20</v>
      </c>
      <c r="T22" s="492" t="str">
        <f>IFERROR(VLOOKUP(R46,'Month of Invoicing'!$BS$17:$BT$42,2,FALSE),"")</f>
        <v/>
      </c>
      <c r="U22" s="492" t="s">
        <v>200</v>
      </c>
    </row>
    <row r="23" spans="2:65" ht="12.6" thickBot="1">
      <c r="B23" s="270"/>
      <c r="C23" s="531" t="s">
        <v>1001</v>
      </c>
      <c r="D23" s="532"/>
      <c r="E23" s="532"/>
      <c r="F23" s="533"/>
      <c r="G23" s="268"/>
      <c r="H23" s="1311" t="s">
        <v>1009</v>
      </c>
      <c r="I23" s="1312"/>
      <c r="J23" s="1312"/>
      <c r="K23" s="1312"/>
      <c r="L23" s="1312"/>
      <c r="M23" s="1313"/>
      <c r="N23" s="541"/>
      <c r="S23" s="492">
        <v>22</v>
      </c>
      <c r="T23" s="492" t="str">
        <f>IFERROR(VLOOKUP(R47,'Month of Invoicing'!$BS$17:$BT$42,2,FALSE),"")</f>
        <v/>
      </c>
      <c r="U23" s="492" t="s">
        <v>200</v>
      </c>
    </row>
    <row r="24" spans="2:65" ht="14.5" customHeight="1">
      <c r="B24" s="270"/>
      <c r="C24" s="284"/>
      <c r="D24" s="266"/>
      <c r="E24" s="266"/>
      <c r="F24" s="267"/>
      <c r="G24" s="268"/>
      <c r="H24" s="529" t="s">
        <v>1036</v>
      </c>
      <c r="I24" s="1307" t="s">
        <v>1037</v>
      </c>
      <c r="J24" s="1308"/>
      <c r="K24" s="1307" t="s">
        <v>1038</v>
      </c>
      <c r="L24" s="1308"/>
      <c r="M24" s="321" t="s">
        <v>1008</v>
      </c>
      <c r="N24" s="269"/>
      <c r="P24" s="698">
        <f>D16</f>
        <v>43101</v>
      </c>
      <c r="S24" s="492">
        <v>15</v>
      </c>
      <c r="T24" s="492" t="str">
        <f>IFERROR(VLOOKUP(R48,'Month of Invoicing'!$BS$17:$BT$42,2,FALSE),"")</f>
        <v/>
      </c>
      <c r="U24" s="492" t="s">
        <v>200</v>
      </c>
    </row>
    <row r="25" spans="2:65">
      <c r="B25" s="270"/>
      <c r="C25" s="270" t="s">
        <v>588</v>
      </c>
      <c r="D25" s="268"/>
      <c r="E25" s="1344" t="str">
        <f>'Data Sheet'!D39</f>
        <v>Customer Direct Payment</v>
      </c>
      <c r="F25" s="1345"/>
      <c r="G25" s="268"/>
      <c r="H25" s="309">
        <v>0</v>
      </c>
      <c r="I25" s="1617"/>
      <c r="J25" s="1618"/>
      <c r="K25" s="602"/>
      <c r="L25" s="318"/>
      <c r="M25" s="318"/>
      <c r="N25" s="269"/>
      <c r="S25" s="492">
        <v>11</v>
      </c>
      <c r="T25" s="492" t="str">
        <f>IFERROR(VLOOKUP(R49,'Month of Invoicing'!$BS$17:$BT$42,2,FALSE),"")</f>
        <v/>
      </c>
      <c r="U25" s="492" t="s">
        <v>200</v>
      </c>
    </row>
    <row r="26" spans="2:65" ht="14.5" customHeight="1">
      <c r="B26" s="270"/>
      <c r="C26" s="270" t="s">
        <v>627</v>
      </c>
      <c r="D26" s="268"/>
      <c r="E26" s="1344" t="str">
        <f>'Data Sheet'!D40</f>
        <v>Absa</v>
      </c>
      <c r="F26" s="1345"/>
      <c r="G26" s="268"/>
      <c r="H26" s="310" t="str">
        <f>'Invoicing Request'!H26</f>
        <v>TBATG0X1</v>
      </c>
      <c r="I26" s="1613" t="str">
        <f>IFERROR(IF(H26&lt;&gt;"",'Invoicing Request'!I26,""),"")</f>
        <v>AAM30X3423PX4353</v>
      </c>
      <c r="J26" s="1614"/>
      <c r="K26" s="1613" t="str">
        <f>IFERROR(IF(H26&lt;&gt;"",'Invoicing Request'!K26,""),"")</f>
        <v>DE32X546</v>
      </c>
      <c r="L26" s="1614"/>
      <c r="M26" s="1058">
        <f>IFERROR(IF(H26&lt;&gt;"",'Invoicing Request'!M26,""),"")</f>
        <v>43143</v>
      </c>
      <c r="N26" s="540"/>
      <c r="Q26" s="325">
        <v>1</v>
      </c>
      <c r="R26" s="699" t="str">
        <f>Q26&amp;$D$16</f>
        <v>143101</v>
      </c>
      <c r="S26" s="492">
        <v>7</v>
      </c>
      <c r="T26" s="492" t="str">
        <f>IFERROR(VLOOKUP(R50,'Month of Invoicing'!$BS$17:$BT$42,2,FALSE),"")</f>
        <v/>
      </c>
      <c r="U26" s="492" t="s">
        <v>200</v>
      </c>
    </row>
    <row r="27" spans="2:65" ht="15" customHeight="1">
      <c r="B27" s="270"/>
      <c r="C27" s="270" t="s">
        <v>628</v>
      </c>
      <c r="D27" s="268"/>
      <c r="E27" s="1344" t="str">
        <f>'Data Sheet'!D41</f>
        <v>Gerrie Nel</v>
      </c>
      <c r="F27" s="1345"/>
      <c r="G27" s="308"/>
      <c r="H27" s="310" t="str">
        <f>'Invoicing Request'!H27</f>
        <v/>
      </c>
      <c r="I27" s="1613" t="str">
        <f>IFERROR(IF(H27&lt;&gt;"",'Invoicing Request'!I27,""),"")</f>
        <v/>
      </c>
      <c r="J27" s="1619"/>
      <c r="K27" s="1613" t="str">
        <f>IFERROR(IF(H27&lt;&gt;"",'Invoicing Request'!K27,""),"")</f>
        <v/>
      </c>
      <c r="L27" s="1614"/>
      <c r="M27" s="1058" t="str">
        <f>IFERROR(IF(H27&lt;&gt;"",'Invoicing Request'!M27,""),"")</f>
        <v/>
      </c>
      <c r="N27" s="269"/>
      <c r="Q27" s="325">
        <v>2</v>
      </c>
      <c r="R27" s="699" t="str">
        <f t="shared" ref="R27:R55" si="0">Q27&amp;$D$16</f>
        <v>243101</v>
      </c>
      <c r="S27" s="492">
        <v>30</v>
      </c>
      <c r="T27" s="492" t="str">
        <f>IFERROR(VLOOKUP(R51,'Month of Invoicing'!$BS$17:$BT$42,2,FALSE),"")</f>
        <v/>
      </c>
      <c r="U27" s="492" t="s">
        <v>200</v>
      </c>
    </row>
    <row r="28" spans="2:65" ht="15" customHeight="1">
      <c r="B28" s="270"/>
      <c r="C28" s="270" t="s">
        <v>629</v>
      </c>
      <c r="D28" s="268"/>
      <c r="E28" s="1344" t="str">
        <f>'Data Sheet'!D42</f>
        <v>012 6444 700</v>
      </c>
      <c r="F28" s="1345"/>
      <c r="G28" s="268"/>
      <c r="H28" s="310" t="str">
        <f>'Invoicing Request'!H28</f>
        <v/>
      </c>
      <c r="I28" s="1613" t="str">
        <f>IFERROR(IF(H28&lt;&gt;"",'Invoicing Request'!I28,""),"")</f>
        <v/>
      </c>
      <c r="J28" s="1614"/>
      <c r="K28" s="1613" t="str">
        <f>IFERROR(IF(H28&lt;&gt;"",'Invoicing Request'!K28,""),"")</f>
        <v/>
      </c>
      <c r="L28" s="1614"/>
      <c r="M28" s="1058" t="str">
        <f>IFERROR(IF(H28&lt;&gt;"",'Invoicing Request'!M28,""),"")</f>
        <v/>
      </c>
      <c r="N28" s="269"/>
      <c r="Q28" s="325">
        <v>3</v>
      </c>
      <c r="R28" s="699" t="str">
        <f t="shared" si="0"/>
        <v>343101</v>
      </c>
      <c r="S28" s="492">
        <v>6</v>
      </c>
      <c r="T28" s="492" t="str">
        <f>IFERROR(VLOOKUP(R52,'Month of Invoicing'!$BS$17:$BT$42,2,FALSE),"")</f>
        <v/>
      </c>
      <c r="U28" s="492" t="s">
        <v>200</v>
      </c>
    </row>
    <row r="29" spans="2:65">
      <c r="B29" s="270"/>
      <c r="C29" s="270"/>
      <c r="D29" s="268"/>
      <c r="E29" s="530"/>
      <c r="F29" s="534"/>
      <c r="G29" s="268"/>
      <c r="H29" s="310" t="str">
        <f>'Invoicing Request'!H29</f>
        <v/>
      </c>
      <c r="I29" s="1613" t="str">
        <f>IFERROR(IF(H29&lt;&gt;"",'Invoicing Request'!I29,""),"")</f>
        <v/>
      </c>
      <c r="J29" s="1614"/>
      <c r="K29" s="1613" t="str">
        <f>IFERROR(IF(H29&lt;&gt;"",'Invoicing Request'!K29,""),"")</f>
        <v/>
      </c>
      <c r="L29" s="1614"/>
      <c r="M29" s="1058" t="str">
        <f>IFERROR(IF(H29&lt;&gt;"",'Invoicing Request'!M29,""),"")</f>
        <v/>
      </c>
      <c r="N29" s="269"/>
      <c r="Q29" s="325">
        <v>4</v>
      </c>
      <c r="R29" s="699" t="str">
        <f t="shared" si="0"/>
        <v>443101</v>
      </c>
      <c r="S29" s="492">
        <v>27</v>
      </c>
      <c r="T29" s="492" t="str">
        <f>IFERROR(VLOOKUP(R53,'Month of Invoicing'!$BS$17:$BT$42,2,FALSE),"")</f>
        <v/>
      </c>
      <c r="U29" s="492" t="s">
        <v>200</v>
      </c>
    </row>
    <row r="30" spans="2:65">
      <c r="B30" s="270"/>
      <c r="C30" s="270" t="s">
        <v>635</v>
      </c>
      <c r="D30" s="268"/>
      <c r="E30" s="1596">
        <f>'Data Sheet'!D51</f>
        <v>45402730456</v>
      </c>
      <c r="F30" s="1612"/>
      <c r="G30" s="268"/>
      <c r="H30" s="310" t="str">
        <f>'Invoicing Request'!H30</f>
        <v/>
      </c>
      <c r="I30" s="1613" t="str">
        <f>IFERROR(IF(H30&lt;&gt;"",'Invoicing Request'!I30,""),"")</f>
        <v/>
      </c>
      <c r="J30" s="1614"/>
      <c r="K30" s="1613" t="str">
        <f>IFERROR(IF(H30&lt;&gt;"",'Invoicing Request'!K30,""),"")</f>
        <v/>
      </c>
      <c r="L30" s="1614"/>
      <c r="M30" s="1058" t="str">
        <f>IFERROR(IF(H30&lt;&gt;"",'Invoicing Request'!M30,""),"")</f>
        <v/>
      </c>
      <c r="N30" s="269"/>
      <c r="Q30" s="325">
        <v>5</v>
      </c>
      <c r="R30" s="699" t="str">
        <f t="shared" si="0"/>
        <v>543101</v>
      </c>
      <c r="S30" s="492">
        <v>26</v>
      </c>
      <c r="T30" s="492" t="str">
        <f>IFERROR(VLOOKUP(R54,'Month of Invoicing'!$BS$17:$BT$42,2,FALSE),"")</f>
        <v/>
      </c>
      <c r="U30" s="492" t="s">
        <v>200</v>
      </c>
    </row>
    <row r="31" spans="2:65">
      <c r="B31" s="270"/>
      <c r="C31" s="270" t="s">
        <v>589</v>
      </c>
      <c r="D31" s="268"/>
      <c r="E31" s="1596" t="str">
        <f>'Data Sheet'!D52</f>
        <v>30 days</v>
      </c>
      <c r="F31" s="1612"/>
      <c r="G31" s="268"/>
      <c r="H31" s="310" t="str">
        <f>'Invoicing Request'!H31</f>
        <v/>
      </c>
      <c r="I31" s="1613" t="str">
        <f>IFERROR(IF(H31&lt;&gt;"",'Invoicing Request'!I31,""),"")</f>
        <v/>
      </c>
      <c r="J31" s="1614"/>
      <c r="K31" s="1613" t="str">
        <f>IFERROR(IF(H31&lt;&gt;"",'Invoicing Request'!K31,""),"")</f>
        <v/>
      </c>
      <c r="L31" s="1614"/>
      <c r="M31" s="1058" t="str">
        <f>IFERROR(IF(H31&lt;&gt;"",'Invoicing Request'!M31,""),"")</f>
        <v/>
      </c>
      <c r="N31" s="269"/>
      <c r="Q31" s="325">
        <v>6</v>
      </c>
      <c r="R31" s="699" t="str">
        <f t="shared" si="0"/>
        <v>643101</v>
      </c>
      <c r="S31" s="492">
        <v>28</v>
      </c>
      <c r="T31" s="492" t="str">
        <f>IFERROR(VLOOKUP(R55,'Month of Invoicing'!$BS$17:$BT$42,2,FALSE),"")</f>
        <v/>
      </c>
      <c r="U31" s="492" t="s">
        <v>200</v>
      </c>
    </row>
    <row r="32" spans="2:65">
      <c r="B32" s="270"/>
      <c r="C32" s="270" t="s">
        <v>637</v>
      </c>
      <c r="D32" s="268"/>
      <c r="E32" s="1596" t="str">
        <f>'Data Sheet'!D53</f>
        <v>Yes</v>
      </c>
      <c r="F32" s="1612"/>
      <c r="G32" s="268"/>
      <c r="H32" s="310" t="str">
        <f>'Invoicing Request'!H32</f>
        <v/>
      </c>
      <c r="I32" s="1613" t="str">
        <f>IFERROR(IF(H32&lt;&gt;"",'Invoicing Request'!I32,""),"")</f>
        <v/>
      </c>
      <c r="J32" s="1614"/>
      <c r="K32" s="1613" t="str">
        <f>IFERROR(IF(H32&lt;&gt;"",'Invoicing Request'!K32,""),"")</f>
        <v/>
      </c>
      <c r="L32" s="1614"/>
      <c r="M32" s="1058" t="str">
        <f>IFERROR(IF(H32&lt;&gt;"",'Invoicing Request'!M32,""),"")</f>
        <v/>
      </c>
      <c r="N32" s="269"/>
      <c r="Q32" s="325">
        <v>7</v>
      </c>
      <c r="R32" s="699" t="str">
        <f t="shared" si="0"/>
        <v>743101</v>
      </c>
    </row>
    <row r="33" spans="2:18">
      <c r="B33" s="270"/>
      <c r="C33" s="270" t="s">
        <v>638</v>
      </c>
      <c r="D33" s="268"/>
      <c r="E33" s="1596" t="str">
        <f>'Data Sheet'!D54</f>
        <v>N/A</v>
      </c>
      <c r="F33" s="1612"/>
      <c r="G33" s="268"/>
      <c r="H33" s="310" t="str">
        <f>'Invoicing Request'!H33</f>
        <v/>
      </c>
      <c r="I33" s="1613" t="str">
        <f>IFERROR(IF(H33&lt;&gt;"",'Invoicing Request'!I33,""),"")</f>
        <v/>
      </c>
      <c r="J33" s="1614"/>
      <c r="K33" s="1613" t="str">
        <f>IFERROR(IF(H33&lt;&gt;"",'Invoicing Request'!K33,""),"")</f>
        <v/>
      </c>
      <c r="L33" s="1614"/>
      <c r="M33" s="1058" t="str">
        <f>IFERROR(IF(H33&lt;&gt;"",'Invoicing Request'!M33,""),"")</f>
        <v/>
      </c>
      <c r="N33" s="269"/>
      <c r="Q33" s="325">
        <v>8</v>
      </c>
      <c r="R33" s="699" t="str">
        <f t="shared" si="0"/>
        <v>843101</v>
      </c>
    </row>
    <row r="34" spans="2:18" ht="15" customHeight="1" thickBot="1">
      <c r="B34" s="270"/>
      <c r="C34" s="272" t="s">
        <v>1000</v>
      </c>
      <c r="D34" s="275"/>
      <c r="E34" s="1633">
        <v>43092</v>
      </c>
      <c r="F34" s="1601"/>
      <c r="G34" s="268"/>
      <c r="H34" s="310" t="str">
        <f>'Invoicing Request'!H34</f>
        <v/>
      </c>
      <c r="I34" s="1613" t="str">
        <f>IFERROR(IF(H34&lt;&gt;"",'Invoicing Request'!I34,""),"")</f>
        <v/>
      </c>
      <c r="J34" s="1614"/>
      <c r="K34" s="1613" t="str">
        <f>IFERROR(IF(H34&lt;&gt;"",'Invoicing Request'!K34,""),"")</f>
        <v/>
      </c>
      <c r="L34" s="1614"/>
      <c r="M34" s="1058" t="str">
        <f>IFERROR(IF(H34&lt;&gt;"",'Invoicing Request'!M34,""),"")</f>
        <v/>
      </c>
      <c r="N34" s="269"/>
      <c r="Q34" s="325">
        <v>9</v>
      </c>
      <c r="R34" s="699" t="str">
        <f t="shared" si="0"/>
        <v>943101</v>
      </c>
    </row>
    <row r="35" spans="2:18" ht="12.6" thickBot="1">
      <c r="B35" s="270"/>
      <c r="C35" s="268"/>
      <c r="D35" s="268"/>
      <c r="E35" s="268"/>
      <c r="F35" s="268"/>
      <c r="G35" s="268"/>
      <c r="H35" s="310" t="str">
        <f>'Invoicing Request'!H35</f>
        <v/>
      </c>
      <c r="I35" s="1613" t="str">
        <f>IFERROR(IF(H35&lt;&gt;"",'Invoicing Request'!I35,""),"")</f>
        <v/>
      </c>
      <c r="J35" s="1614"/>
      <c r="K35" s="1613" t="str">
        <f>IFERROR(IF(H35&lt;&gt;"",'Invoicing Request'!K35,""),"")</f>
        <v/>
      </c>
      <c r="L35" s="1614"/>
      <c r="M35" s="1058" t="str">
        <f>IFERROR(IF(H35&lt;&gt;"",'Invoicing Request'!M35,""),"")</f>
        <v/>
      </c>
      <c r="N35" s="269"/>
      <c r="Q35" s="325">
        <v>10</v>
      </c>
      <c r="R35" s="699" t="str">
        <f t="shared" si="0"/>
        <v>1043101</v>
      </c>
    </row>
    <row r="36" spans="2:18" ht="12.6" thickBot="1">
      <c r="B36" s="270"/>
      <c r="C36" s="1608" t="s">
        <v>602</v>
      </c>
      <c r="D36" s="1609"/>
      <c r="E36" s="1609"/>
      <c r="F36" s="1610"/>
      <c r="G36" s="268"/>
      <c r="H36" s="310" t="str">
        <f>'Invoicing Request'!H36</f>
        <v/>
      </c>
      <c r="I36" s="1613" t="str">
        <f>IFERROR(IF(H36&lt;&gt;"",'Invoicing Request'!I36,""),"")</f>
        <v/>
      </c>
      <c r="J36" s="1614"/>
      <c r="K36" s="1613" t="str">
        <f>IFERROR(IF(H36&lt;&gt;"",'Invoicing Request'!K36,""),"")</f>
        <v/>
      </c>
      <c r="L36" s="1614"/>
      <c r="M36" s="1058" t="str">
        <f>IFERROR(IF(H36&lt;&gt;"",'Invoicing Request'!M36,""),"")</f>
        <v/>
      </c>
      <c r="N36" s="269"/>
      <c r="Q36" s="325">
        <v>11</v>
      </c>
      <c r="R36" s="699" t="str">
        <f t="shared" si="0"/>
        <v>1143101</v>
      </c>
    </row>
    <row r="37" spans="2:18">
      <c r="B37" s="270"/>
      <c r="C37" s="563" t="s">
        <v>599</v>
      </c>
      <c r="D37" s="549"/>
      <c r="E37" s="549"/>
      <c r="F37" s="550"/>
      <c r="G37" s="268"/>
      <c r="H37" s="310" t="str">
        <f>'Invoicing Request'!H37</f>
        <v/>
      </c>
      <c r="I37" s="1613" t="str">
        <f>IFERROR(IF(H37&lt;&gt;"",'Invoicing Request'!I37,""),"")</f>
        <v/>
      </c>
      <c r="J37" s="1614"/>
      <c r="K37" s="1613" t="str">
        <f>IFERROR(IF(H37&lt;&gt;"",'Invoicing Request'!K37,""),"")</f>
        <v/>
      </c>
      <c r="L37" s="1614"/>
      <c r="M37" s="1058" t="str">
        <f>IFERROR(IF(H37&lt;&gt;"",'Invoicing Request'!M37,""),"")</f>
        <v/>
      </c>
      <c r="N37" s="269"/>
      <c r="Q37" s="325">
        <v>12</v>
      </c>
      <c r="R37" s="699" t="str">
        <f t="shared" si="0"/>
        <v>1243101</v>
      </c>
    </row>
    <row r="38" spans="2:18">
      <c r="B38" s="270"/>
      <c r="C38" s="270"/>
      <c r="D38" s="268"/>
      <c r="E38" s="268"/>
      <c r="F38" s="269"/>
      <c r="G38" s="268"/>
      <c r="H38" s="310" t="str">
        <f>'Invoicing Request'!H38</f>
        <v/>
      </c>
      <c r="I38" s="1613" t="str">
        <f>IFERROR(IF(H38&lt;&gt;"",'Invoicing Request'!I38,""),"")</f>
        <v/>
      </c>
      <c r="J38" s="1614"/>
      <c r="K38" s="1613" t="str">
        <f>IFERROR(IF(H38&lt;&gt;"",'Invoicing Request'!K38,""),"")</f>
        <v/>
      </c>
      <c r="L38" s="1614"/>
      <c r="M38" s="1058" t="str">
        <f>IFERROR(IF(H38&lt;&gt;"",'Invoicing Request'!M38,""),"")</f>
        <v/>
      </c>
      <c r="N38" s="269"/>
      <c r="Q38" s="325">
        <v>13</v>
      </c>
      <c r="R38" s="699" t="str">
        <f t="shared" si="0"/>
        <v>1343101</v>
      </c>
    </row>
    <row r="39" spans="2:18" ht="14.5" customHeight="1">
      <c r="B39" s="270"/>
      <c r="C39" s="270" t="s">
        <v>586</v>
      </c>
      <c r="D39" s="268"/>
      <c r="E39" s="1344" t="str">
        <f>IF('Deal Sheet'!$O$41&lt;&gt;"","Service Care","None")</f>
        <v>Service Care</v>
      </c>
      <c r="F39" s="1345"/>
      <c r="G39" s="268"/>
      <c r="H39" s="310" t="str">
        <f>'Invoicing Request'!H39</f>
        <v/>
      </c>
      <c r="I39" s="1613" t="str">
        <f>IFERROR(IF(H39&lt;&gt;"",'Invoicing Request'!I39,""),"")</f>
        <v/>
      </c>
      <c r="J39" s="1614"/>
      <c r="K39" s="1613" t="str">
        <f>IFERROR(IF(H39&lt;&gt;"",'Invoicing Request'!K39,""),"")</f>
        <v/>
      </c>
      <c r="L39" s="1614"/>
      <c r="M39" s="1058" t="str">
        <f>IFERROR(IF(H39&lt;&gt;"",'Invoicing Request'!M39,""),"")</f>
        <v/>
      </c>
      <c r="N39" s="269"/>
      <c r="Q39" s="325">
        <v>14</v>
      </c>
      <c r="R39" s="699" t="str">
        <f t="shared" si="0"/>
        <v>1443101</v>
      </c>
    </row>
    <row r="40" spans="2:18" ht="14.5" customHeight="1">
      <c r="B40" s="270"/>
      <c r="C40" s="270" t="s">
        <v>584</v>
      </c>
      <c r="D40" s="268"/>
      <c r="E40" s="1344" t="str">
        <f>'ServiceCare Form'!D24</f>
        <v>3-Month ServiceCare® Trial</v>
      </c>
      <c r="F40" s="1345"/>
      <c r="G40" s="268"/>
      <c r="H40" s="310" t="str">
        <f>'Invoicing Request'!H40</f>
        <v/>
      </c>
      <c r="I40" s="1613" t="str">
        <f>IFERROR(IF(H40&lt;&gt;"",'Invoicing Request'!I40,""),"")</f>
        <v/>
      </c>
      <c r="J40" s="1614"/>
      <c r="K40" s="1613" t="str">
        <f>IFERROR(IF(H40&lt;&gt;"",'Invoicing Request'!K40,""),"")</f>
        <v/>
      </c>
      <c r="L40" s="1614"/>
      <c r="M40" s="1058" t="str">
        <f>IFERROR(IF(H40&lt;&gt;"",'Invoicing Request'!M40,""),"")</f>
        <v/>
      </c>
      <c r="N40" s="269"/>
      <c r="Q40" s="325">
        <v>15</v>
      </c>
      <c r="R40" s="699" t="str">
        <f t="shared" si="0"/>
        <v>1543101</v>
      </c>
    </row>
    <row r="41" spans="2:18">
      <c r="B41" s="270"/>
      <c r="C41" s="270" t="s">
        <v>1002</v>
      </c>
      <c r="D41" s="640" t="s">
        <v>1061</v>
      </c>
      <c r="E41" s="1627" t="s">
        <v>52</v>
      </c>
      <c r="F41" s="1628"/>
      <c r="G41" s="268"/>
      <c r="H41" s="310" t="str">
        <f>'Invoicing Request'!H41</f>
        <v/>
      </c>
      <c r="I41" s="1613" t="str">
        <f>IFERROR(IF(H41&lt;&gt;"",'Invoicing Request'!I41,""),"")</f>
        <v/>
      </c>
      <c r="J41" s="1614"/>
      <c r="K41" s="1613" t="str">
        <f>IFERROR(IF(H41&lt;&gt;"",'Invoicing Request'!K41,""),"")</f>
        <v/>
      </c>
      <c r="L41" s="1614"/>
      <c r="M41" s="1058" t="str">
        <f>IFERROR(IF(H41&lt;&gt;"",'Invoicing Request'!M41,""),"")</f>
        <v/>
      </c>
      <c r="N41" s="269"/>
      <c r="Q41" s="325">
        <v>16</v>
      </c>
      <c r="R41" s="699" t="str">
        <f t="shared" si="0"/>
        <v>1643101</v>
      </c>
    </row>
    <row r="42" spans="2:18" ht="12.6" thickBot="1">
      <c r="B42" s="270"/>
      <c r="C42" s="272"/>
      <c r="D42" s="275"/>
      <c r="E42" s="275"/>
      <c r="F42" s="559"/>
      <c r="G42" s="268"/>
      <c r="H42" s="310" t="str">
        <f>'Invoicing Request'!H42</f>
        <v/>
      </c>
      <c r="I42" s="1613" t="str">
        <f>IFERROR(IF(H42&lt;&gt;"",'Invoicing Request'!I42,""),"")</f>
        <v/>
      </c>
      <c r="J42" s="1614"/>
      <c r="K42" s="1613" t="str">
        <f>IFERROR(IF(H42&lt;&gt;"",'Invoicing Request'!K42,""),"")</f>
        <v/>
      </c>
      <c r="L42" s="1614"/>
      <c r="M42" s="1058" t="str">
        <f>IFERROR(IF(H42&lt;&gt;"",'Invoicing Request'!M42,""),"")</f>
        <v/>
      </c>
      <c r="N42" s="269"/>
      <c r="Q42" s="325">
        <v>17</v>
      </c>
      <c r="R42" s="699" t="str">
        <f t="shared" si="0"/>
        <v>1743101</v>
      </c>
    </row>
    <row r="43" spans="2:18">
      <c r="B43" s="270"/>
      <c r="C43" s="548" t="s">
        <v>585</v>
      </c>
      <c r="D43" s="549"/>
      <c r="E43" s="549"/>
      <c r="F43" s="550"/>
      <c r="G43" s="268"/>
      <c r="H43" s="310" t="str">
        <f>'Invoicing Request'!H43</f>
        <v/>
      </c>
      <c r="I43" s="1613" t="str">
        <f>IFERROR(IF(H43&lt;&gt;"",'Invoicing Request'!I43,""),"")</f>
        <v/>
      </c>
      <c r="J43" s="1614"/>
      <c r="K43" s="1613" t="str">
        <f>IFERROR(IF(H43&lt;&gt;"",'Invoicing Request'!K43,""),"")</f>
        <v/>
      </c>
      <c r="L43" s="1614"/>
      <c r="M43" s="1058" t="str">
        <f>IFERROR(IF(H43&lt;&gt;"",'Invoicing Request'!M43,""),"")</f>
        <v/>
      </c>
      <c r="N43" s="269"/>
      <c r="Q43" s="325">
        <v>18</v>
      </c>
      <c r="R43" s="699" t="str">
        <f t="shared" si="0"/>
        <v>1843101</v>
      </c>
    </row>
    <row r="44" spans="2:18">
      <c r="B44" s="270"/>
      <c r="C44" s="270"/>
      <c r="D44" s="268"/>
      <c r="E44" s="268"/>
      <c r="F44" s="269"/>
      <c r="G44" s="268"/>
      <c r="H44" s="310" t="str">
        <f>'Invoicing Request'!H44</f>
        <v/>
      </c>
      <c r="I44" s="1613" t="str">
        <f>IFERROR(IF(H44&lt;&gt;"",'Invoicing Request'!I44,""),"")</f>
        <v/>
      </c>
      <c r="J44" s="1614"/>
      <c r="K44" s="1613" t="str">
        <f>IFERROR(IF(H44&lt;&gt;"",'Invoicing Request'!K44,""),"")</f>
        <v/>
      </c>
      <c r="L44" s="1614"/>
      <c r="M44" s="1058" t="str">
        <f>IFERROR(IF(H44&lt;&gt;"",'Invoicing Request'!M44,""),"")</f>
        <v/>
      </c>
      <c r="N44" s="269"/>
      <c r="Q44" s="325">
        <v>19</v>
      </c>
      <c r="R44" s="699" t="str">
        <f t="shared" si="0"/>
        <v>1943101</v>
      </c>
    </row>
    <row r="45" spans="2:18" ht="14.5" customHeight="1">
      <c r="B45" s="270"/>
      <c r="C45" s="551" t="s">
        <v>1003</v>
      </c>
      <c r="D45" s="552"/>
      <c r="E45" s="1344" t="str">
        <f>'Deal Sheet'!F53</f>
        <v>None</v>
      </c>
      <c r="F45" s="1345"/>
      <c r="G45" s="268"/>
      <c r="H45" s="310" t="str">
        <f>'Invoicing Request'!H45</f>
        <v/>
      </c>
      <c r="I45" s="1613" t="str">
        <f>IFERROR(IF(H45&lt;&gt;"",'Invoicing Request'!I45,""),"")</f>
        <v/>
      </c>
      <c r="J45" s="1614"/>
      <c r="K45" s="1613" t="str">
        <f>IFERROR(IF(H45&lt;&gt;"",'Invoicing Request'!K45,""),"")</f>
        <v/>
      </c>
      <c r="L45" s="1614"/>
      <c r="M45" s="1058" t="str">
        <f>IFERROR(IF(H45&lt;&gt;"",'Invoicing Request'!M45,""),"")</f>
        <v/>
      </c>
      <c r="N45" s="269"/>
      <c r="Q45" s="325">
        <v>20</v>
      </c>
      <c r="R45" s="699" t="str">
        <f t="shared" si="0"/>
        <v>2043101</v>
      </c>
    </row>
    <row r="46" spans="2:18" ht="14.5" customHeight="1">
      <c r="B46" s="270"/>
      <c r="C46" s="551" t="s">
        <v>584</v>
      </c>
      <c r="D46" s="552"/>
      <c r="E46" s="1344" t="str">
        <f>IF('Deal Sheet'!E54="","",'Deal Sheet'!E54)</f>
        <v/>
      </c>
      <c r="F46" s="1345"/>
      <c r="G46" s="268"/>
      <c r="H46" s="310" t="str">
        <f>'Invoicing Request'!H46</f>
        <v/>
      </c>
      <c r="I46" s="1613" t="str">
        <f>IFERROR(IF(H46&lt;&gt;"",'Invoicing Request'!I46,""),"")</f>
        <v/>
      </c>
      <c r="J46" s="1614"/>
      <c r="K46" s="1613" t="str">
        <f>IFERROR(IF(H46&lt;&gt;"",'Invoicing Request'!K46,""),"")</f>
        <v/>
      </c>
      <c r="L46" s="1614"/>
      <c r="M46" s="1058" t="str">
        <f>IFERROR(IF(H46&lt;&gt;"",'Invoicing Request'!M46,""),"")</f>
        <v/>
      </c>
      <c r="N46" s="269"/>
      <c r="Q46" s="325">
        <v>21</v>
      </c>
      <c r="R46" s="699" t="str">
        <f t="shared" si="0"/>
        <v>2143101</v>
      </c>
    </row>
    <row r="47" spans="2:18" ht="14.5" customHeight="1">
      <c r="B47" s="270"/>
      <c r="C47" s="551" t="s">
        <v>661</v>
      </c>
      <c r="D47" s="552"/>
      <c r="E47" s="1344" t="str">
        <f>IF('Deal Sheet'!E55="","",'Deal Sheet'!E55)</f>
        <v/>
      </c>
      <c r="F47" s="1345"/>
      <c r="G47" s="268"/>
      <c r="H47" s="310" t="str">
        <f>'Invoicing Request'!H47</f>
        <v/>
      </c>
      <c r="I47" s="1613" t="str">
        <f>IFERROR(IF(H47&lt;&gt;"",'Invoicing Request'!I47,""),"")</f>
        <v/>
      </c>
      <c r="J47" s="1614"/>
      <c r="K47" s="1613" t="str">
        <f>IFERROR(IF(H47&lt;&gt;"",'Invoicing Request'!K47,""),"")</f>
        <v/>
      </c>
      <c r="L47" s="1614"/>
      <c r="M47" s="1058" t="str">
        <f>IFERROR(IF(H47&lt;&gt;"",'Invoicing Request'!M47,""),"")</f>
        <v/>
      </c>
      <c r="N47" s="269"/>
      <c r="Q47" s="325">
        <v>22</v>
      </c>
      <c r="R47" s="699" t="str">
        <f t="shared" si="0"/>
        <v>2243101</v>
      </c>
    </row>
    <row r="48" spans="2:18" ht="14.5" customHeight="1">
      <c r="B48" s="270"/>
      <c r="C48" s="270" t="s">
        <v>816</v>
      </c>
      <c r="D48" s="268"/>
      <c r="E48" s="1634" t="str">
        <f>IF(AND('Deal Sheet'!F53&lt;&gt;"None",'Deal Sheet'!G55&lt;&gt;""),('Deal Sheet'!G55/'Deal Sheet'!N55),IF(AND('Deal Sheet'!F53&lt;&gt;"None",'Deal Sheet'!G57&lt;&gt;""),'Deal Sheet'!G57/'Deal Sheet'!N55,""))</f>
        <v/>
      </c>
      <c r="F48" s="1635"/>
      <c r="G48" s="268"/>
      <c r="H48" s="310" t="str">
        <f>'Invoicing Request'!H48</f>
        <v/>
      </c>
      <c r="I48" s="1613" t="str">
        <f>IFERROR(IF(H48&lt;&gt;"",'Invoicing Request'!I48,""),"")</f>
        <v/>
      </c>
      <c r="J48" s="1614"/>
      <c r="K48" s="1613" t="str">
        <f>IFERROR(IF(H48&lt;&gt;"",'Invoicing Request'!K48,""),"")</f>
        <v/>
      </c>
      <c r="L48" s="1614"/>
      <c r="M48" s="1058" t="str">
        <f>IFERROR(IF(H48&lt;&gt;"",'Invoicing Request'!M48,""),"")</f>
        <v/>
      </c>
      <c r="N48" s="269"/>
      <c r="Q48" s="325">
        <v>23</v>
      </c>
      <c r="R48" s="699" t="str">
        <f t="shared" si="0"/>
        <v>2343101</v>
      </c>
    </row>
    <row r="49" spans="2:18">
      <c r="B49" s="270"/>
      <c r="C49" s="270" t="s">
        <v>1004</v>
      </c>
      <c r="D49" s="640" t="s">
        <v>1061</v>
      </c>
      <c r="E49" s="1631" t="s">
        <v>52</v>
      </c>
      <c r="F49" s="1632"/>
      <c r="G49" s="268"/>
      <c r="H49" s="310" t="str">
        <f>'Invoicing Request'!H49</f>
        <v/>
      </c>
      <c r="I49" s="1613" t="str">
        <f>IFERROR(IF(H49&lt;&gt;"",'Invoicing Request'!I49,""),"")</f>
        <v/>
      </c>
      <c r="J49" s="1614"/>
      <c r="K49" s="1613" t="str">
        <f>IFERROR(IF(H49&lt;&gt;"",'Invoicing Request'!K49,""),"")</f>
        <v/>
      </c>
      <c r="L49" s="1614"/>
      <c r="M49" s="1058" t="str">
        <f>IFERROR(IF(H49&lt;&gt;"",'Invoicing Request'!M49,""),"")</f>
        <v/>
      </c>
      <c r="N49" s="269"/>
      <c r="Q49" s="325">
        <v>24</v>
      </c>
      <c r="R49" s="699" t="str">
        <f t="shared" si="0"/>
        <v>2443101</v>
      </c>
    </row>
    <row r="50" spans="2:18" ht="14.5" customHeight="1" thickBot="1">
      <c r="B50" s="270"/>
      <c r="C50" s="272"/>
      <c r="D50" s="275"/>
      <c r="E50" s="275"/>
      <c r="F50" s="277"/>
      <c r="G50" s="268"/>
      <c r="H50" s="310" t="str">
        <f>'Invoicing Request'!H50</f>
        <v/>
      </c>
      <c r="I50" s="1613" t="str">
        <f>IFERROR(IF(H50&lt;&gt;"",'Invoicing Request'!I50,""),"")</f>
        <v/>
      </c>
      <c r="J50" s="1614"/>
      <c r="K50" s="1613" t="str">
        <f>IFERROR(IF(H50&lt;&gt;"",'Invoicing Request'!K50,""),"")</f>
        <v/>
      </c>
      <c r="L50" s="1614"/>
      <c r="M50" s="1058" t="str">
        <f>IFERROR(IF(H50&lt;&gt;"",'Invoicing Request'!M50,""),"")</f>
        <v/>
      </c>
      <c r="N50" s="285"/>
      <c r="Q50" s="325">
        <v>25</v>
      </c>
      <c r="R50" s="699" t="str">
        <f t="shared" si="0"/>
        <v>2543101</v>
      </c>
    </row>
    <row r="51" spans="2:18" ht="15" customHeight="1">
      <c r="B51" s="270"/>
      <c r="C51" s="1330" t="s">
        <v>583</v>
      </c>
      <c r="D51" s="1331"/>
      <c r="E51" s="1331"/>
      <c r="F51" s="1332"/>
      <c r="G51" s="268"/>
      <c r="H51" s="310" t="str">
        <f>'Invoicing Request'!H51</f>
        <v/>
      </c>
      <c r="I51" s="1613" t="str">
        <f>IFERROR(IF(H51&lt;&gt;"",'Invoicing Request'!I51,""),"")</f>
        <v/>
      </c>
      <c r="J51" s="1614"/>
      <c r="K51" s="1613" t="str">
        <f>IFERROR(IF(H51&lt;&gt;"",'Invoicing Request'!K51,""),"")</f>
        <v/>
      </c>
      <c r="L51" s="1614"/>
      <c r="M51" s="1058" t="str">
        <f>IFERROR(IF(H51&lt;&gt;"",'Invoicing Request'!M51,""),"")</f>
        <v/>
      </c>
      <c r="N51" s="542"/>
      <c r="Q51" s="325">
        <v>26</v>
      </c>
      <c r="R51" s="699" t="str">
        <f t="shared" si="0"/>
        <v>2643101</v>
      </c>
    </row>
    <row r="52" spans="2:18" ht="15" customHeight="1">
      <c r="B52" s="270"/>
      <c r="C52" s="270"/>
      <c r="D52" s="268"/>
      <c r="E52" s="268"/>
      <c r="F52" s="269"/>
      <c r="G52" s="268"/>
      <c r="H52" s="310" t="str">
        <f>'Invoicing Request'!H52</f>
        <v/>
      </c>
      <c r="I52" s="1613" t="str">
        <f>IFERROR(IF(H52&lt;&gt;"",'Invoicing Request'!I52,""),"")</f>
        <v/>
      </c>
      <c r="J52" s="1614"/>
      <c r="K52" s="1613" t="str">
        <f>IFERROR(IF(H52&lt;&gt;"",'Invoicing Request'!K52,""),"")</f>
        <v/>
      </c>
      <c r="L52" s="1614"/>
      <c r="M52" s="1058" t="str">
        <f>IFERROR(IF(H52&lt;&gt;"",'Invoicing Request'!M52,""),"")</f>
        <v/>
      </c>
      <c r="N52" s="543"/>
      <c r="Q52" s="325">
        <v>27</v>
      </c>
      <c r="R52" s="699" t="str">
        <f t="shared" si="0"/>
        <v>2743101</v>
      </c>
    </row>
    <row r="53" spans="2:18" ht="14.5" customHeight="1">
      <c r="B53" s="270"/>
      <c r="C53" s="551" t="s">
        <v>1006</v>
      </c>
      <c r="D53" s="552"/>
      <c r="E53" s="1344" t="str">
        <f>ST</f>
        <v>None</v>
      </c>
      <c r="F53" s="1345"/>
      <c r="G53" s="268"/>
      <c r="H53" s="310" t="str">
        <f>'Invoicing Request'!H53</f>
        <v/>
      </c>
      <c r="I53" s="1613" t="str">
        <f>IFERROR(IF(H53&lt;&gt;"",'Invoicing Request'!I53,""),"")</f>
        <v/>
      </c>
      <c r="J53" s="1614"/>
      <c r="K53" s="1613" t="str">
        <f>IFERROR(IF(H53&lt;&gt;"",'Invoicing Request'!K53,""),"")</f>
        <v/>
      </c>
      <c r="L53" s="1614"/>
      <c r="M53" s="1058" t="str">
        <f>IFERROR(IF(H53&lt;&gt;"",'Invoicing Request'!M53,""),"")</f>
        <v/>
      </c>
      <c r="N53" s="285"/>
      <c r="Q53" s="325">
        <v>28</v>
      </c>
      <c r="R53" s="699" t="str">
        <f t="shared" si="0"/>
        <v>2843101</v>
      </c>
    </row>
    <row r="54" spans="2:18" ht="14.5" customHeight="1">
      <c r="B54" s="270"/>
      <c r="C54" s="270" t="s">
        <v>601</v>
      </c>
      <c r="D54" s="268"/>
      <c r="E54" s="1344" t="str">
        <f>IF('Deal Sheet'!G46&lt;&gt;"",'Deal Sheet'!G46,"")</f>
        <v/>
      </c>
      <c r="F54" s="1345"/>
      <c r="G54" s="268"/>
      <c r="H54" s="310" t="str">
        <f>'Invoicing Request'!H54</f>
        <v/>
      </c>
      <c r="I54" s="1613" t="str">
        <f>IFERROR(IF(H54&lt;&gt;"",'Invoicing Request'!I54,""),"")</f>
        <v/>
      </c>
      <c r="J54" s="1614"/>
      <c r="K54" s="1613" t="str">
        <f>IFERROR(IF(H54&lt;&gt;"",'Invoicing Request'!K54,""),"")</f>
        <v/>
      </c>
      <c r="L54" s="1614"/>
      <c r="M54" s="1058" t="str">
        <f>IFERROR(IF(H54&lt;&gt;"",'Invoicing Request'!M54,""),"")</f>
        <v/>
      </c>
      <c r="N54" s="269"/>
      <c r="Q54" s="325">
        <v>29</v>
      </c>
      <c r="R54" s="699" t="str">
        <f t="shared" si="0"/>
        <v>2943101</v>
      </c>
    </row>
    <row r="55" spans="2:18" ht="14.5" customHeight="1">
      <c r="B55" s="270"/>
      <c r="C55" s="551" t="s">
        <v>584</v>
      </c>
      <c r="D55" s="552"/>
      <c r="E55" s="1344" t="str">
        <f>IF(STP&lt;&gt;"",STP,"")</f>
        <v/>
      </c>
      <c r="F55" s="1345"/>
      <c r="G55" s="268"/>
      <c r="H55" s="310" t="str">
        <f>'Invoicing Request'!H55</f>
        <v/>
      </c>
      <c r="I55" s="1613" t="str">
        <f>IFERROR(IF(H55&lt;&gt;"",'Invoicing Request'!I55,""),"")</f>
        <v/>
      </c>
      <c r="J55" s="1614"/>
      <c r="K55" s="1613" t="str">
        <f>IFERROR(IF(H55&lt;&gt;"",'Invoicing Request'!K55,""),"")</f>
        <v/>
      </c>
      <c r="L55" s="1614"/>
      <c r="M55" s="1058" t="str">
        <f>IFERROR(IF(H55&lt;&gt;"",'Invoicing Request'!M55,""),"")</f>
        <v/>
      </c>
      <c r="N55" s="269"/>
      <c r="Q55" s="325">
        <v>30</v>
      </c>
      <c r="R55" s="699" t="str">
        <f t="shared" si="0"/>
        <v>3043101</v>
      </c>
    </row>
    <row r="56" spans="2:18" ht="14.5" customHeight="1">
      <c r="B56" s="270"/>
      <c r="C56" s="551" t="s">
        <v>662</v>
      </c>
      <c r="D56" s="552"/>
      <c r="E56" s="1344" t="str">
        <f>IF(STM&lt;&gt;"",STM,"")</f>
        <v/>
      </c>
      <c r="F56" s="1345"/>
      <c r="G56" s="268"/>
      <c r="H56" s="311"/>
      <c r="I56" s="1615"/>
      <c r="J56" s="1616"/>
      <c r="K56" s="603"/>
      <c r="L56" s="317"/>
      <c r="M56" s="577"/>
      <c r="N56" s="269"/>
    </row>
    <row r="57" spans="2:18" ht="12.6" thickBot="1">
      <c r="B57" s="270"/>
      <c r="C57" s="159" t="s">
        <v>1004</v>
      </c>
      <c r="D57" s="640" t="s">
        <v>1061</v>
      </c>
      <c r="E57" s="1629" t="s">
        <v>52</v>
      </c>
      <c r="F57" s="1630"/>
      <c r="G57" s="341"/>
      <c r="H57" s="341"/>
      <c r="I57" s="281"/>
      <c r="J57" s="281"/>
      <c r="K57" s="281"/>
      <c r="L57" s="281"/>
      <c r="M57" s="281"/>
      <c r="N57" s="269"/>
    </row>
    <row r="58" spans="2:18" ht="12.6" thickBot="1">
      <c r="B58" s="270"/>
      <c r="C58" s="159" t="s">
        <v>1007</v>
      </c>
      <c r="D58" s="640" t="s">
        <v>1061</v>
      </c>
      <c r="E58" s="1631" t="s">
        <v>52</v>
      </c>
      <c r="F58" s="1632"/>
      <c r="G58" s="341"/>
      <c r="H58" s="1608" t="s">
        <v>1021</v>
      </c>
      <c r="I58" s="1609"/>
      <c r="J58" s="1609"/>
      <c r="K58" s="1609"/>
      <c r="L58" s="1609"/>
      <c r="M58" s="1610"/>
      <c r="N58" s="269"/>
    </row>
    <row r="59" spans="2:18" ht="15" customHeight="1" thickBot="1">
      <c r="B59" s="270"/>
      <c r="C59" s="560"/>
      <c r="D59" s="561"/>
      <c r="E59" s="557"/>
      <c r="F59" s="558"/>
      <c r="G59" s="341"/>
      <c r="H59" s="1605"/>
      <c r="I59" s="1606"/>
      <c r="J59" s="1606"/>
      <c r="K59" s="1606"/>
      <c r="L59" s="1606"/>
      <c r="M59" s="1607"/>
      <c r="N59" s="269"/>
    </row>
    <row r="60" spans="2:18">
      <c r="B60" s="270"/>
      <c r="C60" s="1330" t="s">
        <v>655</v>
      </c>
      <c r="D60" s="1331"/>
      <c r="E60" s="1331"/>
      <c r="F60" s="1332"/>
      <c r="G60" s="341"/>
      <c r="H60" s="1590"/>
      <c r="I60" s="1591"/>
      <c r="J60" s="1591"/>
      <c r="K60" s="1591"/>
      <c r="L60" s="1591"/>
      <c r="M60" s="1592"/>
      <c r="N60" s="269"/>
    </row>
    <row r="61" spans="2:18">
      <c r="B61" s="270"/>
      <c r="C61" s="270"/>
      <c r="D61" s="268"/>
      <c r="E61" s="268"/>
      <c r="F61" s="269"/>
      <c r="G61" s="341"/>
      <c r="H61" s="1587"/>
      <c r="I61" s="1588"/>
      <c r="J61" s="1588"/>
      <c r="K61" s="1588"/>
      <c r="L61" s="1588"/>
      <c r="M61" s="1589"/>
      <c r="N61" s="269"/>
    </row>
    <row r="62" spans="2:18">
      <c r="B62" s="270"/>
      <c r="C62" s="535" t="s">
        <v>45</v>
      </c>
      <c r="D62" s="536"/>
      <c r="E62" s="279"/>
      <c r="F62" s="285" t="str">
        <f>'Deal Sheet'!F63</f>
        <v>None</v>
      </c>
      <c r="G62" s="341"/>
      <c r="H62" s="1590"/>
      <c r="I62" s="1591"/>
      <c r="J62" s="1591"/>
      <c r="K62" s="1591"/>
      <c r="L62" s="1591"/>
      <c r="M62" s="1592"/>
      <c r="N62" s="269"/>
    </row>
    <row r="63" spans="2:18" ht="12.6">
      <c r="B63" s="270"/>
      <c r="C63" s="535" t="str">
        <f>IF(F63="","","Term &amp; Mileage")</f>
        <v/>
      </c>
      <c r="D63" s="538" t="str">
        <f>IF(F62="Combination","Entire Vehicle","")</f>
        <v/>
      </c>
      <c r="E63" s="268"/>
      <c r="F63" s="296" t="str">
        <f>IF(OR('Deal Sheet'!F63="Entire Vehicle",'Deal Sheet'!F63="Combination"),'Deal Sheet'!D65&amp;" / "&amp;'Deal Sheet'!D66,"")</f>
        <v/>
      </c>
      <c r="G63" s="341"/>
      <c r="H63" s="1587"/>
      <c r="I63" s="1588"/>
      <c r="J63" s="1588"/>
      <c r="K63" s="1588"/>
      <c r="L63" s="1588"/>
      <c r="M63" s="1589"/>
      <c r="N63" s="269"/>
    </row>
    <row r="64" spans="2:18" ht="12.6">
      <c r="B64" s="270"/>
      <c r="C64" s="535" t="str">
        <f>IF(F64="","","Term &amp; Mileage")</f>
        <v/>
      </c>
      <c r="D64" s="537" t="str">
        <f>IF(F62="Combination","Driveline","")</f>
        <v/>
      </c>
      <c r="E64" s="268"/>
      <c r="F64" s="296" t="str">
        <f>IF(OR('Deal Sheet'!F63="Driveline",'Deal Sheet'!F63="Combination"),'Deal Sheet'!E65&amp;" / "&amp;'Deal Sheet'!E66,"")</f>
        <v/>
      </c>
      <c r="G64" s="341"/>
      <c r="H64" s="1590"/>
      <c r="I64" s="1591"/>
      <c r="J64" s="1591"/>
      <c r="K64" s="1591"/>
      <c r="L64" s="1591"/>
      <c r="M64" s="1592"/>
      <c r="N64" s="269"/>
    </row>
    <row r="65" spans="2:14">
      <c r="B65" s="270"/>
      <c r="C65" s="535" t="s">
        <v>1004</v>
      </c>
      <c r="D65" s="640" t="s">
        <v>1061</v>
      </c>
      <c r="E65" s="1629" t="s">
        <v>1005</v>
      </c>
      <c r="F65" s="1630"/>
      <c r="G65" s="268"/>
      <c r="H65" s="1587"/>
      <c r="I65" s="1588"/>
      <c r="J65" s="1588"/>
      <c r="K65" s="1588"/>
      <c r="L65" s="1588"/>
      <c r="M65" s="1589"/>
      <c r="N65" s="269"/>
    </row>
    <row r="66" spans="2:14" ht="12.6" thickBot="1">
      <c r="B66" s="270"/>
      <c r="C66" s="272"/>
      <c r="D66" s="275"/>
      <c r="E66" s="275"/>
      <c r="F66" s="277"/>
      <c r="G66" s="341"/>
      <c r="H66" s="1590"/>
      <c r="I66" s="1591"/>
      <c r="J66" s="1591"/>
      <c r="K66" s="1591"/>
      <c r="L66" s="1591"/>
      <c r="M66" s="1592"/>
      <c r="N66" s="269"/>
    </row>
    <row r="67" spans="2:14" ht="12.6" thickBot="1">
      <c r="B67" s="270"/>
      <c r="C67" s="268"/>
      <c r="D67" s="539"/>
      <c r="E67" s="539"/>
      <c r="F67" s="539"/>
      <c r="G67" s="268"/>
      <c r="H67" s="1587"/>
      <c r="I67" s="1588"/>
      <c r="J67" s="1588"/>
      <c r="K67" s="1588"/>
      <c r="L67" s="1588"/>
      <c r="M67" s="1589"/>
      <c r="N67" s="269"/>
    </row>
    <row r="68" spans="2:14" ht="18" customHeight="1">
      <c r="B68" s="270"/>
      <c r="C68" s="1602" t="s">
        <v>1024</v>
      </c>
      <c r="D68" s="1603"/>
      <c r="E68" s="1603"/>
      <c r="F68" s="1604"/>
      <c r="G68" s="545"/>
      <c r="H68" s="1590"/>
      <c r="I68" s="1591"/>
      <c r="J68" s="1591"/>
      <c r="K68" s="1591"/>
      <c r="L68" s="1591"/>
      <c r="M68" s="1592"/>
      <c r="N68" s="269"/>
    </row>
    <row r="69" spans="2:14">
      <c r="B69" s="270"/>
      <c r="C69" s="546" t="s">
        <v>1020</v>
      </c>
      <c r="D69" s="1368"/>
      <c r="E69" s="1368"/>
      <c r="F69" s="1369"/>
      <c r="G69" s="544"/>
      <c r="H69" s="1587"/>
      <c r="I69" s="1588"/>
      <c r="J69" s="1588"/>
      <c r="K69" s="1588"/>
      <c r="L69" s="1588"/>
      <c r="M69" s="1589"/>
      <c r="N69" s="269"/>
    </row>
    <row r="70" spans="2:14">
      <c r="B70" s="270"/>
      <c r="C70" s="569"/>
      <c r="D70" s="1368"/>
      <c r="E70" s="1368"/>
      <c r="F70" s="1369"/>
      <c r="G70" s="562"/>
      <c r="H70" s="1590"/>
      <c r="I70" s="1591"/>
      <c r="J70" s="1591"/>
      <c r="K70" s="1591"/>
      <c r="L70" s="1591"/>
      <c r="M70" s="1592"/>
      <c r="N70" s="269"/>
    </row>
    <row r="71" spans="2:14">
      <c r="B71" s="270"/>
      <c r="C71" s="569"/>
      <c r="D71" s="1368"/>
      <c r="E71" s="1368"/>
      <c r="F71" s="1369"/>
      <c r="G71" s="562"/>
      <c r="H71" s="1587"/>
      <c r="I71" s="1588"/>
      <c r="J71" s="1588"/>
      <c r="K71" s="1588"/>
      <c r="L71" s="1588"/>
      <c r="M71" s="1589"/>
      <c r="N71" s="269"/>
    </row>
    <row r="72" spans="2:14">
      <c r="B72" s="270"/>
      <c r="C72" s="546" t="s">
        <v>1019</v>
      </c>
      <c r="D72" s="568"/>
      <c r="E72" s="568"/>
      <c r="F72" s="571"/>
      <c r="G72" s="562"/>
      <c r="H72" s="1590"/>
      <c r="I72" s="1591"/>
      <c r="J72" s="1591"/>
      <c r="K72" s="1591"/>
      <c r="L72" s="1591"/>
      <c r="M72" s="1592"/>
      <c r="N72" s="269"/>
    </row>
    <row r="73" spans="2:14">
      <c r="B73" s="270"/>
      <c r="C73" s="569"/>
      <c r="D73" s="562"/>
      <c r="E73" s="562"/>
      <c r="F73" s="570"/>
      <c r="G73" s="562"/>
      <c r="H73" s="1587"/>
      <c r="I73" s="1588"/>
      <c r="J73" s="1588"/>
      <c r="K73" s="1588"/>
      <c r="L73" s="1588"/>
      <c r="M73" s="1589"/>
      <c r="N73" s="269"/>
    </row>
    <row r="74" spans="2:14">
      <c r="B74" s="270"/>
      <c r="C74" s="270" t="s">
        <v>311</v>
      </c>
      <c r="D74" s="553"/>
      <c r="E74" s="553"/>
      <c r="F74" s="572"/>
      <c r="G74" s="268"/>
      <c r="H74" s="1590"/>
      <c r="I74" s="1591"/>
      <c r="J74" s="1591"/>
      <c r="K74" s="1591"/>
      <c r="L74" s="1591"/>
      <c r="M74" s="1592"/>
      <c r="N74" s="269"/>
    </row>
    <row r="75" spans="2:14" ht="12.6" thickBot="1">
      <c r="B75" s="270"/>
      <c r="C75" s="272"/>
      <c r="D75" s="275"/>
      <c r="E75" s="275"/>
      <c r="F75" s="277"/>
      <c r="G75" s="268"/>
      <c r="H75" s="1599"/>
      <c r="I75" s="1600"/>
      <c r="J75" s="1600"/>
      <c r="K75" s="1600"/>
      <c r="L75" s="1600"/>
      <c r="M75" s="1601"/>
      <c r="N75" s="269"/>
    </row>
    <row r="76" spans="2:14" ht="12.6" thickBot="1">
      <c r="B76" s="272"/>
      <c r="C76" s="275"/>
      <c r="D76" s="275"/>
      <c r="E76" s="275"/>
      <c r="F76" s="275"/>
      <c r="G76" s="275"/>
      <c r="H76" s="275"/>
      <c r="I76" s="275"/>
      <c r="J76" s="275"/>
      <c r="K76" s="275"/>
      <c r="L76" s="275"/>
      <c r="M76" s="275"/>
      <c r="N76" s="277"/>
    </row>
    <row r="77" spans="2:14">
      <c r="B77" s="268"/>
      <c r="C77" s="268"/>
      <c r="D77" s="268"/>
      <c r="E77" s="268"/>
      <c r="F77" s="268"/>
      <c r="G77" s="268"/>
      <c r="H77" s="268"/>
      <c r="I77" s="268"/>
      <c r="J77" s="268"/>
      <c r="K77" s="268"/>
      <c r="L77" s="268"/>
      <c r="M77" s="268"/>
      <c r="N77" s="268"/>
    </row>
    <row r="78" spans="2:14">
      <c r="B78" s="268"/>
      <c r="C78" s="268"/>
      <c r="D78" s="268"/>
      <c r="E78" s="268"/>
      <c r="F78" s="268"/>
      <c r="G78" s="268"/>
      <c r="H78" s="268"/>
      <c r="I78" s="268"/>
      <c r="J78" s="268"/>
      <c r="K78" s="268"/>
      <c r="L78" s="268"/>
      <c r="M78" s="268"/>
      <c r="N78" s="268"/>
    </row>
    <row r="79" spans="2:14">
      <c r="B79" s="268"/>
      <c r="C79" s="268"/>
      <c r="D79" s="268"/>
      <c r="E79" s="268"/>
      <c r="F79" s="268"/>
      <c r="G79" s="268"/>
      <c r="H79" s="268"/>
      <c r="I79" s="268"/>
      <c r="J79" s="268"/>
      <c r="K79" s="268"/>
      <c r="L79" s="268"/>
      <c r="M79" s="268"/>
      <c r="N79" s="268"/>
    </row>
    <row r="80" spans="2:14" ht="15" customHeight="1">
      <c r="B80" s="268"/>
      <c r="C80" s="268"/>
      <c r="D80" s="268"/>
      <c r="E80" s="268"/>
      <c r="F80" s="268"/>
      <c r="G80" s="268"/>
      <c r="H80" s="268"/>
      <c r="I80" s="268"/>
      <c r="J80" s="268"/>
      <c r="K80" s="268"/>
      <c r="L80" s="268"/>
      <c r="M80" s="268"/>
      <c r="N80" s="268"/>
    </row>
    <row r="81" spans="2:17">
      <c r="B81" s="268"/>
      <c r="C81" s="268"/>
      <c r="D81" s="268"/>
      <c r="E81" s="268"/>
      <c r="F81" s="268"/>
      <c r="G81" s="268"/>
      <c r="H81" s="268"/>
      <c r="I81" s="268"/>
      <c r="J81" s="268"/>
      <c r="K81" s="268"/>
      <c r="L81" s="268"/>
      <c r="M81" s="268"/>
      <c r="N81" s="268"/>
    </row>
    <row r="82" spans="2:17" ht="14.5" customHeight="1">
      <c r="B82" s="268"/>
      <c r="C82" s="268"/>
      <c r="D82" s="268"/>
      <c r="E82" s="268"/>
      <c r="F82" s="268"/>
      <c r="G82" s="268"/>
      <c r="H82" s="268"/>
      <c r="I82" s="268"/>
      <c r="J82" s="268"/>
      <c r="K82" s="268"/>
      <c r="L82" s="268"/>
      <c r="M82" s="268"/>
      <c r="N82" s="268"/>
      <c r="O82" s="700"/>
      <c r="Q82" s="700"/>
    </row>
    <row r="83" spans="2:17" ht="14.5" customHeight="1">
      <c r="B83" s="268"/>
      <c r="C83" s="268"/>
      <c r="D83" s="268"/>
      <c r="E83" s="268"/>
      <c r="F83" s="268"/>
      <c r="G83" s="268"/>
      <c r="H83" s="268"/>
      <c r="I83" s="268"/>
      <c r="J83" s="268"/>
      <c r="K83" s="268"/>
      <c r="L83" s="268"/>
      <c r="M83" s="268"/>
      <c r="N83" s="268"/>
    </row>
    <row r="84" spans="2:17" ht="14.5" customHeight="1">
      <c r="B84" s="268"/>
      <c r="C84" s="268"/>
      <c r="D84" s="268"/>
      <c r="E84" s="268"/>
      <c r="F84" s="268"/>
      <c r="G84" s="268"/>
      <c r="H84" s="268"/>
      <c r="I84" s="268"/>
      <c r="J84" s="268"/>
      <c r="K84" s="268"/>
      <c r="L84" s="268"/>
      <c r="M84" s="268"/>
      <c r="N84" s="268"/>
    </row>
    <row r="85" spans="2:17" ht="14.5" customHeight="1">
      <c r="B85" s="268"/>
      <c r="C85" s="268"/>
      <c r="D85" s="268"/>
      <c r="E85" s="268"/>
      <c r="F85" s="268"/>
      <c r="G85" s="268"/>
      <c r="H85" s="268"/>
      <c r="I85" s="268"/>
      <c r="J85" s="268"/>
      <c r="K85" s="268"/>
      <c r="L85" s="268"/>
      <c r="M85" s="268"/>
      <c r="N85" s="268"/>
    </row>
    <row r="86" spans="2:17" ht="14.5" customHeight="1">
      <c r="B86" s="268"/>
      <c r="C86" s="268"/>
      <c r="D86" s="268"/>
      <c r="E86" s="268"/>
      <c r="F86" s="268"/>
      <c r="G86" s="268"/>
      <c r="H86" s="268"/>
      <c r="I86" s="268"/>
      <c r="J86" s="268"/>
      <c r="K86" s="268"/>
      <c r="L86" s="268"/>
      <c r="M86" s="268"/>
      <c r="N86" s="268"/>
    </row>
    <row r="87" spans="2:17" ht="14.5" customHeight="1">
      <c r="B87" s="268"/>
      <c r="C87" s="291"/>
      <c r="D87" s="268"/>
      <c r="E87" s="268"/>
      <c r="F87" s="268"/>
      <c r="G87" s="268"/>
      <c r="H87" s="268"/>
      <c r="I87" s="268"/>
      <c r="J87" s="268"/>
      <c r="K87" s="268"/>
      <c r="L87" s="268"/>
      <c r="M87" s="268"/>
      <c r="N87" s="268"/>
    </row>
    <row r="88" spans="2:17">
      <c r="B88" s="268"/>
      <c r="C88" s="268"/>
      <c r="D88" s="268"/>
      <c r="E88" s="268"/>
      <c r="F88" s="268"/>
      <c r="G88" s="268"/>
      <c r="H88" s="268"/>
      <c r="I88" s="268"/>
      <c r="J88" s="268"/>
      <c r="K88" s="268"/>
      <c r="L88" s="268"/>
      <c r="M88" s="268"/>
      <c r="N88" s="268"/>
    </row>
    <row r="89" spans="2:17">
      <c r="B89" s="268"/>
      <c r="C89" s="1354"/>
      <c r="D89" s="1354"/>
      <c r="E89" s="1354"/>
      <c r="F89" s="1354"/>
      <c r="G89" s="268"/>
      <c r="H89" s="268"/>
      <c r="I89" s="268"/>
      <c r="J89" s="268"/>
      <c r="K89" s="268"/>
      <c r="L89" s="268"/>
      <c r="M89" s="268"/>
      <c r="N89" s="268"/>
    </row>
    <row r="90" spans="2:17" ht="14.5" customHeight="1">
      <c r="B90" s="268"/>
      <c r="C90" s="1354"/>
      <c r="D90" s="1354"/>
      <c r="E90" s="1354"/>
      <c r="F90" s="1354"/>
      <c r="G90" s="1354"/>
      <c r="H90" s="1354"/>
      <c r="I90" s="1354"/>
      <c r="J90" s="585"/>
      <c r="K90" s="585"/>
      <c r="L90" s="547"/>
      <c r="M90" s="547"/>
      <c r="N90" s="268"/>
    </row>
    <row r="91" spans="2:17">
      <c r="B91" s="268"/>
      <c r="C91" s="1354"/>
      <c r="D91" s="1354"/>
      <c r="E91" s="1354"/>
      <c r="F91" s="1354"/>
      <c r="G91" s="1354"/>
      <c r="H91" s="1354"/>
      <c r="I91" s="1354"/>
      <c r="J91" s="585"/>
      <c r="K91" s="585"/>
      <c r="L91" s="547"/>
      <c r="M91" s="547"/>
      <c r="N91" s="268"/>
    </row>
    <row r="92" spans="2:17" ht="13.15" customHeight="1">
      <c r="B92" s="268"/>
      <c r="C92" s="1354"/>
      <c r="D92" s="1354"/>
      <c r="E92" s="1354"/>
      <c r="F92" s="1354"/>
      <c r="G92" s="1354"/>
      <c r="H92" s="1354"/>
      <c r="I92" s="1354"/>
      <c r="J92" s="585"/>
      <c r="K92" s="585"/>
      <c r="L92" s="547"/>
      <c r="M92" s="547"/>
      <c r="N92" s="268"/>
    </row>
    <row r="93" spans="2:17" ht="42" customHeight="1">
      <c r="B93" s="268"/>
      <c r="C93" s="1354"/>
      <c r="D93" s="1354"/>
      <c r="E93" s="1354"/>
      <c r="F93" s="1354"/>
      <c r="G93" s="1354"/>
      <c r="H93" s="1354"/>
      <c r="I93" s="1354"/>
      <c r="J93" s="585"/>
      <c r="K93" s="585"/>
      <c r="L93" s="547"/>
      <c r="M93" s="547"/>
      <c r="N93" s="268"/>
    </row>
    <row r="94" spans="2:17" ht="14.5" customHeight="1">
      <c r="B94" s="268"/>
      <c r="C94" s="1354"/>
      <c r="D94" s="1354"/>
      <c r="E94" s="1354"/>
      <c r="F94" s="1354"/>
      <c r="G94" s="1354"/>
      <c r="H94" s="1354"/>
      <c r="I94" s="1354"/>
      <c r="J94" s="585"/>
      <c r="K94" s="585"/>
      <c r="L94" s="547"/>
      <c r="M94" s="547"/>
      <c r="N94" s="268"/>
    </row>
    <row r="95" spans="2:17" ht="13.9" customHeight="1">
      <c r="B95" s="268"/>
      <c r="C95" s="1354"/>
      <c r="D95" s="1354"/>
      <c r="E95" s="1354"/>
      <c r="F95" s="1354"/>
      <c r="G95" s="1354"/>
      <c r="H95" s="1354"/>
      <c r="I95" s="1354"/>
      <c r="J95" s="585"/>
      <c r="K95" s="585"/>
      <c r="L95" s="547"/>
      <c r="M95" s="547"/>
      <c r="N95" s="268"/>
    </row>
    <row r="96" spans="2:17" ht="14.5" customHeight="1">
      <c r="B96" s="268"/>
      <c r="C96" s="268"/>
      <c r="D96" s="268"/>
      <c r="E96" s="292"/>
      <c r="F96" s="268"/>
      <c r="G96" s="1354"/>
      <c r="H96" s="1354"/>
      <c r="I96" s="1354"/>
      <c r="J96" s="585"/>
      <c r="K96" s="585"/>
      <c r="L96" s="547"/>
      <c r="M96" s="547"/>
      <c r="N96" s="268"/>
    </row>
    <row r="97" spans="2:14" ht="15" customHeight="1">
      <c r="B97" s="268"/>
      <c r="C97" s="268"/>
      <c r="D97" s="268"/>
      <c r="E97" s="268"/>
      <c r="F97" s="268"/>
      <c r="G97" s="268"/>
      <c r="H97" s="268"/>
      <c r="I97" s="268"/>
      <c r="J97" s="268"/>
      <c r="K97" s="268"/>
      <c r="L97" s="268"/>
      <c r="M97" s="268"/>
      <c r="N97" s="268"/>
    </row>
    <row r="98" spans="2:14" ht="2.5" customHeight="1">
      <c r="B98" s="268"/>
      <c r="C98" s="268"/>
      <c r="D98" s="268"/>
      <c r="E98" s="268"/>
      <c r="F98" s="268"/>
      <c r="G98" s="268"/>
      <c r="H98" s="268"/>
      <c r="I98" s="268"/>
      <c r="J98" s="268"/>
      <c r="K98" s="268"/>
      <c r="L98" s="268"/>
      <c r="M98" s="268"/>
      <c r="N98" s="268"/>
    </row>
    <row r="99" spans="2:14">
      <c r="B99" s="268"/>
      <c r="C99" s="268"/>
      <c r="D99" s="268"/>
      <c r="E99" s="268"/>
      <c r="F99" s="268"/>
      <c r="G99" s="268"/>
      <c r="H99" s="268"/>
      <c r="I99" s="268"/>
      <c r="J99" s="268"/>
      <c r="K99" s="268"/>
      <c r="L99" s="268"/>
      <c r="M99" s="268"/>
      <c r="N99" s="268"/>
    </row>
    <row r="100" spans="2:14">
      <c r="C100" s="268"/>
      <c r="D100" s="268"/>
      <c r="E100" s="268"/>
      <c r="F100" s="268"/>
      <c r="G100" s="268"/>
      <c r="H100" s="268"/>
      <c r="I100" s="268"/>
      <c r="J100" s="268"/>
      <c r="K100" s="268"/>
      <c r="L100" s="268"/>
      <c r="M100" s="268"/>
    </row>
    <row r="101" spans="2:14">
      <c r="C101" s="268"/>
      <c r="D101" s="268"/>
      <c r="E101" s="268"/>
      <c r="F101" s="268"/>
      <c r="G101" s="268"/>
      <c r="H101" s="268"/>
      <c r="I101" s="268"/>
      <c r="J101" s="268"/>
      <c r="K101" s="268"/>
      <c r="L101" s="268"/>
      <c r="M101" s="268"/>
    </row>
    <row r="102" spans="2:14">
      <c r="G102" s="268"/>
      <c r="H102" s="268"/>
      <c r="I102" s="268"/>
      <c r="J102" s="268"/>
      <c r="K102" s="268"/>
      <c r="L102" s="268"/>
      <c r="M102" s="268"/>
    </row>
  </sheetData>
  <sheetProtection algorithmName="SHA-512" hashValue="D9yFjmUXTDKmhnQGTF3UFJwCoBRZgX8TzAczn1QUHmdZ+sCmtIhmTN+ZPh28dq1r3CMmix03QCzL7jf4/vjfAA==" saltValue="OVMze+hXUB/rWLn3auwJKw==" spinCount="100000" sheet="1" objects="1" scenarios="1"/>
  <sortState ref="S2:U31">
    <sortCondition descending="1" ref="U2:U31"/>
  </sortState>
  <mergeCells count="113">
    <mergeCell ref="E65:F65"/>
    <mergeCell ref="E57:F57"/>
    <mergeCell ref="E58:F58"/>
    <mergeCell ref="C68:F68"/>
    <mergeCell ref="D69:F71"/>
    <mergeCell ref="E53:F53"/>
    <mergeCell ref="E32:F32"/>
    <mergeCell ref="H75:M75"/>
    <mergeCell ref="H63:M64"/>
    <mergeCell ref="H65:M66"/>
    <mergeCell ref="H67:M68"/>
    <mergeCell ref="H69:M70"/>
    <mergeCell ref="H71:M72"/>
    <mergeCell ref="H73:M74"/>
    <mergeCell ref="E33:F33"/>
    <mergeCell ref="E34:F34"/>
    <mergeCell ref="H59:M60"/>
    <mergeCell ref="H61:M62"/>
    <mergeCell ref="H58:M58"/>
    <mergeCell ref="E48:F48"/>
    <mergeCell ref="E45:F45"/>
    <mergeCell ref="E46:F46"/>
    <mergeCell ref="E47:F47"/>
    <mergeCell ref="E49:F49"/>
    <mergeCell ref="C14:M14"/>
    <mergeCell ref="C16:C17"/>
    <mergeCell ref="H23:M23"/>
    <mergeCell ref="G90:I96"/>
    <mergeCell ref="D16:F17"/>
    <mergeCell ref="D20:E20"/>
    <mergeCell ref="L16:L17"/>
    <mergeCell ref="E25:F25"/>
    <mergeCell ref="E41:F41"/>
    <mergeCell ref="C36:F36"/>
    <mergeCell ref="E39:F39"/>
    <mergeCell ref="E40:F40"/>
    <mergeCell ref="E26:F26"/>
    <mergeCell ref="E27:F27"/>
    <mergeCell ref="E28:F28"/>
    <mergeCell ref="E30:F30"/>
    <mergeCell ref="E31:F31"/>
    <mergeCell ref="C89:D95"/>
    <mergeCell ref="E89:F95"/>
    <mergeCell ref="C51:F51"/>
    <mergeCell ref="C60:F60"/>
    <mergeCell ref="E54:F54"/>
    <mergeCell ref="E55:F55"/>
    <mergeCell ref="E56:F56"/>
    <mergeCell ref="I43:J43"/>
    <mergeCell ref="I28:J28"/>
    <mergeCell ref="I29:J29"/>
    <mergeCell ref="I30:J30"/>
    <mergeCell ref="I31:J31"/>
    <mergeCell ref="I32:J32"/>
    <mergeCell ref="I24:J24"/>
    <mergeCell ref="K24:L24"/>
    <mergeCell ref="I25:J25"/>
    <mergeCell ref="I26:J26"/>
    <mergeCell ref="I27:J27"/>
    <mergeCell ref="I33:J33"/>
    <mergeCell ref="I34:J34"/>
    <mergeCell ref="I35:J35"/>
    <mergeCell ref="I36:J36"/>
    <mergeCell ref="I37:J37"/>
    <mergeCell ref="I38:J38"/>
    <mergeCell ref="I56:J56"/>
    <mergeCell ref="K26:L26"/>
    <mergeCell ref="K27:L27"/>
    <mergeCell ref="K28:L28"/>
    <mergeCell ref="K29:L29"/>
    <mergeCell ref="K30:L30"/>
    <mergeCell ref="K31:L31"/>
    <mergeCell ref="K32:L32"/>
    <mergeCell ref="K33:L33"/>
    <mergeCell ref="K34:L34"/>
    <mergeCell ref="K35:L35"/>
    <mergeCell ref="K36:L36"/>
    <mergeCell ref="K37:L37"/>
    <mergeCell ref="K38:L38"/>
    <mergeCell ref="I49:J49"/>
    <mergeCell ref="I50:J50"/>
    <mergeCell ref="I51:J51"/>
    <mergeCell ref="I52:J52"/>
    <mergeCell ref="I53:J53"/>
    <mergeCell ref="I44:J44"/>
    <mergeCell ref="I45:J45"/>
    <mergeCell ref="I46:J46"/>
    <mergeCell ref="I47:J47"/>
    <mergeCell ref="I48:J48"/>
    <mergeCell ref="K54:L54"/>
    <mergeCell ref="K55:L55"/>
    <mergeCell ref="I16:K17"/>
    <mergeCell ref="K49:L49"/>
    <mergeCell ref="K50:L50"/>
    <mergeCell ref="K51:L51"/>
    <mergeCell ref="K52:L52"/>
    <mergeCell ref="K53:L53"/>
    <mergeCell ref="K44:L44"/>
    <mergeCell ref="K45:L45"/>
    <mergeCell ref="K46:L46"/>
    <mergeCell ref="K47:L47"/>
    <mergeCell ref="K48:L48"/>
    <mergeCell ref="K39:L39"/>
    <mergeCell ref="K40:L40"/>
    <mergeCell ref="K41:L41"/>
    <mergeCell ref="K42:L42"/>
    <mergeCell ref="K43:L43"/>
    <mergeCell ref="I54:J54"/>
    <mergeCell ref="I55:J55"/>
    <mergeCell ref="I39:J39"/>
    <mergeCell ref="I40:J40"/>
    <mergeCell ref="I41:J41"/>
    <mergeCell ref="I42:J42"/>
  </mergeCells>
  <dataValidations count="2">
    <dataValidation type="list" allowBlank="1" showInputMessage="1" showErrorMessage="1" sqref="E49:F49 E57 E65:F65" xr:uid="{00000000-0002-0000-0C00-000000000000}">
      <formula1>$Q$3:$Q$5</formula1>
    </dataValidation>
    <dataValidation type="list" allowBlank="1" showInputMessage="1" showErrorMessage="1" sqref="E58:F58" xr:uid="{00000000-0002-0000-0C00-000001000000}">
      <formula1>$Q$3:$Q$4</formula1>
    </dataValidation>
  </dataValidations>
  <hyperlinks>
    <hyperlink ref="F12" r:id="rId1" display="jvanschalwyk@jjt.co.za" xr:uid="{00000000-0004-0000-0C00-000000000000}"/>
  </hyperlinks>
  <printOptions horizontalCentered="1" verticalCentered="1"/>
  <pageMargins left="0" right="0" top="0" bottom="0" header="0" footer="0"/>
  <pageSetup paperSize="9" scale="57" fitToHeight="2" orientation="portrait" verticalDpi="4"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'ServiceCare Form'!$U$3:$U$4</xm:f>
          </x14:formula1>
          <xm:sqref>E41:F41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A1:BM111"/>
  <sheetViews>
    <sheetView topLeftCell="A25" zoomScaleNormal="100" workbookViewId="0">
      <selection activeCell="D35" sqref="D35"/>
    </sheetView>
  </sheetViews>
  <sheetFormatPr defaultColWidth="8.83984375" defaultRowHeight="12.3"/>
  <cols>
    <col min="1" max="1" width="4.68359375" style="278" customWidth="1"/>
    <col min="2" max="2" width="8.15625" style="278" customWidth="1"/>
    <col min="3" max="3" width="24.26171875" style="278" customWidth="1"/>
    <col min="4" max="4" width="8.68359375" style="278" customWidth="1"/>
    <col min="5" max="5" width="14.68359375" style="278" customWidth="1"/>
    <col min="6" max="6" width="7.578125" style="278" customWidth="1"/>
    <col min="7" max="7" width="18.41796875" style="278" customWidth="1"/>
    <col min="8" max="8" width="12" style="278" customWidth="1"/>
    <col min="9" max="9" width="10.578125" style="278" customWidth="1"/>
    <col min="10" max="10" width="14" style="278" customWidth="1"/>
    <col min="11" max="11" width="8.15625" style="278" customWidth="1"/>
    <col min="12" max="12" width="24.83984375" style="278" customWidth="1"/>
    <col min="13" max="13" width="9.578125" style="278" customWidth="1"/>
    <col min="14" max="14" width="8.15625" style="325" customWidth="1"/>
    <col min="15" max="15" width="14.578125" style="735" bestFit="1" customWidth="1"/>
    <col min="16" max="16" width="7.68359375" style="325" customWidth="1"/>
    <col min="17" max="17" width="10.15625" style="325" customWidth="1"/>
    <col min="18" max="18" width="8.83984375" style="325"/>
    <col min="19" max="19" width="8.83984375" style="492"/>
    <col min="20" max="21" width="9.578125" style="492" customWidth="1"/>
    <col min="22" max="57" width="8.83984375" style="325"/>
    <col min="58" max="63" width="8.83984375" style="278"/>
    <col min="64" max="65" width="8.83984375" style="325"/>
    <col min="66" max="16384" width="8.83984375" style="278"/>
  </cols>
  <sheetData>
    <row r="1" spans="1:17">
      <c r="A1" s="268"/>
      <c r="B1" s="268"/>
      <c r="C1" s="268"/>
      <c r="D1" s="268"/>
      <c r="E1" s="268"/>
      <c r="F1" s="268"/>
      <c r="G1" s="268"/>
      <c r="H1" s="268"/>
      <c r="I1" s="268"/>
      <c r="J1" s="268"/>
      <c r="K1" s="268"/>
      <c r="L1" s="268"/>
      <c r="M1" s="268"/>
      <c r="N1" s="735"/>
    </row>
    <row r="2" spans="1:17">
      <c r="A2" s="268"/>
      <c r="B2" s="268"/>
      <c r="C2" s="268"/>
      <c r="D2" s="268"/>
      <c r="E2" s="268"/>
      <c r="F2" s="268"/>
      <c r="G2" s="268"/>
      <c r="H2" s="268"/>
      <c r="I2" s="268"/>
      <c r="J2" s="268"/>
      <c r="K2" s="268"/>
      <c r="L2" s="268"/>
      <c r="M2" s="268"/>
      <c r="N2" s="735"/>
    </row>
    <row r="3" spans="1:17" ht="16.5">
      <c r="A3" s="268"/>
      <c r="B3" s="629" t="s">
        <v>567</v>
      </c>
      <c r="D3" s="268"/>
      <c r="E3" s="268"/>
      <c r="F3" s="268"/>
      <c r="G3" s="268"/>
      <c r="H3" s="268"/>
      <c r="I3" s="268"/>
      <c r="J3" s="294" t="s">
        <v>565</v>
      </c>
      <c r="M3" s="628"/>
      <c r="N3" s="735"/>
    </row>
    <row r="4" spans="1:17">
      <c r="A4" s="268"/>
      <c r="B4" s="268"/>
      <c r="D4" s="268"/>
      <c r="E4" s="268"/>
      <c r="F4" s="268"/>
      <c r="G4" s="268"/>
      <c r="H4" s="268"/>
      <c r="I4" s="268"/>
      <c r="J4" s="628" t="s">
        <v>566</v>
      </c>
      <c r="M4" s="628"/>
      <c r="N4" s="735"/>
    </row>
    <row r="5" spans="1:17">
      <c r="A5" s="268"/>
      <c r="B5" s="629" t="str">
        <f>IF('Data Sheet'!D23&lt;&gt;"",'Data Sheet'!D23,"")</f>
        <v>Jan Van Schalwyk</v>
      </c>
      <c r="D5" s="630"/>
      <c r="E5" s="630"/>
      <c r="F5" s="630"/>
      <c r="G5" s="268"/>
      <c r="H5" s="268"/>
      <c r="I5" s="268"/>
      <c r="J5" s="628" t="s">
        <v>568</v>
      </c>
      <c r="M5" s="628"/>
      <c r="N5" s="735"/>
    </row>
    <row r="6" spans="1:17">
      <c r="A6" s="268"/>
      <c r="B6" s="629" t="str">
        <f>IF('Data Sheet'!D24&lt;&gt;"",'Data Sheet'!D24,"")</f>
        <v>ABCD Transport</v>
      </c>
      <c r="D6" s="268"/>
      <c r="E6" s="268"/>
      <c r="F6" s="268"/>
      <c r="G6" s="268"/>
      <c r="H6" s="268"/>
      <c r="I6" s="268"/>
      <c r="J6" s="628" t="s">
        <v>569</v>
      </c>
      <c r="M6" s="628"/>
      <c r="N6" s="735"/>
    </row>
    <row r="7" spans="1:17">
      <c r="A7" s="268"/>
      <c r="B7" s="628" t="str">
        <f>IF('Data Sheet'!D25&lt;&gt;"",'Data Sheet'!D25,"")</f>
        <v>Unit D7 Waterford Court</v>
      </c>
      <c r="D7" s="268"/>
      <c r="E7" s="268"/>
      <c r="F7" s="268"/>
      <c r="G7" s="268"/>
      <c r="H7" s="268"/>
      <c r="I7" s="268"/>
      <c r="J7" s="628" t="s">
        <v>570</v>
      </c>
      <c r="M7" s="628"/>
      <c r="N7" s="735"/>
    </row>
    <row r="8" spans="1:17">
      <c r="A8" s="268"/>
      <c r="B8" s="628" t="str">
        <f>IF('Data Sheet'!D26&lt;&gt;"",'Data Sheet'!D26,"")</f>
        <v>C/o Rabie &amp; Glover Street</v>
      </c>
      <c r="D8" s="268"/>
      <c r="E8" s="268"/>
      <c r="F8" s="268"/>
      <c r="G8" s="268"/>
      <c r="H8" s="268"/>
      <c r="I8" s="268"/>
      <c r="J8" s="628" t="s">
        <v>571</v>
      </c>
      <c r="M8" s="628"/>
      <c r="N8" s="735"/>
    </row>
    <row r="9" spans="1:17" ht="12.6">
      <c r="A9" s="268"/>
      <c r="B9" s="628" t="str">
        <f>IF('Data Sheet'!D27&lt;&gt;"",'Data Sheet'!D27,"")</f>
        <v>Lyttelton</v>
      </c>
      <c r="D9" s="286" t="s">
        <v>596</v>
      </c>
      <c r="E9" s="287" t="str">
        <f>IF('Data Sheet'!D32&lt;&gt;"","("&amp;LEFT('Data Sheet'!AM32,3)&amp;")"&amp;" "&amp;MID('Data Sheet'!AM32,4,3)&amp;" "&amp;RIGHT('Data Sheet'!AM32,4),"")</f>
        <v>(012) 003 1234</v>
      </c>
      <c r="H9" s="286"/>
      <c r="I9" s="265"/>
      <c r="J9" s="628" t="s">
        <v>572</v>
      </c>
      <c r="M9" s="628"/>
      <c r="N9" s="735"/>
    </row>
    <row r="10" spans="1:17" ht="12.6">
      <c r="A10" s="268"/>
      <c r="B10" s="628" t="str">
        <f>IF('Data Sheet'!D28&lt;&gt;"",'Data Sheet'!D28,"")</f>
        <v>Centurion</v>
      </c>
      <c r="D10" s="286" t="s">
        <v>573</v>
      </c>
      <c r="E10" s="268" t="str">
        <f>IF('Data Sheet'!D33&lt;&gt;"","("&amp;LEFT('Data Sheet'!AM33,3)&amp;")"&amp;" "&amp;MID('Data Sheet'!AM33,4,3)&amp;" "&amp;RIGHT('Data Sheet'!AM33,4),"")</f>
        <v>(073) 123 4567</v>
      </c>
      <c r="H10" s="286"/>
      <c r="I10" s="271"/>
      <c r="J10" s="628">
        <v>1609</v>
      </c>
      <c r="M10" s="628"/>
      <c r="N10" s="735"/>
    </row>
    <row r="11" spans="1:17" ht="12.6">
      <c r="A11" s="268"/>
      <c r="B11" s="268" t="str">
        <f>IF('Data Sheet'!D29&lt;&gt;"",'Data Sheet'!D29,"")</f>
        <v/>
      </c>
      <c r="D11" s="286" t="s">
        <v>574</v>
      </c>
      <c r="E11" s="268" t="str">
        <f>IF('Data Sheet'!D34&lt;&gt;"","("&amp;LEFT('Data Sheet'!AM34,3)&amp;")"&amp;" "&amp;MID('Data Sheet'!AM34,4,3)&amp;" "&amp;RIGHT('Data Sheet'!AM34,4),"")</f>
        <v>(086) 669 2700</v>
      </c>
      <c r="G11" s="268"/>
      <c r="H11" s="268"/>
      <c r="I11" s="268"/>
      <c r="J11" s="628" t="s">
        <v>575</v>
      </c>
      <c r="M11" s="628"/>
      <c r="N11" s="735"/>
    </row>
    <row r="12" spans="1:17" ht="12.6">
      <c r="A12" s="268"/>
      <c r="B12" s="299" t="str">
        <f>'Data Sheet'!$D$30&amp;""</f>
        <v>0157</v>
      </c>
      <c r="D12" s="286" t="s">
        <v>576</v>
      </c>
      <c r="E12" s="300" t="str">
        <f>'Data Sheet'!D35</f>
        <v>jvanschalwyk@jjt.co.za</v>
      </c>
      <c r="G12" s="268"/>
      <c r="H12" s="268"/>
      <c r="I12" s="268"/>
      <c r="J12" s="628" t="s">
        <v>577</v>
      </c>
      <c r="M12" s="628"/>
      <c r="N12" s="735"/>
    </row>
    <row r="13" spans="1:17" ht="12.6" thickBot="1">
      <c r="A13" s="268"/>
      <c r="B13" s="268"/>
      <c r="C13" s="268"/>
      <c r="D13" s="268"/>
      <c r="E13" s="268"/>
      <c r="F13" s="268"/>
      <c r="G13" s="268"/>
      <c r="H13" s="268"/>
      <c r="I13" s="268"/>
      <c r="J13" s="268"/>
      <c r="M13" s="268"/>
      <c r="N13" s="735"/>
      <c r="Q13" s="325">
        <v>2017</v>
      </c>
    </row>
    <row r="14" spans="1:17" ht="22.8" thickBot="1">
      <c r="A14" s="268"/>
      <c r="B14" s="1350" t="s">
        <v>1073</v>
      </c>
      <c r="C14" s="1351"/>
      <c r="D14" s="1351"/>
      <c r="E14" s="1351"/>
      <c r="F14" s="1351"/>
      <c r="G14" s="1351"/>
      <c r="H14" s="1351"/>
      <c r="I14" s="1351"/>
      <c r="J14" s="1351"/>
      <c r="K14" s="1351"/>
      <c r="L14" s="1351"/>
      <c r="M14" s="1352"/>
      <c r="N14" s="735"/>
      <c r="P14" s="696"/>
      <c r="Q14" s="325">
        <v>2018</v>
      </c>
    </row>
    <row r="15" spans="1:17" ht="12.6" thickBot="1">
      <c r="A15" s="268"/>
      <c r="B15" s="268"/>
      <c r="C15" s="268"/>
      <c r="D15" s="268"/>
      <c r="E15" s="268"/>
      <c r="F15" s="268"/>
      <c r="G15" s="268"/>
      <c r="H15" s="268"/>
      <c r="I15" s="268"/>
      <c r="J15" s="268"/>
      <c r="K15" s="268"/>
      <c r="L15" s="268"/>
      <c r="M15" s="268"/>
      <c r="N15" s="735"/>
      <c r="Q15" s="325">
        <v>2019</v>
      </c>
    </row>
    <row r="16" spans="1:17" ht="15" customHeight="1" thickBot="1">
      <c r="A16" s="268"/>
      <c r="B16" s="303" t="s">
        <v>1081</v>
      </c>
      <c r="C16" s="266"/>
      <c r="D16" s="266"/>
      <c r="E16" s="266"/>
      <c r="F16" s="266"/>
      <c r="G16" s="644"/>
      <c r="H16" s="266"/>
      <c r="I16" s="266"/>
      <c r="J16" s="266"/>
      <c r="K16" s="266"/>
      <c r="L16" s="266"/>
      <c r="M16" s="267"/>
      <c r="N16" s="735"/>
      <c r="P16" s="697"/>
      <c r="Q16" s="325">
        <v>2020</v>
      </c>
    </row>
    <row r="17" spans="1:65" ht="15" customHeight="1">
      <c r="A17" s="268"/>
      <c r="B17" s="1640" t="s">
        <v>1079</v>
      </c>
      <c r="C17" s="1641"/>
      <c r="D17" s="1644" t="s">
        <v>565</v>
      </c>
      <c r="E17" s="1644"/>
      <c r="F17" s="1644"/>
      <c r="G17" s="1644"/>
      <c r="H17" s="268"/>
      <c r="I17" s="279" t="s">
        <v>1077</v>
      </c>
      <c r="J17" s="1678"/>
      <c r="K17" s="1678"/>
      <c r="L17" s="1678"/>
      <c r="M17" s="1679"/>
      <c r="N17" s="735"/>
      <c r="P17" s="697"/>
    </row>
    <row r="18" spans="1:65" ht="15" customHeight="1">
      <c r="A18" s="268"/>
      <c r="B18" s="1642" t="s">
        <v>313</v>
      </c>
      <c r="C18" s="1643"/>
      <c r="D18" s="1645" t="str">
        <f>'Deal Sheet'!C5</f>
        <v>MAN Bloemfontein</v>
      </c>
      <c r="E18" s="1645"/>
      <c r="F18" s="1645"/>
      <c r="G18" s="1645"/>
      <c r="H18" s="268"/>
      <c r="I18" s="279" t="s">
        <v>1078</v>
      </c>
      <c r="J18" s="1681" t="str">
        <f>'Deal Sheet'!C3</f>
        <v>ABCD Transport</v>
      </c>
      <c r="K18" s="1681"/>
      <c r="L18" s="1681"/>
      <c r="M18" s="1682"/>
      <c r="N18" s="735"/>
      <c r="P18" s="567"/>
    </row>
    <row r="19" spans="1:65" s="280" customFormat="1" ht="15" customHeight="1">
      <c r="A19" s="607"/>
      <c r="B19" s="289"/>
      <c r="C19" s="607"/>
      <c r="D19" s="607"/>
      <c r="E19" s="607"/>
      <c r="F19" s="607"/>
      <c r="G19" s="607"/>
      <c r="H19" s="268"/>
      <c r="I19" s="268"/>
      <c r="J19" s="268"/>
      <c r="K19" s="268"/>
      <c r="L19" s="268"/>
      <c r="M19" s="269"/>
      <c r="N19" s="736"/>
      <c r="O19" s="736"/>
      <c r="P19" s="567"/>
      <c r="Q19" s="567"/>
      <c r="R19" s="567"/>
      <c r="S19" s="492"/>
      <c r="T19" s="492"/>
      <c r="U19" s="492"/>
      <c r="V19" s="567"/>
      <c r="W19" s="567"/>
      <c r="X19" s="567"/>
      <c r="Y19" s="567"/>
      <c r="Z19" s="567"/>
      <c r="AA19" s="567"/>
      <c r="AB19" s="567"/>
      <c r="AC19" s="567"/>
      <c r="AD19" s="567"/>
      <c r="AE19" s="567"/>
      <c r="AF19" s="567"/>
      <c r="AG19" s="567"/>
      <c r="AH19" s="567"/>
      <c r="AI19" s="567"/>
      <c r="AJ19" s="567"/>
      <c r="AK19" s="567"/>
      <c r="AL19" s="567"/>
      <c r="AM19" s="567"/>
      <c r="AN19" s="567"/>
      <c r="AO19" s="567"/>
      <c r="AP19" s="567"/>
      <c r="AQ19" s="567"/>
      <c r="AR19" s="567"/>
      <c r="AS19" s="567"/>
      <c r="AT19" s="567"/>
      <c r="AU19" s="567"/>
      <c r="AV19" s="567"/>
      <c r="AW19" s="567"/>
      <c r="AX19" s="567"/>
      <c r="AY19" s="567"/>
      <c r="AZ19" s="567"/>
      <c r="BA19" s="567"/>
      <c r="BB19" s="567"/>
      <c r="BC19" s="567"/>
      <c r="BD19" s="567"/>
      <c r="BE19" s="567"/>
      <c r="BL19" s="567"/>
      <c r="BM19" s="567"/>
    </row>
    <row r="20" spans="1:65" s="280" customFormat="1" ht="15" customHeight="1">
      <c r="A20" s="607"/>
      <c r="B20" s="289"/>
      <c r="C20" s="667" t="s">
        <v>1074</v>
      </c>
      <c r="D20" s="1680"/>
      <c r="E20" s="1680"/>
      <c r="F20" s="1680"/>
      <c r="G20" s="607"/>
      <c r="H20" s="607"/>
      <c r="I20" s="607"/>
      <c r="J20" s="607"/>
      <c r="K20" s="607"/>
      <c r="L20" s="607"/>
      <c r="M20" s="290"/>
      <c r="N20" s="736"/>
      <c r="O20" s="736"/>
      <c r="P20" s="567"/>
      <c r="Q20" s="567"/>
      <c r="R20" s="567"/>
      <c r="S20" s="492"/>
      <c r="T20" s="492"/>
      <c r="U20" s="492"/>
      <c r="V20" s="567"/>
      <c r="W20" s="567"/>
      <c r="X20" s="567"/>
      <c r="Y20" s="567"/>
      <c r="Z20" s="567"/>
      <c r="AA20" s="567"/>
      <c r="AB20" s="567"/>
      <c r="AC20" s="567"/>
      <c r="AD20" s="567"/>
      <c r="AE20" s="567"/>
      <c r="AF20" s="567"/>
      <c r="AG20" s="567"/>
      <c r="AH20" s="567"/>
      <c r="AI20" s="567"/>
      <c r="AJ20" s="567"/>
      <c r="AK20" s="567"/>
      <c r="AL20" s="567"/>
      <c r="AM20" s="567"/>
      <c r="AN20" s="567"/>
      <c r="AO20" s="567"/>
      <c r="AP20" s="567"/>
      <c r="AQ20" s="567"/>
      <c r="AR20" s="567"/>
      <c r="AS20" s="567"/>
      <c r="AT20" s="567"/>
      <c r="AU20" s="567"/>
      <c r="AV20" s="567"/>
      <c r="AW20" s="567"/>
      <c r="AX20" s="567"/>
      <c r="AY20" s="567"/>
      <c r="AZ20" s="567"/>
      <c r="BA20" s="567"/>
      <c r="BB20" s="567"/>
      <c r="BC20" s="567"/>
      <c r="BD20" s="567"/>
      <c r="BE20" s="567"/>
      <c r="BL20" s="567"/>
      <c r="BM20" s="567"/>
    </row>
    <row r="21" spans="1:65" s="280" customFormat="1" ht="15" customHeight="1" thickBot="1">
      <c r="A21" s="607"/>
      <c r="B21" s="289"/>
      <c r="C21" s="607"/>
      <c r="D21" s="607"/>
      <c r="E21" s="607"/>
      <c r="F21" s="607"/>
      <c r="G21" s="665"/>
      <c r="H21" s="607"/>
      <c r="I21" s="607"/>
      <c r="J21" s="607"/>
      <c r="K21" s="607"/>
      <c r="L21" s="607"/>
      <c r="M21" s="290"/>
      <c r="N21" s="736"/>
      <c r="O21" s="736"/>
      <c r="P21" s="567"/>
      <c r="Q21" s="567"/>
      <c r="R21" s="567"/>
      <c r="S21" s="492"/>
      <c r="T21" s="492"/>
      <c r="U21" s="492"/>
      <c r="V21" s="567"/>
      <c r="W21" s="567"/>
      <c r="X21" s="567"/>
      <c r="Y21" s="567"/>
      <c r="Z21" s="567"/>
      <c r="AA21" s="567"/>
      <c r="AB21" s="567"/>
      <c r="AC21" s="567"/>
      <c r="AD21" s="567"/>
      <c r="AE21" s="567"/>
      <c r="AF21" s="567"/>
      <c r="AG21" s="567"/>
      <c r="AH21" s="567"/>
      <c r="AI21" s="567"/>
      <c r="AJ21" s="567"/>
      <c r="AK21" s="567"/>
      <c r="AL21" s="567"/>
      <c r="AM21" s="567"/>
      <c r="AN21" s="567"/>
      <c r="AO21" s="567"/>
      <c r="AP21" s="567"/>
      <c r="AQ21" s="567"/>
      <c r="AR21" s="567"/>
      <c r="AS21" s="567"/>
      <c r="AT21" s="567"/>
      <c r="AU21" s="567"/>
      <c r="AV21" s="567"/>
      <c r="AW21" s="567"/>
      <c r="AX21" s="567"/>
      <c r="AY21" s="567"/>
      <c r="AZ21" s="567"/>
      <c r="BA21" s="567"/>
      <c r="BB21" s="567"/>
      <c r="BC21" s="567"/>
      <c r="BD21" s="567"/>
      <c r="BE21" s="567"/>
      <c r="BL21" s="567"/>
      <c r="BM21" s="567"/>
    </row>
    <row r="22" spans="1:65" ht="12.6" thickBot="1">
      <c r="A22" s="268"/>
      <c r="B22" s="272"/>
      <c r="C22" s="275"/>
      <c r="D22" s="275"/>
      <c r="E22" s="275"/>
      <c r="F22" s="275"/>
      <c r="G22" s="275"/>
      <c r="H22" s="275"/>
      <c r="I22" s="275"/>
      <c r="J22" s="275"/>
      <c r="K22" s="275"/>
      <c r="L22" s="275"/>
      <c r="M22" s="666"/>
      <c r="N22" s="735"/>
    </row>
    <row r="23" spans="1:65" ht="12.6" thickBot="1">
      <c r="A23" s="268"/>
      <c r="B23" s="268"/>
      <c r="N23" s="737"/>
    </row>
    <row r="24" spans="1:65" ht="14.5" customHeight="1">
      <c r="A24" s="268"/>
      <c r="B24" s="303" t="s">
        <v>579</v>
      </c>
      <c r="C24" s="266"/>
      <c r="D24" s="266"/>
      <c r="E24" s="266"/>
      <c r="F24" s="266"/>
      <c r="G24" s="266"/>
      <c r="H24" s="266"/>
      <c r="I24" s="266"/>
      <c r="J24" s="266"/>
      <c r="K24" s="266"/>
      <c r="L24" s="266"/>
      <c r="M24" s="267"/>
      <c r="N24" s="735"/>
      <c r="P24" s="698"/>
    </row>
    <row r="25" spans="1:65" s="673" customFormat="1" ht="19.899999999999999" customHeight="1">
      <c r="A25" s="15"/>
      <c r="B25" s="1685" t="s">
        <v>1156</v>
      </c>
      <c r="C25" s="692" t="s">
        <v>999</v>
      </c>
      <c r="D25" s="1353" t="str">
        <f>'Deal Sheet'!M12</f>
        <v>TGX-26-5406X4BLS-XLX</v>
      </c>
      <c r="E25" s="1353"/>
      <c r="F25" s="15"/>
      <c r="G25" s="693" t="s">
        <v>660</v>
      </c>
      <c r="H25" s="732" t="str">
        <f>IF('Deal Sheet'!$G$61&lt;&gt;"",'Deal Sheet'!$G$61,"Not Specified")</f>
        <v>Longhaul</v>
      </c>
      <c r="I25" s="694"/>
      <c r="J25" s="692" t="s">
        <v>1080</v>
      </c>
      <c r="K25" s="1672" t="str">
        <f>'Deal Sheet'!M9</f>
        <v>Standard Warranty</v>
      </c>
      <c r="L25" s="1672"/>
      <c r="M25" s="1672"/>
      <c r="N25" s="19"/>
      <c r="O25" s="19"/>
      <c r="P25" s="695"/>
      <c r="Q25" s="695"/>
      <c r="R25" s="695"/>
      <c r="S25" s="492"/>
      <c r="T25" s="492"/>
      <c r="U25" s="492"/>
      <c r="V25" s="695"/>
      <c r="W25" s="695"/>
      <c r="X25" s="695"/>
      <c r="Y25" s="695"/>
      <c r="Z25" s="695"/>
      <c r="AA25" s="695"/>
      <c r="AB25" s="695"/>
      <c r="AC25" s="695"/>
      <c r="AD25" s="695"/>
      <c r="AE25" s="695"/>
      <c r="AF25" s="695"/>
      <c r="AG25" s="695"/>
      <c r="AH25" s="695"/>
      <c r="AI25" s="695"/>
      <c r="AJ25" s="695"/>
      <c r="AK25" s="695"/>
      <c r="AL25" s="695"/>
      <c r="AM25" s="695"/>
      <c r="AN25" s="695"/>
      <c r="AO25" s="695"/>
      <c r="AP25" s="695"/>
      <c r="AQ25" s="695"/>
      <c r="AR25" s="695"/>
      <c r="AS25" s="695"/>
      <c r="AT25" s="695"/>
      <c r="AU25" s="695"/>
      <c r="AV25" s="695"/>
      <c r="AW25" s="695"/>
      <c r="AX25" s="695"/>
      <c r="AY25" s="695"/>
      <c r="AZ25" s="695"/>
      <c r="BA25" s="695"/>
      <c r="BB25" s="695"/>
      <c r="BC25" s="695"/>
      <c r="BD25" s="695"/>
      <c r="BE25" s="695"/>
      <c r="BL25" s="695"/>
      <c r="BM25" s="695"/>
    </row>
    <row r="26" spans="1:65" ht="18" customHeight="1">
      <c r="A26" s="268"/>
      <c r="B26" s="1685"/>
      <c r="C26" s="268"/>
      <c r="D26" s="268"/>
      <c r="E26" s="268"/>
      <c r="F26" s="268"/>
      <c r="G26" s="268"/>
      <c r="H26" s="268"/>
      <c r="I26" s="268"/>
      <c r="J26" s="268"/>
      <c r="K26" s="268"/>
      <c r="L26" s="1646"/>
      <c r="M26" s="1647"/>
      <c r="N26" s="738"/>
      <c r="R26" s="699"/>
    </row>
    <row r="27" spans="1:65" ht="15" customHeight="1">
      <c r="A27" s="268"/>
      <c r="B27" s="1137">
        <v>1</v>
      </c>
      <c r="C27" s="693" t="s">
        <v>1075</v>
      </c>
      <c r="D27" s="1010" t="str">
        <f>VLOOKUP(VLOOKUP(B27,'Warranty Registration'!$S$26:$U$55,3,FALSE),'Warranty Registration'!H26:L55,2,FALSE)</f>
        <v>AAM30X3423PX4353</v>
      </c>
      <c r="E27" s="759"/>
      <c r="F27" s="268"/>
      <c r="G27" s="693" t="s">
        <v>1076</v>
      </c>
      <c r="H27" s="1010" t="str">
        <f>VLOOKUP(VLOOKUP(B27,'Warranty Registration'!$S$26:$U$55,3,FALSE),'Warranty Registration'!H26:L55,4,FALSE)</f>
        <v>DE32X546</v>
      </c>
      <c r="I27" s="759"/>
      <c r="J27" s="759"/>
      <c r="K27" s="733"/>
      <c r="L27" s="692" t="s">
        <v>1082</v>
      </c>
      <c r="M27" s="714"/>
      <c r="N27" s="735"/>
      <c r="R27" s="699"/>
    </row>
    <row r="28" spans="1:65" ht="15" customHeight="1" thickBot="1">
      <c r="A28" s="268"/>
      <c r="B28" s="272"/>
      <c r="C28" s="275"/>
      <c r="D28" s="275"/>
      <c r="E28" s="622"/>
      <c r="F28" s="622"/>
      <c r="G28" s="275"/>
      <c r="H28" s="731"/>
      <c r="I28" s="669"/>
      <c r="J28" s="669"/>
      <c r="K28" s="669"/>
      <c r="L28" s="1683" t="s">
        <v>1061</v>
      </c>
      <c r="M28" s="1684"/>
      <c r="N28" s="735"/>
      <c r="R28" s="699"/>
    </row>
    <row r="29" spans="1:65">
      <c r="A29" s="268"/>
      <c r="B29" s="268"/>
      <c r="C29" s="268"/>
      <c r="D29" s="268"/>
      <c r="E29" s="661"/>
      <c r="F29" s="268"/>
      <c r="G29" s="268"/>
      <c r="H29" s="646"/>
      <c r="I29" s="664"/>
      <c r="J29" s="664"/>
      <c r="K29" s="664"/>
      <c r="L29" s="664"/>
      <c r="M29" s="664"/>
      <c r="N29" s="735"/>
      <c r="R29" s="699"/>
    </row>
    <row r="30" spans="1:65" ht="12.6">
      <c r="A30" s="268"/>
      <c r="B30" s="680" t="s">
        <v>1124</v>
      </c>
      <c r="C30" s="680"/>
      <c r="D30" s="680"/>
      <c r="E30" s="680"/>
      <c r="F30" s="680"/>
      <c r="G30" s="680"/>
      <c r="H30" s="681"/>
      <c r="I30" s="682"/>
      <c r="J30" s="682"/>
      <c r="K30" s="682"/>
      <c r="L30" s="682"/>
      <c r="M30" s="682"/>
      <c r="N30" s="735"/>
      <c r="R30" s="699"/>
    </row>
    <row r="31" spans="1:65">
      <c r="A31" s="268"/>
      <c r="B31" s="268"/>
      <c r="C31" s="268"/>
      <c r="D31" s="268"/>
      <c r="E31" s="662"/>
      <c r="F31" s="663"/>
      <c r="G31" s="268"/>
      <c r="H31" s="646"/>
      <c r="I31" s="664"/>
      <c r="J31" s="664"/>
      <c r="K31" s="664"/>
      <c r="L31" s="664"/>
      <c r="M31" s="664"/>
      <c r="N31" s="735"/>
      <c r="R31" s="699"/>
    </row>
    <row r="32" spans="1:65" ht="18.3">
      <c r="B32" s="671" t="s">
        <v>1085</v>
      </c>
      <c r="C32" s="670" t="s">
        <v>1083</v>
      </c>
      <c r="D32" s="670" t="s">
        <v>1087</v>
      </c>
      <c r="E32" s="662"/>
      <c r="F32" s="671" t="s">
        <v>1085</v>
      </c>
      <c r="G32" s="1676" t="s">
        <v>1083</v>
      </c>
      <c r="H32" s="1677"/>
      <c r="I32" s="670" t="s">
        <v>1084</v>
      </c>
      <c r="J32" s="664"/>
      <c r="K32" s="671" t="s">
        <v>1085</v>
      </c>
      <c r="L32" s="671" t="s">
        <v>1083</v>
      </c>
      <c r="M32" s="670" t="s">
        <v>1084</v>
      </c>
      <c r="N32" s="735"/>
      <c r="R32" s="699"/>
    </row>
    <row r="33" spans="2:65" s="601" customFormat="1" ht="30" customHeight="1">
      <c r="B33" s="672">
        <v>1</v>
      </c>
      <c r="C33" s="672" t="s">
        <v>1086</v>
      </c>
      <c r="D33" s="672"/>
      <c r="E33" s="674"/>
      <c r="F33" s="671">
        <v>16</v>
      </c>
      <c r="G33" s="1676" t="s">
        <v>1102</v>
      </c>
      <c r="H33" s="1677"/>
      <c r="I33" s="671"/>
      <c r="J33" s="664"/>
      <c r="K33" s="671">
        <v>31</v>
      </c>
      <c r="L33" s="671" t="s">
        <v>1115</v>
      </c>
      <c r="M33" s="671"/>
      <c r="N33" s="730"/>
      <c r="O33" s="730"/>
      <c r="P33" s="492"/>
      <c r="Q33" s="492"/>
      <c r="R33" s="739"/>
      <c r="S33" s="492"/>
      <c r="T33" s="492"/>
      <c r="U33" s="492"/>
      <c r="V33" s="492"/>
      <c r="W33" s="492"/>
      <c r="X33" s="492"/>
      <c r="Y33" s="492"/>
      <c r="Z33" s="492"/>
      <c r="AA33" s="492"/>
      <c r="AB33" s="492"/>
      <c r="AC33" s="492"/>
      <c r="AD33" s="492"/>
      <c r="AE33" s="492"/>
      <c r="AF33" s="492"/>
      <c r="AG33" s="492"/>
      <c r="AH33" s="492"/>
      <c r="AI33" s="492"/>
      <c r="AJ33" s="492"/>
      <c r="AK33" s="492"/>
      <c r="AL33" s="492"/>
      <c r="AM33" s="492"/>
      <c r="AN33" s="492"/>
      <c r="AO33" s="492"/>
      <c r="AP33" s="492"/>
      <c r="AQ33" s="492"/>
      <c r="AR33" s="492"/>
      <c r="AS33" s="492"/>
      <c r="AT33" s="492"/>
      <c r="AU33" s="492"/>
      <c r="AV33" s="492"/>
      <c r="AW33" s="492"/>
      <c r="AX33" s="492"/>
      <c r="AY33" s="492"/>
      <c r="AZ33" s="492"/>
      <c r="BA33" s="492"/>
      <c r="BB33" s="492"/>
      <c r="BC33" s="492"/>
      <c r="BD33" s="492"/>
      <c r="BE33" s="492"/>
      <c r="BL33" s="492"/>
      <c r="BM33" s="492"/>
    </row>
    <row r="34" spans="2:65" s="601" customFormat="1" ht="30" customHeight="1">
      <c r="B34" s="672">
        <v>2</v>
      </c>
      <c r="C34" s="672" t="s">
        <v>1088</v>
      </c>
      <c r="D34" s="672"/>
      <c r="E34" s="341"/>
      <c r="F34" s="671">
        <v>17</v>
      </c>
      <c r="G34" s="1676" t="s">
        <v>1103</v>
      </c>
      <c r="H34" s="1677"/>
      <c r="I34" s="671"/>
      <c r="J34" s="664"/>
      <c r="K34" s="671">
        <v>32</v>
      </c>
      <c r="L34" s="671" t="s">
        <v>1116</v>
      </c>
      <c r="M34" s="671"/>
      <c r="N34" s="730"/>
      <c r="O34" s="730"/>
      <c r="P34" s="492"/>
      <c r="Q34" s="492"/>
      <c r="R34" s="739"/>
      <c r="S34" s="492"/>
      <c r="T34" s="492"/>
      <c r="U34" s="492"/>
      <c r="V34" s="492"/>
      <c r="W34" s="492"/>
      <c r="X34" s="492"/>
      <c r="Y34" s="492"/>
      <c r="Z34" s="492"/>
      <c r="AA34" s="492"/>
      <c r="AB34" s="492"/>
      <c r="AC34" s="492"/>
      <c r="AD34" s="492"/>
      <c r="AE34" s="492"/>
      <c r="AF34" s="492"/>
      <c r="AG34" s="492"/>
      <c r="AH34" s="492"/>
      <c r="AI34" s="492"/>
      <c r="AJ34" s="492"/>
      <c r="AK34" s="492"/>
      <c r="AL34" s="492"/>
      <c r="AM34" s="492"/>
      <c r="AN34" s="492"/>
      <c r="AO34" s="492"/>
      <c r="AP34" s="492"/>
      <c r="AQ34" s="492"/>
      <c r="AR34" s="492"/>
      <c r="AS34" s="492"/>
      <c r="AT34" s="492"/>
      <c r="AU34" s="492"/>
      <c r="AV34" s="492"/>
      <c r="AW34" s="492"/>
      <c r="AX34" s="492"/>
      <c r="AY34" s="492"/>
      <c r="AZ34" s="492"/>
      <c r="BA34" s="492"/>
      <c r="BB34" s="492"/>
      <c r="BC34" s="492"/>
      <c r="BD34" s="492"/>
      <c r="BE34" s="492"/>
      <c r="BL34" s="492"/>
      <c r="BM34" s="492"/>
    </row>
    <row r="35" spans="2:65" s="601" customFormat="1" ht="30" customHeight="1">
      <c r="B35" s="672">
        <v>3</v>
      </c>
      <c r="C35" s="672" t="s">
        <v>1090</v>
      </c>
      <c r="D35" s="672"/>
      <c r="E35" s="341"/>
      <c r="F35" s="671">
        <v>18</v>
      </c>
      <c r="G35" s="1676" t="s">
        <v>1104</v>
      </c>
      <c r="H35" s="1677"/>
      <c r="I35" s="671"/>
      <c r="J35" s="664"/>
      <c r="K35" s="671">
        <v>33</v>
      </c>
      <c r="L35" s="671" t="s">
        <v>294</v>
      </c>
      <c r="M35" s="671"/>
      <c r="N35" s="730"/>
      <c r="O35" s="730"/>
      <c r="P35" s="492"/>
      <c r="Q35" s="492"/>
      <c r="R35" s="739"/>
      <c r="S35" s="492"/>
      <c r="T35" s="492"/>
      <c r="U35" s="492"/>
      <c r="V35" s="492"/>
      <c r="W35" s="492"/>
      <c r="X35" s="492"/>
      <c r="Y35" s="492"/>
      <c r="Z35" s="492"/>
      <c r="AA35" s="492"/>
      <c r="AB35" s="492"/>
      <c r="AC35" s="492"/>
      <c r="AD35" s="492"/>
      <c r="AE35" s="492"/>
      <c r="AF35" s="492"/>
      <c r="AG35" s="492"/>
      <c r="AH35" s="492"/>
      <c r="AI35" s="492"/>
      <c r="AJ35" s="492"/>
      <c r="AK35" s="492"/>
      <c r="AL35" s="492"/>
      <c r="AM35" s="492"/>
      <c r="AN35" s="492"/>
      <c r="AO35" s="492"/>
      <c r="AP35" s="492"/>
      <c r="AQ35" s="492"/>
      <c r="AR35" s="492"/>
      <c r="AS35" s="492"/>
      <c r="AT35" s="492"/>
      <c r="AU35" s="492"/>
      <c r="AV35" s="492"/>
      <c r="AW35" s="492"/>
      <c r="AX35" s="492"/>
      <c r="AY35" s="492"/>
      <c r="AZ35" s="492"/>
      <c r="BA35" s="492"/>
      <c r="BB35" s="492"/>
      <c r="BC35" s="492"/>
      <c r="BD35" s="492"/>
      <c r="BE35" s="492"/>
      <c r="BL35" s="492"/>
      <c r="BM35" s="492"/>
    </row>
    <row r="36" spans="2:65" s="601" customFormat="1" ht="30" customHeight="1">
      <c r="B36" s="672">
        <v>4</v>
      </c>
      <c r="C36" s="672" t="s">
        <v>1089</v>
      </c>
      <c r="D36" s="676"/>
      <c r="E36" s="677"/>
      <c r="F36" s="671">
        <v>19</v>
      </c>
      <c r="G36" s="1676" t="s">
        <v>1105</v>
      </c>
      <c r="H36" s="1677"/>
      <c r="I36" s="671"/>
      <c r="J36" s="664"/>
      <c r="K36" s="671">
        <v>34</v>
      </c>
      <c r="L36" s="671" t="s">
        <v>1117</v>
      </c>
      <c r="M36" s="671"/>
      <c r="N36" s="730"/>
      <c r="O36" s="730"/>
      <c r="P36" s="492"/>
      <c r="Q36" s="492"/>
      <c r="R36" s="739"/>
      <c r="S36" s="492"/>
      <c r="T36" s="492"/>
      <c r="U36" s="492"/>
      <c r="V36" s="492"/>
      <c r="W36" s="492"/>
      <c r="X36" s="492"/>
      <c r="Y36" s="492"/>
      <c r="Z36" s="492"/>
      <c r="AA36" s="492"/>
      <c r="AB36" s="492"/>
      <c r="AC36" s="492"/>
      <c r="AD36" s="492"/>
      <c r="AE36" s="492"/>
      <c r="AF36" s="492"/>
      <c r="AG36" s="492"/>
      <c r="AH36" s="492"/>
      <c r="AI36" s="492"/>
      <c r="AJ36" s="492"/>
      <c r="AK36" s="492"/>
      <c r="AL36" s="492"/>
      <c r="AM36" s="492"/>
      <c r="AN36" s="492"/>
      <c r="AO36" s="492"/>
      <c r="AP36" s="492"/>
      <c r="AQ36" s="492"/>
      <c r="AR36" s="492"/>
      <c r="AS36" s="492"/>
      <c r="AT36" s="492"/>
      <c r="AU36" s="492"/>
      <c r="AV36" s="492"/>
      <c r="AW36" s="492"/>
      <c r="AX36" s="492"/>
      <c r="AY36" s="492"/>
      <c r="AZ36" s="492"/>
      <c r="BA36" s="492"/>
      <c r="BB36" s="492"/>
      <c r="BC36" s="492"/>
      <c r="BD36" s="492"/>
      <c r="BE36" s="492"/>
      <c r="BL36" s="492"/>
      <c r="BM36" s="492"/>
    </row>
    <row r="37" spans="2:65" s="601" customFormat="1" ht="30" customHeight="1">
      <c r="B37" s="672">
        <v>5</v>
      </c>
      <c r="C37" s="672" t="s">
        <v>1091</v>
      </c>
      <c r="D37" s="321"/>
      <c r="E37" s="283"/>
      <c r="F37" s="671">
        <v>20</v>
      </c>
      <c r="G37" s="1676" t="s">
        <v>1106</v>
      </c>
      <c r="H37" s="1677"/>
      <c r="I37" s="671"/>
      <c r="J37" s="664"/>
      <c r="K37" s="671">
        <v>35</v>
      </c>
      <c r="L37" s="671" t="s">
        <v>1118</v>
      </c>
      <c r="M37" s="671"/>
      <c r="N37" s="730"/>
      <c r="O37" s="730"/>
      <c r="P37" s="492"/>
      <c r="Q37" s="492"/>
      <c r="R37" s="739"/>
      <c r="S37" s="492"/>
      <c r="T37" s="492"/>
      <c r="U37" s="492"/>
      <c r="V37" s="492"/>
      <c r="W37" s="492"/>
      <c r="X37" s="492"/>
      <c r="Y37" s="492"/>
      <c r="Z37" s="492"/>
      <c r="AA37" s="492"/>
      <c r="AB37" s="492"/>
      <c r="AC37" s="492"/>
      <c r="AD37" s="492"/>
      <c r="AE37" s="492"/>
      <c r="AF37" s="492"/>
      <c r="AG37" s="492"/>
      <c r="AH37" s="492"/>
      <c r="AI37" s="492"/>
      <c r="AJ37" s="492"/>
      <c r="AK37" s="492"/>
      <c r="AL37" s="492"/>
      <c r="AM37" s="492"/>
      <c r="AN37" s="492"/>
      <c r="AO37" s="492"/>
      <c r="AP37" s="492"/>
      <c r="AQ37" s="492"/>
      <c r="AR37" s="492"/>
      <c r="AS37" s="492"/>
      <c r="AT37" s="492"/>
      <c r="AU37" s="492"/>
      <c r="AV37" s="492"/>
      <c r="AW37" s="492"/>
      <c r="AX37" s="492"/>
      <c r="AY37" s="492"/>
      <c r="AZ37" s="492"/>
      <c r="BA37" s="492"/>
      <c r="BB37" s="492"/>
      <c r="BC37" s="492"/>
      <c r="BD37" s="492"/>
      <c r="BE37" s="492"/>
      <c r="BL37" s="492"/>
      <c r="BM37" s="492"/>
    </row>
    <row r="38" spans="2:65" s="601" customFormat="1" ht="30" customHeight="1">
      <c r="B38" s="672">
        <v>6</v>
      </c>
      <c r="C38" s="672" t="s">
        <v>1092</v>
      </c>
      <c r="D38" s="672"/>
      <c r="E38" s="341"/>
      <c r="F38" s="671">
        <v>21</v>
      </c>
      <c r="G38" s="1676" t="s">
        <v>1107</v>
      </c>
      <c r="H38" s="1677"/>
      <c r="I38" s="671"/>
      <c r="J38" s="664"/>
      <c r="K38" s="671">
        <v>36</v>
      </c>
      <c r="L38" s="671" t="s">
        <v>1121</v>
      </c>
      <c r="M38" s="671"/>
      <c r="N38" s="730"/>
      <c r="O38" s="730"/>
      <c r="P38" s="492"/>
      <c r="Q38" s="492"/>
      <c r="R38" s="739"/>
      <c r="S38" s="492"/>
      <c r="T38" s="492"/>
      <c r="U38" s="492"/>
      <c r="V38" s="492"/>
      <c r="W38" s="492"/>
      <c r="X38" s="492"/>
      <c r="Y38" s="492"/>
      <c r="Z38" s="492"/>
      <c r="AA38" s="492"/>
      <c r="AB38" s="492"/>
      <c r="AC38" s="492"/>
      <c r="AD38" s="492"/>
      <c r="AE38" s="492"/>
      <c r="AF38" s="492"/>
      <c r="AG38" s="492"/>
      <c r="AH38" s="492"/>
      <c r="AI38" s="492"/>
      <c r="AJ38" s="492"/>
      <c r="AK38" s="492"/>
      <c r="AL38" s="492"/>
      <c r="AM38" s="492"/>
      <c r="AN38" s="492"/>
      <c r="AO38" s="492"/>
      <c r="AP38" s="492"/>
      <c r="AQ38" s="492"/>
      <c r="AR38" s="492"/>
      <c r="AS38" s="492"/>
      <c r="AT38" s="492"/>
      <c r="AU38" s="492"/>
      <c r="AV38" s="492"/>
      <c r="AW38" s="492"/>
      <c r="AX38" s="492"/>
      <c r="AY38" s="492"/>
      <c r="AZ38" s="492"/>
      <c r="BA38" s="492"/>
      <c r="BB38" s="492"/>
      <c r="BC38" s="492"/>
      <c r="BD38" s="492"/>
      <c r="BE38" s="492"/>
      <c r="BL38" s="492"/>
      <c r="BM38" s="492"/>
    </row>
    <row r="39" spans="2:65" s="601" customFormat="1" ht="30" customHeight="1">
      <c r="B39" s="672">
        <v>7</v>
      </c>
      <c r="C39" s="672" t="s">
        <v>1093</v>
      </c>
      <c r="D39" s="672"/>
      <c r="E39" s="341"/>
      <c r="F39" s="671">
        <v>22</v>
      </c>
      <c r="G39" s="1676" t="s">
        <v>1108</v>
      </c>
      <c r="H39" s="1677"/>
      <c r="I39" s="671"/>
      <c r="J39" s="664"/>
      <c r="K39" s="671">
        <v>37</v>
      </c>
      <c r="L39" s="679" t="s">
        <v>1122</v>
      </c>
      <c r="M39" s="671"/>
      <c r="N39" s="730"/>
      <c r="O39" s="730"/>
      <c r="P39" s="492"/>
      <c r="Q39" s="492"/>
      <c r="R39" s="739"/>
      <c r="S39" s="492"/>
      <c r="T39" s="492"/>
      <c r="U39" s="492"/>
      <c r="V39" s="492"/>
      <c r="W39" s="492"/>
      <c r="X39" s="492"/>
      <c r="Y39" s="492"/>
      <c r="Z39" s="492"/>
      <c r="AA39" s="492"/>
      <c r="AB39" s="492"/>
      <c r="AC39" s="492"/>
      <c r="AD39" s="492"/>
      <c r="AE39" s="492"/>
      <c r="AF39" s="492"/>
      <c r="AG39" s="492"/>
      <c r="AH39" s="492"/>
      <c r="AI39" s="492"/>
      <c r="AJ39" s="492"/>
      <c r="AK39" s="492"/>
      <c r="AL39" s="492"/>
      <c r="AM39" s="492"/>
      <c r="AN39" s="492"/>
      <c r="AO39" s="492"/>
      <c r="AP39" s="492"/>
      <c r="AQ39" s="492"/>
      <c r="AR39" s="492"/>
      <c r="AS39" s="492"/>
      <c r="AT39" s="492"/>
      <c r="AU39" s="492"/>
      <c r="AV39" s="492"/>
      <c r="AW39" s="492"/>
      <c r="AX39" s="492"/>
      <c r="AY39" s="492"/>
      <c r="AZ39" s="492"/>
      <c r="BA39" s="492"/>
      <c r="BB39" s="492"/>
      <c r="BC39" s="492"/>
      <c r="BD39" s="492"/>
      <c r="BE39" s="492"/>
      <c r="BL39" s="492"/>
      <c r="BM39" s="492"/>
    </row>
    <row r="40" spans="2:65" s="601" customFormat="1" ht="30" customHeight="1">
      <c r="B40" s="672">
        <v>8</v>
      </c>
      <c r="C40" s="672" t="s">
        <v>1094</v>
      </c>
      <c r="D40" s="672"/>
      <c r="E40" s="341"/>
      <c r="F40" s="671">
        <v>23</v>
      </c>
      <c r="G40" s="1676" t="s">
        <v>1109</v>
      </c>
      <c r="H40" s="1677"/>
      <c r="I40" s="671"/>
      <c r="J40" s="664"/>
      <c r="K40" s="671">
        <v>38</v>
      </c>
      <c r="L40" s="671" t="s">
        <v>1123</v>
      </c>
      <c r="M40" s="671"/>
      <c r="N40" s="730"/>
      <c r="O40" s="730"/>
      <c r="P40" s="492"/>
      <c r="Q40" s="492"/>
      <c r="R40" s="739"/>
      <c r="S40" s="492"/>
      <c r="T40" s="492"/>
      <c r="U40" s="492"/>
      <c r="V40" s="492"/>
      <c r="W40" s="492"/>
      <c r="X40" s="492"/>
      <c r="Y40" s="492"/>
      <c r="Z40" s="492"/>
      <c r="AA40" s="492"/>
      <c r="AB40" s="492"/>
      <c r="AC40" s="492"/>
      <c r="AD40" s="492"/>
      <c r="AE40" s="492"/>
      <c r="AF40" s="492"/>
      <c r="AG40" s="492"/>
      <c r="AH40" s="492"/>
      <c r="AI40" s="492"/>
      <c r="AJ40" s="492"/>
      <c r="AK40" s="492"/>
      <c r="AL40" s="492"/>
      <c r="AM40" s="492"/>
      <c r="AN40" s="492"/>
      <c r="AO40" s="492"/>
      <c r="AP40" s="492"/>
      <c r="AQ40" s="492"/>
      <c r="AR40" s="492"/>
      <c r="AS40" s="492"/>
      <c r="AT40" s="492"/>
      <c r="AU40" s="492"/>
      <c r="AV40" s="492"/>
      <c r="AW40" s="492"/>
      <c r="AX40" s="492"/>
      <c r="AY40" s="492"/>
      <c r="AZ40" s="492"/>
      <c r="BA40" s="492"/>
      <c r="BB40" s="492"/>
      <c r="BC40" s="492"/>
      <c r="BD40" s="492"/>
      <c r="BE40" s="492"/>
      <c r="BL40" s="492"/>
      <c r="BM40" s="492"/>
    </row>
    <row r="41" spans="2:65" s="601" customFormat="1" ht="30" customHeight="1">
      <c r="B41" s="672">
        <v>9</v>
      </c>
      <c r="C41" s="672" t="s">
        <v>1095</v>
      </c>
      <c r="D41" s="678"/>
      <c r="E41" s="341"/>
      <c r="F41" s="671">
        <v>24</v>
      </c>
      <c r="G41" s="1676" t="s">
        <v>1110</v>
      </c>
      <c r="H41" s="1677"/>
      <c r="I41" s="671"/>
      <c r="J41" s="664"/>
      <c r="K41" s="671">
        <v>39</v>
      </c>
      <c r="L41" s="671"/>
      <c r="M41" s="671"/>
      <c r="N41" s="730"/>
      <c r="O41" s="730"/>
      <c r="P41" s="492"/>
      <c r="Q41" s="492"/>
      <c r="R41" s="739"/>
      <c r="S41" s="492"/>
      <c r="T41" s="492"/>
      <c r="U41" s="492"/>
      <c r="V41" s="492"/>
      <c r="W41" s="492"/>
      <c r="X41" s="492"/>
      <c r="Y41" s="492"/>
      <c r="Z41" s="492"/>
      <c r="AA41" s="492"/>
      <c r="AB41" s="492"/>
      <c r="AC41" s="492"/>
      <c r="AD41" s="492"/>
      <c r="AE41" s="492"/>
      <c r="AF41" s="492"/>
      <c r="AG41" s="492"/>
      <c r="AH41" s="492"/>
      <c r="AI41" s="492"/>
      <c r="AJ41" s="492"/>
      <c r="AK41" s="492"/>
      <c r="AL41" s="492"/>
      <c r="AM41" s="492"/>
      <c r="AN41" s="492"/>
      <c r="AO41" s="492"/>
      <c r="AP41" s="492"/>
      <c r="AQ41" s="492"/>
      <c r="AR41" s="492"/>
      <c r="AS41" s="492"/>
      <c r="AT41" s="492"/>
      <c r="AU41" s="492"/>
      <c r="AV41" s="492"/>
      <c r="AW41" s="492"/>
      <c r="AX41" s="492"/>
      <c r="AY41" s="492"/>
      <c r="AZ41" s="492"/>
      <c r="BA41" s="492"/>
      <c r="BB41" s="492"/>
      <c r="BC41" s="492"/>
      <c r="BD41" s="492"/>
      <c r="BE41" s="492"/>
      <c r="BL41" s="492"/>
      <c r="BM41" s="492"/>
    </row>
    <row r="42" spans="2:65" s="601" customFormat="1" ht="30" customHeight="1">
      <c r="B42" s="672">
        <v>10</v>
      </c>
      <c r="C42" s="672" t="s">
        <v>1096</v>
      </c>
      <c r="D42" s="672"/>
      <c r="E42" s="341"/>
      <c r="F42" s="671">
        <v>25</v>
      </c>
      <c r="G42" s="1676" t="s">
        <v>1111</v>
      </c>
      <c r="H42" s="1677"/>
      <c r="I42" s="671"/>
      <c r="J42" s="664"/>
      <c r="K42" s="671">
        <v>40</v>
      </c>
      <c r="L42" s="671"/>
      <c r="M42" s="671"/>
      <c r="N42" s="730"/>
      <c r="O42" s="730"/>
      <c r="P42" s="492"/>
      <c r="Q42" s="492"/>
      <c r="R42" s="739"/>
      <c r="S42" s="492"/>
      <c r="T42" s="492"/>
      <c r="U42" s="492"/>
      <c r="V42" s="492"/>
      <c r="W42" s="492"/>
      <c r="X42" s="492"/>
      <c r="Y42" s="492"/>
      <c r="Z42" s="492"/>
      <c r="AA42" s="492"/>
      <c r="AB42" s="492"/>
      <c r="AC42" s="492"/>
      <c r="AD42" s="492"/>
      <c r="AE42" s="492"/>
      <c r="AF42" s="492"/>
      <c r="AG42" s="492"/>
      <c r="AH42" s="492"/>
      <c r="AI42" s="492"/>
      <c r="AJ42" s="492"/>
      <c r="AK42" s="492"/>
      <c r="AL42" s="492"/>
      <c r="AM42" s="492"/>
      <c r="AN42" s="492"/>
      <c r="AO42" s="492"/>
      <c r="AP42" s="492"/>
      <c r="AQ42" s="492"/>
      <c r="AR42" s="492"/>
      <c r="AS42" s="492"/>
      <c r="AT42" s="492"/>
      <c r="AU42" s="492"/>
      <c r="AV42" s="492"/>
      <c r="AW42" s="492"/>
      <c r="AX42" s="492"/>
      <c r="AY42" s="492"/>
      <c r="AZ42" s="492"/>
      <c r="BA42" s="492"/>
      <c r="BB42" s="492"/>
      <c r="BC42" s="492"/>
      <c r="BD42" s="492"/>
      <c r="BE42" s="492"/>
      <c r="BL42" s="492"/>
      <c r="BM42" s="492"/>
    </row>
    <row r="43" spans="2:65" s="601" customFormat="1" ht="30" customHeight="1">
      <c r="B43" s="672">
        <v>11</v>
      </c>
      <c r="C43" s="672" t="s">
        <v>1097</v>
      </c>
      <c r="D43" s="321"/>
      <c r="E43" s="283"/>
      <c r="F43" s="671">
        <v>26</v>
      </c>
      <c r="G43" s="1676" t="s">
        <v>1112</v>
      </c>
      <c r="H43" s="1677"/>
      <c r="I43" s="671"/>
      <c r="J43" s="664"/>
      <c r="K43" s="671">
        <v>41</v>
      </c>
      <c r="L43" s="671"/>
      <c r="M43" s="671"/>
      <c r="N43" s="730"/>
      <c r="O43" s="730"/>
      <c r="P43" s="492"/>
      <c r="Q43" s="492"/>
      <c r="R43" s="739"/>
      <c r="S43" s="492"/>
      <c r="T43" s="492"/>
      <c r="U43" s="492"/>
      <c r="V43" s="492"/>
      <c r="W43" s="492"/>
      <c r="X43" s="492"/>
      <c r="Y43" s="492"/>
      <c r="Z43" s="492"/>
      <c r="AA43" s="492"/>
      <c r="AB43" s="492"/>
      <c r="AC43" s="492"/>
      <c r="AD43" s="492"/>
      <c r="AE43" s="492"/>
      <c r="AF43" s="492"/>
      <c r="AG43" s="492"/>
      <c r="AH43" s="492"/>
      <c r="AI43" s="492"/>
      <c r="AJ43" s="492"/>
      <c r="AK43" s="492"/>
      <c r="AL43" s="492"/>
      <c r="AM43" s="492"/>
      <c r="AN43" s="492"/>
      <c r="AO43" s="492"/>
      <c r="AP43" s="492"/>
      <c r="AQ43" s="492"/>
      <c r="AR43" s="492"/>
      <c r="AS43" s="492"/>
      <c r="AT43" s="492"/>
      <c r="AU43" s="492"/>
      <c r="AV43" s="492"/>
      <c r="AW43" s="492"/>
      <c r="AX43" s="492"/>
      <c r="AY43" s="492"/>
      <c r="AZ43" s="492"/>
      <c r="BA43" s="492"/>
      <c r="BB43" s="492"/>
      <c r="BC43" s="492"/>
      <c r="BD43" s="492"/>
      <c r="BE43" s="492"/>
      <c r="BL43" s="492"/>
      <c r="BM43" s="492"/>
    </row>
    <row r="44" spans="2:65" s="601" customFormat="1" ht="30" customHeight="1">
      <c r="B44" s="672">
        <v>12</v>
      </c>
      <c r="C44" s="672" t="s">
        <v>1098</v>
      </c>
      <c r="D44" s="672"/>
      <c r="E44" s="341"/>
      <c r="F44" s="671">
        <v>27</v>
      </c>
      <c r="G44" s="1676" t="s">
        <v>1113</v>
      </c>
      <c r="H44" s="1677"/>
      <c r="I44" s="671"/>
      <c r="J44" s="664"/>
      <c r="K44" s="671">
        <v>42</v>
      </c>
      <c r="L44" s="671"/>
      <c r="M44" s="671"/>
      <c r="N44" s="730"/>
      <c r="O44" s="730"/>
      <c r="P44" s="492"/>
      <c r="Q44" s="492"/>
      <c r="R44" s="739"/>
      <c r="S44" s="492"/>
      <c r="T44" s="492"/>
      <c r="U44" s="492"/>
      <c r="V44" s="492"/>
      <c r="W44" s="492"/>
      <c r="X44" s="492"/>
      <c r="Y44" s="492"/>
      <c r="Z44" s="492"/>
      <c r="AA44" s="492"/>
      <c r="AB44" s="492"/>
      <c r="AC44" s="492"/>
      <c r="AD44" s="492"/>
      <c r="AE44" s="492"/>
      <c r="AF44" s="492"/>
      <c r="AG44" s="492"/>
      <c r="AH44" s="492"/>
      <c r="AI44" s="492"/>
      <c r="AJ44" s="492"/>
      <c r="AK44" s="492"/>
      <c r="AL44" s="492"/>
      <c r="AM44" s="492"/>
      <c r="AN44" s="492"/>
      <c r="AO44" s="492"/>
      <c r="AP44" s="492"/>
      <c r="AQ44" s="492"/>
      <c r="AR44" s="492"/>
      <c r="AS44" s="492"/>
      <c r="AT44" s="492"/>
      <c r="AU44" s="492"/>
      <c r="AV44" s="492"/>
      <c r="AW44" s="492"/>
      <c r="AX44" s="492"/>
      <c r="AY44" s="492"/>
      <c r="AZ44" s="492"/>
      <c r="BA44" s="492"/>
      <c r="BB44" s="492"/>
      <c r="BC44" s="492"/>
      <c r="BD44" s="492"/>
      <c r="BE44" s="492"/>
      <c r="BL44" s="492"/>
      <c r="BM44" s="492"/>
    </row>
    <row r="45" spans="2:65" s="601" customFormat="1" ht="30" customHeight="1">
      <c r="B45" s="672">
        <v>13</v>
      </c>
      <c r="C45" s="672" t="s">
        <v>1099</v>
      </c>
      <c r="D45" s="672"/>
      <c r="E45" s="341"/>
      <c r="F45" s="671">
        <v>28</v>
      </c>
      <c r="G45" s="1676" t="s">
        <v>1114</v>
      </c>
      <c r="H45" s="1677"/>
      <c r="I45" s="671"/>
      <c r="J45" s="664"/>
      <c r="K45" s="671">
        <v>43</v>
      </c>
      <c r="L45" s="671"/>
      <c r="M45" s="671"/>
      <c r="N45" s="730"/>
      <c r="O45" s="730"/>
      <c r="P45" s="492"/>
      <c r="Q45" s="492"/>
      <c r="R45" s="739"/>
      <c r="S45" s="492"/>
      <c r="T45" s="492"/>
      <c r="U45" s="492"/>
      <c r="V45" s="492"/>
      <c r="W45" s="492"/>
      <c r="X45" s="492"/>
      <c r="Y45" s="492"/>
      <c r="Z45" s="492"/>
      <c r="AA45" s="492"/>
      <c r="AB45" s="492"/>
      <c r="AC45" s="492"/>
      <c r="AD45" s="492"/>
      <c r="AE45" s="492"/>
      <c r="AF45" s="492"/>
      <c r="AG45" s="492"/>
      <c r="AH45" s="492"/>
      <c r="AI45" s="492"/>
      <c r="AJ45" s="492"/>
      <c r="AK45" s="492"/>
      <c r="AL45" s="492"/>
      <c r="AM45" s="492"/>
      <c r="AN45" s="492"/>
      <c r="AO45" s="492"/>
      <c r="AP45" s="492"/>
      <c r="AQ45" s="492"/>
      <c r="AR45" s="492"/>
      <c r="AS45" s="492"/>
      <c r="AT45" s="492"/>
      <c r="AU45" s="492"/>
      <c r="AV45" s="492"/>
      <c r="AW45" s="492"/>
      <c r="AX45" s="492"/>
      <c r="AY45" s="492"/>
      <c r="AZ45" s="492"/>
      <c r="BA45" s="492"/>
      <c r="BB45" s="492"/>
      <c r="BC45" s="492"/>
      <c r="BD45" s="492"/>
      <c r="BE45" s="492"/>
      <c r="BL45" s="492"/>
      <c r="BM45" s="492"/>
    </row>
    <row r="46" spans="2:65" s="601" customFormat="1" ht="30" customHeight="1">
      <c r="B46" s="672">
        <v>14</v>
      </c>
      <c r="C46" s="672" t="s">
        <v>1100</v>
      </c>
      <c r="D46" s="672"/>
      <c r="E46" s="341"/>
      <c r="F46" s="671">
        <v>29</v>
      </c>
      <c r="G46" s="1676" t="s">
        <v>1120</v>
      </c>
      <c r="H46" s="1677"/>
      <c r="I46" s="671"/>
      <c r="J46" s="664"/>
      <c r="K46" s="671">
        <v>44</v>
      </c>
      <c r="L46" s="671"/>
      <c r="M46" s="671"/>
      <c r="N46" s="730"/>
      <c r="O46" s="730"/>
      <c r="P46" s="492"/>
      <c r="Q46" s="492"/>
      <c r="R46" s="739"/>
      <c r="S46" s="492"/>
      <c r="T46" s="492"/>
      <c r="U46" s="492"/>
      <c r="V46" s="492"/>
      <c r="W46" s="492"/>
      <c r="X46" s="492"/>
      <c r="Y46" s="492"/>
      <c r="Z46" s="492"/>
      <c r="AA46" s="492"/>
      <c r="AB46" s="492"/>
      <c r="AC46" s="492"/>
      <c r="AD46" s="492"/>
      <c r="AE46" s="492"/>
      <c r="AF46" s="492"/>
      <c r="AG46" s="492"/>
      <c r="AH46" s="492"/>
      <c r="AI46" s="492"/>
      <c r="AJ46" s="492"/>
      <c r="AK46" s="492"/>
      <c r="AL46" s="492"/>
      <c r="AM46" s="492"/>
      <c r="AN46" s="492"/>
      <c r="AO46" s="492"/>
      <c r="AP46" s="492"/>
      <c r="AQ46" s="492"/>
      <c r="AR46" s="492"/>
      <c r="AS46" s="492"/>
      <c r="AT46" s="492"/>
      <c r="AU46" s="492"/>
      <c r="AV46" s="492"/>
      <c r="AW46" s="492"/>
      <c r="AX46" s="492"/>
      <c r="AY46" s="492"/>
      <c r="AZ46" s="492"/>
      <c r="BA46" s="492"/>
      <c r="BB46" s="492"/>
      <c r="BC46" s="492"/>
      <c r="BD46" s="492"/>
      <c r="BE46" s="492"/>
      <c r="BL46" s="492"/>
      <c r="BM46" s="492"/>
    </row>
    <row r="47" spans="2:65" s="601" customFormat="1" ht="30" customHeight="1">
      <c r="B47" s="672">
        <v>15</v>
      </c>
      <c r="C47" s="672" t="s">
        <v>1101</v>
      </c>
      <c r="D47" s="672"/>
      <c r="E47" s="341"/>
      <c r="F47" s="671">
        <v>30</v>
      </c>
      <c r="G47" s="1686" t="s">
        <v>1119</v>
      </c>
      <c r="H47" s="1686"/>
      <c r="I47" s="671"/>
      <c r="J47" s="664"/>
      <c r="K47" s="671">
        <v>45</v>
      </c>
      <c r="L47" s="671"/>
      <c r="M47" s="671"/>
      <c r="N47" s="730"/>
      <c r="O47" s="730"/>
      <c r="P47" s="492"/>
      <c r="Q47" s="492"/>
      <c r="R47" s="739"/>
      <c r="S47" s="492"/>
      <c r="T47" s="492"/>
      <c r="U47" s="492"/>
      <c r="V47" s="492"/>
      <c r="W47" s="492"/>
      <c r="X47" s="492"/>
      <c r="Y47" s="492"/>
      <c r="Z47" s="492"/>
      <c r="AA47" s="492"/>
      <c r="AB47" s="492"/>
      <c r="AC47" s="492"/>
      <c r="AD47" s="492"/>
      <c r="AE47" s="492"/>
      <c r="AF47" s="492"/>
      <c r="AG47" s="492"/>
      <c r="AH47" s="492"/>
      <c r="AI47" s="492"/>
      <c r="AJ47" s="492"/>
      <c r="AK47" s="492"/>
      <c r="AL47" s="492"/>
      <c r="AM47" s="492"/>
      <c r="AN47" s="492"/>
      <c r="AO47" s="492"/>
      <c r="AP47" s="492"/>
      <c r="AQ47" s="492"/>
      <c r="AR47" s="492"/>
      <c r="AS47" s="492"/>
      <c r="AT47" s="492"/>
      <c r="AU47" s="492"/>
      <c r="AV47" s="492"/>
      <c r="AW47" s="492"/>
      <c r="AX47" s="492"/>
      <c r="AY47" s="492"/>
      <c r="AZ47" s="492"/>
      <c r="BA47" s="492"/>
      <c r="BB47" s="492"/>
      <c r="BC47" s="492"/>
      <c r="BD47" s="492"/>
      <c r="BE47" s="492"/>
      <c r="BL47" s="492"/>
      <c r="BM47" s="492"/>
    </row>
    <row r="48" spans="2:65" ht="14.5" customHeight="1">
      <c r="B48" s="268"/>
      <c r="C48" s="268"/>
      <c r="D48" s="268"/>
      <c r="E48" s="661"/>
      <c r="F48" s="664"/>
      <c r="G48" s="1687"/>
      <c r="H48" s="1687"/>
      <c r="I48" s="664"/>
      <c r="J48" s="664"/>
      <c r="K48" s="664"/>
      <c r="L48" s="664"/>
      <c r="M48" s="664"/>
      <c r="N48" s="735"/>
      <c r="R48" s="699"/>
    </row>
    <row r="49" spans="2:65" ht="12.6" thickBot="1">
      <c r="B49" s="268"/>
      <c r="C49" s="268"/>
      <c r="D49" s="640"/>
      <c r="E49" s="661"/>
      <c r="F49" s="664"/>
      <c r="G49" s="1687"/>
      <c r="H49" s="1687"/>
      <c r="I49" s="664"/>
      <c r="J49" s="664"/>
      <c r="K49" s="664"/>
      <c r="L49" s="664"/>
      <c r="M49" s="664"/>
      <c r="N49" s="735"/>
      <c r="R49" s="699"/>
    </row>
    <row r="50" spans="2:65" ht="14.5" customHeight="1">
      <c r="B50" s="284" t="s">
        <v>1125</v>
      </c>
      <c r="C50" s="266"/>
      <c r="D50" s="266"/>
      <c r="E50" s="266"/>
      <c r="F50" s="687"/>
      <c r="G50" s="1688"/>
      <c r="H50" s="1688"/>
      <c r="I50" s="687"/>
      <c r="J50" s="687"/>
      <c r="K50" s="687"/>
      <c r="L50" s="687"/>
      <c r="M50" s="688"/>
      <c r="N50" s="740"/>
      <c r="R50" s="699"/>
    </row>
    <row r="51" spans="2:65" ht="12" customHeight="1">
      <c r="B51" s="1673"/>
      <c r="C51" s="1674"/>
      <c r="D51" s="1674"/>
      <c r="E51" s="1674"/>
      <c r="F51" s="1674"/>
      <c r="G51" s="1674"/>
      <c r="H51" s="1674"/>
      <c r="I51" s="1674"/>
      <c r="J51" s="1674"/>
      <c r="K51" s="1674"/>
      <c r="L51" s="1674"/>
      <c r="M51" s="1675"/>
      <c r="N51" s="740"/>
      <c r="R51" s="699"/>
    </row>
    <row r="52" spans="2:65" ht="19.899999999999999" customHeight="1">
      <c r="B52" s="1651"/>
      <c r="C52" s="1652"/>
      <c r="D52" s="1652"/>
      <c r="E52" s="1652"/>
      <c r="F52" s="1652"/>
      <c r="G52" s="1652"/>
      <c r="H52" s="1652"/>
      <c r="I52" s="1652"/>
      <c r="J52" s="1652"/>
      <c r="K52" s="1652"/>
      <c r="L52" s="1652"/>
      <c r="M52" s="1653"/>
      <c r="N52" s="740"/>
      <c r="R52" s="699"/>
    </row>
    <row r="53" spans="2:65" ht="19.899999999999999" customHeight="1">
      <c r="B53" s="1651"/>
      <c r="C53" s="1652"/>
      <c r="D53" s="1652"/>
      <c r="E53" s="1652"/>
      <c r="F53" s="1652"/>
      <c r="G53" s="1652"/>
      <c r="H53" s="1652"/>
      <c r="I53" s="1652"/>
      <c r="J53" s="1652"/>
      <c r="K53" s="1652"/>
      <c r="L53" s="1652"/>
      <c r="M53" s="1653"/>
      <c r="N53" s="740"/>
      <c r="R53" s="699"/>
    </row>
    <row r="54" spans="2:65" ht="19.899999999999999" customHeight="1">
      <c r="B54" s="1651"/>
      <c r="C54" s="1652"/>
      <c r="D54" s="1652"/>
      <c r="E54" s="1652"/>
      <c r="F54" s="1652"/>
      <c r="G54" s="1652"/>
      <c r="H54" s="1652"/>
      <c r="I54" s="1652"/>
      <c r="J54" s="1652"/>
      <c r="K54" s="1652"/>
      <c r="L54" s="1652"/>
      <c r="M54" s="1653"/>
      <c r="N54" s="740"/>
      <c r="R54" s="699"/>
    </row>
    <row r="55" spans="2:65" ht="19.899999999999999" customHeight="1" thickBot="1">
      <c r="B55" s="1654"/>
      <c r="C55" s="1655"/>
      <c r="D55" s="1655"/>
      <c r="E55" s="1655"/>
      <c r="F55" s="1655"/>
      <c r="G55" s="1655"/>
      <c r="H55" s="1655"/>
      <c r="I55" s="1655"/>
      <c r="J55" s="1655"/>
      <c r="K55" s="1655"/>
      <c r="L55" s="1655"/>
      <c r="M55" s="1656"/>
      <c r="N55" s="740"/>
      <c r="R55" s="699"/>
    </row>
    <row r="56" spans="2:65" ht="14.5" customHeight="1" thickBot="1">
      <c r="B56" s="268"/>
      <c r="C56" s="268"/>
      <c r="D56" s="268"/>
      <c r="E56" s="268"/>
      <c r="F56" s="664"/>
      <c r="G56" s="664"/>
      <c r="H56" s="664"/>
      <c r="I56" s="664"/>
      <c r="J56" s="664"/>
      <c r="K56" s="664"/>
      <c r="L56" s="664"/>
      <c r="M56" s="664"/>
      <c r="N56" s="740"/>
      <c r="R56" s="699"/>
    </row>
    <row r="57" spans="2:65" ht="14.5" customHeight="1">
      <c r="B57" s="1657" t="s">
        <v>1126</v>
      </c>
      <c r="C57" s="1658"/>
      <c r="D57" s="1658"/>
      <c r="E57" s="1658"/>
      <c r="F57" s="1658"/>
      <c r="G57" s="1658"/>
      <c r="H57" s="1658"/>
      <c r="I57" s="1658"/>
      <c r="J57" s="1658"/>
      <c r="K57" s="1658"/>
      <c r="L57" s="1658"/>
      <c r="M57" s="1659"/>
      <c r="N57" s="740"/>
      <c r="R57" s="699"/>
    </row>
    <row r="58" spans="2:65" s="683" customFormat="1" ht="12" customHeight="1">
      <c r="B58" s="645"/>
      <c r="C58" s="646"/>
      <c r="D58" s="646"/>
      <c r="E58" s="646"/>
      <c r="F58" s="646"/>
      <c r="G58" s="646"/>
      <c r="H58" s="646"/>
      <c r="I58" s="646"/>
      <c r="J58" s="646"/>
      <c r="K58" s="646"/>
      <c r="L58" s="646"/>
      <c r="M58" s="649"/>
      <c r="N58" s="741"/>
      <c r="O58" s="742"/>
      <c r="P58" s="684"/>
      <c r="Q58" s="684"/>
      <c r="R58" s="743"/>
      <c r="S58" s="744"/>
      <c r="T58" s="744"/>
      <c r="U58" s="744"/>
      <c r="V58" s="684"/>
      <c r="W58" s="684"/>
      <c r="X58" s="684"/>
      <c r="Y58" s="684"/>
      <c r="Z58" s="684"/>
      <c r="AA58" s="684"/>
      <c r="AB58" s="684"/>
      <c r="AC58" s="684"/>
      <c r="AD58" s="684"/>
      <c r="AE58" s="684"/>
      <c r="AF58" s="684"/>
      <c r="AG58" s="684"/>
      <c r="AH58" s="684"/>
      <c r="AI58" s="684"/>
      <c r="AJ58" s="684"/>
      <c r="AK58" s="684"/>
      <c r="AL58" s="684"/>
      <c r="AM58" s="684"/>
      <c r="AN58" s="684"/>
      <c r="AO58" s="684"/>
      <c r="AP58" s="684"/>
      <c r="AQ58" s="684"/>
      <c r="AR58" s="684"/>
      <c r="AS58" s="684"/>
      <c r="AT58" s="684"/>
      <c r="AU58" s="684"/>
      <c r="AV58" s="684"/>
      <c r="AW58" s="684"/>
      <c r="AX58" s="684"/>
      <c r="AY58" s="684"/>
      <c r="AZ58" s="684"/>
      <c r="BA58" s="684"/>
      <c r="BB58" s="684"/>
      <c r="BC58" s="684"/>
      <c r="BD58" s="684"/>
      <c r="BE58" s="684"/>
      <c r="BL58" s="684"/>
      <c r="BM58" s="684"/>
    </row>
    <row r="59" spans="2:65" ht="19.899999999999999" customHeight="1">
      <c r="B59" s="1660"/>
      <c r="C59" s="1661"/>
      <c r="D59" s="1661"/>
      <c r="E59" s="1661"/>
      <c r="F59" s="1661"/>
      <c r="G59" s="1661"/>
      <c r="H59" s="1661"/>
      <c r="I59" s="1661"/>
      <c r="J59" s="1661"/>
      <c r="K59" s="1661"/>
      <c r="L59" s="1661"/>
      <c r="M59" s="1662"/>
      <c r="N59" s="740"/>
      <c r="R59" s="699"/>
    </row>
    <row r="60" spans="2:65" ht="19.899999999999999" customHeight="1">
      <c r="B60" s="1663"/>
      <c r="C60" s="1664"/>
      <c r="D60" s="1664"/>
      <c r="E60" s="1664"/>
      <c r="F60" s="1664"/>
      <c r="G60" s="1664"/>
      <c r="H60" s="1664"/>
      <c r="I60" s="1664"/>
      <c r="J60" s="1664"/>
      <c r="K60" s="1664"/>
      <c r="L60" s="1664"/>
      <c r="M60" s="1665"/>
      <c r="N60" s="740"/>
      <c r="R60" s="699"/>
    </row>
    <row r="61" spans="2:65" ht="19.899999999999999" customHeight="1">
      <c r="B61" s="1666"/>
      <c r="C61" s="1667"/>
      <c r="D61" s="1667"/>
      <c r="E61" s="1667"/>
      <c r="F61" s="1667"/>
      <c r="G61" s="1667"/>
      <c r="H61" s="1667"/>
      <c r="I61" s="1667"/>
      <c r="J61" s="1667"/>
      <c r="K61" s="1667"/>
      <c r="L61" s="1667"/>
      <c r="M61" s="1668"/>
      <c r="N61" s="740"/>
      <c r="R61" s="699"/>
    </row>
    <row r="62" spans="2:65" ht="19.899999999999999" customHeight="1">
      <c r="B62" s="1660"/>
      <c r="C62" s="1661"/>
      <c r="D62" s="1661"/>
      <c r="E62" s="1661"/>
      <c r="F62" s="1661"/>
      <c r="G62" s="1661"/>
      <c r="H62" s="1661"/>
      <c r="I62" s="1661"/>
      <c r="J62" s="1661"/>
      <c r="K62" s="1661"/>
      <c r="L62" s="1661"/>
      <c r="M62" s="1662"/>
      <c r="N62" s="740"/>
      <c r="R62" s="699"/>
    </row>
    <row r="63" spans="2:65" ht="19.899999999999999" customHeight="1" thickBot="1">
      <c r="B63" s="1669"/>
      <c r="C63" s="1670"/>
      <c r="D63" s="1670"/>
      <c r="E63" s="1670"/>
      <c r="F63" s="1670"/>
      <c r="G63" s="1670"/>
      <c r="H63" s="1670"/>
      <c r="I63" s="1670"/>
      <c r="J63" s="1670"/>
      <c r="K63" s="1670"/>
      <c r="L63" s="1670"/>
      <c r="M63" s="1671"/>
      <c r="N63" s="740"/>
      <c r="R63" s="699"/>
    </row>
    <row r="64" spans="2:65" ht="14.5" customHeight="1">
      <c r="B64" s="268"/>
      <c r="C64" s="268"/>
      <c r="D64" s="268"/>
      <c r="E64" s="268"/>
      <c r="F64" s="664"/>
      <c r="G64" s="664"/>
      <c r="H64" s="664"/>
      <c r="I64" s="664"/>
      <c r="J64" s="664"/>
      <c r="K64" s="664"/>
      <c r="L64" s="664"/>
      <c r="M64" s="664"/>
      <c r="N64" s="740"/>
      <c r="R64" s="699"/>
    </row>
    <row r="65" spans="2:18" ht="24" customHeight="1">
      <c r="B65" s="1650" t="s">
        <v>1127</v>
      </c>
      <c r="C65" s="1650"/>
      <c r="D65" s="1650"/>
      <c r="E65" s="1650"/>
      <c r="F65" s="1650"/>
      <c r="G65" s="1650"/>
      <c r="H65" s="1667"/>
      <c r="I65" s="1667"/>
      <c r="J65" s="1667"/>
      <c r="K65" s="1667"/>
      <c r="L65" s="1667"/>
      <c r="M65" s="1667"/>
      <c r="N65" s="740"/>
      <c r="R65" s="699"/>
    </row>
    <row r="66" spans="2:18" ht="14.5" customHeight="1">
      <c r="B66" s="1474" t="s">
        <v>1128</v>
      </c>
      <c r="C66" s="1474"/>
      <c r="D66" s="1474"/>
      <c r="E66" s="1474"/>
      <c r="F66" s="1474"/>
      <c r="G66" s="1474"/>
      <c r="H66" s="1474"/>
      <c r="I66" s="1474"/>
      <c r="J66" s="1474"/>
      <c r="K66" s="1474"/>
      <c r="L66" s="1474"/>
      <c r="M66" s="1474"/>
      <c r="N66" s="740"/>
      <c r="R66" s="699"/>
    </row>
    <row r="67" spans="2:18" ht="14.5" customHeight="1">
      <c r="B67" s="1474"/>
      <c r="C67" s="1474"/>
      <c r="D67" s="1474"/>
      <c r="E67" s="1474"/>
      <c r="F67" s="1474"/>
      <c r="G67" s="1474"/>
      <c r="H67" s="1474"/>
      <c r="I67" s="1474"/>
      <c r="J67" s="1474"/>
      <c r="K67" s="1474"/>
      <c r="L67" s="1474"/>
      <c r="M67" s="1474"/>
      <c r="N67" s="740"/>
      <c r="R67" s="699"/>
    </row>
    <row r="68" spans="2:18" ht="14.5" customHeight="1" thickBot="1">
      <c r="B68" s="268"/>
      <c r="C68" s="268"/>
      <c r="D68" s="268"/>
      <c r="E68" s="268"/>
      <c r="F68" s="664"/>
      <c r="G68" s="664"/>
      <c r="H68" s="664"/>
      <c r="I68" s="664"/>
      <c r="J68" s="664"/>
      <c r="K68" s="664"/>
      <c r="L68" s="664"/>
      <c r="M68" s="664"/>
      <c r="N68" s="740"/>
      <c r="R68" s="699"/>
    </row>
    <row r="69" spans="2:18" ht="14.5" customHeight="1" thickBot="1">
      <c r="B69" s="1372" t="s">
        <v>1129</v>
      </c>
      <c r="C69" s="1373"/>
      <c r="D69" s="1373"/>
      <c r="E69" s="1373"/>
      <c r="F69" s="1373"/>
      <c r="G69" s="1374"/>
      <c r="I69" s="109" t="s">
        <v>1133</v>
      </c>
      <c r="J69" s="689"/>
      <c r="K69" s="689"/>
      <c r="L69" s="689"/>
      <c r="M69" s="690"/>
      <c r="N69" s="735"/>
    </row>
    <row r="70" spans="2:18" ht="14.5" customHeight="1">
      <c r="B70" s="1648"/>
      <c r="C70" s="1375"/>
      <c r="D70" s="1375"/>
      <c r="E70" s="1375"/>
      <c r="F70" s="1375"/>
      <c r="G70" s="1376"/>
      <c r="I70" s="284"/>
      <c r="J70" s="282"/>
      <c r="K70" s="282"/>
      <c r="L70" s="282"/>
      <c r="M70" s="686"/>
      <c r="N70" s="735"/>
    </row>
    <row r="71" spans="2:18" ht="14.5" customHeight="1">
      <c r="B71" s="1648"/>
      <c r="C71" s="1375"/>
      <c r="D71" s="1375"/>
      <c r="E71" s="1375"/>
      <c r="F71" s="1375"/>
      <c r="G71" s="1376"/>
      <c r="I71" s="159" t="s">
        <v>1130</v>
      </c>
      <c r="J71" s="1636"/>
      <c r="K71" s="1636"/>
      <c r="L71" s="1636"/>
      <c r="M71" s="1637"/>
      <c r="N71" s="735"/>
    </row>
    <row r="72" spans="2:18" ht="14.5" customHeight="1">
      <c r="B72" s="1648"/>
      <c r="C72" s="1375"/>
      <c r="D72" s="1375"/>
      <c r="E72" s="1375"/>
      <c r="F72" s="1375"/>
      <c r="G72" s="1376"/>
      <c r="I72" s="668"/>
      <c r="J72" s="1636"/>
      <c r="K72" s="1636"/>
      <c r="L72" s="1636"/>
      <c r="M72" s="1637"/>
      <c r="N72" s="735"/>
    </row>
    <row r="73" spans="2:18" ht="14.5" customHeight="1">
      <c r="B73" s="1648"/>
      <c r="C73" s="1375"/>
      <c r="D73" s="1375"/>
      <c r="E73" s="1375"/>
      <c r="F73" s="1375"/>
      <c r="G73" s="1376"/>
      <c r="I73" s="159" t="s">
        <v>1131</v>
      </c>
      <c r="J73" s="341"/>
      <c r="K73" s="341"/>
      <c r="L73" s="341"/>
      <c r="M73" s="675"/>
      <c r="N73" s="735"/>
    </row>
    <row r="74" spans="2:18" ht="14.5" customHeight="1">
      <c r="B74" s="1648"/>
      <c r="C74" s="1375"/>
      <c r="D74" s="1375"/>
      <c r="E74" s="1375"/>
      <c r="F74" s="1375"/>
      <c r="G74" s="1376"/>
      <c r="I74" s="668"/>
      <c r="J74" s="1636"/>
      <c r="K74" s="1636"/>
      <c r="L74" s="1636"/>
      <c r="M74" s="1637"/>
      <c r="N74" s="735"/>
    </row>
    <row r="75" spans="2:18" ht="14.5" customHeight="1">
      <c r="B75" s="1648"/>
      <c r="C75" s="1375"/>
      <c r="D75" s="1375"/>
      <c r="E75" s="1375"/>
      <c r="F75" s="1375"/>
      <c r="G75" s="1376"/>
      <c r="I75" s="668"/>
      <c r="J75" s="1636"/>
      <c r="K75" s="1636"/>
      <c r="L75" s="1636"/>
      <c r="M75" s="1637"/>
      <c r="N75" s="735"/>
    </row>
    <row r="76" spans="2:18" ht="14.5" customHeight="1">
      <c r="B76" s="1648"/>
      <c r="C76" s="1375"/>
      <c r="D76" s="1375"/>
      <c r="E76" s="1375"/>
      <c r="F76" s="1375"/>
      <c r="G76" s="1376"/>
      <c r="I76" s="668"/>
      <c r="J76" s="341"/>
      <c r="K76" s="341"/>
      <c r="L76" s="341"/>
      <c r="M76" s="675"/>
      <c r="N76" s="735"/>
    </row>
    <row r="77" spans="2:18" ht="18" customHeight="1" thickBot="1">
      <c r="B77" s="1649"/>
      <c r="C77" s="1370"/>
      <c r="D77" s="1370"/>
      <c r="E77" s="1370"/>
      <c r="F77" s="1370"/>
      <c r="G77" s="1371"/>
      <c r="I77" s="691" t="s">
        <v>1132</v>
      </c>
      <c r="J77" s="1638"/>
      <c r="K77" s="1638"/>
      <c r="L77" s="1638"/>
      <c r="M77" s="1639"/>
      <c r="N77" s="735"/>
    </row>
    <row r="78" spans="2:18" ht="15" customHeight="1">
      <c r="B78" s="646"/>
      <c r="C78" s="646"/>
      <c r="D78" s="646"/>
      <c r="E78" s="646"/>
      <c r="F78" s="648"/>
      <c r="G78" s="544"/>
      <c r="I78" s="341"/>
      <c r="J78" s="341"/>
      <c r="K78" s="341"/>
      <c r="L78" s="341"/>
      <c r="M78" s="341"/>
      <c r="N78" s="735"/>
    </row>
    <row r="79" spans="2:18">
      <c r="B79" s="268"/>
      <c r="C79" s="685"/>
      <c r="D79" s="648"/>
      <c r="E79" s="648"/>
      <c r="F79" s="648"/>
      <c r="G79" s="562"/>
      <c r="H79" s="341"/>
      <c r="I79" s="341"/>
      <c r="J79" s="341"/>
      <c r="K79" s="341"/>
      <c r="L79" s="341"/>
      <c r="M79" s="341"/>
      <c r="N79" s="735"/>
    </row>
    <row r="80" spans="2:18">
      <c r="B80" s="268"/>
      <c r="C80" s="685"/>
      <c r="D80" s="648"/>
      <c r="E80" s="648"/>
      <c r="F80" s="648"/>
      <c r="G80" s="562"/>
      <c r="H80" s="341"/>
      <c r="I80" s="341"/>
      <c r="J80" s="341"/>
      <c r="K80" s="341"/>
      <c r="L80" s="341"/>
      <c r="M80" s="341"/>
      <c r="N80" s="735"/>
    </row>
    <row r="81" spans="2:17">
      <c r="B81" s="268"/>
      <c r="C81" s="647"/>
      <c r="D81" s="648"/>
      <c r="E81" s="648"/>
      <c r="F81" s="648"/>
      <c r="G81" s="562"/>
      <c r="H81" s="341"/>
      <c r="I81" s="341"/>
      <c r="J81" s="341"/>
      <c r="K81" s="341"/>
      <c r="L81" s="341"/>
      <c r="M81" s="341"/>
      <c r="N81" s="735"/>
    </row>
    <row r="82" spans="2:17">
      <c r="B82" s="268"/>
      <c r="C82" s="685"/>
      <c r="D82" s="562"/>
      <c r="E82" s="562"/>
      <c r="F82" s="562"/>
      <c r="G82" s="562"/>
      <c r="H82" s="341"/>
      <c r="I82" s="341"/>
      <c r="J82" s="341"/>
      <c r="K82" s="341"/>
      <c r="L82" s="341"/>
      <c r="M82" s="341"/>
      <c r="N82" s="735"/>
    </row>
    <row r="83" spans="2:17">
      <c r="B83" s="268"/>
      <c r="C83" s="268"/>
      <c r="D83" s="646"/>
      <c r="E83" s="646"/>
      <c r="F83" s="646"/>
      <c r="G83" s="268"/>
      <c r="H83" s="341"/>
      <c r="I83" s="341"/>
      <c r="J83" s="341"/>
      <c r="K83" s="341"/>
      <c r="L83" s="341"/>
      <c r="M83" s="341"/>
      <c r="N83" s="735"/>
    </row>
    <row r="84" spans="2:17">
      <c r="B84" s="268"/>
      <c r="C84" s="268"/>
      <c r="D84" s="268"/>
      <c r="E84" s="268"/>
      <c r="F84" s="268"/>
      <c r="G84" s="268"/>
      <c r="H84" s="341"/>
      <c r="I84" s="341"/>
      <c r="J84" s="341"/>
      <c r="K84" s="341"/>
      <c r="L84" s="341"/>
      <c r="M84" s="341"/>
      <c r="N84" s="735"/>
    </row>
    <row r="85" spans="2:17">
      <c r="B85" s="268"/>
      <c r="C85" s="268"/>
      <c r="D85" s="268"/>
      <c r="E85" s="268"/>
      <c r="F85" s="268"/>
      <c r="G85" s="268"/>
      <c r="H85" s="268"/>
      <c r="I85" s="268"/>
      <c r="J85" s="268"/>
      <c r="K85" s="268"/>
      <c r="L85" s="268"/>
      <c r="M85" s="268"/>
      <c r="N85" s="735"/>
    </row>
    <row r="86" spans="2:17">
      <c r="B86" s="268"/>
      <c r="C86" s="268"/>
      <c r="D86" s="268"/>
      <c r="E86" s="268"/>
      <c r="F86" s="268"/>
      <c r="G86" s="268"/>
      <c r="H86" s="268"/>
      <c r="I86" s="268"/>
      <c r="J86" s="268"/>
      <c r="K86" s="268"/>
      <c r="L86" s="268"/>
      <c r="M86" s="268"/>
      <c r="N86" s="735"/>
    </row>
    <row r="87" spans="2:17">
      <c r="B87" s="268"/>
      <c r="C87" s="268"/>
      <c r="D87" s="268"/>
      <c r="E87" s="268"/>
      <c r="F87" s="268"/>
      <c r="G87" s="268"/>
      <c r="H87" s="268"/>
      <c r="I87" s="268"/>
      <c r="J87" s="268"/>
      <c r="K87" s="268"/>
      <c r="L87" s="268"/>
      <c r="M87" s="268"/>
      <c r="N87" s="735"/>
    </row>
    <row r="88" spans="2:17">
      <c r="B88" s="268"/>
      <c r="C88" s="268"/>
      <c r="D88" s="268"/>
      <c r="E88" s="268"/>
      <c r="F88" s="268"/>
      <c r="G88" s="268"/>
      <c r="H88" s="268"/>
      <c r="I88" s="268"/>
      <c r="J88" s="268"/>
      <c r="K88" s="268"/>
      <c r="L88" s="268"/>
      <c r="M88" s="268"/>
      <c r="N88" s="735"/>
    </row>
    <row r="89" spans="2:17" ht="15" customHeight="1">
      <c r="B89" s="268"/>
      <c r="C89" s="268"/>
      <c r="D89" s="268"/>
      <c r="E89" s="268"/>
      <c r="F89" s="268"/>
      <c r="G89" s="268"/>
      <c r="H89" s="268"/>
      <c r="I89" s="268"/>
      <c r="J89" s="268"/>
      <c r="K89" s="268"/>
      <c r="L89" s="268"/>
      <c r="M89" s="268"/>
      <c r="N89" s="735"/>
    </row>
    <row r="90" spans="2:17">
      <c r="B90" s="268"/>
      <c r="C90" s="268"/>
      <c r="D90" s="268"/>
      <c r="E90" s="268"/>
      <c r="F90" s="268"/>
      <c r="G90" s="268"/>
      <c r="H90" s="268"/>
      <c r="I90" s="268"/>
      <c r="J90" s="268"/>
      <c r="K90" s="268"/>
      <c r="L90" s="268"/>
      <c r="M90" s="268"/>
      <c r="N90" s="735"/>
    </row>
    <row r="91" spans="2:17" ht="14.5" customHeight="1">
      <c r="B91" s="268"/>
      <c r="C91" s="268"/>
      <c r="D91" s="268"/>
      <c r="E91" s="268"/>
      <c r="F91" s="268"/>
      <c r="G91" s="268"/>
      <c r="H91" s="268"/>
      <c r="I91" s="268"/>
      <c r="J91" s="268"/>
      <c r="K91" s="268"/>
      <c r="L91" s="268"/>
      <c r="M91" s="268"/>
      <c r="N91" s="735"/>
      <c r="O91" s="745"/>
      <c r="Q91" s="700"/>
    </row>
    <row r="92" spans="2:17" ht="14.5" customHeight="1">
      <c r="B92" s="268"/>
      <c r="C92" s="268"/>
      <c r="D92" s="268"/>
      <c r="E92" s="268"/>
      <c r="F92" s="268"/>
      <c r="G92" s="268"/>
      <c r="H92" s="268"/>
      <c r="I92" s="268"/>
      <c r="J92" s="268"/>
      <c r="K92" s="268"/>
      <c r="L92" s="268"/>
      <c r="M92" s="268"/>
      <c r="N92" s="735"/>
    </row>
    <row r="93" spans="2:17" ht="14.5" customHeight="1">
      <c r="B93" s="268"/>
      <c r="C93" s="268"/>
      <c r="D93" s="268"/>
      <c r="E93" s="268"/>
      <c r="F93" s="268"/>
      <c r="G93" s="268"/>
      <c r="H93" s="268"/>
      <c r="I93" s="268"/>
      <c r="J93" s="268"/>
      <c r="K93" s="268"/>
      <c r="L93" s="268"/>
      <c r="M93" s="268"/>
      <c r="N93" s="735"/>
    </row>
    <row r="94" spans="2:17" ht="14.5" customHeight="1">
      <c r="B94" s="268"/>
      <c r="C94" s="268"/>
      <c r="D94" s="268"/>
      <c r="E94" s="268"/>
      <c r="F94" s="268"/>
      <c r="G94" s="268"/>
      <c r="H94" s="268"/>
      <c r="I94" s="268"/>
      <c r="J94" s="268"/>
      <c r="K94" s="268"/>
      <c r="L94" s="268"/>
      <c r="M94" s="268"/>
      <c r="N94" s="735"/>
    </row>
    <row r="95" spans="2:17" ht="14.5" customHeight="1">
      <c r="B95" s="268"/>
      <c r="C95" s="268"/>
      <c r="D95" s="268"/>
      <c r="E95" s="268"/>
      <c r="F95" s="268"/>
      <c r="G95" s="268"/>
      <c r="H95" s="268"/>
      <c r="I95" s="268"/>
      <c r="J95" s="268"/>
      <c r="K95" s="268"/>
      <c r="L95" s="268"/>
      <c r="M95" s="268"/>
      <c r="N95" s="735"/>
    </row>
    <row r="96" spans="2:17" ht="14.5" customHeight="1">
      <c r="B96" s="268"/>
      <c r="C96" s="291"/>
      <c r="D96" s="268"/>
      <c r="E96" s="268"/>
      <c r="F96" s="268"/>
      <c r="G96" s="268"/>
      <c r="H96" s="268"/>
      <c r="I96" s="268"/>
      <c r="J96" s="268"/>
      <c r="K96" s="268"/>
      <c r="L96" s="268"/>
      <c r="M96" s="268"/>
      <c r="N96" s="735"/>
    </row>
    <row r="97" spans="2:14">
      <c r="B97" s="268"/>
      <c r="C97" s="268"/>
      <c r="D97" s="268"/>
      <c r="E97" s="268"/>
      <c r="F97" s="268"/>
      <c r="G97" s="268"/>
      <c r="H97" s="268"/>
      <c r="I97" s="268"/>
      <c r="J97" s="268"/>
      <c r="K97" s="268"/>
      <c r="L97" s="268"/>
      <c r="M97" s="268"/>
      <c r="N97" s="735"/>
    </row>
    <row r="98" spans="2:14">
      <c r="B98" s="268"/>
      <c r="C98" s="1354"/>
      <c r="D98" s="1354"/>
      <c r="E98" s="1354"/>
      <c r="F98" s="1354"/>
      <c r="G98" s="268"/>
      <c r="H98" s="268"/>
      <c r="I98" s="268"/>
      <c r="J98" s="268"/>
      <c r="K98" s="268"/>
      <c r="L98" s="268"/>
      <c r="M98" s="268"/>
      <c r="N98" s="735"/>
    </row>
    <row r="99" spans="2:14" ht="14.5" customHeight="1">
      <c r="B99" s="268"/>
      <c r="C99" s="1354"/>
      <c r="D99" s="1354"/>
      <c r="E99" s="1354"/>
      <c r="F99" s="1354"/>
      <c r="G99" s="1354"/>
      <c r="H99" s="1354"/>
      <c r="I99" s="1354"/>
      <c r="J99" s="626"/>
      <c r="K99" s="626"/>
      <c r="L99" s="626"/>
      <c r="M99" s="626"/>
      <c r="N99" s="735"/>
    </row>
    <row r="100" spans="2:14">
      <c r="B100" s="268"/>
      <c r="C100" s="1354"/>
      <c r="D100" s="1354"/>
      <c r="E100" s="1354"/>
      <c r="F100" s="1354"/>
      <c r="G100" s="1354"/>
      <c r="H100" s="1354"/>
      <c r="I100" s="1354"/>
      <c r="J100" s="626"/>
      <c r="K100" s="626"/>
      <c r="L100" s="626"/>
      <c r="M100" s="626"/>
      <c r="N100" s="735"/>
    </row>
    <row r="101" spans="2:14" ht="13.15" customHeight="1">
      <c r="B101" s="268"/>
      <c r="C101" s="1354"/>
      <c r="D101" s="1354"/>
      <c r="E101" s="1354"/>
      <c r="F101" s="1354"/>
      <c r="G101" s="1354"/>
      <c r="H101" s="1354"/>
      <c r="I101" s="1354"/>
      <c r="J101" s="626"/>
      <c r="K101" s="626"/>
      <c r="L101" s="626"/>
      <c r="M101" s="626"/>
      <c r="N101" s="735"/>
    </row>
    <row r="102" spans="2:14" ht="42" customHeight="1">
      <c r="B102" s="268"/>
      <c r="C102" s="1354"/>
      <c r="D102" s="1354"/>
      <c r="E102" s="1354"/>
      <c r="F102" s="1354"/>
      <c r="G102" s="1354"/>
      <c r="H102" s="1354"/>
      <c r="I102" s="1354"/>
      <c r="J102" s="626"/>
      <c r="K102" s="626"/>
      <c r="L102" s="626"/>
      <c r="M102" s="626"/>
      <c r="N102" s="735"/>
    </row>
    <row r="103" spans="2:14" ht="14.5" customHeight="1">
      <c r="B103" s="268"/>
      <c r="C103" s="1354"/>
      <c r="D103" s="1354"/>
      <c r="E103" s="1354"/>
      <c r="F103" s="1354"/>
      <c r="G103" s="1354"/>
      <c r="H103" s="1354"/>
      <c r="I103" s="1354"/>
      <c r="J103" s="626"/>
      <c r="K103" s="626"/>
      <c r="L103" s="626"/>
      <c r="M103" s="626"/>
      <c r="N103" s="735"/>
    </row>
    <row r="104" spans="2:14" ht="13.9" customHeight="1">
      <c r="B104" s="268"/>
      <c r="C104" s="1354"/>
      <c r="D104" s="1354"/>
      <c r="E104" s="1354"/>
      <c r="F104" s="1354"/>
      <c r="G104" s="1354"/>
      <c r="H104" s="1354"/>
      <c r="I104" s="1354"/>
      <c r="J104" s="626"/>
      <c r="K104" s="626"/>
      <c r="L104" s="626"/>
      <c r="M104" s="626"/>
      <c r="N104" s="735"/>
    </row>
    <row r="105" spans="2:14" ht="14.5" customHeight="1">
      <c r="B105" s="268"/>
      <c r="C105" s="268"/>
      <c r="D105" s="268"/>
      <c r="E105" s="292"/>
      <c r="F105" s="268"/>
      <c r="G105" s="1354"/>
      <c r="H105" s="1354"/>
      <c r="I105" s="1354"/>
      <c r="J105" s="626"/>
      <c r="K105" s="626"/>
      <c r="L105" s="626"/>
      <c r="M105" s="626"/>
      <c r="N105" s="735"/>
    </row>
    <row r="106" spans="2:14" ht="15" customHeight="1">
      <c r="B106" s="268"/>
      <c r="C106" s="268"/>
      <c r="D106" s="268"/>
      <c r="E106" s="268"/>
      <c r="F106" s="268"/>
      <c r="G106" s="268"/>
      <c r="H106" s="268"/>
      <c r="I106" s="268"/>
      <c r="J106" s="268"/>
      <c r="K106" s="268"/>
      <c r="L106" s="268"/>
      <c r="M106" s="268"/>
      <c r="N106" s="735"/>
    </row>
    <row r="107" spans="2:14" ht="2.5" customHeight="1">
      <c r="B107" s="268"/>
      <c r="C107" s="268"/>
      <c r="D107" s="268"/>
      <c r="E107" s="268"/>
      <c r="F107" s="268"/>
      <c r="G107" s="268"/>
      <c r="H107" s="268"/>
      <c r="I107" s="268"/>
      <c r="J107" s="268"/>
      <c r="K107" s="268"/>
      <c r="L107" s="268"/>
      <c r="M107" s="268"/>
      <c r="N107" s="735"/>
    </row>
    <row r="108" spans="2:14">
      <c r="B108" s="268"/>
      <c r="C108" s="268"/>
      <c r="D108" s="268"/>
      <c r="E108" s="268"/>
      <c r="F108" s="268"/>
      <c r="G108" s="268"/>
      <c r="H108" s="268"/>
      <c r="I108" s="268"/>
      <c r="J108" s="268"/>
      <c r="K108" s="268"/>
      <c r="L108" s="268"/>
      <c r="M108" s="268"/>
      <c r="N108" s="735"/>
    </row>
    <row r="109" spans="2:14">
      <c r="C109" s="268"/>
      <c r="D109" s="268"/>
      <c r="E109" s="268"/>
      <c r="F109" s="268"/>
      <c r="G109" s="268"/>
      <c r="H109" s="268"/>
      <c r="I109" s="268"/>
      <c r="J109" s="268"/>
      <c r="K109" s="268"/>
      <c r="L109" s="268"/>
      <c r="M109" s="268"/>
    </row>
    <row r="110" spans="2:14">
      <c r="C110" s="268"/>
      <c r="D110" s="268"/>
      <c r="E110" s="268"/>
      <c r="F110" s="268"/>
      <c r="G110" s="268"/>
      <c r="H110" s="268"/>
      <c r="I110" s="268"/>
      <c r="J110" s="268"/>
      <c r="K110" s="268"/>
      <c r="L110" s="268"/>
      <c r="M110" s="268"/>
    </row>
    <row r="111" spans="2:14">
      <c r="G111" s="268"/>
      <c r="H111" s="268"/>
      <c r="I111" s="268"/>
      <c r="J111" s="268"/>
      <c r="K111" s="268"/>
      <c r="L111" s="268"/>
      <c r="M111" s="268"/>
    </row>
  </sheetData>
  <sheetProtection algorithmName="SHA-512" hashValue="S7ZagPnNsecZNaCZCUOgsNLhQUeDYPKGtwxpfVZcOuFRVOveqUJYpVGsQBqizExlyAB6BlCZ8z/NE+8bY+oeWw==" saltValue="cv7tbFfiWmoaOPCWI7dXGw==" spinCount="100000" sheet="1" objects="1" scenarios="1"/>
  <mergeCells count="54">
    <mergeCell ref="B25:B26"/>
    <mergeCell ref="C98:D104"/>
    <mergeCell ref="E98:F104"/>
    <mergeCell ref="G99:I105"/>
    <mergeCell ref="H65:M65"/>
    <mergeCell ref="B66:M67"/>
    <mergeCell ref="G46:H46"/>
    <mergeCell ref="G47:H47"/>
    <mergeCell ref="G48:H48"/>
    <mergeCell ref="G49:H49"/>
    <mergeCell ref="G50:H50"/>
    <mergeCell ref="G45:H45"/>
    <mergeCell ref="D25:E25"/>
    <mergeCell ref="G34:H34"/>
    <mergeCell ref="G35:H35"/>
    <mergeCell ref="G36:H36"/>
    <mergeCell ref="J17:M17"/>
    <mergeCell ref="D20:F20"/>
    <mergeCell ref="J18:M18"/>
    <mergeCell ref="G32:H32"/>
    <mergeCell ref="G33:H33"/>
    <mergeCell ref="L28:M28"/>
    <mergeCell ref="B60:M60"/>
    <mergeCell ref="B61:M61"/>
    <mergeCell ref="B62:M62"/>
    <mergeCell ref="B63:M63"/>
    <mergeCell ref="K25:M25"/>
    <mergeCell ref="B52:M52"/>
    <mergeCell ref="B51:M51"/>
    <mergeCell ref="B53:M53"/>
    <mergeCell ref="G37:H37"/>
    <mergeCell ref="G38:H38"/>
    <mergeCell ref="G39:H39"/>
    <mergeCell ref="G40:H40"/>
    <mergeCell ref="G41:H41"/>
    <mergeCell ref="G42:H42"/>
    <mergeCell ref="G43:H43"/>
    <mergeCell ref="G44:H44"/>
    <mergeCell ref="B14:M14"/>
    <mergeCell ref="J71:M72"/>
    <mergeCell ref="J74:M75"/>
    <mergeCell ref="J77:M77"/>
    <mergeCell ref="B17:C17"/>
    <mergeCell ref="B18:C18"/>
    <mergeCell ref="D17:G17"/>
    <mergeCell ref="D18:G18"/>
    <mergeCell ref="L26:M26"/>
    <mergeCell ref="B70:G77"/>
    <mergeCell ref="B69:G69"/>
    <mergeCell ref="B65:G65"/>
    <mergeCell ref="B54:M54"/>
    <mergeCell ref="B55:M55"/>
    <mergeCell ref="B57:M57"/>
    <mergeCell ref="B59:M59"/>
  </mergeCells>
  <dataValidations count="2">
    <dataValidation type="list" allowBlank="1" showInputMessage="1" showErrorMessage="1" sqref="E49" xr:uid="{00000000-0002-0000-0D00-000000000000}">
      <formula1>$Q$3:$Q$5</formula1>
    </dataValidation>
    <dataValidation type="list" allowBlank="1" showInputMessage="1" showErrorMessage="1" sqref="M27" xr:uid="{00000000-0002-0000-0D00-000001000000}">
      <formula1>$Q$13:$Q$16</formula1>
    </dataValidation>
  </dataValidations>
  <hyperlinks>
    <hyperlink ref="E12" r:id="rId1" display="jvanschalwyk@jjt.co.za" xr:uid="{00000000-0004-0000-0D00-000000000000}"/>
  </hyperlinks>
  <printOptions horizontalCentered="1" verticalCentered="1"/>
  <pageMargins left="0" right="0" top="0" bottom="0" header="0" footer="0"/>
  <pageSetup paperSize="9" scale="59" orientation="portrait" verticalDpi="4" r:id="rId2"/>
  <headerFooter scaleWithDoc="0" alignWithMargins="0"/>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'ServiceCare Form'!$U$3:$U$4</xm:f>
          </x14:formula1>
          <xm:sqref>E41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B1:AG113"/>
  <sheetViews>
    <sheetView topLeftCell="A19" workbookViewId="0">
      <selection activeCell="P13" sqref="P13"/>
    </sheetView>
  </sheetViews>
  <sheetFormatPr defaultRowHeight="14.4"/>
  <cols>
    <col min="13" max="14" width="9.15625" style="758"/>
    <col min="15" max="33" width="9.15625" style="874"/>
  </cols>
  <sheetData>
    <row r="1" spans="2:33" s="715" customFormat="1" ht="14.7" thickBot="1">
      <c r="M1" s="756"/>
      <c r="N1" s="756"/>
      <c r="O1" s="873"/>
      <c r="P1" s="873"/>
      <c r="Q1" s="873"/>
      <c r="R1" s="873"/>
      <c r="S1" s="873"/>
      <c r="T1" s="873"/>
      <c r="U1" s="873"/>
      <c r="V1" s="873"/>
      <c r="W1" s="873"/>
      <c r="X1" s="873"/>
      <c r="Y1" s="873"/>
      <c r="Z1" s="873"/>
      <c r="AA1" s="873"/>
      <c r="AB1" s="873"/>
      <c r="AC1" s="873"/>
      <c r="AD1" s="873"/>
      <c r="AE1" s="873"/>
      <c r="AF1" s="873"/>
      <c r="AG1" s="873"/>
    </row>
    <row r="2" spans="2:33" s="715" customFormat="1">
      <c r="B2" s="721"/>
      <c r="C2" s="722"/>
      <c r="D2" s="722"/>
      <c r="E2" s="722"/>
      <c r="F2" s="722"/>
      <c r="G2" s="722"/>
      <c r="H2" s="722"/>
      <c r="I2" s="722"/>
      <c r="J2" s="722"/>
      <c r="K2" s="722"/>
      <c r="L2" s="723"/>
      <c r="M2" s="756"/>
      <c r="N2" s="756"/>
      <c r="O2" s="873"/>
      <c r="P2" s="873"/>
      <c r="Q2" s="873"/>
      <c r="R2" s="873"/>
      <c r="S2" s="873"/>
      <c r="T2" s="873"/>
      <c r="U2" s="873"/>
      <c r="V2" s="873"/>
      <c r="W2" s="873"/>
      <c r="X2" s="873"/>
      <c r="Y2" s="873"/>
      <c r="Z2" s="873"/>
      <c r="AA2" s="873"/>
      <c r="AB2" s="873"/>
      <c r="AC2" s="873"/>
      <c r="AD2" s="873"/>
      <c r="AE2" s="873"/>
      <c r="AF2" s="873"/>
      <c r="AG2" s="873"/>
    </row>
    <row r="3" spans="2:33" s="715" customFormat="1">
      <c r="B3" s="724"/>
      <c r="C3" s="717"/>
      <c r="D3" s="717"/>
      <c r="E3" s="717"/>
      <c r="F3" s="717"/>
      <c r="G3" s="717"/>
      <c r="H3" s="717"/>
      <c r="I3" s="717"/>
      <c r="J3" s="717"/>
      <c r="K3" s="717"/>
      <c r="L3" s="725"/>
      <c r="M3" s="756"/>
      <c r="N3" s="756"/>
      <c r="O3" s="873"/>
      <c r="P3" s="873"/>
      <c r="Q3" s="873"/>
      <c r="R3" s="873" t="s">
        <v>52</v>
      </c>
      <c r="S3" s="873"/>
      <c r="T3" s="873"/>
      <c r="U3" s="873"/>
      <c r="V3" s="873"/>
      <c r="W3" s="873"/>
      <c r="X3" s="873"/>
      <c r="Y3" s="873"/>
      <c r="Z3" s="873"/>
      <c r="AA3" s="873"/>
      <c r="AB3" s="873"/>
      <c r="AC3" s="873"/>
      <c r="AD3" s="873"/>
      <c r="AE3" s="873"/>
      <c r="AF3" s="873"/>
      <c r="AG3" s="873"/>
    </row>
    <row r="4" spans="2:33" s="715" customFormat="1">
      <c r="B4" s="724"/>
      <c r="C4" s="717"/>
      <c r="D4" s="717"/>
      <c r="E4" s="717"/>
      <c r="F4" s="717"/>
      <c r="G4" s="717"/>
      <c r="H4" s="717"/>
      <c r="I4" s="717"/>
      <c r="J4" s="717"/>
      <c r="K4" s="717"/>
      <c r="L4" s="725"/>
      <c r="M4" s="756"/>
      <c r="N4" s="756"/>
      <c r="O4" s="873"/>
      <c r="P4" s="873"/>
      <c r="Q4" s="873"/>
      <c r="R4" s="873" t="s">
        <v>51</v>
      </c>
      <c r="S4" s="873"/>
      <c r="T4" s="873"/>
      <c r="U4" s="873"/>
      <c r="V4" s="873"/>
      <c r="W4" s="873"/>
      <c r="X4" s="873"/>
      <c r="Y4" s="873"/>
      <c r="Z4" s="873"/>
      <c r="AA4" s="873"/>
      <c r="AB4" s="873"/>
      <c r="AC4" s="873"/>
      <c r="AD4" s="873"/>
      <c r="AE4" s="873"/>
      <c r="AF4" s="873"/>
      <c r="AG4" s="873"/>
    </row>
    <row r="5" spans="2:33" s="715" customFormat="1">
      <c r="B5" s="724"/>
      <c r="C5" s="717"/>
      <c r="D5" s="717"/>
      <c r="E5" s="717"/>
      <c r="F5" s="717"/>
      <c r="G5" s="717"/>
      <c r="H5" s="717"/>
      <c r="I5" s="717"/>
      <c r="J5" s="717"/>
      <c r="K5" s="717"/>
      <c r="L5" s="725"/>
      <c r="M5" s="756"/>
      <c r="N5" s="756"/>
      <c r="O5" s="873"/>
      <c r="P5" s="873"/>
      <c r="Q5" s="873"/>
      <c r="R5" s="873"/>
      <c r="S5" s="873"/>
      <c r="T5" s="873"/>
      <c r="U5" s="873"/>
      <c r="V5" s="873"/>
      <c r="W5" s="873"/>
      <c r="X5" s="873"/>
      <c r="Y5" s="873"/>
      <c r="Z5" s="873"/>
      <c r="AA5" s="873"/>
      <c r="AB5" s="873"/>
      <c r="AC5" s="873"/>
      <c r="AD5" s="873"/>
      <c r="AE5" s="873"/>
      <c r="AF5" s="873"/>
      <c r="AG5" s="873"/>
    </row>
    <row r="6" spans="2:33" s="715" customFormat="1">
      <c r="B6" s="724"/>
      <c r="C6" s="717"/>
      <c r="D6" s="717"/>
      <c r="E6" s="717"/>
      <c r="F6" s="717"/>
      <c r="G6" s="717"/>
      <c r="H6" s="717"/>
      <c r="I6" s="717"/>
      <c r="J6" s="717"/>
      <c r="K6" s="717"/>
      <c r="L6" s="725"/>
      <c r="M6" s="756"/>
      <c r="N6" s="756"/>
      <c r="O6" s="873"/>
      <c r="P6" s="873"/>
      <c r="Q6" s="873"/>
      <c r="R6" s="873"/>
      <c r="S6" s="873"/>
      <c r="T6" s="873"/>
      <c r="U6" s="873"/>
      <c r="V6" s="873"/>
      <c r="W6" s="873"/>
      <c r="X6" s="873"/>
      <c r="Y6" s="873"/>
      <c r="Z6" s="873"/>
      <c r="AA6" s="873"/>
      <c r="AB6" s="873"/>
      <c r="AC6" s="873"/>
      <c r="AD6" s="873"/>
      <c r="AE6" s="873"/>
      <c r="AF6" s="873"/>
      <c r="AG6" s="873"/>
    </row>
    <row r="7" spans="2:33" s="715" customFormat="1">
      <c r="B7" s="724"/>
      <c r="C7" s="717"/>
      <c r="D7" s="717"/>
      <c r="E7" s="717"/>
      <c r="F7" s="717"/>
      <c r="G7" s="717"/>
      <c r="H7" s="717"/>
      <c r="I7" s="717"/>
      <c r="J7" s="717"/>
      <c r="K7" s="717"/>
      <c r="L7" s="725"/>
      <c r="M7" s="756"/>
      <c r="N7" s="756"/>
      <c r="O7" s="873"/>
      <c r="P7" s="873"/>
      <c r="Q7" s="873"/>
      <c r="R7" s="873"/>
      <c r="S7" s="873"/>
      <c r="T7" s="873"/>
      <c r="U7" s="873"/>
      <c r="V7" s="873"/>
      <c r="W7" s="873"/>
      <c r="X7" s="873"/>
      <c r="Y7" s="873"/>
      <c r="Z7" s="873"/>
      <c r="AA7" s="873"/>
      <c r="AB7" s="873"/>
      <c r="AC7" s="873"/>
      <c r="AD7" s="873"/>
      <c r="AE7" s="873"/>
      <c r="AF7" s="873"/>
      <c r="AG7" s="873"/>
    </row>
    <row r="8" spans="2:33" s="715" customFormat="1">
      <c r="B8" s="724"/>
      <c r="C8" s="717"/>
      <c r="D8" s="717"/>
      <c r="E8" s="717"/>
      <c r="F8" s="717"/>
      <c r="G8" s="717"/>
      <c r="H8" s="717"/>
      <c r="I8" s="717"/>
      <c r="J8" s="717"/>
      <c r="K8" s="717"/>
      <c r="L8" s="725"/>
      <c r="M8" s="756"/>
      <c r="N8" s="756"/>
      <c r="O8" s="873"/>
      <c r="P8" s="873"/>
      <c r="Q8" s="873"/>
      <c r="R8" s="873"/>
      <c r="S8" s="873"/>
      <c r="T8" s="873"/>
      <c r="U8" s="873"/>
      <c r="V8" s="873"/>
      <c r="W8" s="873"/>
      <c r="X8" s="873"/>
      <c r="Y8" s="873"/>
      <c r="Z8" s="873"/>
      <c r="AA8" s="873"/>
      <c r="AB8" s="873"/>
      <c r="AC8" s="873"/>
      <c r="AD8" s="873"/>
      <c r="AE8" s="873"/>
      <c r="AF8" s="873"/>
      <c r="AG8" s="873"/>
    </row>
    <row r="9" spans="2:33" s="715" customFormat="1">
      <c r="B9" s="724"/>
      <c r="C9" s="717"/>
      <c r="D9" s="717"/>
      <c r="E9" s="717"/>
      <c r="F9" s="717"/>
      <c r="G9" s="717"/>
      <c r="H9" s="717"/>
      <c r="I9" s="717"/>
      <c r="J9" s="717"/>
      <c r="K9" s="717"/>
      <c r="L9" s="725"/>
      <c r="M9" s="756"/>
      <c r="N9" s="756"/>
      <c r="O9" s="873"/>
      <c r="P9" s="873"/>
      <c r="Q9" s="873"/>
      <c r="R9" s="873"/>
      <c r="S9" s="873"/>
      <c r="T9" s="873"/>
      <c r="U9" s="873"/>
      <c r="V9" s="873"/>
      <c r="W9" s="873"/>
      <c r="X9" s="873"/>
      <c r="Y9" s="873"/>
      <c r="Z9" s="873"/>
      <c r="AA9" s="873"/>
      <c r="AB9" s="873"/>
      <c r="AC9" s="873"/>
      <c r="AD9" s="873"/>
      <c r="AE9" s="873"/>
      <c r="AF9" s="873"/>
      <c r="AG9" s="873"/>
    </row>
    <row r="10" spans="2:33" s="715" customFormat="1">
      <c r="B10" s="724"/>
      <c r="C10" s="717"/>
      <c r="D10" s="717"/>
      <c r="E10" s="717"/>
      <c r="F10" s="717"/>
      <c r="G10" s="717"/>
      <c r="H10" s="717"/>
      <c r="I10" s="717"/>
      <c r="J10" s="717"/>
      <c r="K10" s="717"/>
      <c r="L10" s="725"/>
      <c r="M10" s="756"/>
      <c r="N10" s="756"/>
      <c r="O10" s="873"/>
      <c r="P10" s="873"/>
      <c r="Q10" s="873"/>
      <c r="R10" s="873"/>
      <c r="S10" s="873"/>
      <c r="T10" s="873"/>
      <c r="U10" s="873"/>
      <c r="V10" s="873"/>
      <c r="W10" s="873"/>
      <c r="X10" s="873"/>
      <c r="Y10" s="873"/>
      <c r="Z10" s="873"/>
      <c r="AA10" s="873"/>
      <c r="AB10" s="873"/>
      <c r="AC10" s="873"/>
      <c r="AD10" s="873"/>
      <c r="AE10" s="873"/>
      <c r="AF10" s="873"/>
      <c r="AG10" s="873"/>
    </row>
    <row r="11" spans="2:33" s="715" customFormat="1">
      <c r="B11" s="724"/>
      <c r="C11" s="717"/>
      <c r="D11" s="717"/>
      <c r="E11" s="717"/>
      <c r="F11" s="717"/>
      <c r="G11" s="717"/>
      <c r="H11" s="717"/>
      <c r="I11" s="717"/>
      <c r="J11" s="717"/>
      <c r="K11" s="717"/>
      <c r="L11" s="725"/>
      <c r="M11" s="756"/>
      <c r="N11" s="756"/>
      <c r="O11" s="873"/>
      <c r="P11" s="873"/>
      <c r="Q11" s="873"/>
      <c r="R11" s="873"/>
      <c r="S11" s="873"/>
      <c r="T11" s="873"/>
      <c r="U11" s="873"/>
      <c r="V11" s="873"/>
      <c r="W11" s="873"/>
      <c r="X11" s="873"/>
      <c r="Y11" s="873"/>
      <c r="Z11" s="873"/>
      <c r="AA11" s="873"/>
      <c r="AB11" s="873"/>
      <c r="AC11" s="873"/>
      <c r="AD11" s="873"/>
      <c r="AE11" s="873"/>
      <c r="AF11" s="873"/>
      <c r="AG11" s="873"/>
    </row>
    <row r="12" spans="2:33" s="715" customFormat="1">
      <c r="B12" s="724"/>
      <c r="C12" s="717"/>
      <c r="D12" s="717"/>
      <c r="E12" s="717"/>
      <c r="F12" s="717"/>
      <c r="G12" s="717"/>
      <c r="H12" s="717"/>
      <c r="I12" s="717"/>
      <c r="J12" s="717"/>
      <c r="K12" s="717"/>
      <c r="L12" s="725"/>
      <c r="M12" s="756"/>
      <c r="N12" s="756"/>
      <c r="O12" s="873"/>
      <c r="P12" s="873"/>
      <c r="Q12" s="873"/>
      <c r="R12" s="873"/>
      <c r="S12" s="873"/>
      <c r="T12" s="873"/>
      <c r="U12" s="873"/>
      <c r="V12" s="873"/>
      <c r="W12" s="873"/>
      <c r="X12" s="873"/>
      <c r="Y12" s="873"/>
      <c r="Z12" s="873"/>
      <c r="AA12" s="873"/>
      <c r="AB12" s="873"/>
      <c r="AC12" s="873"/>
      <c r="AD12" s="873"/>
      <c r="AE12" s="873"/>
      <c r="AF12" s="873"/>
      <c r="AG12" s="873"/>
    </row>
    <row r="13" spans="2:33" s="715" customFormat="1">
      <c r="B13" s="724"/>
      <c r="C13" s="717"/>
      <c r="D13" s="717"/>
      <c r="E13" s="717"/>
      <c r="F13" s="717"/>
      <c r="G13" s="717"/>
      <c r="H13" s="717"/>
      <c r="I13" s="717"/>
      <c r="J13" s="717"/>
      <c r="K13" s="717"/>
      <c r="L13" s="725"/>
      <c r="M13" s="756"/>
      <c r="N13" s="756"/>
      <c r="O13" s="873"/>
      <c r="P13" s="873"/>
      <c r="Q13" s="873"/>
      <c r="R13" s="873"/>
      <c r="S13" s="873"/>
      <c r="T13" s="873"/>
      <c r="U13" s="873"/>
      <c r="V13" s="873"/>
      <c r="W13" s="873"/>
      <c r="X13" s="873"/>
      <c r="Y13" s="873"/>
      <c r="Z13" s="873"/>
      <c r="AA13" s="873"/>
      <c r="AB13" s="873"/>
      <c r="AC13" s="873"/>
      <c r="AD13" s="873"/>
      <c r="AE13" s="873"/>
      <c r="AF13" s="873"/>
      <c r="AG13" s="873"/>
    </row>
    <row r="14" spans="2:33" s="715" customFormat="1">
      <c r="B14" s="724"/>
      <c r="C14" s="717"/>
      <c r="D14" s="717"/>
      <c r="E14" s="717"/>
      <c r="F14" s="717"/>
      <c r="G14" s="717"/>
      <c r="H14" s="717"/>
      <c r="I14" s="717"/>
      <c r="J14" s="717"/>
      <c r="K14" s="717"/>
      <c r="L14" s="725"/>
      <c r="M14" s="756"/>
      <c r="N14" s="756"/>
      <c r="O14" s="873"/>
      <c r="P14" s="873"/>
      <c r="Q14" s="873"/>
      <c r="R14" s="873"/>
      <c r="S14" s="873"/>
      <c r="T14" s="873"/>
      <c r="U14" s="873"/>
      <c r="V14" s="873"/>
      <c r="W14" s="873"/>
      <c r="X14" s="873"/>
      <c r="Y14" s="873"/>
      <c r="Z14" s="873"/>
      <c r="AA14" s="873"/>
      <c r="AB14" s="873"/>
      <c r="AC14" s="873"/>
      <c r="AD14" s="873"/>
      <c r="AE14" s="873"/>
      <c r="AF14" s="873"/>
      <c r="AG14" s="873"/>
    </row>
    <row r="15" spans="2:33" s="715" customFormat="1">
      <c r="B15" s="724"/>
      <c r="C15" s="717"/>
      <c r="D15" s="717"/>
      <c r="E15" s="717"/>
      <c r="F15" s="717"/>
      <c r="G15" s="717"/>
      <c r="H15" s="717"/>
      <c r="I15" s="717"/>
      <c r="J15" s="717"/>
      <c r="K15" s="717"/>
      <c r="L15" s="725"/>
      <c r="M15" s="756"/>
      <c r="N15" s="756"/>
      <c r="O15" s="873"/>
      <c r="P15" s="873"/>
      <c r="Q15" s="873"/>
      <c r="R15" s="873"/>
      <c r="S15" s="873"/>
      <c r="T15" s="873"/>
      <c r="U15" s="873"/>
      <c r="V15" s="873"/>
      <c r="W15" s="873"/>
      <c r="X15" s="873"/>
      <c r="Y15" s="873"/>
      <c r="Z15" s="873"/>
      <c r="AA15" s="873"/>
      <c r="AB15" s="873"/>
      <c r="AC15" s="873"/>
      <c r="AD15" s="873"/>
      <c r="AE15" s="873"/>
      <c r="AF15" s="873"/>
      <c r="AG15" s="873"/>
    </row>
    <row r="16" spans="2:33" s="715" customFormat="1">
      <c r="B16" s="724"/>
      <c r="C16" s="717"/>
      <c r="D16" s="717"/>
      <c r="E16" s="717"/>
      <c r="F16" s="717"/>
      <c r="G16" s="717"/>
      <c r="H16" s="717"/>
      <c r="I16" s="717"/>
      <c r="J16" s="717"/>
      <c r="K16" s="717"/>
      <c r="L16" s="725"/>
      <c r="M16" s="756"/>
      <c r="N16" s="756"/>
      <c r="O16" s="873"/>
      <c r="P16" s="873"/>
      <c r="Q16" s="873"/>
      <c r="R16" s="873"/>
      <c r="S16" s="873"/>
      <c r="T16" s="873"/>
      <c r="U16" s="873"/>
      <c r="V16" s="873"/>
      <c r="W16" s="873"/>
      <c r="X16" s="873"/>
      <c r="Y16" s="873"/>
      <c r="Z16" s="873"/>
      <c r="AA16" s="873"/>
      <c r="AB16" s="873"/>
      <c r="AC16" s="873"/>
      <c r="AD16" s="873"/>
      <c r="AE16" s="873"/>
      <c r="AF16" s="873"/>
      <c r="AG16" s="873"/>
    </row>
    <row r="17" spans="2:33" s="715" customFormat="1">
      <c r="B17" s="724"/>
      <c r="C17" s="717"/>
      <c r="D17" s="717"/>
      <c r="E17" s="717"/>
      <c r="F17" s="717"/>
      <c r="G17" s="717"/>
      <c r="H17" s="717"/>
      <c r="I17" s="717"/>
      <c r="J17" s="717"/>
      <c r="K17" s="717"/>
      <c r="L17" s="725"/>
      <c r="M17" s="756"/>
      <c r="N17" s="756"/>
      <c r="O17" s="873"/>
      <c r="P17" s="873"/>
      <c r="Q17" s="873"/>
      <c r="R17" s="873"/>
      <c r="S17" s="873"/>
      <c r="T17" s="873"/>
      <c r="U17" s="873"/>
      <c r="V17" s="873"/>
      <c r="W17" s="873"/>
      <c r="X17" s="873"/>
      <c r="Y17" s="873"/>
      <c r="Z17" s="873"/>
      <c r="AA17" s="873"/>
      <c r="AB17" s="873"/>
      <c r="AC17" s="873"/>
      <c r="AD17" s="873"/>
      <c r="AE17" s="873"/>
      <c r="AF17" s="873"/>
      <c r="AG17" s="873"/>
    </row>
    <row r="18" spans="2:33" s="715" customFormat="1">
      <c r="B18" s="724"/>
      <c r="C18" s="717"/>
      <c r="D18" s="717"/>
      <c r="E18" s="717"/>
      <c r="F18" s="717"/>
      <c r="G18" s="717"/>
      <c r="H18" s="717"/>
      <c r="I18" s="717"/>
      <c r="J18" s="717"/>
      <c r="K18" s="717"/>
      <c r="L18" s="725"/>
      <c r="M18" s="756"/>
      <c r="N18" s="756"/>
      <c r="O18" s="873"/>
      <c r="P18" s="873"/>
      <c r="Q18" s="873"/>
      <c r="R18" s="873"/>
      <c r="S18" s="873"/>
      <c r="T18" s="873"/>
      <c r="U18" s="873"/>
      <c r="V18" s="873"/>
      <c r="W18" s="873"/>
      <c r="X18" s="873"/>
      <c r="Y18" s="873"/>
      <c r="Z18" s="873"/>
      <c r="AA18" s="873"/>
      <c r="AB18" s="873"/>
      <c r="AC18" s="873"/>
      <c r="AD18" s="873"/>
      <c r="AE18" s="873"/>
      <c r="AF18" s="873"/>
      <c r="AG18" s="873"/>
    </row>
    <row r="19" spans="2:33" s="715" customFormat="1">
      <c r="B19" s="724"/>
      <c r="C19" s="717"/>
      <c r="D19" s="717"/>
      <c r="E19" s="717"/>
      <c r="F19" s="717"/>
      <c r="G19" s="717"/>
      <c r="H19" s="717"/>
      <c r="I19" s="717"/>
      <c r="J19" s="717"/>
      <c r="K19" s="717"/>
      <c r="L19" s="725"/>
      <c r="M19" s="756"/>
      <c r="N19" s="756"/>
      <c r="O19" s="873"/>
      <c r="P19" s="873"/>
      <c r="Q19" s="873"/>
      <c r="R19" s="873"/>
      <c r="S19" s="873"/>
      <c r="T19" s="873"/>
      <c r="U19" s="873"/>
      <c r="V19" s="873"/>
      <c r="W19" s="873"/>
      <c r="X19" s="873"/>
      <c r="Y19" s="873"/>
      <c r="Z19" s="873"/>
      <c r="AA19" s="873"/>
      <c r="AB19" s="873"/>
      <c r="AC19" s="873"/>
      <c r="AD19" s="873"/>
      <c r="AE19" s="873"/>
      <c r="AF19" s="873"/>
      <c r="AG19" s="873"/>
    </row>
    <row r="20" spans="2:33" s="715" customFormat="1">
      <c r="B20" s="724"/>
      <c r="C20" s="717"/>
      <c r="D20" s="717"/>
      <c r="E20" s="717"/>
      <c r="F20" s="717"/>
      <c r="G20" s="717"/>
      <c r="H20" s="717"/>
      <c r="I20" s="717"/>
      <c r="J20" s="717"/>
      <c r="K20" s="717"/>
      <c r="L20" s="725"/>
      <c r="M20" s="756"/>
      <c r="N20" s="756"/>
      <c r="O20" s="873"/>
      <c r="P20" s="873"/>
      <c r="Q20" s="873"/>
      <c r="R20" s="873"/>
      <c r="S20" s="873"/>
      <c r="T20" s="873"/>
      <c r="U20" s="873"/>
      <c r="V20" s="873"/>
      <c r="W20" s="873"/>
      <c r="X20" s="873"/>
      <c r="Y20" s="873"/>
      <c r="Z20" s="873"/>
      <c r="AA20" s="873"/>
      <c r="AB20" s="873"/>
      <c r="AC20" s="873"/>
      <c r="AD20" s="873"/>
      <c r="AE20" s="873"/>
      <c r="AF20" s="873"/>
      <c r="AG20" s="873"/>
    </row>
    <row r="21" spans="2:33" s="715" customFormat="1">
      <c r="B21" s="724"/>
      <c r="C21" s="717"/>
      <c r="D21" s="717"/>
      <c r="E21" s="717"/>
      <c r="F21" s="717"/>
      <c r="G21" s="717"/>
      <c r="H21" s="717"/>
      <c r="I21" s="717"/>
      <c r="J21" s="717"/>
      <c r="K21" s="717"/>
      <c r="L21" s="725"/>
      <c r="M21" s="756"/>
      <c r="N21" s="756"/>
      <c r="O21" s="873"/>
      <c r="P21" s="873"/>
      <c r="Q21" s="873"/>
      <c r="R21" s="873"/>
      <c r="S21" s="873"/>
      <c r="T21" s="873"/>
      <c r="U21" s="873"/>
      <c r="V21" s="873"/>
      <c r="W21" s="873"/>
      <c r="X21" s="873"/>
      <c r="Y21" s="873"/>
      <c r="Z21" s="873"/>
      <c r="AA21" s="873"/>
      <c r="AB21" s="873"/>
      <c r="AC21" s="873"/>
      <c r="AD21" s="873"/>
      <c r="AE21" s="873"/>
      <c r="AF21" s="873"/>
      <c r="AG21" s="873"/>
    </row>
    <row r="22" spans="2:33" s="715" customFormat="1">
      <c r="B22" s="724"/>
      <c r="C22" s="717"/>
      <c r="D22" s="717"/>
      <c r="E22" s="717"/>
      <c r="F22" s="717"/>
      <c r="G22" s="717"/>
      <c r="H22" s="717"/>
      <c r="I22" s="717"/>
      <c r="J22" s="717"/>
      <c r="K22" s="717"/>
      <c r="L22" s="725"/>
      <c r="M22" s="756"/>
      <c r="N22" s="756"/>
      <c r="O22" s="873"/>
      <c r="P22" s="873"/>
      <c r="Q22" s="873"/>
      <c r="R22" s="873"/>
      <c r="S22" s="873"/>
      <c r="T22" s="873"/>
      <c r="U22" s="873"/>
      <c r="V22" s="873"/>
      <c r="W22" s="873"/>
      <c r="X22" s="873"/>
      <c r="Y22" s="873"/>
      <c r="Z22" s="873"/>
      <c r="AA22" s="873"/>
      <c r="AB22" s="873"/>
      <c r="AC22" s="873"/>
      <c r="AD22" s="873"/>
      <c r="AE22" s="873"/>
      <c r="AF22" s="873"/>
      <c r="AG22" s="873"/>
    </row>
    <row r="23" spans="2:33" s="715" customFormat="1">
      <c r="B23" s="724"/>
      <c r="C23" s="717"/>
      <c r="D23" s="717"/>
      <c r="E23" s="717"/>
      <c r="F23" s="717"/>
      <c r="G23" s="717"/>
      <c r="H23" s="717"/>
      <c r="I23" s="717"/>
      <c r="J23" s="717"/>
      <c r="K23" s="717"/>
      <c r="L23" s="725"/>
      <c r="M23" s="756"/>
      <c r="N23" s="756"/>
      <c r="O23" s="873"/>
      <c r="P23" s="873"/>
      <c r="Q23" s="873"/>
      <c r="R23" s="873"/>
      <c r="S23" s="873"/>
      <c r="T23" s="873"/>
      <c r="U23" s="873"/>
      <c r="V23" s="873"/>
      <c r="W23" s="873"/>
      <c r="X23" s="873"/>
      <c r="Y23" s="873"/>
      <c r="Z23" s="873"/>
      <c r="AA23" s="873"/>
      <c r="AB23" s="873"/>
      <c r="AC23" s="873"/>
      <c r="AD23" s="873"/>
      <c r="AE23" s="873"/>
      <c r="AF23" s="873"/>
      <c r="AG23" s="873"/>
    </row>
    <row r="24" spans="2:33" s="715" customFormat="1">
      <c r="B24" s="724"/>
      <c r="C24" s="717"/>
      <c r="D24" s="717"/>
      <c r="E24" s="717"/>
      <c r="F24" s="717"/>
      <c r="G24" s="717"/>
      <c r="H24" s="717"/>
      <c r="I24" s="717"/>
      <c r="J24" s="717"/>
      <c r="K24" s="717"/>
      <c r="L24" s="725"/>
      <c r="M24" s="756"/>
      <c r="N24" s="756"/>
      <c r="O24" s="873"/>
      <c r="P24" s="873"/>
      <c r="Q24" s="873"/>
      <c r="R24" s="873"/>
      <c r="S24" s="873"/>
      <c r="T24" s="873"/>
      <c r="U24" s="873"/>
      <c r="V24" s="873"/>
      <c r="W24" s="873"/>
      <c r="X24" s="873"/>
      <c r="Y24" s="873"/>
      <c r="Z24" s="873"/>
      <c r="AA24" s="873"/>
      <c r="AB24" s="873"/>
      <c r="AC24" s="873"/>
      <c r="AD24" s="873"/>
      <c r="AE24" s="873"/>
      <c r="AF24" s="873"/>
      <c r="AG24" s="873"/>
    </row>
    <row r="25" spans="2:33" s="715" customFormat="1" ht="14.5" customHeight="1">
      <c r="B25" s="724"/>
      <c r="C25" s="1689" t="s">
        <v>1134</v>
      </c>
      <c r="D25" s="1689"/>
      <c r="E25" s="1689"/>
      <c r="F25" s="1689"/>
      <c r="G25" s="1689"/>
      <c r="H25" s="1689"/>
      <c r="I25" s="1689"/>
      <c r="J25" s="1689"/>
      <c r="K25" s="1689"/>
      <c r="L25" s="725"/>
      <c r="M25" s="756"/>
      <c r="N25" s="756"/>
      <c r="O25" s="873"/>
      <c r="P25" s="873"/>
      <c r="Q25" s="873"/>
      <c r="R25" s="873"/>
      <c r="S25" s="873"/>
      <c r="T25" s="873"/>
      <c r="U25" s="873"/>
      <c r="V25" s="873"/>
      <c r="W25" s="873"/>
      <c r="X25" s="873"/>
      <c r="Y25" s="873"/>
      <c r="Z25" s="873"/>
      <c r="AA25" s="873"/>
      <c r="AB25" s="873"/>
      <c r="AC25" s="873"/>
      <c r="AD25" s="873"/>
      <c r="AE25" s="873"/>
      <c r="AF25" s="873"/>
      <c r="AG25" s="873"/>
    </row>
    <row r="26" spans="2:33" s="715" customFormat="1">
      <c r="B26" s="724"/>
      <c r="C26" s="1689"/>
      <c r="D26" s="1689"/>
      <c r="E26" s="1689"/>
      <c r="F26" s="1689"/>
      <c r="G26" s="1689"/>
      <c r="H26" s="1689"/>
      <c r="I26" s="1689"/>
      <c r="J26" s="1689"/>
      <c r="K26" s="1689"/>
      <c r="L26" s="725"/>
      <c r="M26" s="756"/>
      <c r="N26" s="756"/>
      <c r="O26" s="873"/>
      <c r="P26" s="873"/>
      <c r="Q26" s="873"/>
      <c r="R26" s="873"/>
      <c r="S26" s="873"/>
      <c r="T26" s="873"/>
      <c r="U26" s="873"/>
      <c r="V26" s="873"/>
      <c r="W26" s="873"/>
      <c r="X26" s="873"/>
      <c r="Y26" s="873"/>
      <c r="Z26" s="873"/>
      <c r="AA26" s="873"/>
      <c r="AB26" s="873"/>
      <c r="AC26" s="873"/>
      <c r="AD26" s="873"/>
      <c r="AE26" s="873"/>
      <c r="AF26" s="873"/>
      <c r="AG26" s="873"/>
    </row>
    <row r="27" spans="2:33" s="715" customFormat="1">
      <c r="B27" s="1017"/>
      <c r="C27" s="717"/>
      <c r="D27" s="748"/>
      <c r="E27" s="748"/>
      <c r="F27" s="748"/>
      <c r="G27" s="748"/>
      <c r="H27" s="748"/>
      <c r="I27" s="748"/>
      <c r="J27" s="748"/>
      <c r="K27" s="717"/>
      <c r="L27" s="725"/>
      <c r="M27" s="756"/>
      <c r="N27" s="756"/>
      <c r="O27" s="873"/>
      <c r="P27" s="873"/>
      <c r="Q27" s="873"/>
      <c r="R27" s="873"/>
      <c r="S27" s="873"/>
      <c r="T27" s="873"/>
      <c r="U27" s="873"/>
      <c r="V27" s="873"/>
      <c r="W27" s="873"/>
      <c r="X27" s="873"/>
      <c r="Y27" s="873"/>
      <c r="Z27" s="873"/>
      <c r="AA27" s="873"/>
      <c r="AB27" s="873"/>
      <c r="AC27" s="873"/>
      <c r="AD27" s="873"/>
      <c r="AE27" s="873"/>
      <c r="AF27" s="873"/>
      <c r="AG27" s="873"/>
    </row>
    <row r="28" spans="2:33" s="715" customFormat="1">
      <c r="B28" s="724"/>
      <c r="C28" s="1690" t="s">
        <v>1288</v>
      </c>
      <c r="D28" s="1690"/>
      <c r="E28" s="1690"/>
      <c r="F28" s="1690"/>
      <c r="G28" s="1691" t="s">
        <v>1135</v>
      </c>
      <c r="H28" s="1692"/>
      <c r="I28" s="1693" t="str">
        <f>'Data Sheet'!D19</f>
        <v>ABCD Transport</v>
      </c>
      <c r="J28" s="1694"/>
      <c r="K28" s="1695"/>
      <c r="L28" s="725"/>
      <c r="M28" s="756"/>
      <c r="N28" s="756"/>
      <c r="O28" s="873"/>
      <c r="P28" s="873"/>
      <c r="Q28" s="873"/>
      <c r="R28" s="873"/>
      <c r="S28" s="873"/>
      <c r="T28" s="873"/>
      <c r="U28" s="873"/>
      <c r="V28" s="873"/>
      <c r="W28" s="873"/>
      <c r="X28" s="873"/>
      <c r="Y28" s="873"/>
      <c r="Z28" s="873"/>
      <c r="AA28" s="873"/>
      <c r="AB28" s="873"/>
      <c r="AC28" s="873"/>
      <c r="AD28" s="873"/>
      <c r="AE28" s="873"/>
      <c r="AF28" s="873"/>
      <c r="AG28" s="873"/>
    </row>
    <row r="29" spans="2:33" s="715" customFormat="1">
      <c r="B29" s="724"/>
      <c r="C29" s="1690"/>
      <c r="D29" s="1690"/>
      <c r="E29" s="1690"/>
      <c r="F29" s="1690"/>
      <c r="G29" s="1691" t="s">
        <v>1136</v>
      </c>
      <c r="H29" s="1692"/>
      <c r="I29" s="1693" t="str">
        <f>'Data Sheet'!D23</f>
        <v>Jan Van Schalwyk</v>
      </c>
      <c r="J29" s="1694"/>
      <c r="K29" s="1694"/>
      <c r="L29" s="725"/>
      <c r="M29" s="756"/>
      <c r="N29" s="756"/>
      <c r="O29" s="873"/>
      <c r="P29" s="873"/>
      <c r="Q29" s="873"/>
      <c r="R29" s="873"/>
      <c r="S29" s="873"/>
      <c r="T29" s="873"/>
      <c r="U29" s="873"/>
      <c r="V29" s="873"/>
      <c r="W29" s="873"/>
      <c r="X29" s="873"/>
      <c r="Y29" s="873"/>
      <c r="Z29" s="873"/>
      <c r="AA29" s="873"/>
      <c r="AB29" s="873"/>
      <c r="AC29" s="873"/>
      <c r="AD29" s="873"/>
      <c r="AE29" s="873"/>
      <c r="AF29" s="873"/>
      <c r="AG29" s="873"/>
    </row>
    <row r="30" spans="2:33" s="715" customFormat="1">
      <c r="B30" s="724"/>
      <c r="C30" s="717"/>
      <c r="D30" s="717"/>
      <c r="E30" s="717"/>
      <c r="G30" s="1691" t="s">
        <v>1137</v>
      </c>
      <c r="H30" s="1692"/>
      <c r="I30" s="1699" t="str">
        <f>'Data Sheet'!D32</f>
        <v>012- 003 1234</v>
      </c>
      <c r="J30" s="1700"/>
      <c r="K30" s="1700"/>
      <c r="L30" s="725"/>
      <c r="M30" s="756"/>
      <c r="N30" s="756"/>
      <c r="O30" s="873"/>
      <c r="P30" s="873"/>
      <c r="Q30" s="873"/>
      <c r="R30" s="873"/>
      <c r="S30" s="873"/>
      <c r="T30" s="873"/>
      <c r="U30" s="873"/>
      <c r="V30" s="873"/>
      <c r="W30" s="873"/>
      <c r="X30" s="873"/>
      <c r="Y30" s="873"/>
      <c r="Z30" s="873"/>
      <c r="AA30" s="873"/>
      <c r="AB30" s="873"/>
      <c r="AC30" s="873"/>
      <c r="AD30" s="873"/>
      <c r="AE30" s="873"/>
      <c r="AF30" s="873"/>
      <c r="AG30" s="873"/>
    </row>
    <row r="31" spans="2:33" s="715" customFormat="1" ht="15" customHeight="1">
      <c r="B31" s="724"/>
      <c r="C31" s="1690" t="s">
        <v>1154</v>
      </c>
      <c r="D31" s="1690"/>
      <c r="E31" s="1690"/>
      <c r="F31" s="757"/>
      <c r="G31" s="1701" t="s">
        <v>311</v>
      </c>
      <c r="H31" s="1701"/>
      <c r="I31" s="1702"/>
      <c r="J31" s="1703"/>
      <c r="K31" s="1704"/>
      <c r="L31" s="725"/>
      <c r="M31" s="756"/>
      <c r="N31" s="756"/>
      <c r="O31" s="873"/>
      <c r="P31" s="873"/>
      <c r="Q31" s="873"/>
      <c r="R31" s="873"/>
      <c r="S31" s="873"/>
      <c r="T31" s="873"/>
      <c r="U31" s="873"/>
      <c r="V31" s="873"/>
      <c r="W31" s="873"/>
      <c r="X31" s="873"/>
      <c r="Y31" s="873"/>
      <c r="Z31" s="873"/>
      <c r="AA31" s="873"/>
      <c r="AB31" s="873"/>
      <c r="AC31" s="873"/>
      <c r="AD31" s="873"/>
      <c r="AE31" s="873"/>
      <c r="AF31" s="873"/>
      <c r="AG31" s="873"/>
    </row>
    <row r="32" spans="2:33" s="715" customFormat="1">
      <c r="B32" s="724"/>
      <c r="C32" s="1690"/>
      <c r="D32" s="1690"/>
      <c r="E32" s="1690"/>
      <c r="F32" s="757"/>
      <c r="G32" s="1691" t="s">
        <v>1138</v>
      </c>
      <c r="H32" s="1692"/>
      <c r="I32" s="1702"/>
      <c r="J32" s="1703"/>
      <c r="K32" s="1704"/>
      <c r="L32" s="725"/>
      <c r="M32" s="756"/>
      <c r="N32" s="756"/>
      <c r="O32" s="873"/>
      <c r="P32" s="873"/>
      <c r="Q32" s="873"/>
      <c r="R32" s="873"/>
      <c r="S32" s="873"/>
      <c r="T32" s="873"/>
      <c r="U32" s="873"/>
      <c r="V32" s="873"/>
      <c r="W32" s="873"/>
      <c r="X32" s="873"/>
      <c r="Y32" s="873"/>
      <c r="Z32" s="873"/>
      <c r="AA32" s="873"/>
      <c r="AB32" s="873"/>
      <c r="AC32" s="873"/>
      <c r="AD32" s="873"/>
      <c r="AE32" s="873"/>
      <c r="AF32" s="873"/>
      <c r="AG32" s="873"/>
    </row>
    <row r="33" spans="2:33" s="715" customFormat="1">
      <c r="B33" s="724"/>
      <c r="C33" s="717"/>
      <c r="J33" s="716"/>
      <c r="K33" s="717"/>
      <c r="L33" s="725"/>
      <c r="M33" s="756"/>
      <c r="N33" s="756"/>
      <c r="O33" s="873"/>
      <c r="P33" s="873"/>
      <c r="Q33" s="873"/>
      <c r="R33" s="873"/>
      <c r="S33" s="873"/>
      <c r="T33" s="873"/>
      <c r="U33" s="873"/>
      <c r="V33" s="873"/>
      <c r="W33" s="873"/>
      <c r="X33" s="873"/>
      <c r="Y33" s="873"/>
      <c r="Z33" s="873"/>
      <c r="AA33" s="873"/>
      <c r="AB33" s="873"/>
      <c r="AC33" s="873"/>
      <c r="AD33" s="873"/>
      <c r="AE33" s="873"/>
      <c r="AF33" s="873"/>
      <c r="AG33" s="873"/>
    </row>
    <row r="34" spans="2:33" s="715" customFormat="1">
      <c r="B34" s="724"/>
      <c r="C34" s="717"/>
      <c r="J34" s="716"/>
      <c r="K34" s="717"/>
      <c r="L34" s="725"/>
      <c r="M34" s="756"/>
      <c r="N34" s="756"/>
      <c r="O34" s="873"/>
      <c r="P34" s="873"/>
      <c r="Q34" s="873"/>
      <c r="R34" s="873"/>
      <c r="S34" s="873"/>
      <c r="T34" s="873"/>
      <c r="U34" s="873"/>
      <c r="V34" s="873"/>
      <c r="W34" s="873"/>
      <c r="X34" s="873"/>
      <c r="Y34" s="873"/>
      <c r="Z34" s="873"/>
      <c r="AA34" s="873"/>
      <c r="AB34" s="873"/>
      <c r="AC34" s="873"/>
      <c r="AD34" s="873"/>
      <c r="AE34" s="873"/>
      <c r="AF34" s="873"/>
      <c r="AG34" s="873"/>
    </row>
    <row r="35" spans="2:33" s="715" customFormat="1">
      <c r="B35" s="718"/>
      <c r="C35" s="718"/>
      <c r="D35" s="718"/>
      <c r="E35" s="718"/>
      <c r="F35" s="718"/>
      <c r="G35" s="718"/>
      <c r="H35" s="718"/>
      <c r="I35" s="718"/>
      <c r="J35" s="718"/>
      <c r="K35" s="718"/>
      <c r="L35" s="718"/>
      <c r="M35" s="756"/>
      <c r="N35" s="756"/>
      <c r="O35" s="873"/>
      <c r="P35" s="873"/>
      <c r="Q35" s="873"/>
      <c r="R35" s="873"/>
      <c r="S35" s="873"/>
      <c r="T35" s="873"/>
      <c r="U35" s="873"/>
      <c r="V35" s="873"/>
      <c r="W35" s="873"/>
      <c r="X35" s="873"/>
      <c r="Y35" s="873"/>
      <c r="Z35" s="873"/>
      <c r="AA35" s="873"/>
      <c r="AB35" s="873"/>
      <c r="AC35" s="873"/>
      <c r="AD35" s="873"/>
      <c r="AE35" s="873"/>
      <c r="AF35" s="873"/>
      <c r="AG35" s="873"/>
    </row>
    <row r="36" spans="2:33" s="715" customFormat="1" ht="18.3">
      <c r="B36" s="718"/>
      <c r="C36" s="718"/>
      <c r="D36" s="719" t="s">
        <v>1139</v>
      </c>
      <c r="E36" s="718"/>
      <c r="F36" s="718"/>
      <c r="G36" s="718"/>
      <c r="H36" s="718"/>
      <c r="I36" s="718"/>
      <c r="J36" s="718"/>
      <c r="K36" s="718"/>
      <c r="L36" s="718"/>
      <c r="M36" s="756"/>
      <c r="N36" s="756"/>
      <c r="O36" s="873"/>
      <c r="P36" s="873"/>
      <c r="Q36" s="873"/>
      <c r="R36" s="873"/>
      <c r="S36" s="873"/>
      <c r="T36" s="873"/>
      <c r="U36" s="873"/>
      <c r="V36" s="873"/>
      <c r="W36" s="873"/>
      <c r="X36" s="873"/>
      <c r="Y36" s="873"/>
      <c r="Z36" s="873"/>
      <c r="AA36" s="873"/>
      <c r="AB36" s="873"/>
      <c r="AC36" s="873"/>
      <c r="AD36" s="873"/>
      <c r="AE36" s="873"/>
      <c r="AF36" s="873"/>
      <c r="AG36" s="873"/>
    </row>
    <row r="37" spans="2:33" s="715" customFormat="1">
      <c r="B37" s="718"/>
      <c r="C37" s="718"/>
      <c r="D37" s="720" t="s">
        <v>1140</v>
      </c>
      <c r="E37" s="720"/>
      <c r="F37" s="720"/>
      <c r="G37" s="720"/>
      <c r="H37" s="720"/>
      <c r="I37" s="720"/>
      <c r="J37" s="720"/>
      <c r="K37" s="720"/>
      <c r="L37" s="718"/>
      <c r="M37" s="756"/>
      <c r="N37" s="756"/>
      <c r="O37" s="873"/>
      <c r="P37" s="873"/>
      <c r="Q37" s="873"/>
      <c r="R37" s="873"/>
      <c r="S37" s="873"/>
      <c r="T37" s="873"/>
      <c r="U37" s="873"/>
      <c r="V37" s="873"/>
      <c r="W37" s="873"/>
      <c r="X37" s="873"/>
      <c r="Y37" s="873"/>
      <c r="Z37" s="873"/>
      <c r="AA37" s="873"/>
      <c r="AB37" s="873"/>
      <c r="AC37" s="873"/>
      <c r="AD37" s="873"/>
      <c r="AE37" s="873"/>
      <c r="AF37" s="873"/>
      <c r="AG37" s="873"/>
    </row>
    <row r="38" spans="2:33" s="715" customFormat="1">
      <c r="B38" s="718"/>
      <c r="C38" s="718"/>
      <c r="D38" s="720" t="s">
        <v>825</v>
      </c>
      <c r="E38" s="720"/>
      <c r="F38" s="720"/>
      <c r="G38" s="720"/>
      <c r="H38" s="720"/>
      <c r="I38" s="720"/>
      <c r="J38" s="720"/>
      <c r="K38" s="720"/>
      <c r="L38" s="718"/>
      <c r="M38" s="756"/>
      <c r="N38" s="756"/>
      <c r="O38" s="873"/>
      <c r="P38" s="873"/>
      <c r="Q38" s="873"/>
      <c r="R38" s="873"/>
      <c r="S38" s="873"/>
      <c r="T38" s="873"/>
      <c r="U38" s="873"/>
      <c r="V38" s="873"/>
      <c r="W38" s="873"/>
      <c r="X38" s="873"/>
      <c r="Y38" s="873"/>
      <c r="Z38" s="873"/>
      <c r="AA38" s="873"/>
      <c r="AB38" s="873"/>
      <c r="AC38" s="873"/>
      <c r="AD38" s="873"/>
      <c r="AE38" s="873"/>
      <c r="AF38" s="873"/>
      <c r="AG38" s="873"/>
    </row>
    <row r="39" spans="2:33" s="715" customFormat="1">
      <c r="B39" s="718"/>
      <c r="C39" s="718"/>
      <c r="D39" s="720" t="s">
        <v>1155</v>
      </c>
      <c r="E39" s="720"/>
      <c r="F39" s="720"/>
      <c r="G39" s="720"/>
      <c r="H39" s="720"/>
      <c r="I39" s="720"/>
      <c r="J39" s="720"/>
      <c r="K39" s="720"/>
      <c r="L39" s="718"/>
      <c r="M39" s="756"/>
      <c r="N39" s="756"/>
      <c r="O39" s="873"/>
      <c r="P39" s="873"/>
      <c r="Q39" s="873"/>
      <c r="R39" s="873"/>
      <c r="S39" s="873"/>
      <c r="T39" s="873"/>
      <c r="U39" s="873"/>
      <c r="V39" s="873"/>
      <c r="W39" s="873"/>
      <c r="X39" s="873"/>
      <c r="Y39" s="873"/>
      <c r="Z39" s="873"/>
      <c r="AA39" s="873"/>
      <c r="AB39" s="873"/>
      <c r="AC39" s="873"/>
      <c r="AD39" s="873"/>
      <c r="AE39" s="873"/>
      <c r="AF39" s="873"/>
      <c r="AG39" s="873"/>
    </row>
    <row r="40" spans="2:33" s="715" customFormat="1">
      <c r="B40" s="718"/>
      <c r="C40" s="718"/>
      <c r="D40" s="720"/>
      <c r="E40" s="720"/>
      <c r="F40" s="720"/>
      <c r="G40" s="720"/>
      <c r="H40" s="720"/>
      <c r="I40" s="720"/>
      <c r="J40" s="720"/>
      <c r="K40" s="720"/>
      <c r="L40" s="718"/>
      <c r="M40" s="756"/>
      <c r="N40" s="756"/>
      <c r="O40" s="873"/>
      <c r="P40" s="873"/>
      <c r="Q40" s="873"/>
      <c r="R40" s="873"/>
      <c r="S40" s="873"/>
      <c r="T40" s="873"/>
      <c r="U40" s="873"/>
      <c r="V40" s="873"/>
      <c r="W40" s="873"/>
      <c r="X40" s="873"/>
      <c r="Y40" s="873"/>
      <c r="Z40" s="873"/>
      <c r="AA40" s="873"/>
      <c r="AB40" s="873"/>
      <c r="AC40" s="873"/>
      <c r="AD40" s="873"/>
      <c r="AE40" s="873"/>
      <c r="AF40" s="873"/>
      <c r="AG40" s="873"/>
    </row>
    <row r="41" spans="2:33" s="715" customFormat="1">
      <c r="B41" s="718"/>
      <c r="C41" s="718"/>
      <c r="D41" s="1696" t="s">
        <v>1141</v>
      </c>
      <c r="E41" s="1696"/>
      <c r="F41" s="1696"/>
      <c r="G41" s="1696"/>
      <c r="H41" s="1696"/>
      <c r="I41" s="1696"/>
      <c r="J41" s="1696"/>
      <c r="K41" s="720"/>
      <c r="L41" s="718"/>
      <c r="M41" s="756"/>
      <c r="N41" s="756"/>
      <c r="O41" s="873"/>
      <c r="P41" s="873"/>
      <c r="Q41" s="873"/>
      <c r="R41" s="873"/>
      <c r="S41" s="873"/>
      <c r="T41" s="873"/>
      <c r="U41" s="873"/>
      <c r="V41" s="873"/>
      <c r="W41" s="873"/>
      <c r="X41" s="873"/>
      <c r="Y41" s="873"/>
      <c r="Z41" s="873"/>
      <c r="AA41" s="873"/>
      <c r="AB41" s="873"/>
      <c r="AC41" s="873"/>
      <c r="AD41" s="873"/>
      <c r="AE41" s="873"/>
      <c r="AF41" s="873"/>
      <c r="AG41" s="873"/>
    </row>
    <row r="42" spans="2:33" s="715" customFormat="1">
      <c r="B42" s="718"/>
      <c r="C42" s="718"/>
      <c r="D42" s="1696"/>
      <c r="E42" s="1696"/>
      <c r="F42" s="1696"/>
      <c r="G42" s="1696"/>
      <c r="H42" s="1696"/>
      <c r="I42" s="1696"/>
      <c r="J42" s="1696"/>
      <c r="K42" s="718"/>
      <c r="L42" s="718"/>
      <c r="M42" s="756"/>
      <c r="N42" s="756"/>
      <c r="O42" s="873"/>
      <c r="P42" s="873"/>
      <c r="Q42" s="873"/>
      <c r="R42" s="873"/>
      <c r="S42" s="873"/>
      <c r="T42" s="873"/>
      <c r="U42" s="873"/>
      <c r="V42" s="873"/>
      <c r="W42" s="873"/>
      <c r="X42" s="873"/>
      <c r="Y42" s="873"/>
      <c r="Z42" s="873"/>
      <c r="AA42" s="873"/>
      <c r="AB42" s="873"/>
      <c r="AC42" s="873"/>
      <c r="AD42" s="873"/>
      <c r="AE42" s="873"/>
      <c r="AF42" s="873"/>
      <c r="AG42" s="873"/>
    </row>
    <row r="43" spans="2:33" s="715" customFormat="1">
      <c r="B43" s="718"/>
      <c r="C43" s="718"/>
      <c r="D43" s="1696"/>
      <c r="E43" s="1696"/>
      <c r="F43" s="1696"/>
      <c r="G43" s="1696"/>
      <c r="H43" s="1696"/>
      <c r="I43" s="1696"/>
      <c r="J43" s="1696"/>
      <c r="K43" s="718"/>
      <c r="L43" s="718"/>
      <c r="M43" s="756"/>
      <c r="N43" s="756"/>
      <c r="O43" s="873"/>
      <c r="P43" s="873"/>
      <c r="Q43" s="873"/>
      <c r="R43" s="873"/>
      <c r="S43" s="873"/>
      <c r="T43" s="873"/>
      <c r="U43" s="873"/>
      <c r="V43" s="873"/>
      <c r="W43" s="873"/>
      <c r="X43" s="873"/>
      <c r="Y43" s="873"/>
      <c r="Z43" s="873"/>
      <c r="AA43" s="873"/>
      <c r="AB43" s="873"/>
      <c r="AC43" s="873"/>
      <c r="AD43" s="873"/>
      <c r="AE43" s="873"/>
      <c r="AF43" s="873"/>
      <c r="AG43" s="873"/>
    </row>
    <row r="44" spans="2:33" s="715" customFormat="1">
      <c r="B44" s="718"/>
      <c r="C44" s="718"/>
      <c r="D44" s="718"/>
      <c r="E44" s="718"/>
      <c r="F44" s="718"/>
      <c r="G44" s="718"/>
      <c r="H44" s="718"/>
      <c r="I44" s="718"/>
      <c r="J44" s="718"/>
      <c r="K44" s="718"/>
      <c r="L44" s="718"/>
      <c r="M44" s="756"/>
      <c r="N44" s="756"/>
      <c r="O44" s="873"/>
      <c r="P44" s="873"/>
      <c r="Q44" s="873"/>
      <c r="R44" s="873"/>
      <c r="S44" s="873"/>
      <c r="T44" s="873"/>
      <c r="U44" s="873"/>
      <c r="V44" s="873"/>
      <c r="W44" s="873"/>
      <c r="X44" s="873"/>
      <c r="Y44" s="873"/>
      <c r="Z44" s="873"/>
      <c r="AA44" s="873"/>
      <c r="AB44" s="873"/>
      <c r="AC44" s="873"/>
      <c r="AD44" s="873"/>
      <c r="AE44" s="873"/>
      <c r="AF44" s="873"/>
      <c r="AG44" s="873"/>
    </row>
    <row r="45" spans="2:33" s="715" customFormat="1">
      <c r="B45" s="718"/>
      <c r="C45" s="718"/>
      <c r="D45" s="1697" t="s">
        <v>1142</v>
      </c>
      <c r="E45" s="1698"/>
      <c r="F45" s="1698"/>
      <c r="G45" s="1698"/>
      <c r="H45" s="1698"/>
      <c r="I45" s="1698"/>
      <c r="J45" s="1698"/>
      <c r="K45" s="718"/>
      <c r="L45" s="718"/>
      <c r="M45" s="756"/>
      <c r="N45" s="756"/>
      <c r="O45" s="873"/>
      <c r="P45" s="873"/>
      <c r="Q45" s="873"/>
      <c r="R45" s="873"/>
      <c r="S45" s="873"/>
      <c r="T45" s="873"/>
      <c r="U45" s="873"/>
      <c r="V45" s="873"/>
      <c r="W45" s="873"/>
      <c r="X45" s="873"/>
      <c r="Y45" s="873"/>
      <c r="Z45" s="873"/>
      <c r="AA45" s="873"/>
      <c r="AB45" s="873"/>
      <c r="AC45" s="873"/>
      <c r="AD45" s="873"/>
      <c r="AE45" s="873"/>
      <c r="AF45" s="873"/>
      <c r="AG45" s="873"/>
    </row>
    <row r="46" spans="2:33" s="715" customFormat="1">
      <c r="B46" s="718"/>
      <c r="C46" s="718"/>
      <c r="D46" s="718"/>
      <c r="E46" s="718"/>
      <c r="F46" s="718"/>
      <c r="G46" s="718"/>
      <c r="H46" s="718"/>
      <c r="I46" s="718"/>
      <c r="J46" s="718"/>
      <c r="K46" s="718"/>
      <c r="L46" s="718"/>
      <c r="M46" s="756"/>
      <c r="N46" s="756"/>
      <c r="O46" s="873"/>
      <c r="P46" s="873"/>
      <c r="Q46" s="873"/>
      <c r="R46" s="873"/>
      <c r="S46" s="873"/>
      <c r="T46" s="873"/>
      <c r="U46" s="873"/>
      <c r="V46" s="873"/>
      <c r="W46" s="873"/>
      <c r="X46" s="873"/>
      <c r="Y46" s="873"/>
      <c r="Z46" s="873"/>
      <c r="AA46" s="873"/>
      <c r="AB46" s="873"/>
      <c r="AC46" s="873"/>
      <c r="AD46" s="873"/>
      <c r="AE46" s="873"/>
      <c r="AF46" s="873"/>
      <c r="AG46" s="873"/>
    </row>
    <row r="47" spans="2:33" s="715" customFormat="1">
      <c r="B47" s="718"/>
      <c r="C47" s="718"/>
      <c r="D47" s="718"/>
      <c r="E47" s="718"/>
      <c r="F47" s="718"/>
      <c r="G47" s="718"/>
      <c r="H47" s="718"/>
      <c r="I47" s="718"/>
      <c r="J47" s="718"/>
      <c r="K47" s="718"/>
      <c r="L47" s="718"/>
      <c r="M47" s="756"/>
      <c r="N47" s="756"/>
      <c r="O47" s="873"/>
      <c r="P47" s="873"/>
      <c r="Q47" s="873"/>
      <c r="R47" s="873"/>
      <c r="S47" s="873"/>
      <c r="T47" s="873"/>
      <c r="U47" s="873"/>
      <c r="V47" s="873"/>
      <c r="W47" s="873"/>
      <c r="X47" s="873"/>
      <c r="Y47" s="873"/>
      <c r="Z47" s="873"/>
      <c r="AA47" s="873"/>
      <c r="AB47" s="873"/>
      <c r="AC47" s="873"/>
      <c r="AD47" s="873"/>
      <c r="AE47" s="873"/>
      <c r="AF47" s="873"/>
      <c r="AG47" s="873"/>
    </row>
    <row r="48" spans="2:33" s="715" customFormat="1">
      <c r="M48" s="756"/>
      <c r="N48" s="756"/>
      <c r="O48" s="873"/>
      <c r="P48" s="873"/>
      <c r="Q48" s="873"/>
      <c r="R48" s="873"/>
      <c r="S48" s="873"/>
      <c r="T48" s="873"/>
      <c r="U48" s="873"/>
      <c r="V48" s="873"/>
      <c r="W48" s="873"/>
      <c r="X48" s="873"/>
      <c r="Y48" s="873"/>
      <c r="Z48" s="873"/>
      <c r="AA48" s="873"/>
      <c r="AB48" s="873"/>
      <c r="AC48" s="873"/>
      <c r="AD48" s="873"/>
      <c r="AE48" s="873"/>
      <c r="AF48" s="873"/>
      <c r="AG48" s="873"/>
    </row>
    <row r="49" spans="13:33" s="715" customFormat="1">
      <c r="M49" s="756"/>
      <c r="N49" s="756"/>
      <c r="O49" s="873"/>
      <c r="P49" s="873"/>
      <c r="Q49" s="873"/>
      <c r="R49" s="873"/>
      <c r="S49" s="873"/>
      <c r="T49" s="873"/>
      <c r="U49" s="873"/>
      <c r="V49" s="873"/>
      <c r="W49" s="873"/>
      <c r="X49" s="873"/>
      <c r="Y49" s="873"/>
      <c r="Z49" s="873"/>
      <c r="AA49" s="873"/>
      <c r="AB49" s="873"/>
      <c r="AC49" s="873"/>
      <c r="AD49" s="873"/>
      <c r="AE49" s="873"/>
      <c r="AF49" s="873"/>
      <c r="AG49" s="873"/>
    </row>
    <row r="50" spans="13:33" s="715" customFormat="1">
      <c r="M50" s="756"/>
      <c r="N50" s="756"/>
      <c r="O50" s="873"/>
      <c r="P50" s="873"/>
      <c r="Q50" s="873"/>
      <c r="R50" s="873"/>
      <c r="S50" s="873"/>
      <c r="T50" s="873"/>
      <c r="U50" s="873"/>
      <c r="V50" s="873"/>
      <c r="W50" s="873"/>
      <c r="X50" s="873"/>
      <c r="Y50" s="873"/>
      <c r="Z50" s="873"/>
      <c r="AA50" s="873"/>
      <c r="AB50" s="873"/>
      <c r="AC50" s="873"/>
      <c r="AD50" s="873"/>
      <c r="AE50" s="873"/>
      <c r="AF50" s="873"/>
      <c r="AG50" s="873"/>
    </row>
    <row r="51" spans="13:33" s="715" customFormat="1">
      <c r="M51" s="756"/>
      <c r="N51" s="756"/>
      <c r="O51" s="873"/>
      <c r="P51" s="873"/>
      <c r="Q51" s="873"/>
      <c r="R51" s="873"/>
      <c r="S51" s="873"/>
      <c r="T51" s="873"/>
      <c r="U51" s="873"/>
      <c r="V51" s="873"/>
      <c r="W51" s="873"/>
      <c r="X51" s="873"/>
      <c r="Y51" s="873"/>
      <c r="Z51" s="873"/>
      <c r="AA51" s="873"/>
      <c r="AB51" s="873"/>
      <c r="AC51" s="873"/>
      <c r="AD51" s="873"/>
      <c r="AE51" s="873"/>
      <c r="AF51" s="873"/>
      <c r="AG51" s="873"/>
    </row>
    <row r="52" spans="13:33" s="715" customFormat="1">
      <c r="M52" s="756"/>
      <c r="N52" s="756"/>
      <c r="O52" s="873"/>
      <c r="P52" s="873"/>
      <c r="Q52" s="873"/>
      <c r="R52" s="873"/>
      <c r="S52" s="873"/>
      <c r="T52" s="873"/>
      <c r="U52" s="873"/>
      <c r="V52" s="873"/>
      <c r="W52" s="873"/>
      <c r="X52" s="873"/>
      <c r="Y52" s="873"/>
      <c r="Z52" s="873"/>
      <c r="AA52" s="873"/>
      <c r="AB52" s="873"/>
      <c r="AC52" s="873"/>
      <c r="AD52" s="873"/>
      <c r="AE52" s="873"/>
      <c r="AF52" s="873"/>
      <c r="AG52" s="873"/>
    </row>
    <row r="53" spans="13:33" s="715" customFormat="1">
      <c r="M53" s="756"/>
      <c r="N53" s="756"/>
      <c r="O53" s="873"/>
      <c r="P53" s="873"/>
      <c r="Q53" s="873"/>
      <c r="R53" s="873"/>
      <c r="S53" s="873"/>
      <c r="T53" s="873"/>
      <c r="U53" s="873"/>
      <c r="V53" s="873"/>
      <c r="W53" s="873"/>
      <c r="X53" s="873"/>
      <c r="Y53" s="873"/>
      <c r="Z53" s="873"/>
      <c r="AA53" s="873"/>
      <c r="AB53" s="873"/>
      <c r="AC53" s="873"/>
      <c r="AD53" s="873"/>
      <c r="AE53" s="873"/>
      <c r="AF53" s="873"/>
      <c r="AG53" s="873"/>
    </row>
    <row r="54" spans="13:33" s="715" customFormat="1">
      <c r="M54" s="756"/>
      <c r="N54" s="756"/>
      <c r="O54" s="873"/>
      <c r="P54" s="873"/>
      <c r="Q54" s="873"/>
      <c r="R54" s="873"/>
      <c r="S54" s="873"/>
      <c r="T54" s="873"/>
      <c r="U54" s="873"/>
      <c r="V54" s="873"/>
      <c r="W54" s="873"/>
      <c r="X54" s="873"/>
      <c r="Y54" s="873"/>
      <c r="Z54" s="873"/>
      <c r="AA54" s="873"/>
      <c r="AB54" s="873"/>
      <c r="AC54" s="873"/>
      <c r="AD54" s="873"/>
      <c r="AE54" s="873"/>
      <c r="AF54" s="873"/>
      <c r="AG54" s="873"/>
    </row>
    <row r="55" spans="13:33" s="715" customFormat="1">
      <c r="M55" s="756"/>
      <c r="N55" s="756"/>
      <c r="O55" s="873"/>
      <c r="P55" s="873"/>
      <c r="Q55" s="873"/>
      <c r="R55" s="873"/>
      <c r="S55" s="873"/>
      <c r="T55" s="873"/>
      <c r="U55" s="873"/>
      <c r="V55" s="873"/>
      <c r="W55" s="873"/>
      <c r="X55" s="873"/>
      <c r="Y55" s="873"/>
      <c r="Z55" s="873"/>
      <c r="AA55" s="873"/>
      <c r="AB55" s="873"/>
      <c r="AC55" s="873"/>
      <c r="AD55" s="873"/>
      <c r="AE55" s="873"/>
      <c r="AF55" s="873"/>
      <c r="AG55" s="873"/>
    </row>
    <row r="56" spans="13:33" s="715" customFormat="1">
      <c r="M56" s="756"/>
      <c r="N56" s="756"/>
      <c r="O56" s="873"/>
      <c r="P56" s="873"/>
      <c r="Q56" s="873"/>
      <c r="R56" s="873"/>
      <c r="S56" s="873"/>
      <c r="T56" s="873"/>
      <c r="U56" s="873"/>
      <c r="V56" s="873"/>
      <c r="W56" s="873"/>
      <c r="X56" s="873"/>
      <c r="Y56" s="873"/>
      <c r="Z56" s="873"/>
      <c r="AA56" s="873"/>
      <c r="AB56" s="873"/>
      <c r="AC56" s="873"/>
      <c r="AD56" s="873"/>
      <c r="AE56" s="873"/>
      <c r="AF56" s="873"/>
      <c r="AG56" s="873"/>
    </row>
    <row r="57" spans="13:33" s="715" customFormat="1">
      <c r="M57" s="756"/>
      <c r="N57" s="756"/>
      <c r="O57" s="873"/>
      <c r="P57" s="873"/>
      <c r="Q57" s="873"/>
      <c r="R57" s="873"/>
      <c r="S57" s="873"/>
      <c r="T57" s="873"/>
      <c r="U57" s="873"/>
      <c r="V57" s="873"/>
      <c r="W57" s="873"/>
      <c r="X57" s="873"/>
      <c r="Y57" s="873"/>
      <c r="Z57" s="873"/>
      <c r="AA57" s="873"/>
      <c r="AB57" s="873"/>
      <c r="AC57" s="873"/>
      <c r="AD57" s="873"/>
      <c r="AE57" s="873"/>
      <c r="AF57" s="873"/>
      <c r="AG57" s="873"/>
    </row>
    <row r="58" spans="13:33" s="715" customFormat="1">
      <c r="M58" s="756"/>
      <c r="N58" s="756"/>
      <c r="O58" s="873"/>
      <c r="P58" s="873"/>
      <c r="Q58" s="873"/>
      <c r="R58" s="873"/>
      <c r="S58" s="873"/>
      <c r="T58" s="873"/>
      <c r="U58" s="873"/>
      <c r="V58" s="873"/>
      <c r="W58" s="873"/>
      <c r="X58" s="873"/>
      <c r="Y58" s="873"/>
      <c r="Z58" s="873"/>
      <c r="AA58" s="873"/>
      <c r="AB58" s="873"/>
      <c r="AC58" s="873"/>
      <c r="AD58" s="873"/>
      <c r="AE58" s="873"/>
      <c r="AF58" s="873"/>
      <c r="AG58" s="873"/>
    </row>
    <row r="59" spans="13:33" s="715" customFormat="1">
      <c r="M59" s="756"/>
      <c r="N59" s="756"/>
      <c r="O59" s="873"/>
      <c r="P59" s="873"/>
      <c r="Q59" s="873"/>
      <c r="R59" s="873"/>
      <c r="S59" s="873"/>
      <c r="T59" s="873"/>
      <c r="U59" s="873"/>
      <c r="V59" s="873"/>
      <c r="W59" s="873"/>
      <c r="X59" s="873"/>
      <c r="Y59" s="873"/>
      <c r="Z59" s="873"/>
      <c r="AA59" s="873"/>
      <c r="AB59" s="873"/>
      <c r="AC59" s="873"/>
      <c r="AD59" s="873"/>
      <c r="AE59" s="873"/>
      <c r="AF59" s="873"/>
      <c r="AG59" s="873"/>
    </row>
    <row r="60" spans="13:33" s="715" customFormat="1">
      <c r="M60" s="756"/>
      <c r="N60" s="756"/>
      <c r="O60" s="873"/>
      <c r="P60" s="873"/>
      <c r="Q60" s="873"/>
      <c r="R60" s="873"/>
      <c r="S60" s="873"/>
      <c r="T60" s="873"/>
      <c r="U60" s="873"/>
      <c r="V60" s="873"/>
      <c r="W60" s="873"/>
      <c r="X60" s="873"/>
      <c r="Y60" s="873"/>
      <c r="Z60" s="873"/>
      <c r="AA60" s="873"/>
      <c r="AB60" s="873"/>
      <c r="AC60" s="873"/>
      <c r="AD60" s="873"/>
      <c r="AE60" s="873"/>
      <c r="AF60" s="873"/>
      <c r="AG60" s="873"/>
    </row>
    <row r="61" spans="13:33" s="715" customFormat="1">
      <c r="M61" s="756"/>
      <c r="N61" s="756"/>
      <c r="O61" s="873"/>
      <c r="P61" s="873"/>
      <c r="Q61" s="873"/>
      <c r="R61" s="873"/>
      <c r="S61" s="873"/>
      <c r="T61" s="873"/>
      <c r="U61" s="873"/>
      <c r="V61" s="873"/>
      <c r="W61" s="873"/>
      <c r="X61" s="873"/>
      <c r="Y61" s="873"/>
      <c r="Z61" s="873"/>
      <c r="AA61" s="873"/>
      <c r="AB61" s="873"/>
      <c r="AC61" s="873"/>
      <c r="AD61" s="873"/>
      <c r="AE61" s="873"/>
      <c r="AF61" s="873"/>
      <c r="AG61" s="873"/>
    </row>
    <row r="62" spans="13:33" s="715" customFormat="1">
      <c r="M62" s="756"/>
      <c r="N62" s="756"/>
      <c r="O62" s="873"/>
      <c r="P62" s="873"/>
      <c r="Q62" s="873"/>
      <c r="R62" s="873"/>
      <c r="S62" s="873"/>
      <c r="T62" s="873"/>
      <c r="U62" s="873"/>
      <c r="V62" s="873"/>
      <c r="W62" s="873"/>
      <c r="X62" s="873"/>
      <c r="Y62" s="873"/>
      <c r="Z62" s="873"/>
      <c r="AA62" s="873"/>
      <c r="AB62" s="873"/>
      <c r="AC62" s="873"/>
      <c r="AD62" s="873"/>
      <c r="AE62" s="873"/>
      <c r="AF62" s="873"/>
      <c r="AG62" s="873"/>
    </row>
    <row r="63" spans="13:33" s="715" customFormat="1">
      <c r="M63" s="756"/>
      <c r="N63" s="756"/>
      <c r="O63" s="873"/>
      <c r="P63" s="873"/>
      <c r="Q63" s="873"/>
      <c r="R63" s="873"/>
      <c r="S63" s="873"/>
      <c r="T63" s="873"/>
      <c r="U63" s="873"/>
      <c r="V63" s="873"/>
      <c r="W63" s="873"/>
      <c r="X63" s="873"/>
      <c r="Y63" s="873"/>
      <c r="Z63" s="873"/>
      <c r="AA63" s="873"/>
      <c r="AB63" s="873"/>
      <c r="AC63" s="873"/>
      <c r="AD63" s="873"/>
      <c r="AE63" s="873"/>
      <c r="AF63" s="873"/>
      <c r="AG63" s="873"/>
    </row>
    <row r="64" spans="13:33" s="715" customFormat="1">
      <c r="M64" s="756"/>
      <c r="N64" s="756"/>
      <c r="O64" s="873"/>
      <c r="P64" s="873"/>
      <c r="Q64" s="873"/>
      <c r="R64" s="873"/>
      <c r="S64" s="873"/>
      <c r="T64" s="873"/>
      <c r="U64" s="873"/>
      <c r="V64" s="873"/>
      <c r="W64" s="873"/>
      <c r="X64" s="873"/>
      <c r="Y64" s="873"/>
      <c r="Z64" s="873"/>
      <c r="AA64" s="873"/>
      <c r="AB64" s="873"/>
      <c r="AC64" s="873"/>
      <c r="AD64" s="873"/>
      <c r="AE64" s="873"/>
      <c r="AF64" s="873"/>
      <c r="AG64" s="873"/>
    </row>
    <row r="65" spans="13:33" s="715" customFormat="1">
      <c r="M65" s="756"/>
      <c r="N65" s="756"/>
      <c r="O65" s="873"/>
      <c r="P65" s="873"/>
      <c r="Q65" s="873"/>
      <c r="R65" s="873"/>
      <c r="S65" s="873"/>
      <c r="T65" s="873"/>
      <c r="U65" s="873"/>
      <c r="V65" s="873"/>
      <c r="W65" s="873"/>
      <c r="X65" s="873"/>
      <c r="Y65" s="873"/>
      <c r="Z65" s="873"/>
      <c r="AA65" s="873"/>
      <c r="AB65" s="873"/>
      <c r="AC65" s="873"/>
      <c r="AD65" s="873"/>
      <c r="AE65" s="873"/>
      <c r="AF65" s="873"/>
      <c r="AG65" s="873"/>
    </row>
    <row r="66" spans="13:33" s="715" customFormat="1">
      <c r="M66" s="756"/>
      <c r="N66" s="756"/>
      <c r="O66" s="873"/>
      <c r="P66" s="873"/>
      <c r="Q66" s="873"/>
      <c r="R66" s="873"/>
      <c r="S66" s="873"/>
      <c r="T66" s="873"/>
      <c r="U66" s="873"/>
      <c r="V66" s="873"/>
      <c r="W66" s="873"/>
      <c r="X66" s="873"/>
      <c r="Y66" s="873"/>
      <c r="Z66" s="873"/>
      <c r="AA66" s="873"/>
      <c r="AB66" s="873"/>
      <c r="AC66" s="873"/>
      <c r="AD66" s="873"/>
      <c r="AE66" s="873"/>
      <c r="AF66" s="873"/>
      <c r="AG66" s="873"/>
    </row>
    <row r="67" spans="13:33" s="715" customFormat="1">
      <c r="M67" s="756"/>
      <c r="N67" s="756"/>
      <c r="O67" s="873"/>
      <c r="P67" s="873"/>
      <c r="Q67" s="873"/>
      <c r="R67" s="873"/>
      <c r="S67" s="873"/>
      <c r="T67" s="873"/>
      <c r="U67" s="873"/>
      <c r="V67" s="873"/>
      <c r="W67" s="873"/>
      <c r="X67" s="873"/>
      <c r="Y67" s="873"/>
      <c r="Z67" s="873"/>
      <c r="AA67" s="873"/>
      <c r="AB67" s="873"/>
      <c r="AC67" s="873"/>
      <c r="AD67" s="873"/>
      <c r="AE67" s="873"/>
      <c r="AF67" s="873"/>
      <c r="AG67" s="873"/>
    </row>
    <row r="68" spans="13:33" s="715" customFormat="1">
      <c r="M68" s="756"/>
      <c r="N68" s="756"/>
      <c r="O68" s="873"/>
      <c r="P68" s="873"/>
      <c r="Q68" s="873"/>
      <c r="R68" s="873"/>
      <c r="S68" s="873"/>
      <c r="T68" s="873"/>
      <c r="U68" s="873"/>
      <c r="V68" s="873"/>
      <c r="W68" s="873"/>
      <c r="X68" s="873"/>
      <c r="Y68" s="873"/>
      <c r="Z68" s="873"/>
      <c r="AA68" s="873"/>
      <c r="AB68" s="873"/>
      <c r="AC68" s="873"/>
      <c r="AD68" s="873"/>
      <c r="AE68" s="873"/>
      <c r="AF68" s="873"/>
      <c r="AG68" s="873"/>
    </row>
    <row r="69" spans="13:33" s="715" customFormat="1">
      <c r="M69" s="756"/>
      <c r="N69" s="756"/>
      <c r="O69" s="873"/>
      <c r="P69" s="873"/>
      <c r="Q69" s="873"/>
      <c r="R69" s="873"/>
      <c r="S69" s="873"/>
      <c r="T69" s="873"/>
      <c r="U69" s="873"/>
      <c r="V69" s="873"/>
      <c r="W69" s="873"/>
      <c r="X69" s="873"/>
      <c r="Y69" s="873"/>
      <c r="Z69" s="873"/>
      <c r="AA69" s="873"/>
      <c r="AB69" s="873"/>
      <c r="AC69" s="873"/>
      <c r="AD69" s="873"/>
      <c r="AE69" s="873"/>
      <c r="AF69" s="873"/>
      <c r="AG69" s="873"/>
    </row>
    <row r="70" spans="13:33" s="715" customFormat="1">
      <c r="M70" s="756"/>
      <c r="N70" s="756"/>
      <c r="O70" s="873"/>
      <c r="P70" s="873"/>
      <c r="Q70" s="873"/>
      <c r="R70" s="873"/>
      <c r="S70" s="873"/>
      <c r="T70" s="873"/>
      <c r="U70" s="873"/>
      <c r="V70" s="873"/>
      <c r="W70" s="873"/>
      <c r="X70" s="873"/>
      <c r="Y70" s="873"/>
      <c r="Z70" s="873"/>
      <c r="AA70" s="873"/>
      <c r="AB70" s="873"/>
      <c r="AC70" s="873"/>
      <c r="AD70" s="873"/>
      <c r="AE70" s="873"/>
      <c r="AF70" s="873"/>
      <c r="AG70" s="873"/>
    </row>
    <row r="71" spans="13:33" s="715" customFormat="1">
      <c r="M71" s="756"/>
      <c r="N71" s="756"/>
      <c r="O71" s="873"/>
      <c r="P71" s="873"/>
      <c r="Q71" s="873"/>
      <c r="R71" s="873"/>
      <c r="S71" s="873"/>
      <c r="T71" s="873"/>
      <c r="U71" s="873"/>
      <c r="V71" s="873"/>
      <c r="W71" s="873"/>
      <c r="X71" s="873"/>
      <c r="Y71" s="873"/>
      <c r="Z71" s="873"/>
      <c r="AA71" s="873"/>
      <c r="AB71" s="873"/>
      <c r="AC71" s="873"/>
      <c r="AD71" s="873"/>
      <c r="AE71" s="873"/>
      <c r="AF71" s="873"/>
      <c r="AG71" s="873"/>
    </row>
    <row r="72" spans="13:33" s="715" customFormat="1">
      <c r="M72" s="756"/>
      <c r="N72" s="756"/>
      <c r="O72" s="873"/>
      <c r="P72" s="873"/>
      <c r="Q72" s="873"/>
      <c r="R72" s="873"/>
      <c r="S72" s="873"/>
      <c r="T72" s="873"/>
      <c r="U72" s="873"/>
      <c r="V72" s="873"/>
      <c r="W72" s="873"/>
      <c r="X72" s="873"/>
      <c r="Y72" s="873"/>
      <c r="Z72" s="873"/>
      <c r="AA72" s="873"/>
      <c r="AB72" s="873"/>
      <c r="AC72" s="873"/>
      <c r="AD72" s="873"/>
      <c r="AE72" s="873"/>
      <c r="AF72" s="873"/>
      <c r="AG72" s="873"/>
    </row>
    <row r="73" spans="13:33" s="715" customFormat="1">
      <c r="M73" s="756"/>
      <c r="N73" s="756"/>
      <c r="O73" s="873"/>
      <c r="P73" s="873"/>
      <c r="Q73" s="873"/>
      <c r="R73" s="873"/>
      <c r="S73" s="873"/>
      <c r="T73" s="873"/>
      <c r="U73" s="873"/>
      <c r="V73" s="873"/>
      <c r="W73" s="873"/>
      <c r="X73" s="873"/>
      <c r="Y73" s="873"/>
      <c r="Z73" s="873"/>
      <c r="AA73" s="873"/>
      <c r="AB73" s="873"/>
      <c r="AC73" s="873"/>
      <c r="AD73" s="873"/>
      <c r="AE73" s="873"/>
      <c r="AF73" s="873"/>
      <c r="AG73" s="873"/>
    </row>
    <row r="74" spans="13:33" s="715" customFormat="1">
      <c r="M74" s="756"/>
      <c r="N74" s="756"/>
      <c r="O74" s="873"/>
      <c r="P74" s="873"/>
      <c r="Q74" s="873"/>
      <c r="R74" s="873"/>
      <c r="S74" s="873"/>
      <c r="T74" s="873"/>
      <c r="U74" s="873"/>
      <c r="V74" s="873"/>
      <c r="W74" s="873"/>
      <c r="X74" s="873"/>
      <c r="Y74" s="873"/>
      <c r="Z74" s="873"/>
      <c r="AA74" s="873"/>
      <c r="AB74" s="873"/>
      <c r="AC74" s="873"/>
      <c r="AD74" s="873"/>
      <c r="AE74" s="873"/>
      <c r="AF74" s="873"/>
      <c r="AG74" s="873"/>
    </row>
    <row r="75" spans="13:33" s="715" customFormat="1">
      <c r="M75" s="756"/>
      <c r="N75" s="756"/>
      <c r="O75" s="873"/>
      <c r="P75" s="873"/>
      <c r="Q75" s="873"/>
      <c r="R75" s="873"/>
      <c r="S75" s="873"/>
      <c r="T75" s="873"/>
      <c r="U75" s="873"/>
      <c r="V75" s="873"/>
      <c r="W75" s="873"/>
      <c r="X75" s="873"/>
      <c r="Y75" s="873"/>
      <c r="Z75" s="873"/>
      <c r="AA75" s="873"/>
      <c r="AB75" s="873"/>
      <c r="AC75" s="873"/>
      <c r="AD75" s="873"/>
      <c r="AE75" s="873"/>
      <c r="AF75" s="873"/>
      <c r="AG75" s="873"/>
    </row>
    <row r="76" spans="13:33" s="715" customFormat="1">
      <c r="M76" s="756"/>
      <c r="N76" s="756"/>
      <c r="O76" s="873"/>
      <c r="P76" s="873"/>
      <c r="Q76" s="873"/>
      <c r="R76" s="873"/>
      <c r="S76" s="873"/>
      <c r="T76" s="873"/>
      <c r="U76" s="873"/>
      <c r="V76" s="873"/>
      <c r="W76" s="873"/>
      <c r="X76" s="873"/>
      <c r="Y76" s="873"/>
      <c r="Z76" s="873"/>
      <c r="AA76" s="873"/>
      <c r="AB76" s="873"/>
      <c r="AC76" s="873"/>
      <c r="AD76" s="873"/>
      <c r="AE76" s="873"/>
      <c r="AF76" s="873"/>
      <c r="AG76" s="873"/>
    </row>
    <row r="77" spans="13:33" s="715" customFormat="1">
      <c r="M77" s="756"/>
      <c r="N77" s="756"/>
      <c r="O77" s="873"/>
      <c r="P77" s="873"/>
      <c r="Q77" s="873"/>
      <c r="R77" s="873"/>
      <c r="S77" s="873"/>
      <c r="T77" s="873"/>
      <c r="U77" s="873"/>
      <c r="V77" s="873"/>
      <c r="W77" s="873"/>
      <c r="X77" s="873"/>
      <c r="Y77" s="873"/>
      <c r="Z77" s="873"/>
      <c r="AA77" s="873"/>
      <c r="AB77" s="873"/>
      <c r="AC77" s="873"/>
      <c r="AD77" s="873"/>
      <c r="AE77" s="873"/>
      <c r="AF77" s="873"/>
      <c r="AG77" s="873"/>
    </row>
    <row r="78" spans="13:33" s="715" customFormat="1">
      <c r="M78" s="756"/>
      <c r="N78" s="756"/>
      <c r="O78" s="873"/>
      <c r="P78" s="873"/>
      <c r="Q78" s="873"/>
      <c r="R78" s="873"/>
      <c r="S78" s="873"/>
      <c r="T78" s="873"/>
      <c r="U78" s="873"/>
      <c r="V78" s="873"/>
      <c r="W78" s="873"/>
      <c r="X78" s="873"/>
      <c r="Y78" s="873"/>
      <c r="Z78" s="873"/>
      <c r="AA78" s="873"/>
      <c r="AB78" s="873"/>
      <c r="AC78" s="873"/>
      <c r="AD78" s="873"/>
      <c r="AE78" s="873"/>
      <c r="AF78" s="873"/>
      <c r="AG78" s="873"/>
    </row>
    <row r="79" spans="13:33" s="715" customFormat="1">
      <c r="M79" s="756"/>
      <c r="N79" s="756"/>
      <c r="O79" s="873"/>
      <c r="P79" s="873"/>
      <c r="Q79" s="873"/>
      <c r="R79" s="873"/>
      <c r="S79" s="873"/>
      <c r="T79" s="873"/>
      <c r="U79" s="873"/>
      <c r="V79" s="873"/>
      <c r="W79" s="873"/>
      <c r="X79" s="873"/>
      <c r="Y79" s="873"/>
      <c r="Z79" s="873"/>
      <c r="AA79" s="873"/>
      <c r="AB79" s="873"/>
      <c r="AC79" s="873"/>
      <c r="AD79" s="873"/>
      <c r="AE79" s="873"/>
      <c r="AF79" s="873"/>
      <c r="AG79" s="873"/>
    </row>
    <row r="80" spans="13:33" s="715" customFormat="1">
      <c r="M80" s="756"/>
      <c r="N80" s="756"/>
      <c r="O80" s="873"/>
      <c r="P80" s="873"/>
      <c r="Q80" s="873"/>
      <c r="R80" s="873"/>
      <c r="S80" s="873"/>
      <c r="T80" s="873"/>
      <c r="U80" s="873"/>
      <c r="V80" s="873"/>
      <c r="W80" s="873"/>
      <c r="X80" s="873"/>
      <c r="Y80" s="873"/>
      <c r="Z80" s="873"/>
      <c r="AA80" s="873"/>
      <c r="AB80" s="873"/>
      <c r="AC80" s="873"/>
      <c r="AD80" s="873"/>
      <c r="AE80" s="873"/>
      <c r="AF80" s="873"/>
      <c r="AG80" s="873"/>
    </row>
    <row r="81" spans="13:33" s="715" customFormat="1">
      <c r="M81" s="756"/>
      <c r="N81" s="756"/>
      <c r="O81" s="873"/>
      <c r="P81" s="873"/>
      <c r="Q81" s="873"/>
      <c r="R81" s="873"/>
      <c r="S81" s="873"/>
      <c r="T81" s="873"/>
      <c r="U81" s="873"/>
      <c r="V81" s="873"/>
      <c r="W81" s="873"/>
      <c r="X81" s="873"/>
      <c r="Y81" s="873"/>
      <c r="Z81" s="873"/>
      <c r="AA81" s="873"/>
      <c r="AB81" s="873"/>
      <c r="AC81" s="873"/>
      <c r="AD81" s="873"/>
      <c r="AE81" s="873"/>
      <c r="AF81" s="873"/>
      <c r="AG81" s="873"/>
    </row>
    <row r="82" spans="13:33" s="715" customFormat="1">
      <c r="M82" s="756"/>
      <c r="N82" s="756"/>
      <c r="O82" s="873"/>
      <c r="P82" s="873"/>
      <c r="Q82" s="873"/>
      <c r="R82" s="873"/>
      <c r="S82" s="873"/>
      <c r="T82" s="873"/>
      <c r="U82" s="873"/>
      <c r="V82" s="873"/>
      <c r="W82" s="873"/>
      <c r="X82" s="873"/>
      <c r="Y82" s="873"/>
      <c r="Z82" s="873"/>
      <c r="AA82" s="873"/>
      <c r="AB82" s="873"/>
      <c r="AC82" s="873"/>
      <c r="AD82" s="873"/>
      <c r="AE82" s="873"/>
      <c r="AF82" s="873"/>
      <c r="AG82" s="873"/>
    </row>
    <row r="83" spans="13:33" s="715" customFormat="1">
      <c r="M83" s="756"/>
      <c r="N83" s="756"/>
      <c r="O83" s="873"/>
      <c r="P83" s="873"/>
      <c r="Q83" s="873"/>
      <c r="R83" s="873"/>
      <c r="S83" s="873"/>
      <c r="T83" s="873"/>
      <c r="U83" s="873"/>
      <c r="V83" s="873"/>
      <c r="W83" s="873"/>
      <c r="X83" s="873"/>
      <c r="Y83" s="873"/>
      <c r="Z83" s="873"/>
      <c r="AA83" s="873"/>
      <c r="AB83" s="873"/>
      <c r="AC83" s="873"/>
      <c r="AD83" s="873"/>
      <c r="AE83" s="873"/>
      <c r="AF83" s="873"/>
      <c r="AG83" s="873"/>
    </row>
    <row r="84" spans="13:33" s="715" customFormat="1">
      <c r="M84" s="756"/>
      <c r="N84" s="756"/>
      <c r="O84" s="873"/>
      <c r="P84" s="873"/>
      <c r="Q84" s="873"/>
      <c r="R84" s="873"/>
      <c r="S84" s="873"/>
      <c r="T84" s="873"/>
      <c r="U84" s="873"/>
      <c r="V84" s="873"/>
      <c r="W84" s="873"/>
      <c r="X84" s="873"/>
      <c r="Y84" s="873"/>
      <c r="Z84" s="873"/>
      <c r="AA84" s="873"/>
      <c r="AB84" s="873"/>
      <c r="AC84" s="873"/>
      <c r="AD84" s="873"/>
      <c r="AE84" s="873"/>
      <c r="AF84" s="873"/>
      <c r="AG84" s="873"/>
    </row>
    <row r="85" spans="13:33" s="715" customFormat="1">
      <c r="M85" s="756"/>
      <c r="N85" s="756"/>
      <c r="O85" s="873"/>
      <c r="P85" s="873"/>
      <c r="Q85" s="873"/>
      <c r="R85" s="873"/>
      <c r="S85" s="873"/>
      <c r="T85" s="873"/>
      <c r="U85" s="873"/>
      <c r="V85" s="873"/>
      <c r="W85" s="873"/>
      <c r="X85" s="873"/>
      <c r="Y85" s="873"/>
      <c r="Z85" s="873"/>
      <c r="AA85" s="873"/>
      <c r="AB85" s="873"/>
      <c r="AC85" s="873"/>
      <c r="AD85" s="873"/>
      <c r="AE85" s="873"/>
      <c r="AF85" s="873"/>
      <c r="AG85" s="873"/>
    </row>
    <row r="86" spans="13:33" s="715" customFormat="1">
      <c r="M86" s="756"/>
      <c r="N86" s="756"/>
      <c r="O86" s="873"/>
      <c r="P86" s="873"/>
      <c r="Q86" s="873"/>
      <c r="R86" s="873"/>
      <c r="S86" s="873"/>
      <c r="T86" s="873"/>
      <c r="U86" s="873"/>
      <c r="V86" s="873"/>
      <c r="W86" s="873"/>
      <c r="X86" s="873"/>
      <c r="Y86" s="873"/>
      <c r="Z86" s="873"/>
      <c r="AA86" s="873"/>
      <c r="AB86" s="873"/>
      <c r="AC86" s="873"/>
      <c r="AD86" s="873"/>
      <c r="AE86" s="873"/>
      <c r="AF86" s="873"/>
      <c r="AG86" s="873"/>
    </row>
    <row r="87" spans="13:33" s="715" customFormat="1">
      <c r="M87" s="756"/>
      <c r="N87" s="756"/>
      <c r="O87" s="873"/>
      <c r="P87" s="873"/>
      <c r="Q87" s="873"/>
      <c r="R87" s="873"/>
      <c r="S87" s="873"/>
      <c r="T87" s="873"/>
      <c r="U87" s="873"/>
      <c r="V87" s="873"/>
      <c r="W87" s="873"/>
      <c r="X87" s="873"/>
      <c r="Y87" s="873"/>
      <c r="Z87" s="873"/>
      <c r="AA87" s="873"/>
      <c r="AB87" s="873"/>
      <c r="AC87" s="873"/>
      <c r="AD87" s="873"/>
      <c r="AE87" s="873"/>
      <c r="AF87" s="873"/>
      <c r="AG87" s="873"/>
    </row>
    <row r="88" spans="13:33" s="715" customFormat="1">
      <c r="M88" s="756"/>
      <c r="N88" s="756"/>
      <c r="O88" s="873"/>
      <c r="P88" s="873"/>
      <c r="Q88" s="873"/>
      <c r="R88" s="873"/>
      <c r="S88" s="873"/>
      <c r="T88" s="873"/>
      <c r="U88" s="873"/>
      <c r="V88" s="873"/>
      <c r="W88" s="873"/>
      <c r="X88" s="873"/>
      <c r="Y88" s="873"/>
      <c r="Z88" s="873"/>
      <c r="AA88" s="873"/>
      <c r="AB88" s="873"/>
      <c r="AC88" s="873"/>
      <c r="AD88" s="873"/>
      <c r="AE88" s="873"/>
      <c r="AF88" s="873"/>
      <c r="AG88" s="873"/>
    </row>
    <row r="89" spans="13:33" s="715" customFormat="1">
      <c r="M89" s="756"/>
      <c r="N89" s="756"/>
      <c r="O89" s="873"/>
      <c r="P89" s="873"/>
      <c r="Q89" s="873"/>
      <c r="R89" s="873"/>
      <c r="S89" s="873"/>
      <c r="T89" s="873"/>
      <c r="U89" s="873"/>
      <c r="V89" s="873"/>
      <c r="W89" s="873"/>
      <c r="X89" s="873"/>
      <c r="Y89" s="873"/>
      <c r="Z89" s="873"/>
      <c r="AA89" s="873"/>
      <c r="AB89" s="873"/>
      <c r="AC89" s="873"/>
      <c r="AD89" s="873"/>
      <c r="AE89" s="873"/>
      <c r="AF89" s="873"/>
      <c r="AG89" s="873"/>
    </row>
    <row r="90" spans="13:33" s="715" customFormat="1">
      <c r="M90" s="756"/>
      <c r="N90" s="756"/>
      <c r="O90" s="873"/>
      <c r="P90" s="873"/>
      <c r="Q90" s="873"/>
      <c r="R90" s="873"/>
      <c r="S90" s="873"/>
      <c r="T90" s="873"/>
      <c r="U90" s="873"/>
      <c r="V90" s="873"/>
      <c r="W90" s="873"/>
      <c r="X90" s="873"/>
      <c r="Y90" s="873"/>
      <c r="Z90" s="873"/>
      <c r="AA90" s="873"/>
      <c r="AB90" s="873"/>
      <c r="AC90" s="873"/>
      <c r="AD90" s="873"/>
      <c r="AE90" s="873"/>
      <c r="AF90" s="873"/>
      <c r="AG90" s="873"/>
    </row>
    <row r="91" spans="13:33" s="715" customFormat="1">
      <c r="M91" s="756"/>
      <c r="N91" s="756"/>
      <c r="O91" s="873"/>
      <c r="P91" s="873"/>
      <c r="Q91" s="873"/>
      <c r="R91" s="873"/>
      <c r="S91" s="873"/>
      <c r="T91" s="873"/>
      <c r="U91" s="873"/>
      <c r="V91" s="873"/>
      <c r="W91" s="873"/>
      <c r="X91" s="873"/>
      <c r="Y91" s="873"/>
      <c r="Z91" s="873"/>
      <c r="AA91" s="873"/>
      <c r="AB91" s="873"/>
      <c r="AC91" s="873"/>
      <c r="AD91" s="873"/>
      <c r="AE91" s="873"/>
      <c r="AF91" s="873"/>
      <c r="AG91" s="873"/>
    </row>
    <row r="92" spans="13:33" s="715" customFormat="1">
      <c r="M92" s="756"/>
      <c r="N92" s="756"/>
      <c r="O92" s="873"/>
      <c r="P92" s="873"/>
      <c r="Q92" s="873"/>
      <c r="R92" s="873"/>
      <c r="S92" s="873"/>
      <c r="T92" s="873"/>
      <c r="U92" s="873"/>
      <c r="V92" s="873"/>
      <c r="W92" s="873"/>
      <c r="X92" s="873"/>
      <c r="Y92" s="873"/>
      <c r="Z92" s="873"/>
      <c r="AA92" s="873"/>
      <c r="AB92" s="873"/>
      <c r="AC92" s="873"/>
      <c r="AD92" s="873"/>
      <c r="AE92" s="873"/>
      <c r="AF92" s="873"/>
      <c r="AG92" s="873"/>
    </row>
    <row r="93" spans="13:33" s="715" customFormat="1">
      <c r="M93" s="756"/>
      <c r="N93" s="756"/>
      <c r="O93" s="873"/>
      <c r="P93" s="873"/>
      <c r="Q93" s="873"/>
      <c r="R93" s="873"/>
      <c r="S93" s="873"/>
      <c r="T93" s="873"/>
      <c r="U93" s="873"/>
      <c r="V93" s="873"/>
      <c r="W93" s="873"/>
      <c r="X93" s="873"/>
      <c r="Y93" s="873"/>
      <c r="Z93" s="873"/>
      <c r="AA93" s="873"/>
      <c r="AB93" s="873"/>
      <c r="AC93" s="873"/>
      <c r="AD93" s="873"/>
      <c r="AE93" s="873"/>
      <c r="AF93" s="873"/>
      <c r="AG93" s="873"/>
    </row>
    <row r="94" spans="13:33" s="715" customFormat="1">
      <c r="M94" s="756"/>
      <c r="N94" s="756"/>
      <c r="O94" s="873"/>
      <c r="P94" s="873"/>
      <c r="Q94" s="873"/>
      <c r="R94" s="873"/>
      <c r="S94" s="873"/>
      <c r="T94" s="873"/>
      <c r="U94" s="873"/>
      <c r="V94" s="873"/>
      <c r="W94" s="873"/>
      <c r="X94" s="873"/>
      <c r="Y94" s="873"/>
      <c r="Z94" s="873"/>
      <c r="AA94" s="873"/>
      <c r="AB94" s="873"/>
      <c r="AC94" s="873"/>
      <c r="AD94" s="873"/>
      <c r="AE94" s="873"/>
      <c r="AF94" s="873"/>
      <c r="AG94" s="873"/>
    </row>
    <row r="95" spans="13:33" s="715" customFormat="1">
      <c r="M95" s="756"/>
      <c r="N95" s="756"/>
      <c r="O95" s="873"/>
      <c r="P95" s="873"/>
      <c r="Q95" s="873"/>
      <c r="R95" s="873"/>
      <c r="S95" s="873"/>
      <c r="T95" s="873"/>
      <c r="U95" s="873"/>
      <c r="V95" s="873"/>
      <c r="W95" s="873"/>
      <c r="X95" s="873"/>
      <c r="Y95" s="873"/>
      <c r="Z95" s="873"/>
      <c r="AA95" s="873"/>
      <c r="AB95" s="873"/>
      <c r="AC95" s="873"/>
      <c r="AD95" s="873"/>
      <c r="AE95" s="873"/>
      <c r="AF95" s="873"/>
      <c r="AG95" s="873"/>
    </row>
    <row r="96" spans="13:33" s="715" customFormat="1">
      <c r="M96" s="756"/>
      <c r="N96" s="756"/>
      <c r="O96" s="873"/>
      <c r="P96" s="873"/>
      <c r="Q96" s="873"/>
      <c r="R96" s="873"/>
      <c r="S96" s="873"/>
      <c r="T96" s="873"/>
      <c r="U96" s="873"/>
      <c r="V96" s="873"/>
      <c r="W96" s="873"/>
      <c r="X96" s="873"/>
      <c r="Y96" s="873"/>
      <c r="Z96" s="873"/>
      <c r="AA96" s="873"/>
      <c r="AB96" s="873"/>
      <c r="AC96" s="873"/>
      <c r="AD96" s="873"/>
      <c r="AE96" s="873"/>
      <c r="AF96" s="873"/>
      <c r="AG96" s="873"/>
    </row>
    <row r="97" spans="13:33" s="715" customFormat="1">
      <c r="M97" s="756"/>
      <c r="N97" s="756"/>
      <c r="O97" s="873"/>
      <c r="P97" s="873"/>
      <c r="Q97" s="873"/>
      <c r="R97" s="873"/>
      <c r="S97" s="873"/>
      <c r="T97" s="873"/>
      <c r="U97" s="873"/>
      <c r="V97" s="873"/>
      <c r="W97" s="873"/>
      <c r="X97" s="873"/>
      <c r="Y97" s="873"/>
      <c r="Z97" s="873"/>
      <c r="AA97" s="873"/>
      <c r="AB97" s="873"/>
      <c r="AC97" s="873"/>
      <c r="AD97" s="873"/>
      <c r="AE97" s="873"/>
      <c r="AF97" s="873"/>
      <c r="AG97" s="873"/>
    </row>
    <row r="98" spans="13:33" s="715" customFormat="1">
      <c r="M98" s="756"/>
      <c r="N98" s="756"/>
      <c r="O98" s="873"/>
      <c r="P98" s="873"/>
      <c r="Q98" s="873"/>
      <c r="R98" s="873"/>
      <c r="S98" s="873"/>
      <c r="T98" s="873"/>
      <c r="U98" s="873"/>
      <c r="V98" s="873"/>
      <c r="W98" s="873"/>
      <c r="X98" s="873"/>
      <c r="Y98" s="873"/>
      <c r="Z98" s="873"/>
      <c r="AA98" s="873"/>
      <c r="AB98" s="873"/>
      <c r="AC98" s="873"/>
      <c r="AD98" s="873"/>
      <c r="AE98" s="873"/>
      <c r="AF98" s="873"/>
      <c r="AG98" s="873"/>
    </row>
    <row r="99" spans="13:33" s="715" customFormat="1">
      <c r="M99" s="756"/>
      <c r="N99" s="756"/>
      <c r="O99" s="873"/>
      <c r="P99" s="873"/>
      <c r="Q99" s="873"/>
      <c r="R99" s="873"/>
      <c r="S99" s="873"/>
      <c r="T99" s="873"/>
      <c r="U99" s="873"/>
      <c r="V99" s="873"/>
      <c r="W99" s="873"/>
      <c r="X99" s="873"/>
      <c r="Y99" s="873"/>
      <c r="Z99" s="873"/>
      <c r="AA99" s="873"/>
      <c r="AB99" s="873"/>
      <c r="AC99" s="873"/>
      <c r="AD99" s="873"/>
      <c r="AE99" s="873"/>
      <c r="AF99" s="873"/>
      <c r="AG99" s="873"/>
    </row>
    <row r="100" spans="13:33" s="715" customFormat="1">
      <c r="M100" s="756"/>
      <c r="N100" s="756"/>
      <c r="O100" s="873"/>
      <c r="P100" s="873"/>
      <c r="Q100" s="873"/>
      <c r="R100" s="873"/>
      <c r="S100" s="873"/>
      <c r="T100" s="873"/>
      <c r="U100" s="873"/>
      <c r="V100" s="873"/>
      <c r="W100" s="873"/>
      <c r="X100" s="873"/>
      <c r="Y100" s="873"/>
      <c r="Z100" s="873"/>
      <c r="AA100" s="873"/>
      <c r="AB100" s="873"/>
      <c r="AC100" s="873"/>
      <c r="AD100" s="873"/>
      <c r="AE100" s="873"/>
      <c r="AF100" s="873"/>
      <c r="AG100" s="873"/>
    </row>
    <row r="101" spans="13:33" s="715" customFormat="1">
      <c r="M101" s="756"/>
      <c r="N101" s="756"/>
      <c r="O101" s="873"/>
      <c r="P101" s="873"/>
      <c r="Q101" s="873"/>
      <c r="R101" s="873"/>
      <c r="S101" s="873"/>
      <c r="T101" s="873"/>
      <c r="U101" s="873"/>
      <c r="V101" s="873"/>
      <c r="W101" s="873"/>
      <c r="X101" s="873"/>
      <c r="Y101" s="873"/>
      <c r="Z101" s="873"/>
      <c r="AA101" s="873"/>
      <c r="AB101" s="873"/>
      <c r="AC101" s="873"/>
      <c r="AD101" s="873"/>
      <c r="AE101" s="873"/>
      <c r="AF101" s="873"/>
      <c r="AG101" s="873"/>
    </row>
    <row r="102" spans="13:33" s="715" customFormat="1">
      <c r="M102" s="756"/>
      <c r="N102" s="756"/>
      <c r="O102" s="873"/>
      <c r="P102" s="873"/>
      <c r="Q102" s="873"/>
      <c r="R102" s="873"/>
      <c r="S102" s="873"/>
      <c r="T102" s="873"/>
      <c r="U102" s="873"/>
      <c r="V102" s="873"/>
      <c r="W102" s="873"/>
      <c r="X102" s="873"/>
      <c r="Y102" s="873"/>
      <c r="Z102" s="873"/>
      <c r="AA102" s="873"/>
      <c r="AB102" s="873"/>
      <c r="AC102" s="873"/>
      <c r="AD102" s="873"/>
      <c r="AE102" s="873"/>
      <c r="AF102" s="873"/>
      <c r="AG102" s="873"/>
    </row>
    <row r="103" spans="13:33" s="715" customFormat="1">
      <c r="M103" s="756"/>
      <c r="N103" s="756"/>
      <c r="O103" s="873"/>
      <c r="P103" s="873"/>
      <c r="Q103" s="873"/>
      <c r="R103" s="873"/>
      <c r="S103" s="873"/>
      <c r="T103" s="873"/>
      <c r="U103" s="873"/>
      <c r="V103" s="873"/>
      <c r="W103" s="873"/>
      <c r="X103" s="873"/>
      <c r="Y103" s="873"/>
      <c r="Z103" s="873"/>
      <c r="AA103" s="873"/>
      <c r="AB103" s="873"/>
      <c r="AC103" s="873"/>
      <c r="AD103" s="873"/>
      <c r="AE103" s="873"/>
      <c r="AF103" s="873"/>
      <c r="AG103" s="873"/>
    </row>
    <row r="104" spans="13:33" s="715" customFormat="1">
      <c r="M104" s="756"/>
      <c r="N104" s="756"/>
      <c r="O104" s="873"/>
      <c r="P104" s="873"/>
      <c r="Q104" s="873"/>
      <c r="R104" s="873"/>
      <c r="S104" s="873"/>
      <c r="T104" s="873"/>
      <c r="U104" s="873"/>
      <c r="V104" s="873"/>
      <c r="W104" s="873"/>
      <c r="X104" s="873"/>
      <c r="Y104" s="873"/>
      <c r="Z104" s="873"/>
      <c r="AA104" s="873"/>
      <c r="AB104" s="873"/>
      <c r="AC104" s="873"/>
      <c r="AD104" s="873"/>
      <c r="AE104" s="873"/>
      <c r="AF104" s="873"/>
      <c r="AG104" s="873"/>
    </row>
    <row r="105" spans="13:33" s="715" customFormat="1">
      <c r="M105" s="756"/>
      <c r="N105" s="756"/>
      <c r="O105" s="873"/>
      <c r="P105" s="873"/>
      <c r="Q105" s="873"/>
      <c r="R105" s="873"/>
      <c r="S105" s="873"/>
      <c r="T105" s="873"/>
      <c r="U105" s="873"/>
      <c r="V105" s="873"/>
      <c r="W105" s="873"/>
      <c r="X105" s="873"/>
      <c r="Y105" s="873"/>
      <c r="Z105" s="873"/>
      <c r="AA105" s="873"/>
      <c r="AB105" s="873"/>
      <c r="AC105" s="873"/>
      <c r="AD105" s="873"/>
      <c r="AE105" s="873"/>
      <c r="AF105" s="873"/>
      <c r="AG105" s="873"/>
    </row>
    <row r="106" spans="13:33" s="715" customFormat="1">
      <c r="M106" s="756"/>
      <c r="N106" s="756"/>
      <c r="O106" s="873"/>
      <c r="P106" s="873"/>
      <c r="Q106" s="873"/>
      <c r="R106" s="873"/>
      <c r="S106" s="873"/>
      <c r="T106" s="873"/>
      <c r="U106" s="873"/>
      <c r="V106" s="873"/>
      <c r="W106" s="873"/>
      <c r="X106" s="873"/>
      <c r="Y106" s="873"/>
      <c r="Z106" s="873"/>
      <c r="AA106" s="873"/>
      <c r="AB106" s="873"/>
      <c r="AC106" s="873"/>
      <c r="AD106" s="873"/>
      <c r="AE106" s="873"/>
      <c r="AF106" s="873"/>
      <c r="AG106" s="873"/>
    </row>
    <row r="107" spans="13:33" s="715" customFormat="1">
      <c r="M107" s="756"/>
      <c r="N107" s="756"/>
      <c r="O107" s="873"/>
      <c r="P107" s="873"/>
      <c r="Q107" s="873"/>
      <c r="R107" s="873"/>
      <c r="S107" s="873"/>
      <c r="T107" s="873"/>
      <c r="U107" s="873"/>
      <c r="V107" s="873"/>
      <c r="W107" s="873"/>
      <c r="X107" s="873"/>
      <c r="Y107" s="873"/>
      <c r="Z107" s="873"/>
      <c r="AA107" s="873"/>
      <c r="AB107" s="873"/>
      <c r="AC107" s="873"/>
      <c r="AD107" s="873"/>
      <c r="AE107" s="873"/>
      <c r="AF107" s="873"/>
      <c r="AG107" s="873"/>
    </row>
    <row r="108" spans="13:33" s="715" customFormat="1">
      <c r="M108" s="756"/>
      <c r="N108" s="756"/>
      <c r="O108" s="873"/>
      <c r="P108" s="873"/>
      <c r="Q108" s="873"/>
      <c r="R108" s="873"/>
      <c r="S108" s="873"/>
      <c r="T108" s="873"/>
      <c r="U108" s="873"/>
      <c r="V108" s="873"/>
      <c r="W108" s="873"/>
      <c r="X108" s="873"/>
      <c r="Y108" s="873"/>
      <c r="Z108" s="873"/>
      <c r="AA108" s="873"/>
      <c r="AB108" s="873"/>
      <c r="AC108" s="873"/>
      <c r="AD108" s="873"/>
      <c r="AE108" s="873"/>
      <c r="AF108" s="873"/>
      <c r="AG108" s="873"/>
    </row>
    <row r="109" spans="13:33" s="715" customFormat="1">
      <c r="M109" s="756"/>
      <c r="N109" s="756"/>
      <c r="O109" s="873"/>
      <c r="P109" s="873"/>
      <c r="Q109" s="873"/>
      <c r="R109" s="873"/>
      <c r="S109" s="873"/>
      <c r="T109" s="873"/>
      <c r="U109" s="873"/>
      <c r="V109" s="873"/>
      <c r="W109" s="873"/>
      <c r="X109" s="873"/>
      <c r="Y109" s="873"/>
      <c r="Z109" s="873"/>
      <c r="AA109" s="873"/>
      <c r="AB109" s="873"/>
      <c r="AC109" s="873"/>
      <c r="AD109" s="873"/>
      <c r="AE109" s="873"/>
      <c r="AF109" s="873"/>
      <c r="AG109" s="873"/>
    </row>
    <row r="110" spans="13:33" s="715" customFormat="1">
      <c r="M110" s="756"/>
      <c r="N110" s="756"/>
      <c r="O110" s="873"/>
      <c r="P110" s="873"/>
      <c r="Q110" s="873"/>
      <c r="R110" s="873"/>
      <c r="S110" s="873"/>
      <c r="T110" s="873"/>
      <c r="U110" s="873"/>
      <c r="V110" s="873"/>
      <c r="W110" s="873"/>
      <c r="X110" s="873"/>
      <c r="Y110" s="873"/>
      <c r="Z110" s="873"/>
      <c r="AA110" s="873"/>
      <c r="AB110" s="873"/>
      <c r="AC110" s="873"/>
      <c r="AD110" s="873"/>
      <c r="AE110" s="873"/>
      <c r="AF110" s="873"/>
      <c r="AG110" s="873"/>
    </row>
    <row r="111" spans="13:33" s="715" customFormat="1">
      <c r="M111" s="756"/>
      <c r="N111" s="756"/>
      <c r="O111" s="873"/>
      <c r="P111" s="873"/>
      <c r="Q111" s="873"/>
      <c r="R111" s="873"/>
      <c r="S111" s="873"/>
      <c r="T111" s="873"/>
      <c r="U111" s="873"/>
      <c r="V111" s="873"/>
      <c r="W111" s="873"/>
      <c r="X111" s="873"/>
      <c r="Y111" s="873"/>
      <c r="Z111" s="873"/>
      <c r="AA111" s="873"/>
      <c r="AB111" s="873"/>
      <c r="AC111" s="873"/>
      <c r="AD111" s="873"/>
      <c r="AE111" s="873"/>
      <c r="AF111" s="873"/>
      <c r="AG111" s="873"/>
    </row>
    <row r="112" spans="13:33" s="715" customFormat="1">
      <c r="M112" s="756"/>
      <c r="N112" s="756"/>
      <c r="O112" s="873"/>
      <c r="P112" s="873"/>
      <c r="Q112" s="873"/>
      <c r="R112" s="873"/>
      <c r="S112" s="873"/>
      <c r="T112" s="873"/>
      <c r="U112" s="873"/>
      <c r="V112" s="873"/>
      <c r="W112" s="873"/>
      <c r="X112" s="873"/>
      <c r="Y112" s="873"/>
      <c r="Z112" s="873"/>
      <c r="AA112" s="873"/>
      <c r="AB112" s="873"/>
      <c r="AC112" s="873"/>
      <c r="AD112" s="873"/>
      <c r="AE112" s="873"/>
      <c r="AF112" s="873"/>
      <c r="AG112" s="873"/>
    </row>
    <row r="113" spans="13:33" s="715" customFormat="1">
      <c r="M113" s="756"/>
      <c r="N113" s="756"/>
      <c r="O113" s="873"/>
      <c r="P113" s="873"/>
      <c r="Q113" s="873"/>
      <c r="R113" s="873"/>
      <c r="S113" s="873"/>
      <c r="T113" s="873"/>
      <c r="U113" s="873"/>
      <c r="V113" s="873"/>
      <c r="W113" s="873"/>
      <c r="X113" s="873"/>
      <c r="Y113" s="873"/>
      <c r="Z113" s="873"/>
      <c r="AA113" s="873"/>
      <c r="AB113" s="873"/>
      <c r="AC113" s="873"/>
      <c r="AD113" s="873"/>
      <c r="AE113" s="873"/>
      <c r="AF113" s="873"/>
      <c r="AG113" s="873"/>
    </row>
  </sheetData>
  <sheetProtection algorithmName="SHA-512" hashValue="E1GizQ9i/qnj5KASgtu+yo9sGQJ3QNg1ZYh9gALsJjEa+Q1XCF5CsnYTepiaxjyBW/FdD9IQH9HABkumLj3Afg==" saltValue="PHxm8h9xglv25M1XuGmLww==" spinCount="100000" sheet="1" objects="1" scenarios="1"/>
  <mergeCells count="15">
    <mergeCell ref="D41:J43"/>
    <mergeCell ref="D45:J45"/>
    <mergeCell ref="G30:H30"/>
    <mergeCell ref="I30:K30"/>
    <mergeCell ref="C31:E32"/>
    <mergeCell ref="G31:H31"/>
    <mergeCell ref="I31:K31"/>
    <mergeCell ref="G32:H32"/>
    <mergeCell ref="I32:K32"/>
    <mergeCell ref="C25:K26"/>
    <mergeCell ref="C28:F29"/>
    <mergeCell ref="G28:H28"/>
    <mergeCell ref="I28:K28"/>
    <mergeCell ref="G29:H29"/>
    <mergeCell ref="I29:K29"/>
  </mergeCells>
  <printOptions horizontalCentered="1" verticalCentered="1"/>
  <pageMargins left="0" right="0" top="0" bottom="0" header="0" footer="0"/>
  <pageSetup paperSize="9" orientation="portrait" verticalDpi="4"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locked="0" defaultSize="0" autoFill="0" autoLine="0" autoPict="0">
                <anchor moveWithCells="1">
                  <from>
                    <xdr:col>1</xdr:col>
                    <xdr:colOff>323850</xdr:colOff>
                    <xdr:row>27</xdr:row>
                    <xdr:rowOff>38100</xdr:rowOff>
                  </from>
                  <to>
                    <xdr:col>2</xdr:col>
                    <xdr:colOff>19050</xdr:colOff>
                    <xdr:row>28</xdr:row>
                    <xdr:rowOff>68580</xdr:rowOff>
                  </to>
                </anchor>
              </controlPr>
            </control>
          </mc:Choice>
        </mc:AlternateContent>
        <mc:AlternateContent xmlns:mc="http://schemas.openxmlformats.org/markup-compatibility/2006">
          <mc:Choice Requires="x14">
            <control shapeId="18434" r:id="rId5" name="Check Box 2">
              <controlPr locked="0" defaultSize="0" autoFill="0" autoLine="0" autoPict="0">
                <anchor moveWithCells="1">
                  <from>
                    <xdr:col>1</xdr:col>
                    <xdr:colOff>335280</xdr:colOff>
                    <xdr:row>30</xdr:row>
                    <xdr:rowOff>68580</xdr:rowOff>
                  </from>
                  <to>
                    <xdr:col>2</xdr:col>
                    <xdr:colOff>30480</xdr:colOff>
                    <xdr:row>31</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15</vt:i4>
      </vt:variant>
      <vt:variant>
        <vt:lpstr>Adlandırılmış Aralıklar</vt:lpstr>
      </vt:variant>
      <vt:variant>
        <vt:i4>45</vt:i4>
      </vt:variant>
    </vt:vector>
  </HeadingPairs>
  <TitlesOfParts>
    <vt:vector size="60" baseType="lpstr">
      <vt:lpstr>price list MAN</vt:lpstr>
      <vt:lpstr>Deal Sheet</vt:lpstr>
      <vt:lpstr>Trade Ins</vt:lpstr>
      <vt:lpstr>Month of Invoicing</vt:lpstr>
      <vt:lpstr>Data Sheet</vt:lpstr>
      <vt:lpstr>ServiceCare Form</vt:lpstr>
      <vt:lpstr>Warranty Registration</vt:lpstr>
      <vt:lpstr>OTP</vt:lpstr>
      <vt:lpstr>OTP Conditions</vt:lpstr>
      <vt:lpstr>Quotation</vt:lpstr>
      <vt:lpstr>Quote Support </vt:lpstr>
      <vt:lpstr>Invoicing Request</vt:lpstr>
      <vt:lpstr>Release Request</vt:lpstr>
      <vt:lpstr>Delivery Note</vt:lpstr>
      <vt:lpstr>Collection Special</vt:lpstr>
      <vt:lpstr>APP</vt:lpstr>
      <vt:lpstr>APPT</vt:lpstr>
      <vt:lpstr>'Deal Sheet'!cus</vt:lpstr>
      <vt:lpstr>DLM</vt:lpstr>
      <vt:lpstr>DLT</vt:lpstr>
      <vt:lpstr>DTY</vt:lpstr>
      <vt:lpstr>ES</vt:lpstr>
      <vt:lpstr>ESC</vt:lpstr>
      <vt:lpstr>ESCUS</vt:lpstr>
      <vt:lpstr>ESM</vt:lpstr>
      <vt:lpstr>ESP</vt:lpstr>
      <vt:lpstr>EVE</vt:lpstr>
      <vt:lpstr>EVM</vt:lpstr>
      <vt:lpstr>EWC</vt:lpstr>
      <vt:lpstr>EWCUS</vt:lpstr>
      <vt:lpstr>EXW</vt:lpstr>
      <vt:lpstr>EXWAR</vt:lpstr>
      <vt:lpstr>FYI</vt:lpstr>
      <vt:lpstr>MODEL</vt:lpstr>
      <vt:lpstr>'Deal Sheet'!RM</vt:lpstr>
      <vt:lpstr>RMC</vt:lpstr>
      <vt:lpstr>RMCUS</vt:lpstr>
      <vt:lpstr>RMM</vt:lpstr>
      <vt:lpstr>RMP</vt:lpstr>
      <vt:lpstr>ST</vt:lpstr>
      <vt:lpstr>STC</vt:lpstr>
      <vt:lpstr>STCOS</vt:lpstr>
      <vt:lpstr>STCUS</vt:lpstr>
      <vt:lpstr>STM</vt:lpstr>
      <vt:lpstr>STP</vt:lpstr>
      <vt:lpstr>'Deal Sheet'!war</vt:lpstr>
      <vt:lpstr>'Collection Special'!Yazdırma_Alanı</vt:lpstr>
      <vt:lpstr>'Data Sheet'!Yazdırma_Alanı</vt:lpstr>
      <vt:lpstr>'Deal Sheet'!Yazdırma_Alanı</vt:lpstr>
      <vt:lpstr>'Delivery Note'!Yazdırma_Alanı</vt:lpstr>
      <vt:lpstr>'Invoicing Request'!Yazdırma_Alanı</vt:lpstr>
      <vt:lpstr>'Month of Invoicing'!Yazdırma_Alanı</vt:lpstr>
      <vt:lpstr>OTP!Yazdırma_Alanı</vt:lpstr>
      <vt:lpstr>'OTP Conditions'!Yazdırma_Alanı</vt:lpstr>
      <vt:lpstr>Quotation!Yazdırma_Alanı</vt:lpstr>
      <vt:lpstr>'Quote Support '!Yazdırma_Alanı</vt:lpstr>
      <vt:lpstr>'Release Request'!Yazdırma_Alanı</vt:lpstr>
      <vt:lpstr>'ServiceCare Form'!Yazdırma_Alanı</vt:lpstr>
      <vt:lpstr>'Trade Ins'!Yazdırma_Alanı</vt:lpstr>
      <vt:lpstr>'Warranty Registration'!Yazdırma_Alanı</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Siphamandla Sithole</dc:creator>
  <cp:lastModifiedBy>İdil Küçükkaya</cp:lastModifiedBy>
  <cp:lastPrinted>2017-11-23T13:05:20Z</cp:lastPrinted>
  <dcterms:created xsi:type="dcterms:W3CDTF">2017-03-16T15:45:09Z</dcterms:created>
  <dcterms:modified xsi:type="dcterms:W3CDTF">2018-05-02T08:31:11Z</dcterms:modified>
</cp:coreProperties>
</file>